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sebastien.verdier\Desktop\"/>
    </mc:Choice>
  </mc:AlternateContent>
  <xr:revisionPtr revIDLastSave="0" documentId="8_{3F742507-AF26-40AD-9A92-A327DC474217}" xr6:coauthVersionLast="43" xr6:coauthVersionMax="43" xr10:uidLastSave="{00000000-0000-0000-0000-000000000000}"/>
  <bookViews>
    <workbookView xWindow="-120" yWindow="-120" windowWidth="27930" windowHeight="16440" xr2:uid="{00000000-000D-0000-FFFF-FFFF00000000}"/>
  </bookViews>
  <sheets>
    <sheet name="SuiviGlobal_MigAppliSatellite_P" sheetId="1" r:id="rId1"/>
    <sheet name="Import_SuiviGlobal_MigAppliSate" sheetId="2" r:id="rId2"/>
  </sheets>
  <definedNames>
    <definedName name="_xlnm._FilterDatabase" localSheetId="0" hidden="1">SuiviGlobal_MigAppliSatellite_P!$A$1:$P$1169</definedName>
    <definedName name="Z_35ABB0E9_C725_4DF4_B626_446637449D3C_.wvu.FilterData" localSheetId="0" hidden="1">SuiviGlobal_MigAppliSatellite_P!$A$1:$P$1169</definedName>
    <definedName name="Z_DBE43D38_03D7_4520_B1E6_63326FDB5935_.wvu.FilterData" localSheetId="0" hidden="1">SuiviGlobal_MigAppliSatellite_P!#REF!</definedName>
  </definedNames>
  <calcPr calcId="191029"/>
  <customWorkbookViews>
    <customWorkbookView name="Filtre 2" guid="{35ABB0E9-C725-4DF4-B626-446637449D3C}" maximized="1" windowWidth="0" windowHeight="0" activeSheetId="0"/>
    <customWorkbookView name="Filtre 3" guid="{DBE43D38-03D7-4520-B1E6-63326FDB5935}"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E1499" i="2" l="1"/>
  <c r="AD1499" i="2"/>
  <c r="AC1499" i="2"/>
  <c r="AB1499" i="2"/>
  <c r="AA1499" i="2"/>
  <c r="Z1499" i="2"/>
  <c r="Y1499" i="2"/>
  <c r="X1499" i="2"/>
  <c r="W1499" i="2"/>
  <c r="V1499" i="2"/>
  <c r="U1499" i="2"/>
  <c r="T1499" i="2"/>
  <c r="S1499" i="2"/>
  <c r="R1499" i="2"/>
  <c r="Q1499" i="2"/>
  <c r="P1499" i="2"/>
  <c r="O1499" i="2"/>
  <c r="N1499" i="2"/>
  <c r="M1499" i="2"/>
  <c r="L1499" i="2"/>
  <c r="K1499" i="2"/>
  <c r="J1499" i="2"/>
  <c r="I1499" i="2"/>
  <c r="H1499" i="2"/>
  <c r="G1499" i="2"/>
  <c r="F1499" i="2"/>
  <c r="E1499" i="2"/>
  <c r="D1499" i="2"/>
  <c r="C1499" i="2"/>
  <c r="B1499" i="2"/>
  <c r="A1499" i="2"/>
  <c r="AE1498" i="2"/>
  <c r="AD1498" i="2"/>
  <c r="AC1498" i="2"/>
  <c r="AB1498" i="2"/>
  <c r="AA1498" i="2"/>
  <c r="Z1498" i="2"/>
  <c r="Y1498" i="2"/>
  <c r="X1498" i="2"/>
  <c r="W1498" i="2"/>
  <c r="V1498" i="2"/>
  <c r="U1498" i="2"/>
  <c r="T1498" i="2"/>
  <c r="S1498" i="2"/>
  <c r="R1498" i="2"/>
  <c r="Q1498" i="2"/>
  <c r="P1498" i="2"/>
  <c r="O1498" i="2"/>
  <c r="N1498" i="2"/>
  <c r="M1498" i="2"/>
  <c r="L1498" i="2"/>
  <c r="K1498" i="2"/>
  <c r="J1498" i="2"/>
  <c r="I1498" i="2"/>
  <c r="H1498" i="2"/>
  <c r="G1498" i="2"/>
  <c r="F1498" i="2"/>
  <c r="E1498" i="2"/>
  <c r="D1498" i="2"/>
  <c r="C1498" i="2"/>
  <c r="B1498" i="2"/>
  <c r="A1498" i="2"/>
  <c r="AE1497" i="2"/>
  <c r="AD1497" i="2"/>
  <c r="AC1497" i="2"/>
  <c r="AB1497" i="2"/>
  <c r="AA1497" i="2"/>
  <c r="Z1497" i="2"/>
  <c r="Y1497" i="2"/>
  <c r="X1497" i="2"/>
  <c r="W1497" i="2"/>
  <c r="V1497" i="2"/>
  <c r="U1497" i="2"/>
  <c r="T1497" i="2"/>
  <c r="S1497" i="2"/>
  <c r="R1497" i="2"/>
  <c r="Q1497" i="2"/>
  <c r="P1497" i="2"/>
  <c r="O1497" i="2"/>
  <c r="N1497" i="2"/>
  <c r="M1497" i="2"/>
  <c r="L1497" i="2"/>
  <c r="K1497" i="2"/>
  <c r="J1497" i="2"/>
  <c r="I1497" i="2"/>
  <c r="H1497" i="2"/>
  <c r="G1497" i="2"/>
  <c r="F1497" i="2"/>
  <c r="E1497" i="2"/>
  <c r="D1497" i="2"/>
  <c r="C1497" i="2"/>
  <c r="B1497" i="2"/>
  <c r="A1497" i="2"/>
  <c r="AE1496" i="2"/>
  <c r="AD1496" i="2"/>
  <c r="AC1496" i="2"/>
  <c r="AB1496" i="2"/>
  <c r="AA1496" i="2"/>
  <c r="Z1496" i="2"/>
  <c r="Y1496" i="2"/>
  <c r="X1496" i="2"/>
  <c r="W1496" i="2"/>
  <c r="V1496" i="2"/>
  <c r="U1496" i="2"/>
  <c r="T1496" i="2"/>
  <c r="S1496" i="2"/>
  <c r="R1496" i="2"/>
  <c r="Q1496" i="2"/>
  <c r="P1496" i="2"/>
  <c r="O1496" i="2"/>
  <c r="N1496" i="2"/>
  <c r="M1496" i="2"/>
  <c r="L1496" i="2"/>
  <c r="K1496" i="2"/>
  <c r="J1496" i="2"/>
  <c r="I1496" i="2"/>
  <c r="H1496" i="2"/>
  <c r="G1496" i="2"/>
  <c r="F1496" i="2"/>
  <c r="E1496" i="2"/>
  <c r="D1496" i="2"/>
  <c r="C1496" i="2"/>
  <c r="B1496" i="2"/>
  <c r="A1496" i="2"/>
  <c r="AE1495" i="2"/>
  <c r="AD1495" i="2"/>
  <c r="AC1495" i="2"/>
  <c r="AB1495" i="2"/>
  <c r="AA1495" i="2"/>
  <c r="Z1495" i="2"/>
  <c r="Y1495" i="2"/>
  <c r="X1495" i="2"/>
  <c r="W1495" i="2"/>
  <c r="V1495" i="2"/>
  <c r="U1495" i="2"/>
  <c r="T1495" i="2"/>
  <c r="S1495" i="2"/>
  <c r="R1495" i="2"/>
  <c r="Q1495" i="2"/>
  <c r="P1495" i="2"/>
  <c r="O1495" i="2"/>
  <c r="N1495" i="2"/>
  <c r="M1495" i="2"/>
  <c r="L1495" i="2"/>
  <c r="K1495" i="2"/>
  <c r="J1495" i="2"/>
  <c r="I1495" i="2"/>
  <c r="H1495" i="2"/>
  <c r="G1495" i="2"/>
  <c r="F1495" i="2"/>
  <c r="E1495" i="2"/>
  <c r="D1495" i="2"/>
  <c r="C1495" i="2"/>
  <c r="B1495" i="2"/>
  <c r="A1495" i="2"/>
  <c r="AE1494" i="2"/>
  <c r="AD1494" i="2"/>
  <c r="AC1494" i="2"/>
  <c r="AB1494" i="2"/>
  <c r="AA1494" i="2"/>
  <c r="Z1494" i="2"/>
  <c r="Y1494" i="2"/>
  <c r="X1494" i="2"/>
  <c r="W1494" i="2"/>
  <c r="V1494" i="2"/>
  <c r="U1494" i="2"/>
  <c r="T1494" i="2"/>
  <c r="S1494" i="2"/>
  <c r="R1494" i="2"/>
  <c r="Q1494" i="2"/>
  <c r="P1494" i="2"/>
  <c r="O1494" i="2"/>
  <c r="N1494" i="2"/>
  <c r="M1494" i="2"/>
  <c r="L1494" i="2"/>
  <c r="K1494" i="2"/>
  <c r="J1494" i="2"/>
  <c r="I1494" i="2"/>
  <c r="H1494" i="2"/>
  <c r="G1494" i="2"/>
  <c r="F1494" i="2"/>
  <c r="E1494" i="2"/>
  <c r="D1494" i="2"/>
  <c r="C1494" i="2"/>
  <c r="B1494" i="2"/>
  <c r="A1494" i="2"/>
  <c r="AE1493" i="2"/>
  <c r="AD1493" i="2"/>
  <c r="AC1493" i="2"/>
  <c r="AB1493" i="2"/>
  <c r="AA1493" i="2"/>
  <c r="Z1493" i="2"/>
  <c r="Y1493" i="2"/>
  <c r="X1493" i="2"/>
  <c r="W1493" i="2"/>
  <c r="V1493" i="2"/>
  <c r="U1493" i="2"/>
  <c r="T1493" i="2"/>
  <c r="S1493" i="2"/>
  <c r="R1493" i="2"/>
  <c r="Q1493" i="2"/>
  <c r="P1493" i="2"/>
  <c r="O1493" i="2"/>
  <c r="N1493" i="2"/>
  <c r="M1493" i="2"/>
  <c r="L1493" i="2"/>
  <c r="K1493" i="2"/>
  <c r="J1493" i="2"/>
  <c r="I1493" i="2"/>
  <c r="H1493" i="2"/>
  <c r="G1493" i="2"/>
  <c r="F1493" i="2"/>
  <c r="E1493" i="2"/>
  <c r="D1493" i="2"/>
  <c r="C1493" i="2"/>
  <c r="B1493" i="2"/>
  <c r="A1493" i="2"/>
  <c r="AE1492" i="2"/>
  <c r="AD1492" i="2"/>
  <c r="AC1492" i="2"/>
  <c r="AB1492" i="2"/>
  <c r="AA1492" i="2"/>
  <c r="Z1492" i="2"/>
  <c r="Y1492" i="2"/>
  <c r="X1492" i="2"/>
  <c r="W1492" i="2"/>
  <c r="V1492" i="2"/>
  <c r="U1492" i="2"/>
  <c r="T1492" i="2"/>
  <c r="S1492" i="2"/>
  <c r="R1492" i="2"/>
  <c r="Q1492" i="2"/>
  <c r="P1492" i="2"/>
  <c r="O1492" i="2"/>
  <c r="N1492" i="2"/>
  <c r="M1492" i="2"/>
  <c r="L1492" i="2"/>
  <c r="K1492" i="2"/>
  <c r="J1492" i="2"/>
  <c r="I1492" i="2"/>
  <c r="H1492" i="2"/>
  <c r="G1492" i="2"/>
  <c r="F1492" i="2"/>
  <c r="E1492" i="2"/>
  <c r="D1492" i="2"/>
  <c r="C1492" i="2"/>
  <c r="B1492" i="2"/>
  <c r="A1492" i="2"/>
  <c r="AE1491" i="2"/>
  <c r="AD1491" i="2"/>
  <c r="AC1491" i="2"/>
  <c r="AB1491" i="2"/>
  <c r="AA1491" i="2"/>
  <c r="Z1491" i="2"/>
  <c r="Y1491" i="2"/>
  <c r="X1491" i="2"/>
  <c r="W1491" i="2"/>
  <c r="V1491" i="2"/>
  <c r="U1491" i="2"/>
  <c r="T1491" i="2"/>
  <c r="S1491" i="2"/>
  <c r="R1491" i="2"/>
  <c r="Q1491" i="2"/>
  <c r="P1491" i="2"/>
  <c r="O1491" i="2"/>
  <c r="N1491" i="2"/>
  <c r="M1491" i="2"/>
  <c r="L1491" i="2"/>
  <c r="K1491" i="2"/>
  <c r="J1491" i="2"/>
  <c r="I1491" i="2"/>
  <c r="H1491" i="2"/>
  <c r="G1491" i="2"/>
  <c r="F1491" i="2"/>
  <c r="E1491" i="2"/>
  <c r="D1491" i="2"/>
  <c r="C1491" i="2"/>
  <c r="B1491" i="2"/>
  <c r="A1491" i="2"/>
  <c r="AE1490" i="2"/>
  <c r="AD1490" i="2"/>
  <c r="AC1490" i="2"/>
  <c r="AB1490" i="2"/>
  <c r="AA1490" i="2"/>
  <c r="Z1490" i="2"/>
  <c r="Y1490" i="2"/>
  <c r="X1490" i="2"/>
  <c r="W1490" i="2"/>
  <c r="V1490" i="2"/>
  <c r="U1490" i="2"/>
  <c r="T1490" i="2"/>
  <c r="S1490" i="2"/>
  <c r="R1490" i="2"/>
  <c r="Q1490" i="2"/>
  <c r="P1490" i="2"/>
  <c r="O1490" i="2"/>
  <c r="N1490" i="2"/>
  <c r="M1490" i="2"/>
  <c r="L1490" i="2"/>
  <c r="K1490" i="2"/>
  <c r="J1490" i="2"/>
  <c r="I1490" i="2"/>
  <c r="H1490" i="2"/>
  <c r="G1490" i="2"/>
  <c r="F1490" i="2"/>
  <c r="E1490" i="2"/>
  <c r="D1490" i="2"/>
  <c r="C1490" i="2"/>
  <c r="B1490" i="2"/>
  <c r="A1490" i="2"/>
  <c r="AE1489" i="2"/>
  <c r="AD1489" i="2"/>
  <c r="AC1489" i="2"/>
  <c r="AB1489" i="2"/>
  <c r="AA1489" i="2"/>
  <c r="Z1489" i="2"/>
  <c r="Y1489" i="2"/>
  <c r="X1489" i="2"/>
  <c r="W1489" i="2"/>
  <c r="V1489" i="2"/>
  <c r="U1489" i="2"/>
  <c r="T1489" i="2"/>
  <c r="S1489" i="2"/>
  <c r="R1489" i="2"/>
  <c r="Q1489" i="2"/>
  <c r="P1489" i="2"/>
  <c r="O1489" i="2"/>
  <c r="N1489" i="2"/>
  <c r="M1489" i="2"/>
  <c r="L1489" i="2"/>
  <c r="K1489" i="2"/>
  <c r="J1489" i="2"/>
  <c r="I1489" i="2"/>
  <c r="H1489" i="2"/>
  <c r="G1489" i="2"/>
  <c r="F1489" i="2"/>
  <c r="E1489" i="2"/>
  <c r="D1489" i="2"/>
  <c r="C1489" i="2"/>
  <c r="B1489" i="2"/>
  <c r="A1489" i="2"/>
  <c r="AE1488" i="2"/>
  <c r="AD1488" i="2"/>
  <c r="AC1488" i="2"/>
  <c r="AB1488" i="2"/>
  <c r="AA1488" i="2"/>
  <c r="Z1488" i="2"/>
  <c r="Y1488" i="2"/>
  <c r="X1488" i="2"/>
  <c r="W1488" i="2"/>
  <c r="V1488" i="2"/>
  <c r="U1488" i="2"/>
  <c r="T1488" i="2"/>
  <c r="S1488" i="2"/>
  <c r="R1488" i="2"/>
  <c r="Q1488" i="2"/>
  <c r="P1488" i="2"/>
  <c r="O1488" i="2"/>
  <c r="N1488" i="2"/>
  <c r="M1488" i="2"/>
  <c r="L1488" i="2"/>
  <c r="K1488" i="2"/>
  <c r="J1488" i="2"/>
  <c r="I1488" i="2"/>
  <c r="H1488" i="2"/>
  <c r="G1488" i="2"/>
  <c r="F1488" i="2"/>
  <c r="E1488" i="2"/>
  <c r="D1488" i="2"/>
  <c r="C1488" i="2"/>
  <c r="B1488" i="2"/>
  <c r="A1488" i="2"/>
  <c r="AE1487" i="2"/>
  <c r="AD1487" i="2"/>
  <c r="AC1487" i="2"/>
  <c r="AB1487" i="2"/>
  <c r="AA1487" i="2"/>
  <c r="Z1487" i="2"/>
  <c r="Y1487" i="2"/>
  <c r="X1487" i="2"/>
  <c r="W1487" i="2"/>
  <c r="V1487" i="2"/>
  <c r="U1487" i="2"/>
  <c r="T1487" i="2"/>
  <c r="S1487" i="2"/>
  <c r="R1487" i="2"/>
  <c r="Q1487" i="2"/>
  <c r="P1487" i="2"/>
  <c r="O1487" i="2"/>
  <c r="N1487" i="2"/>
  <c r="M1487" i="2"/>
  <c r="L1487" i="2"/>
  <c r="K1487" i="2"/>
  <c r="J1487" i="2"/>
  <c r="I1487" i="2"/>
  <c r="H1487" i="2"/>
  <c r="G1487" i="2"/>
  <c r="F1487" i="2"/>
  <c r="E1487" i="2"/>
  <c r="D1487" i="2"/>
  <c r="C1487" i="2"/>
  <c r="B1487" i="2"/>
  <c r="A1487" i="2"/>
  <c r="AE1486" i="2"/>
  <c r="AD1486" i="2"/>
  <c r="AC1486" i="2"/>
  <c r="AB1486" i="2"/>
  <c r="AA1486" i="2"/>
  <c r="Z1486" i="2"/>
  <c r="Y1486" i="2"/>
  <c r="X1486" i="2"/>
  <c r="W1486" i="2"/>
  <c r="V1486" i="2"/>
  <c r="U1486" i="2"/>
  <c r="T1486" i="2"/>
  <c r="S1486" i="2"/>
  <c r="R1486" i="2"/>
  <c r="Q1486" i="2"/>
  <c r="P1486" i="2"/>
  <c r="O1486" i="2"/>
  <c r="N1486" i="2"/>
  <c r="M1486" i="2"/>
  <c r="L1486" i="2"/>
  <c r="K1486" i="2"/>
  <c r="J1486" i="2"/>
  <c r="I1486" i="2"/>
  <c r="H1486" i="2"/>
  <c r="G1486" i="2"/>
  <c r="F1486" i="2"/>
  <c r="E1486" i="2"/>
  <c r="D1486" i="2"/>
  <c r="C1486" i="2"/>
  <c r="B1486" i="2"/>
  <c r="A1486" i="2"/>
  <c r="AE1485" i="2"/>
  <c r="AD1485" i="2"/>
  <c r="AC1485" i="2"/>
  <c r="AB1485" i="2"/>
  <c r="AA1485" i="2"/>
  <c r="Z1485" i="2"/>
  <c r="Y1485" i="2"/>
  <c r="X1485" i="2"/>
  <c r="W1485" i="2"/>
  <c r="V1485" i="2"/>
  <c r="U1485" i="2"/>
  <c r="T1485" i="2"/>
  <c r="S1485" i="2"/>
  <c r="R1485" i="2"/>
  <c r="Q1485" i="2"/>
  <c r="P1485" i="2"/>
  <c r="O1485" i="2"/>
  <c r="N1485" i="2"/>
  <c r="M1485" i="2"/>
  <c r="L1485" i="2"/>
  <c r="K1485" i="2"/>
  <c r="J1485" i="2"/>
  <c r="I1485" i="2"/>
  <c r="H1485" i="2"/>
  <c r="G1485" i="2"/>
  <c r="F1485" i="2"/>
  <c r="E1485" i="2"/>
  <c r="D1485" i="2"/>
  <c r="C1485" i="2"/>
  <c r="B1485" i="2"/>
  <c r="A1485" i="2"/>
  <c r="AE1484" i="2"/>
  <c r="AD1484" i="2"/>
  <c r="AC1484" i="2"/>
  <c r="AB1484" i="2"/>
  <c r="AA1484" i="2"/>
  <c r="Z1484" i="2"/>
  <c r="Y1484" i="2"/>
  <c r="X1484" i="2"/>
  <c r="W1484" i="2"/>
  <c r="V1484" i="2"/>
  <c r="U1484" i="2"/>
  <c r="T1484" i="2"/>
  <c r="S1484" i="2"/>
  <c r="R1484" i="2"/>
  <c r="Q1484" i="2"/>
  <c r="P1484" i="2"/>
  <c r="O1484" i="2"/>
  <c r="N1484" i="2"/>
  <c r="M1484" i="2"/>
  <c r="L1484" i="2"/>
  <c r="K1484" i="2"/>
  <c r="J1484" i="2"/>
  <c r="I1484" i="2"/>
  <c r="H1484" i="2"/>
  <c r="G1484" i="2"/>
  <c r="F1484" i="2"/>
  <c r="E1484" i="2"/>
  <c r="D1484" i="2"/>
  <c r="C1484" i="2"/>
  <c r="B1484" i="2"/>
  <c r="A1484" i="2"/>
  <c r="AE1483" i="2"/>
  <c r="AD1483" i="2"/>
  <c r="AC1483" i="2"/>
  <c r="AB1483" i="2"/>
  <c r="AA1483" i="2"/>
  <c r="Z1483" i="2"/>
  <c r="Y1483" i="2"/>
  <c r="X1483" i="2"/>
  <c r="W1483" i="2"/>
  <c r="V1483" i="2"/>
  <c r="U1483" i="2"/>
  <c r="T1483" i="2"/>
  <c r="S1483" i="2"/>
  <c r="R1483" i="2"/>
  <c r="Q1483" i="2"/>
  <c r="P1483" i="2"/>
  <c r="O1483" i="2"/>
  <c r="N1483" i="2"/>
  <c r="M1483" i="2"/>
  <c r="L1483" i="2"/>
  <c r="K1483" i="2"/>
  <c r="J1483" i="2"/>
  <c r="I1483" i="2"/>
  <c r="H1483" i="2"/>
  <c r="G1483" i="2"/>
  <c r="F1483" i="2"/>
  <c r="E1483" i="2"/>
  <c r="D1483" i="2"/>
  <c r="C1483" i="2"/>
  <c r="B1483" i="2"/>
  <c r="A1483" i="2"/>
  <c r="AE1482" i="2"/>
  <c r="AD1482" i="2"/>
  <c r="AC1482" i="2"/>
  <c r="AB1482" i="2"/>
  <c r="AA1482" i="2"/>
  <c r="Z1482" i="2"/>
  <c r="Y1482" i="2"/>
  <c r="X1482" i="2"/>
  <c r="W1482" i="2"/>
  <c r="V1482" i="2"/>
  <c r="U1482" i="2"/>
  <c r="T1482" i="2"/>
  <c r="S1482" i="2"/>
  <c r="R1482" i="2"/>
  <c r="Q1482" i="2"/>
  <c r="P1482" i="2"/>
  <c r="O1482" i="2"/>
  <c r="N1482" i="2"/>
  <c r="M1482" i="2"/>
  <c r="L1482" i="2"/>
  <c r="K1482" i="2"/>
  <c r="J1482" i="2"/>
  <c r="I1482" i="2"/>
  <c r="H1482" i="2"/>
  <c r="G1482" i="2"/>
  <c r="F1482" i="2"/>
  <c r="E1482" i="2"/>
  <c r="D1482" i="2"/>
  <c r="C1482" i="2"/>
  <c r="B1482" i="2"/>
  <c r="A1482" i="2"/>
  <c r="AE1481" i="2"/>
  <c r="AD1481" i="2"/>
  <c r="AC1481" i="2"/>
  <c r="AB1481" i="2"/>
  <c r="AA1481" i="2"/>
  <c r="Z1481" i="2"/>
  <c r="Y1481" i="2"/>
  <c r="X1481" i="2"/>
  <c r="W1481" i="2"/>
  <c r="V1481" i="2"/>
  <c r="U1481" i="2"/>
  <c r="T1481" i="2"/>
  <c r="S1481" i="2"/>
  <c r="R1481" i="2"/>
  <c r="Q1481" i="2"/>
  <c r="P1481" i="2"/>
  <c r="O1481" i="2"/>
  <c r="N1481" i="2"/>
  <c r="M1481" i="2"/>
  <c r="L1481" i="2"/>
  <c r="K1481" i="2"/>
  <c r="J1481" i="2"/>
  <c r="I1481" i="2"/>
  <c r="H1481" i="2"/>
  <c r="G1481" i="2"/>
  <c r="F1481" i="2"/>
  <c r="E1481" i="2"/>
  <c r="D1481" i="2"/>
  <c r="C1481" i="2"/>
  <c r="B1481" i="2"/>
  <c r="A1481" i="2"/>
  <c r="AE1480" i="2"/>
  <c r="AD1480" i="2"/>
  <c r="AC1480" i="2"/>
  <c r="AB1480" i="2"/>
  <c r="AA1480" i="2"/>
  <c r="Z1480" i="2"/>
  <c r="Y1480" i="2"/>
  <c r="X1480" i="2"/>
  <c r="W1480" i="2"/>
  <c r="V1480" i="2"/>
  <c r="U1480" i="2"/>
  <c r="T1480" i="2"/>
  <c r="S1480" i="2"/>
  <c r="R1480" i="2"/>
  <c r="Q1480" i="2"/>
  <c r="P1480" i="2"/>
  <c r="O1480" i="2"/>
  <c r="N1480" i="2"/>
  <c r="M1480" i="2"/>
  <c r="L1480" i="2"/>
  <c r="K1480" i="2"/>
  <c r="J1480" i="2"/>
  <c r="I1480" i="2"/>
  <c r="H1480" i="2"/>
  <c r="G1480" i="2"/>
  <c r="F1480" i="2"/>
  <c r="E1480" i="2"/>
  <c r="D1480" i="2"/>
  <c r="C1480" i="2"/>
  <c r="B1480" i="2"/>
  <c r="A1480" i="2"/>
  <c r="AE1479" i="2"/>
  <c r="AD1479" i="2"/>
  <c r="AC1479" i="2"/>
  <c r="AB1479" i="2"/>
  <c r="AA1479" i="2"/>
  <c r="Z1479" i="2"/>
  <c r="Y1479" i="2"/>
  <c r="X1479" i="2"/>
  <c r="W1479" i="2"/>
  <c r="V1479" i="2"/>
  <c r="U1479" i="2"/>
  <c r="T1479" i="2"/>
  <c r="S1479" i="2"/>
  <c r="R1479" i="2"/>
  <c r="Q1479" i="2"/>
  <c r="P1479" i="2"/>
  <c r="O1479" i="2"/>
  <c r="N1479" i="2"/>
  <c r="M1479" i="2"/>
  <c r="L1479" i="2"/>
  <c r="K1479" i="2"/>
  <c r="J1479" i="2"/>
  <c r="I1479" i="2"/>
  <c r="H1479" i="2"/>
  <c r="G1479" i="2"/>
  <c r="F1479" i="2"/>
  <c r="E1479" i="2"/>
  <c r="D1479" i="2"/>
  <c r="C1479" i="2"/>
  <c r="B1479" i="2"/>
  <c r="A1479" i="2"/>
  <c r="AE1478" i="2"/>
  <c r="AD1478" i="2"/>
  <c r="AC1478" i="2"/>
  <c r="AB1478" i="2"/>
  <c r="AA1478" i="2"/>
  <c r="Z1478" i="2"/>
  <c r="Y1478" i="2"/>
  <c r="X1478" i="2"/>
  <c r="W1478" i="2"/>
  <c r="V1478" i="2"/>
  <c r="U1478" i="2"/>
  <c r="T1478" i="2"/>
  <c r="S1478" i="2"/>
  <c r="R1478" i="2"/>
  <c r="Q1478" i="2"/>
  <c r="P1478" i="2"/>
  <c r="O1478" i="2"/>
  <c r="N1478" i="2"/>
  <c r="M1478" i="2"/>
  <c r="L1478" i="2"/>
  <c r="K1478" i="2"/>
  <c r="J1478" i="2"/>
  <c r="I1478" i="2"/>
  <c r="H1478" i="2"/>
  <c r="G1478" i="2"/>
  <c r="F1478" i="2"/>
  <c r="E1478" i="2"/>
  <c r="D1478" i="2"/>
  <c r="C1478" i="2"/>
  <c r="B1478" i="2"/>
  <c r="A1478" i="2"/>
  <c r="AE1477" i="2"/>
  <c r="AD1477" i="2"/>
  <c r="AC1477" i="2"/>
  <c r="AB1477" i="2"/>
  <c r="AA1477" i="2"/>
  <c r="Z1477" i="2"/>
  <c r="Y1477" i="2"/>
  <c r="X1477" i="2"/>
  <c r="W1477" i="2"/>
  <c r="V1477" i="2"/>
  <c r="U1477" i="2"/>
  <c r="T1477" i="2"/>
  <c r="S1477" i="2"/>
  <c r="R1477" i="2"/>
  <c r="Q1477" i="2"/>
  <c r="P1477" i="2"/>
  <c r="O1477" i="2"/>
  <c r="N1477" i="2"/>
  <c r="M1477" i="2"/>
  <c r="L1477" i="2"/>
  <c r="K1477" i="2"/>
  <c r="J1477" i="2"/>
  <c r="I1477" i="2"/>
  <c r="H1477" i="2"/>
  <c r="G1477" i="2"/>
  <c r="F1477" i="2"/>
  <c r="E1477" i="2"/>
  <c r="D1477" i="2"/>
  <c r="C1477" i="2"/>
  <c r="B1477" i="2"/>
  <c r="A1477" i="2"/>
  <c r="AE1476" i="2"/>
  <c r="AD1476" i="2"/>
  <c r="AC1476" i="2"/>
  <c r="AB1476" i="2"/>
  <c r="AA1476" i="2"/>
  <c r="Z1476" i="2"/>
  <c r="Y1476" i="2"/>
  <c r="X1476" i="2"/>
  <c r="W1476" i="2"/>
  <c r="V1476" i="2"/>
  <c r="U1476" i="2"/>
  <c r="T1476" i="2"/>
  <c r="S1476" i="2"/>
  <c r="R1476" i="2"/>
  <c r="Q1476" i="2"/>
  <c r="P1476" i="2"/>
  <c r="O1476" i="2"/>
  <c r="N1476" i="2"/>
  <c r="M1476" i="2"/>
  <c r="L1476" i="2"/>
  <c r="K1476" i="2"/>
  <c r="J1476" i="2"/>
  <c r="I1476" i="2"/>
  <c r="H1476" i="2"/>
  <c r="G1476" i="2"/>
  <c r="F1476" i="2"/>
  <c r="E1476" i="2"/>
  <c r="D1476" i="2"/>
  <c r="C1476" i="2"/>
  <c r="B1476" i="2"/>
  <c r="A1476" i="2"/>
  <c r="AE1475" i="2"/>
  <c r="AD1475" i="2"/>
  <c r="AC1475" i="2"/>
  <c r="AB1475" i="2"/>
  <c r="AA1475" i="2"/>
  <c r="Z1475" i="2"/>
  <c r="Y1475" i="2"/>
  <c r="X1475" i="2"/>
  <c r="W1475" i="2"/>
  <c r="V1475" i="2"/>
  <c r="U1475" i="2"/>
  <c r="T1475" i="2"/>
  <c r="S1475" i="2"/>
  <c r="R1475" i="2"/>
  <c r="Q1475" i="2"/>
  <c r="P1475" i="2"/>
  <c r="O1475" i="2"/>
  <c r="N1475" i="2"/>
  <c r="M1475" i="2"/>
  <c r="L1475" i="2"/>
  <c r="K1475" i="2"/>
  <c r="J1475" i="2"/>
  <c r="I1475" i="2"/>
  <c r="H1475" i="2"/>
  <c r="G1475" i="2"/>
  <c r="F1475" i="2"/>
  <c r="E1475" i="2"/>
  <c r="D1475" i="2"/>
  <c r="C1475" i="2"/>
  <c r="B1475" i="2"/>
  <c r="A1475" i="2"/>
  <c r="AE1474" i="2"/>
  <c r="AD1474" i="2"/>
  <c r="AC1474" i="2"/>
  <c r="AB1474" i="2"/>
  <c r="AA1474" i="2"/>
  <c r="Z1474" i="2"/>
  <c r="Y1474" i="2"/>
  <c r="X1474" i="2"/>
  <c r="W1474" i="2"/>
  <c r="V1474" i="2"/>
  <c r="U1474" i="2"/>
  <c r="T1474" i="2"/>
  <c r="S1474" i="2"/>
  <c r="R1474" i="2"/>
  <c r="Q1474" i="2"/>
  <c r="P1474" i="2"/>
  <c r="O1474" i="2"/>
  <c r="N1474" i="2"/>
  <c r="M1474" i="2"/>
  <c r="L1474" i="2"/>
  <c r="K1474" i="2"/>
  <c r="J1474" i="2"/>
  <c r="I1474" i="2"/>
  <c r="H1474" i="2"/>
  <c r="G1474" i="2"/>
  <c r="F1474" i="2"/>
  <c r="E1474" i="2"/>
  <c r="D1474" i="2"/>
  <c r="C1474" i="2"/>
  <c r="B1474" i="2"/>
  <c r="A1474" i="2"/>
  <c r="AE1473" i="2"/>
  <c r="AD1473" i="2"/>
  <c r="AC1473" i="2"/>
  <c r="AB1473" i="2"/>
  <c r="AA1473" i="2"/>
  <c r="Z1473" i="2"/>
  <c r="Y1473" i="2"/>
  <c r="X1473" i="2"/>
  <c r="W1473" i="2"/>
  <c r="V1473" i="2"/>
  <c r="U1473" i="2"/>
  <c r="T1473" i="2"/>
  <c r="S1473" i="2"/>
  <c r="R1473" i="2"/>
  <c r="Q1473" i="2"/>
  <c r="P1473" i="2"/>
  <c r="O1473" i="2"/>
  <c r="N1473" i="2"/>
  <c r="M1473" i="2"/>
  <c r="L1473" i="2"/>
  <c r="K1473" i="2"/>
  <c r="J1473" i="2"/>
  <c r="I1473" i="2"/>
  <c r="H1473" i="2"/>
  <c r="G1473" i="2"/>
  <c r="F1473" i="2"/>
  <c r="E1473" i="2"/>
  <c r="D1473" i="2"/>
  <c r="C1473" i="2"/>
  <c r="B1473" i="2"/>
  <c r="A1473" i="2"/>
  <c r="AE1472" i="2"/>
  <c r="AD1472" i="2"/>
  <c r="AC1472" i="2"/>
  <c r="AB1472" i="2"/>
  <c r="AA1472" i="2"/>
  <c r="Z1472" i="2"/>
  <c r="Y1472" i="2"/>
  <c r="X1472" i="2"/>
  <c r="W1472" i="2"/>
  <c r="V1472" i="2"/>
  <c r="U1472" i="2"/>
  <c r="T1472" i="2"/>
  <c r="S1472" i="2"/>
  <c r="R1472" i="2"/>
  <c r="Q1472" i="2"/>
  <c r="P1472" i="2"/>
  <c r="O1472" i="2"/>
  <c r="N1472" i="2"/>
  <c r="M1472" i="2"/>
  <c r="L1472" i="2"/>
  <c r="K1472" i="2"/>
  <c r="J1472" i="2"/>
  <c r="I1472" i="2"/>
  <c r="H1472" i="2"/>
  <c r="G1472" i="2"/>
  <c r="F1472" i="2"/>
  <c r="E1472" i="2"/>
  <c r="D1472" i="2"/>
  <c r="C1472" i="2"/>
  <c r="B1472" i="2"/>
  <c r="A1472" i="2"/>
  <c r="AE1471" i="2"/>
  <c r="AD1471" i="2"/>
  <c r="AC1471" i="2"/>
  <c r="AB1471" i="2"/>
  <c r="AA1471" i="2"/>
  <c r="Z1471" i="2"/>
  <c r="Y1471" i="2"/>
  <c r="X1471" i="2"/>
  <c r="W1471" i="2"/>
  <c r="V1471" i="2"/>
  <c r="U1471" i="2"/>
  <c r="T1471" i="2"/>
  <c r="S1471" i="2"/>
  <c r="R1471" i="2"/>
  <c r="Q1471" i="2"/>
  <c r="P1471" i="2"/>
  <c r="O1471" i="2"/>
  <c r="N1471" i="2"/>
  <c r="M1471" i="2"/>
  <c r="L1471" i="2"/>
  <c r="K1471" i="2"/>
  <c r="J1471" i="2"/>
  <c r="I1471" i="2"/>
  <c r="H1471" i="2"/>
  <c r="G1471" i="2"/>
  <c r="F1471" i="2"/>
  <c r="E1471" i="2"/>
  <c r="D1471" i="2"/>
  <c r="C1471" i="2"/>
  <c r="B1471" i="2"/>
  <c r="A1471" i="2"/>
  <c r="AE1470" i="2"/>
  <c r="AD1470" i="2"/>
  <c r="AC1470" i="2"/>
  <c r="AB1470" i="2"/>
  <c r="AA1470" i="2"/>
  <c r="Z1470" i="2"/>
  <c r="Y1470" i="2"/>
  <c r="X1470" i="2"/>
  <c r="W1470" i="2"/>
  <c r="V1470" i="2"/>
  <c r="U1470" i="2"/>
  <c r="T1470" i="2"/>
  <c r="S1470" i="2"/>
  <c r="R1470" i="2"/>
  <c r="Q1470" i="2"/>
  <c r="P1470" i="2"/>
  <c r="O1470" i="2"/>
  <c r="N1470" i="2"/>
  <c r="M1470" i="2"/>
  <c r="L1470" i="2"/>
  <c r="K1470" i="2"/>
  <c r="J1470" i="2"/>
  <c r="I1470" i="2"/>
  <c r="H1470" i="2"/>
  <c r="G1470" i="2"/>
  <c r="F1470" i="2"/>
  <c r="E1470" i="2"/>
  <c r="D1470" i="2"/>
  <c r="C1470" i="2"/>
  <c r="B1470" i="2"/>
  <c r="A1470" i="2"/>
  <c r="AE1469" i="2"/>
  <c r="AD1469" i="2"/>
  <c r="AC1469" i="2"/>
  <c r="AB1469" i="2"/>
  <c r="AA1469" i="2"/>
  <c r="Z1469" i="2"/>
  <c r="Y1469" i="2"/>
  <c r="X1469" i="2"/>
  <c r="W1469" i="2"/>
  <c r="V1469" i="2"/>
  <c r="U1469" i="2"/>
  <c r="T1469" i="2"/>
  <c r="S1469" i="2"/>
  <c r="R1469" i="2"/>
  <c r="Q1469" i="2"/>
  <c r="P1469" i="2"/>
  <c r="O1469" i="2"/>
  <c r="N1469" i="2"/>
  <c r="M1469" i="2"/>
  <c r="L1469" i="2"/>
  <c r="K1469" i="2"/>
  <c r="J1469" i="2"/>
  <c r="I1469" i="2"/>
  <c r="H1469" i="2"/>
  <c r="G1469" i="2"/>
  <c r="F1469" i="2"/>
  <c r="E1469" i="2"/>
  <c r="D1469" i="2"/>
  <c r="C1469" i="2"/>
  <c r="B1469" i="2"/>
  <c r="A1469" i="2"/>
  <c r="AE1468" i="2"/>
  <c r="AD1468" i="2"/>
  <c r="AC1468" i="2"/>
  <c r="AB1468" i="2"/>
  <c r="AA1468" i="2"/>
  <c r="Z1468" i="2"/>
  <c r="Y1468" i="2"/>
  <c r="X1468" i="2"/>
  <c r="W1468" i="2"/>
  <c r="V1468" i="2"/>
  <c r="U1468" i="2"/>
  <c r="T1468" i="2"/>
  <c r="S1468" i="2"/>
  <c r="R1468" i="2"/>
  <c r="Q1468" i="2"/>
  <c r="P1468" i="2"/>
  <c r="O1468" i="2"/>
  <c r="N1468" i="2"/>
  <c r="M1468" i="2"/>
  <c r="L1468" i="2"/>
  <c r="K1468" i="2"/>
  <c r="J1468" i="2"/>
  <c r="I1468" i="2"/>
  <c r="H1468" i="2"/>
  <c r="G1468" i="2"/>
  <c r="F1468" i="2"/>
  <c r="E1468" i="2"/>
  <c r="D1468" i="2"/>
  <c r="C1468" i="2"/>
  <c r="B1468" i="2"/>
  <c r="A1468" i="2"/>
  <c r="AE1467" i="2"/>
  <c r="AD1467" i="2"/>
  <c r="AC1467" i="2"/>
  <c r="AB1467" i="2"/>
  <c r="AA1467" i="2"/>
  <c r="Z1467" i="2"/>
  <c r="Y1467" i="2"/>
  <c r="X1467" i="2"/>
  <c r="W1467" i="2"/>
  <c r="V1467" i="2"/>
  <c r="U1467" i="2"/>
  <c r="T1467" i="2"/>
  <c r="S1467" i="2"/>
  <c r="R1467" i="2"/>
  <c r="Q1467" i="2"/>
  <c r="P1467" i="2"/>
  <c r="O1467" i="2"/>
  <c r="N1467" i="2"/>
  <c r="M1467" i="2"/>
  <c r="L1467" i="2"/>
  <c r="K1467" i="2"/>
  <c r="J1467" i="2"/>
  <c r="I1467" i="2"/>
  <c r="H1467" i="2"/>
  <c r="G1467" i="2"/>
  <c r="F1467" i="2"/>
  <c r="E1467" i="2"/>
  <c r="D1467" i="2"/>
  <c r="C1467" i="2"/>
  <c r="B1467" i="2"/>
  <c r="A1467" i="2"/>
  <c r="AE1466" i="2"/>
  <c r="AD1466" i="2"/>
  <c r="AC1466" i="2"/>
  <c r="AB1466" i="2"/>
  <c r="AA1466" i="2"/>
  <c r="Z1466" i="2"/>
  <c r="Y1466" i="2"/>
  <c r="X1466" i="2"/>
  <c r="W1466" i="2"/>
  <c r="V1466" i="2"/>
  <c r="U1466" i="2"/>
  <c r="T1466" i="2"/>
  <c r="S1466" i="2"/>
  <c r="R1466" i="2"/>
  <c r="Q1466" i="2"/>
  <c r="P1466" i="2"/>
  <c r="O1466" i="2"/>
  <c r="N1466" i="2"/>
  <c r="M1466" i="2"/>
  <c r="L1466" i="2"/>
  <c r="K1466" i="2"/>
  <c r="J1466" i="2"/>
  <c r="I1466" i="2"/>
  <c r="H1466" i="2"/>
  <c r="G1466" i="2"/>
  <c r="F1466" i="2"/>
  <c r="E1466" i="2"/>
  <c r="D1466" i="2"/>
  <c r="C1466" i="2"/>
  <c r="B1466" i="2"/>
  <c r="A1466" i="2"/>
  <c r="AE1465" i="2"/>
  <c r="AD1465" i="2"/>
  <c r="AC1465" i="2"/>
  <c r="AB1465" i="2"/>
  <c r="AA1465" i="2"/>
  <c r="Z1465" i="2"/>
  <c r="Y1465" i="2"/>
  <c r="X1465" i="2"/>
  <c r="W1465" i="2"/>
  <c r="V1465" i="2"/>
  <c r="U1465" i="2"/>
  <c r="T1465" i="2"/>
  <c r="S1465" i="2"/>
  <c r="R1465" i="2"/>
  <c r="Q1465" i="2"/>
  <c r="P1465" i="2"/>
  <c r="O1465" i="2"/>
  <c r="N1465" i="2"/>
  <c r="M1465" i="2"/>
  <c r="L1465" i="2"/>
  <c r="K1465" i="2"/>
  <c r="J1465" i="2"/>
  <c r="I1465" i="2"/>
  <c r="H1465" i="2"/>
  <c r="G1465" i="2"/>
  <c r="F1465" i="2"/>
  <c r="E1465" i="2"/>
  <c r="D1465" i="2"/>
  <c r="C1465" i="2"/>
  <c r="B1465" i="2"/>
  <c r="A1465" i="2"/>
  <c r="AE1464" i="2"/>
  <c r="AD1464" i="2"/>
  <c r="AC1464" i="2"/>
  <c r="AB1464" i="2"/>
  <c r="AA1464" i="2"/>
  <c r="Z1464" i="2"/>
  <c r="Y1464" i="2"/>
  <c r="X1464" i="2"/>
  <c r="W1464" i="2"/>
  <c r="V1464" i="2"/>
  <c r="U1464" i="2"/>
  <c r="T1464" i="2"/>
  <c r="S1464" i="2"/>
  <c r="R1464" i="2"/>
  <c r="Q1464" i="2"/>
  <c r="P1464" i="2"/>
  <c r="O1464" i="2"/>
  <c r="N1464" i="2"/>
  <c r="M1464" i="2"/>
  <c r="L1464" i="2"/>
  <c r="K1464" i="2"/>
  <c r="J1464" i="2"/>
  <c r="I1464" i="2"/>
  <c r="H1464" i="2"/>
  <c r="G1464" i="2"/>
  <c r="F1464" i="2"/>
  <c r="E1464" i="2"/>
  <c r="D1464" i="2"/>
  <c r="C1464" i="2"/>
  <c r="B1464" i="2"/>
  <c r="A1464" i="2"/>
  <c r="AE1463" i="2"/>
  <c r="AD1463" i="2"/>
  <c r="AC1463" i="2"/>
  <c r="AB1463" i="2"/>
  <c r="AA1463" i="2"/>
  <c r="Z1463" i="2"/>
  <c r="Y1463" i="2"/>
  <c r="X1463" i="2"/>
  <c r="W1463" i="2"/>
  <c r="V1463" i="2"/>
  <c r="U1463" i="2"/>
  <c r="T1463" i="2"/>
  <c r="S1463" i="2"/>
  <c r="R1463" i="2"/>
  <c r="Q1463" i="2"/>
  <c r="P1463" i="2"/>
  <c r="O1463" i="2"/>
  <c r="N1463" i="2"/>
  <c r="M1463" i="2"/>
  <c r="L1463" i="2"/>
  <c r="K1463" i="2"/>
  <c r="J1463" i="2"/>
  <c r="I1463" i="2"/>
  <c r="H1463" i="2"/>
  <c r="G1463" i="2"/>
  <c r="F1463" i="2"/>
  <c r="E1463" i="2"/>
  <c r="D1463" i="2"/>
  <c r="C1463" i="2"/>
  <c r="B1463" i="2"/>
  <c r="A1463" i="2"/>
  <c r="AE1462" i="2"/>
  <c r="AD1462" i="2"/>
  <c r="AC1462" i="2"/>
  <c r="AB1462" i="2"/>
  <c r="AA1462" i="2"/>
  <c r="Z1462" i="2"/>
  <c r="Y1462" i="2"/>
  <c r="X1462" i="2"/>
  <c r="W1462" i="2"/>
  <c r="V1462" i="2"/>
  <c r="U1462" i="2"/>
  <c r="T1462" i="2"/>
  <c r="S1462" i="2"/>
  <c r="R1462" i="2"/>
  <c r="Q1462" i="2"/>
  <c r="P1462" i="2"/>
  <c r="O1462" i="2"/>
  <c r="N1462" i="2"/>
  <c r="M1462" i="2"/>
  <c r="L1462" i="2"/>
  <c r="K1462" i="2"/>
  <c r="J1462" i="2"/>
  <c r="I1462" i="2"/>
  <c r="H1462" i="2"/>
  <c r="G1462" i="2"/>
  <c r="F1462" i="2"/>
  <c r="E1462" i="2"/>
  <c r="D1462" i="2"/>
  <c r="C1462" i="2"/>
  <c r="B1462" i="2"/>
  <c r="A1462" i="2"/>
  <c r="AE1461" i="2"/>
  <c r="AD1461" i="2"/>
  <c r="AC1461" i="2"/>
  <c r="AB1461" i="2"/>
  <c r="AA1461" i="2"/>
  <c r="Z1461" i="2"/>
  <c r="Y1461" i="2"/>
  <c r="X1461" i="2"/>
  <c r="W1461" i="2"/>
  <c r="V1461" i="2"/>
  <c r="U1461" i="2"/>
  <c r="T1461" i="2"/>
  <c r="S1461" i="2"/>
  <c r="R1461" i="2"/>
  <c r="Q1461" i="2"/>
  <c r="P1461" i="2"/>
  <c r="O1461" i="2"/>
  <c r="N1461" i="2"/>
  <c r="M1461" i="2"/>
  <c r="L1461" i="2"/>
  <c r="K1461" i="2"/>
  <c r="J1461" i="2"/>
  <c r="I1461" i="2"/>
  <c r="H1461" i="2"/>
  <c r="G1461" i="2"/>
  <c r="F1461" i="2"/>
  <c r="E1461" i="2"/>
  <c r="D1461" i="2"/>
  <c r="C1461" i="2"/>
  <c r="B1461" i="2"/>
  <c r="A1461" i="2"/>
  <c r="AE1460" i="2"/>
  <c r="AD1460" i="2"/>
  <c r="AC1460" i="2"/>
  <c r="AB1460" i="2"/>
  <c r="AA1460" i="2"/>
  <c r="Z1460" i="2"/>
  <c r="Y1460" i="2"/>
  <c r="X1460" i="2"/>
  <c r="W1460" i="2"/>
  <c r="V1460" i="2"/>
  <c r="U1460" i="2"/>
  <c r="T1460" i="2"/>
  <c r="S1460" i="2"/>
  <c r="R1460" i="2"/>
  <c r="Q1460" i="2"/>
  <c r="P1460" i="2"/>
  <c r="O1460" i="2"/>
  <c r="N1460" i="2"/>
  <c r="M1460" i="2"/>
  <c r="L1460" i="2"/>
  <c r="K1460" i="2"/>
  <c r="J1460" i="2"/>
  <c r="I1460" i="2"/>
  <c r="H1460" i="2"/>
  <c r="G1460" i="2"/>
  <c r="F1460" i="2"/>
  <c r="E1460" i="2"/>
  <c r="D1460" i="2"/>
  <c r="C1460" i="2"/>
  <c r="B1460" i="2"/>
  <c r="A1460" i="2"/>
  <c r="AE1459" i="2"/>
  <c r="AD1459" i="2"/>
  <c r="AC1459" i="2"/>
  <c r="AB1459" i="2"/>
  <c r="AA1459" i="2"/>
  <c r="Z1459" i="2"/>
  <c r="Y1459" i="2"/>
  <c r="X1459" i="2"/>
  <c r="W1459" i="2"/>
  <c r="V1459" i="2"/>
  <c r="U1459" i="2"/>
  <c r="T1459" i="2"/>
  <c r="S1459" i="2"/>
  <c r="R1459" i="2"/>
  <c r="Q1459" i="2"/>
  <c r="P1459" i="2"/>
  <c r="O1459" i="2"/>
  <c r="N1459" i="2"/>
  <c r="M1459" i="2"/>
  <c r="L1459" i="2"/>
  <c r="K1459" i="2"/>
  <c r="J1459" i="2"/>
  <c r="I1459" i="2"/>
  <c r="H1459" i="2"/>
  <c r="G1459" i="2"/>
  <c r="F1459" i="2"/>
  <c r="E1459" i="2"/>
  <c r="D1459" i="2"/>
  <c r="C1459" i="2"/>
  <c r="B1459" i="2"/>
  <c r="A1459" i="2"/>
  <c r="AE1458" i="2"/>
  <c r="AD1458" i="2"/>
  <c r="AC1458" i="2"/>
  <c r="AB1458" i="2"/>
  <c r="AA1458" i="2"/>
  <c r="Z1458" i="2"/>
  <c r="Y1458" i="2"/>
  <c r="X1458" i="2"/>
  <c r="W1458" i="2"/>
  <c r="V1458" i="2"/>
  <c r="U1458" i="2"/>
  <c r="T1458" i="2"/>
  <c r="S1458" i="2"/>
  <c r="R1458" i="2"/>
  <c r="Q1458" i="2"/>
  <c r="P1458" i="2"/>
  <c r="O1458" i="2"/>
  <c r="N1458" i="2"/>
  <c r="M1458" i="2"/>
  <c r="L1458" i="2"/>
  <c r="K1458" i="2"/>
  <c r="J1458" i="2"/>
  <c r="I1458" i="2"/>
  <c r="H1458" i="2"/>
  <c r="G1458" i="2"/>
  <c r="F1458" i="2"/>
  <c r="E1458" i="2"/>
  <c r="D1458" i="2"/>
  <c r="C1458" i="2"/>
  <c r="B1458" i="2"/>
  <c r="A1458" i="2"/>
  <c r="AE1457" i="2"/>
  <c r="AD1457" i="2"/>
  <c r="AC1457" i="2"/>
  <c r="AB1457" i="2"/>
  <c r="AA1457" i="2"/>
  <c r="Z1457" i="2"/>
  <c r="Y1457" i="2"/>
  <c r="X1457" i="2"/>
  <c r="W1457" i="2"/>
  <c r="V1457" i="2"/>
  <c r="U1457" i="2"/>
  <c r="T1457" i="2"/>
  <c r="S1457" i="2"/>
  <c r="R1457" i="2"/>
  <c r="Q1457" i="2"/>
  <c r="P1457" i="2"/>
  <c r="O1457" i="2"/>
  <c r="N1457" i="2"/>
  <c r="M1457" i="2"/>
  <c r="L1457" i="2"/>
  <c r="K1457" i="2"/>
  <c r="J1457" i="2"/>
  <c r="I1457" i="2"/>
  <c r="H1457" i="2"/>
  <c r="G1457" i="2"/>
  <c r="F1457" i="2"/>
  <c r="E1457" i="2"/>
  <c r="D1457" i="2"/>
  <c r="C1457" i="2"/>
  <c r="B1457" i="2"/>
  <c r="A1457" i="2"/>
  <c r="AE1456" i="2"/>
  <c r="AD1456" i="2"/>
  <c r="AC1456" i="2"/>
  <c r="AB1456" i="2"/>
  <c r="AA1456" i="2"/>
  <c r="Z1456" i="2"/>
  <c r="Y1456" i="2"/>
  <c r="X1456" i="2"/>
  <c r="W1456" i="2"/>
  <c r="V1456" i="2"/>
  <c r="U1456" i="2"/>
  <c r="T1456" i="2"/>
  <c r="S1456" i="2"/>
  <c r="R1456" i="2"/>
  <c r="Q1456" i="2"/>
  <c r="P1456" i="2"/>
  <c r="O1456" i="2"/>
  <c r="N1456" i="2"/>
  <c r="M1456" i="2"/>
  <c r="L1456" i="2"/>
  <c r="K1456" i="2"/>
  <c r="J1456" i="2"/>
  <c r="I1456" i="2"/>
  <c r="H1456" i="2"/>
  <c r="G1456" i="2"/>
  <c r="F1456" i="2"/>
  <c r="E1456" i="2"/>
  <c r="D1456" i="2"/>
  <c r="C1456" i="2"/>
  <c r="B1456" i="2"/>
  <c r="A1456" i="2"/>
  <c r="AE1455" i="2"/>
  <c r="AD1455" i="2"/>
  <c r="AC1455" i="2"/>
  <c r="AB1455" i="2"/>
  <c r="AA1455" i="2"/>
  <c r="Z1455" i="2"/>
  <c r="Y1455" i="2"/>
  <c r="X1455" i="2"/>
  <c r="W1455" i="2"/>
  <c r="V1455" i="2"/>
  <c r="U1455" i="2"/>
  <c r="T1455" i="2"/>
  <c r="S1455" i="2"/>
  <c r="R1455" i="2"/>
  <c r="Q1455" i="2"/>
  <c r="P1455" i="2"/>
  <c r="O1455" i="2"/>
  <c r="N1455" i="2"/>
  <c r="M1455" i="2"/>
  <c r="L1455" i="2"/>
  <c r="K1455" i="2"/>
  <c r="J1455" i="2"/>
  <c r="I1455" i="2"/>
  <c r="H1455" i="2"/>
  <c r="G1455" i="2"/>
  <c r="F1455" i="2"/>
  <c r="E1455" i="2"/>
  <c r="D1455" i="2"/>
  <c r="C1455" i="2"/>
  <c r="B1455" i="2"/>
  <c r="A1455" i="2"/>
  <c r="AE1454" i="2"/>
  <c r="AD1454" i="2"/>
  <c r="AC1454" i="2"/>
  <c r="AB1454" i="2"/>
  <c r="AA1454" i="2"/>
  <c r="Z1454" i="2"/>
  <c r="Y1454" i="2"/>
  <c r="X1454" i="2"/>
  <c r="W1454" i="2"/>
  <c r="V1454" i="2"/>
  <c r="U1454" i="2"/>
  <c r="T1454" i="2"/>
  <c r="S1454" i="2"/>
  <c r="R1454" i="2"/>
  <c r="Q1454" i="2"/>
  <c r="P1454" i="2"/>
  <c r="O1454" i="2"/>
  <c r="N1454" i="2"/>
  <c r="M1454" i="2"/>
  <c r="L1454" i="2"/>
  <c r="K1454" i="2"/>
  <c r="J1454" i="2"/>
  <c r="I1454" i="2"/>
  <c r="H1454" i="2"/>
  <c r="G1454" i="2"/>
  <c r="F1454" i="2"/>
  <c r="E1454" i="2"/>
  <c r="D1454" i="2"/>
  <c r="C1454" i="2"/>
  <c r="B1454" i="2"/>
  <c r="A1454" i="2"/>
  <c r="AE1453" i="2"/>
  <c r="AD1453" i="2"/>
  <c r="AC1453" i="2"/>
  <c r="AB1453" i="2"/>
  <c r="AA1453" i="2"/>
  <c r="Z1453" i="2"/>
  <c r="Y1453" i="2"/>
  <c r="X1453" i="2"/>
  <c r="W1453" i="2"/>
  <c r="V1453" i="2"/>
  <c r="U1453" i="2"/>
  <c r="T1453" i="2"/>
  <c r="S1453" i="2"/>
  <c r="R1453" i="2"/>
  <c r="Q1453" i="2"/>
  <c r="P1453" i="2"/>
  <c r="O1453" i="2"/>
  <c r="N1453" i="2"/>
  <c r="M1453" i="2"/>
  <c r="L1453" i="2"/>
  <c r="K1453" i="2"/>
  <c r="J1453" i="2"/>
  <c r="I1453" i="2"/>
  <c r="H1453" i="2"/>
  <c r="G1453" i="2"/>
  <c r="F1453" i="2"/>
  <c r="E1453" i="2"/>
  <c r="D1453" i="2"/>
  <c r="C1453" i="2"/>
  <c r="B1453" i="2"/>
  <c r="A1453" i="2"/>
  <c r="AE1452" i="2"/>
  <c r="AD1452" i="2"/>
  <c r="AC1452" i="2"/>
  <c r="AB1452" i="2"/>
  <c r="AA1452" i="2"/>
  <c r="Z1452" i="2"/>
  <c r="Y1452" i="2"/>
  <c r="X1452" i="2"/>
  <c r="W1452" i="2"/>
  <c r="V1452" i="2"/>
  <c r="U1452" i="2"/>
  <c r="T1452" i="2"/>
  <c r="S1452" i="2"/>
  <c r="R1452" i="2"/>
  <c r="Q1452" i="2"/>
  <c r="P1452" i="2"/>
  <c r="O1452" i="2"/>
  <c r="N1452" i="2"/>
  <c r="M1452" i="2"/>
  <c r="L1452" i="2"/>
  <c r="K1452" i="2"/>
  <c r="J1452" i="2"/>
  <c r="I1452" i="2"/>
  <c r="H1452" i="2"/>
  <c r="G1452" i="2"/>
  <c r="F1452" i="2"/>
  <c r="E1452" i="2"/>
  <c r="D1452" i="2"/>
  <c r="C1452" i="2"/>
  <c r="B1452" i="2"/>
  <c r="A1452" i="2"/>
  <c r="AE1451" i="2"/>
  <c r="AD1451" i="2"/>
  <c r="AC1451" i="2"/>
  <c r="AB1451" i="2"/>
  <c r="AA1451" i="2"/>
  <c r="Z1451" i="2"/>
  <c r="Y1451" i="2"/>
  <c r="X1451" i="2"/>
  <c r="W1451" i="2"/>
  <c r="V1451" i="2"/>
  <c r="U1451" i="2"/>
  <c r="T1451" i="2"/>
  <c r="S1451" i="2"/>
  <c r="R1451" i="2"/>
  <c r="Q1451" i="2"/>
  <c r="P1451" i="2"/>
  <c r="O1451" i="2"/>
  <c r="N1451" i="2"/>
  <c r="M1451" i="2"/>
  <c r="L1451" i="2"/>
  <c r="K1451" i="2"/>
  <c r="J1451" i="2"/>
  <c r="I1451" i="2"/>
  <c r="H1451" i="2"/>
  <c r="G1451" i="2"/>
  <c r="F1451" i="2"/>
  <c r="E1451" i="2"/>
  <c r="D1451" i="2"/>
  <c r="C1451" i="2"/>
  <c r="B1451" i="2"/>
  <c r="A1451" i="2"/>
  <c r="AE1450" i="2"/>
  <c r="AD1450" i="2"/>
  <c r="AC1450" i="2"/>
  <c r="AB1450" i="2"/>
  <c r="AA1450" i="2"/>
  <c r="Z1450" i="2"/>
  <c r="Y1450" i="2"/>
  <c r="X1450" i="2"/>
  <c r="W1450" i="2"/>
  <c r="V1450" i="2"/>
  <c r="U1450" i="2"/>
  <c r="T1450" i="2"/>
  <c r="S1450" i="2"/>
  <c r="R1450" i="2"/>
  <c r="Q1450" i="2"/>
  <c r="P1450" i="2"/>
  <c r="O1450" i="2"/>
  <c r="N1450" i="2"/>
  <c r="M1450" i="2"/>
  <c r="L1450" i="2"/>
  <c r="K1450" i="2"/>
  <c r="J1450" i="2"/>
  <c r="I1450" i="2"/>
  <c r="H1450" i="2"/>
  <c r="G1450" i="2"/>
  <c r="F1450" i="2"/>
  <c r="E1450" i="2"/>
  <c r="D1450" i="2"/>
  <c r="C1450" i="2"/>
  <c r="B1450" i="2"/>
  <c r="A1450" i="2"/>
  <c r="AE1449" i="2"/>
  <c r="AD1449" i="2"/>
  <c r="AC1449" i="2"/>
  <c r="AB1449" i="2"/>
  <c r="AA1449" i="2"/>
  <c r="Z1449" i="2"/>
  <c r="Y1449" i="2"/>
  <c r="X1449" i="2"/>
  <c r="W1449" i="2"/>
  <c r="V1449" i="2"/>
  <c r="U1449" i="2"/>
  <c r="T1449" i="2"/>
  <c r="S1449" i="2"/>
  <c r="R1449" i="2"/>
  <c r="Q1449" i="2"/>
  <c r="P1449" i="2"/>
  <c r="O1449" i="2"/>
  <c r="N1449" i="2"/>
  <c r="M1449" i="2"/>
  <c r="L1449" i="2"/>
  <c r="K1449" i="2"/>
  <c r="J1449" i="2"/>
  <c r="I1449" i="2"/>
  <c r="H1449" i="2"/>
  <c r="G1449" i="2"/>
  <c r="F1449" i="2"/>
  <c r="E1449" i="2"/>
  <c r="D1449" i="2"/>
  <c r="C1449" i="2"/>
  <c r="B1449" i="2"/>
  <c r="A1449" i="2"/>
  <c r="AE1448" i="2"/>
  <c r="AD1448" i="2"/>
  <c r="AC1448" i="2"/>
  <c r="AB1448" i="2"/>
  <c r="AA1448" i="2"/>
  <c r="Z1448" i="2"/>
  <c r="Y1448" i="2"/>
  <c r="X1448" i="2"/>
  <c r="W1448" i="2"/>
  <c r="V1448" i="2"/>
  <c r="U1448" i="2"/>
  <c r="T1448" i="2"/>
  <c r="S1448" i="2"/>
  <c r="R1448" i="2"/>
  <c r="Q1448" i="2"/>
  <c r="P1448" i="2"/>
  <c r="O1448" i="2"/>
  <c r="N1448" i="2"/>
  <c r="M1448" i="2"/>
  <c r="L1448" i="2"/>
  <c r="K1448" i="2"/>
  <c r="J1448" i="2"/>
  <c r="I1448" i="2"/>
  <c r="H1448" i="2"/>
  <c r="G1448" i="2"/>
  <c r="F1448" i="2"/>
  <c r="E1448" i="2"/>
  <c r="D1448" i="2"/>
  <c r="C1448" i="2"/>
  <c r="B1448" i="2"/>
  <c r="A1448" i="2"/>
  <c r="AE1447" i="2"/>
  <c r="AD1447" i="2"/>
  <c r="AC1447" i="2"/>
  <c r="AB1447" i="2"/>
  <c r="AA1447" i="2"/>
  <c r="Z1447" i="2"/>
  <c r="Y1447" i="2"/>
  <c r="X1447" i="2"/>
  <c r="W1447" i="2"/>
  <c r="V1447" i="2"/>
  <c r="U1447" i="2"/>
  <c r="T1447" i="2"/>
  <c r="S1447" i="2"/>
  <c r="R1447" i="2"/>
  <c r="Q1447" i="2"/>
  <c r="P1447" i="2"/>
  <c r="O1447" i="2"/>
  <c r="N1447" i="2"/>
  <c r="M1447" i="2"/>
  <c r="L1447" i="2"/>
  <c r="K1447" i="2"/>
  <c r="J1447" i="2"/>
  <c r="I1447" i="2"/>
  <c r="H1447" i="2"/>
  <c r="G1447" i="2"/>
  <c r="F1447" i="2"/>
  <c r="E1447" i="2"/>
  <c r="D1447" i="2"/>
  <c r="C1447" i="2"/>
  <c r="B1447" i="2"/>
  <c r="A1447" i="2"/>
  <c r="AE1446" i="2"/>
  <c r="AD1446" i="2"/>
  <c r="AC1446" i="2"/>
  <c r="AB1446" i="2"/>
  <c r="AA1446" i="2"/>
  <c r="Z1446" i="2"/>
  <c r="Y1446" i="2"/>
  <c r="X1446" i="2"/>
  <c r="W1446" i="2"/>
  <c r="V1446" i="2"/>
  <c r="U1446" i="2"/>
  <c r="T1446" i="2"/>
  <c r="S1446" i="2"/>
  <c r="R1446" i="2"/>
  <c r="Q1446" i="2"/>
  <c r="P1446" i="2"/>
  <c r="O1446" i="2"/>
  <c r="N1446" i="2"/>
  <c r="M1446" i="2"/>
  <c r="L1446" i="2"/>
  <c r="K1446" i="2"/>
  <c r="J1446" i="2"/>
  <c r="I1446" i="2"/>
  <c r="H1446" i="2"/>
  <c r="G1446" i="2"/>
  <c r="F1446" i="2"/>
  <c r="E1446" i="2"/>
  <c r="D1446" i="2"/>
  <c r="C1446" i="2"/>
  <c r="B1446" i="2"/>
  <c r="A1446" i="2"/>
  <c r="AE1445" i="2"/>
  <c r="AD1445" i="2"/>
  <c r="AC1445" i="2"/>
  <c r="AB1445" i="2"/>
  <c r="AA1445" i="2"/>
  <c r="Z1445" i="2"/>
  <c r="Y1445" i="2"/>
  <c r="X1445" i="2"/>
  <c r="W1445" i="2"/>
  <c r="V1445" i="2"/>
  <c r="U1445" i="2"/>
  <c r="T1445" i="2"/>
  <c r="S1445" i="2"/>
  <c r="R1445" i="2"/>
  <c r="Q1445" i="2"/>
  <c r="P1445" i="2"/>
  <c r="O1445" i="2"/>
  <c r="N1445" i="2"/>
  <c r="M1445" i="2"/>
  <c r="L1445" i="2"/>
  <c r="K1445" i="2"/>
  <c r="J1445" i="2"/>
  <c r="I1445" i="2"/>
  <c r="H1445" i="2"/>
  <c r="G1445" i="2"/>
  <c r="F1445" i="2"/>
  <c r="E1445" i="2"/>
  <c r="D1445" i="2"/>
  <c r="C1445" i="2"/>
  <c r="B1445" i="2"/>
  <c r="A1445" i="2"/>
  <c r="AE1444" i="2"/>
  <c r="AD1444" i="2"/>
  <c r="AC1444" i="2"/>
  <c r="AB1444" i="2"/>
  <c r="AA1444" i="2"/>
  <c r="Z1444" i="2"/>
  <c r="Y1444" i="2"/>
  <c r="X1444" i="2"/>
  <c r="W1444" i="2"/>
  <c r="V1444" i="2"/>
  <c r="U1444" i="2"/>
  <c r="T1444" i="2"/>
  <c r="S1444" i="2"/>
  <c r="R1444" i="2"/>
  <c r="Q1444" i="2"/>
  <c r="P1444" i="2"/>
  <c r="O1444" i="2"/>
  <c r="N1444" i="2"/>
  <c r="M1444" i="2"/>
  <c r="L1444" i="2"/>
  <c r="K1444" i="2"/>
  <c r="J1444" i="2"/>
  <c r="I1444" i="2"/>
  <c r="H1444" i="2"/>
  <c r="G1444" i="2"/>
  <c r="F1444" i="2"/>
  <c r="E1444" i="2"/>
  <c r="D1444" i="2"/>
  <c r="C1444" i="2"/>
  <c r="B1444" i="2"/>
  <c r="A1444" i="2"/>
  <c r="AE1443" i="2"/>
  <c r="AD1443" i="2"/>
  <c r="AC1443" i="2"/>
  <c r="AB1443" i="2"/>
  <c r="AA1443" i="2"/>
  <c r="Z1443" i="2"/>
  <c r="Y1443" i="2"/>
  <c r="X1443" i="2"/>
  <c r="W1443" i="2"/>
  <c r="V1443" i="2"/>
  <c r="U1443" i="2"/>
  <c r="T1443" i="2"/>
  <c r="S1443" i="2"/>
  <c r="R1443" i="2"/>
  <c r="Q1443" i="2"/>
  <c r="P1443" i="2"/>
  <c r="O1443" i="2"/>
  <c r="N1443" i="2"/>
  <c r="M1443" i="2"/>
  <c r="L1443" i="2"/>
  <c r="K1443" i="2"/>
  <c r="J1443" i="2"/>
  <c r="I1443" i="2"/>
  <c r="H1443" i="2"/>
  <c r="G1443" i="2"/>
  <c r="F1443" i="2"/>
  <c r="E1443" i="2"/>
  <c r="D1443" i="2"/>
  <c r="C1443" i="2"/>
  <c r="B1443" i="2"/>
  <c r="A1443" i="2"/>
  <c r="AE1442" i="2"/>
  <c r="AD1442" i="2"/>
  <c r="AC1442" i="2"/>
  <c r="AB1442" i="2"/>
  <c r="AA1442" i="2"/>
  <c r="Z1442" i="2"/>
  <c r="Y1442" i="2"/>
  <c r="X1442" i="2"/>
  <c r="W1442" i="2"/>
  <c r="V1442" i="2"/>
  <c r="U1442" i="2"/>
  <c r="T1442" i="2"/>
  <c r="S1442" i="2"/>
  <c r="R1442" i="2"/>
  <c r="Q1442" i="2"/>
  <c r="P1442" i="2"/>
  <c r="O1442" i="2"/>
  <c r="N1442" i="2"/>
  <c r="M1442" i="2"/>
  <c r="L1442" i="2"/>
  <c r="K1442" i="2"/>
  <c r="J1442" i="2"/>
  <c r="I1442" i="2"/>
  <c r="H1442" i="2"/>
  <c r="G1442" i="2"/>
  <c r="F1442" i="2"/>
  <c r="E1442" i="2"/>
  <c r="D1442" i="2"/>
  <c r="C1442" i="2"/>
  <c r="B1442" i="2"/>
  <c r="A1442" i="2"/>
  <c r="AE1441" i="2"/>
  <c r="AD1441" i="2"/>
  <c r="AC1441" i="2"/>
  <c r="AB1441" i="2"/>
  <c r="AA1441" i="2"/>
  <c r="Z1441" i="2"/>
  <c r="Y1441" i="2"/>
  <c r="X1441" i="2"/>
  <c r="W1441" i="2"/>
  <c r="V1441" i="2"/>
  <c r="U1441" i="2"/>
  <c r="T1441" i="2"/>
  <c r="S1441" i="2"/>
  <c r="R1441" i="2"/>
  <c r="Q1441" i="2"/>
  <c r="P1441" i="2"/>
  <c r="O1441" i="2"/>
  <c r="N1441" i="2"/>
  <c r="M1441" i="2"/>
  <c r="L1441" i="2"/>
  <c r="K1441" i="2"/>
  <c r="J1441" i="2"/>
  <c r="I1441" i="2"/>
  <c r="H1441" i="2"/>
  <c r="G1441" i="2"/>
  <c r="F1441" i="2"/>
  <c r="E1441" i="2"/>
  <c r="D1441" i="2"/>
  <c r="C1441" i="2"/>
  <c r="B1441" i="2"/>
  <c r="A1441" i="2"/>
  <c r="AE1440" i="2"/>
  <c r="AD1440" i="2"/>
  <c r="AC1440" i="2"/>
  <c r="AB1440" i="2"/>
  <c r="AA1440" i="2"/>
  <c r="Z1440" i="2"/>
  <c r="Y1440" i="2"/>
  <c r="X1440" i="2"/>
  <c r="W1440" i="2"/>
  <c r="V1440" i="2"/>
  <c r="U1440" i="2"/>
  <c r="T1440" i="2"/>
  <c r="S1440" i="2"/>
  <c r="R1440" i="2"/>
  <c r="Q1440" i="2"/>
  <c r="P1440" i="2"/>
  <c r="O1440" i="2"/>
  <c r="N1440" i="2"/>
  <c r="M1440" i="2"/>
  <c r="L1440" i="2"/>
  <c r="K1440" i="2"/>
  <c r="J1440" i="2"/>
  <c r="I1440" i="2"/>
  <c r="H1440" i="2"/>
  <c r="G1440" i="2"/>
  <c r="F1440" i="2"/>
  <c r="E1440" i="2"/>
  <c r="D1440" i="2"/>
  <c r="C1440" i="2"/>
  <c r="B1440" i="2"/>
  <c r="A1440" i="2"/>
  <c r="AE1439" i="2"/>
  <c r="AD1439" i="2"/>
  <c r="AC1439" i="2"/>
  <c r="AB1439" i="2"/>
  <c r="AA1439" i="2"/>
  <c r="Z1439" i="2"/>
  <c r="Y1439" i="2"/>
  <c r="X1439" i="2"/>
  <c r="W1439" i="2"/>
  <c r="V1439" i="2"/>
  <c r="U1439" i="2"/>
  <c r="T1439" i="2"/>
  <c r="S1439" i="2"/>
  <c r="R1439" i="2"/>
  <c r="Q1439" i="2"/>
  <c r="P1439" i="2"/>
  <c r="O1439" i="2"/>
  <c r="N1439" i="2"/>
  <c r="M1439" i="2"/>
  <c r="L1439" i="2"/>
  <c r="K1439" i="2"/>
  <c r="J1439" i="2"/>
  <c r="I1439" i="2"/>
  <c r="H1439" i="2"/>
  <c r="G1439" i="2"/>
  <c r="F1439" i="2"/>
  <c r="E1439" i="2"/>
  <c r="D1439" i="2"/>
  <c r="C1439" i="2"/>
  <c r="B1439" i="2"/>
  <c r="A1439" i="2"/>
  <c r="AE1438" i="2"/>
  <c r="AD1438" i="2"/>
  <c r="AC1438" i="2"/>
  <c r="AB1438" i="2"/>
  <c r="AA1438" i="2"/>
  <c r="Z1438" i="2"/>
  <c r="Y1438" i="2"/>
  <c r="X1438" i="2"/>
  <c r="W1438" i="2"/>
  <c r="V1438" i="2"/>
  <c r="U1438" i="2"/>
  <c r="T1438" i="2"/>
  <c r="S1438" i="2"/>
  <c r="R1438" i="2"/>
  <c r="Q1438" i="2"/>
  <c r="P1438" i="2"/>
  <c r="O1438" i="2"/>
  <c r="N1438" i="2"/>
  <c r="M1438" i="2"/>
  <c r="L1438" i="2"/>
  <c r="K1438" i="2"/>
  <c r="J1438" i="2"/>
  <c r="I1438" i="2"/>
  <c r="H1438" i="2"/>
  <c r="G1438" i="2"/>
  <c r="F1438" i="2"/>
  <c r="E1438" i="2"/>
  <c r="D1438" i="2"/>
  <c r="C1438" i="2"/>
  <c r="B1438" i="2"/>
  <c r="A1438" i="2"/>
  <c r="AE1437" i="2"/>
  <c r="AD1437" i="2"/>
  <c r="AC1437" i="2"/>
  <c r="AB1437" i="2"/>
  <c r="AA1437" i="2"/>
  <c r="Z1437" i="2"/>
  <c r="Y1437" i="2"/>
  <c r="X1437" i="2"/>
  <c r="W1437" i="2"/>
  <c r="V1437" i="2"/>
  <c r="U1437" i="2"/>
  <c r="T1437" i="2"/>
  <c r="S1437" i="2"/>
  <c r="R1437" i="2"/>
  <c r="Q1437" i="2"/>
  <c r="P1437" i="2"/>
  <c r="O1437" i="2"/>
  <c r="N1437" i="2"/>
  <c r="M1437" i="2"/>
  <c r="L1437" i="2"/>
  <c r="K1437" i="2"/>
  <c r="J1437" i="2"/>
  <c r="I1437" i="2"/>
  <c r="H1437" i="2"/>
  <c r="G1437" i="2"/>
  <c r="F1437" i="2"/>
  <c r="E1437" i="2"/>
  <c r="D1437" i="2"/>
  <c r="C1437" i="2"/>
  <c r="B1437" i="2"/>
  <c r="A1437" i="2"/>
  <c r="AE1436" i="2"/>
  <c r="AD1436" i="2"/>
  <c r="AC1436" i="2"/>
  <c r="AB1436" i="2"/>
  <c r="AA1436" i="2"/>
  <c r="Z1436" i="2"/>
  <c r="Y1436" i="2"/>
  <c r="X1436" i="2"/>
  <c r="W1436" i="2"/>
  <c r="V1436" i="2"/>
  <c r="U1436" i="2"/>
  <c r="T1436" i="2"/>
  <c r="S1436" i="2"/>
  <c r="R1436" i="2"/>
  <c r="Q1436" i="2"/>
  <c r="P1436" i="2"/>
  <c r="O1436" i="2"/>
  <c r="N1436" i="2"/>
  <c r="M1436" i="2"/>
  <c r="L1436" i="2"/>
  <c r="K1436" i="2"/>
  <c r="J1436" i="2"/>
  <c r="I1436" i="2"/>
  <c r="H1436" i="2"/>
  <c r="G1436" i="2"/>
  <c r="F1436" i="2"/>
  <c r="E1436" i="2"/>
  <c r="D1436" i="2"/>
  <c r="C1436" i="2"/>
  <c r="B1436" i="2"/>
  <c r="A1436" i="2"/>
  <c r="AE1435" i="2"/>
  <c r="AD1435" i="2"/>
  <c r="AC1435" i="2"/>
  <c r="AB1435" i="2"/>
  <c r="AA1435" i="2"/>
  <c r="Z1435" i="2"/>
  <c r="Y1435" i="2"/>
  <c r="X1435" i="2"/>
  <c r="W1435" i="2"/>
  <c r="V1435" i="2"/>
  <c r="U1435" i="2"/>
  <c r="T1435" i="2"/>
  <c r="S1435" i="2"/>
  <c r="R1435" i="2"/>
  <c r="Q1435" i="2"/>
  <c r="P1435" i="2"/>
  <c r="O1435" i="2"/>
  <c r="N1435" i="2"/>
  <c r="M1435" i="2"/>
  <c r="L1435" i="2"/>
  <c r="K1435" i="2"/>
  <c r="J1435" i="2"/>
  <c r="I1435" i="2"/>
  <c r="H1435" i="2"/>
  <c r="G1435" i="2"/>
  <c r="F1435" i="2"/>
  <c r="E1435" i="2"/>
  <c r="D1435" i="2"/>
  <c r="C1435" i="2"/>
  <c r="B1435" i="2"/>
  <c r="A1435" i="2"/>
  <c r="AE1434" i="2"/>
  <c r="AD1434" i="2"/>
  <c r="AC1434" i="2"/>
  <c r="AB1434" i="2"/>
  <c r="AA1434" i="2"/>
  <c r="Z1434" i="2"/>
  <c r="Y1434" i="2"/>
  <c r="X1434" i="2"/>
  <c r="W1434" i="2"/>
  <c r="V1434" i="2"/>
  <c r="U1434" i="2"/>
  <c r="T1434" i="2"/>
  <c r="S1434" i="2"/>
  <c r="R1434" i="2"/>
  <c r="Q1434" i="2"/>
  <c r="P1434" i="2"/>
  <c r="O1434" i="2"/>
  <c r="N1434" i="2"/>
  <c r="M1434" i="2"/>
  <c r="L1434" i="2"/>
  <c r="K1434" i="2"/>
  <c r="J1434" i="2"/>
  <c r="I1434" i="2"/>
  <c r="H1434" i="2"/>
  <c r="G1434" i="2"/>
  <c r="F1434" i="2"/>
  <c r="E1434" i="2"/>
  <c r="D1434" i="2"/>
  <c r="C1434" i="2"/>
  <c r="B1434" i="2"/>
  <c r="A1434" i="2"/>
  <c r="AE1433" i="2"/>
  <c r="AD1433" i="2"/>
  <c r="AC1433" i="2"/>
  <c r="AB1433" i="2"/>
  <c r="AA1433" i="2"/>
  <c r="Z1433" i="2"/>
  <c r="Y1433" i="2"/>
  <c r="X1433" i="2"/>
  <c r="W1433" i="2"/>
  <c r="V1433" i="2"/>
  <c r="U1433" i="2"/>
  <c r="T1433" i="2"/>
  <c r="S1433" i="2"/>
  <c r="R1433" i="2"/>
  <c r="Q1433" i="2"/>
  <c r="P1433" i="2"/>
  <c r="O1433" i="2"/>
  <c r="N1433" i="2"/>
  <c r="M1433" i="2"/>
  <c r="L1433" i="2"/>
  <c r="K1433" i="2"/>
  <c r="J1433" i="2"/>
  <c r="I1433" i="2"/>
  <c r="H1433" i="2"/>
  <c r="G1433" i="2"/>
  <c r="F1433" i="2"/>
  <c r="E1433" i="2"/>
  <c r="D1433" i="2"/>
  <c r="C1433" i="2"/>
  <c r="B1433" i="2"/>
  <c r="A1433" i="2"/>
  <c r="AE1432" i="2"/>
  <c r="AD1432" i="2"/>
  <c r="AC1432" i="2"/>
  <c r="AB1432" i="2"/>
  <c r="AA1432" i="2"/>
  <c r="Z1432" i="2"/>
  <c r="Y1432" i="2"/>
  <c r="X1432" i="2"/>
  <c r="W1432" i="2"/>
  <c r="V1432" i="2"/>
  <c r="U1432" i="2"/>
  <c r="T1432" i="2"/>
  <c r="S1432" i="2"/>
  <c r="R1432" i="2"/>
  <c r="Q1432" i="2"/>
  <c r="P1432" i="2"/>
  <c r="O1432" i="2"/>
  <c r="N1432" i="2"/>
  <c r="M1432" i="2"/>
  <c r="L1432" i="2"/>
  <c r="K1432" i="2"/>
  <c r="J1432" i="2"/>
  <c r="I1432" i="2"/>
  <c r="H1432" i="2"/>
  <c r="G1432" i="2"/>
  <c r="F1432" i="2"/>
  <c r="E1432" i="2"/>
  <c r="D1432" i="2"/>
  <c r="C1432" i="2"/>
  <c r="B1432" i="2"/>
  <c r="A1432" i="2"/>
  <c r="AE1431" i="2"/>
  <c r="AD1431" i="2"/>
  <c r="AC1431" i="2"/>
  <c r="AB1431" i="2"/>
  <c r="AA1431" i="2"/>
  <c r="Z1431" i="2"/>
  <c r="Y1431" i="2"/>
  <c r="X1431" i="2"/>
  <c r="W1431" i="2"/>
  <c r="V1431" i="2"/>
  <c r="U1431" i="2"/>
  <c r="T1431" i="2"/>
  <c r="S1431" i="2"/>
  <c r="R1431" i="2"/>
  <c r="Q1431" i="2"/>
  <c r="P1431" i="2"/>
  <c r="O1431" i="2"/>
  <c r="N1431" i="2"/>
  <c r="M1431" i="2"/>
  <c r="L1431" i="2"/>
  <c r="K1431" i="2"/>
  <c r="J1431" i="2"/>
  <c r="I1431" i="2"/>
  <c r="H1431" i="2"/>
  <c r="G1431" i="2"/>
  <c r="F1431" i="2"/>
  <c r="E1431" i="2"/>
  <c r="D1431" i="2"/>
  <c r="C1431" i="2"/>
  <c r="B1431" i="2"/>
  <c r="A1431" i="2"/>
  <c r="AE1430" i="2"/>
  <c r="AD1430" i="2"/>
  <c r="AC1430" i="2"/>
  <c r="AB1430" i="2"/>
  <c r="AA1430" i="2"/>
  <c r="Z1430" i="2"/>
  <c r="Y1430" i="2"/>
  <c r="X1430" i="2"/>
  <c r="W1430" i="2"/>
  <c r="V1430" i="2"/>
  <c r="U1430" i="2"/>
  <c r="T1430" i="2"/>
  <c r="S1430" i="2"/>
  <c r="R1430" i="2"/>
  <c r="Q1430" i="2"/>
  <c r="P1430" i="2"/>
  <c r="O1430" i="2"/>
  <c r="N1430" i="2"/>
  <c r="M1430" i="2"/>
  <c r="L1430" i="2"/>
  <c r="K1430" i="2"/>
  <c r="J1430" i="2"/>
  <c r="I1430" i="2"/>
  <c r="H1430" i="2"/>
  <c r="G1430" i="2"/>
  <c r="F1430" i="2"/>
  <c r="E1430" i="2"/>
  <c r="D1430" i="2"/>
  <c r="C1430" i="2"/>
  <c r="B1430" i="2"/>
  <c r="A1430" i="2"/>
  <c r="AE1429" i="2"/>
  <c r="AD1429" i="2"/>
  <c r="AC1429" i="2"/>
  <c r="AB1429" i="2"/>
  <c r="AA1429" i="2"/>
  <c r="Z1429" i="2"/>
  <c r="Y1429" i="2"/>
  <c r="X1429" i="2"/>
  <c r="W1429" i="2"/>
  <c r="V1429" i="2"/>
  <c r="U1429" i="2"/>
  <c r="T1429" i="2"/>
  <c r="S1429" i="2"/>
  <c r="R1429" i="2"/>
  <c r="Q1429" i="2"/>
  <c r="P1429" i="2"/>
  <c r="O1429" i="2"/>
  <c r="N1429" i="2"/>
  <c r="M1429" i="2"/>
  <c r="L1429" i="2"/>
  <c r="K1429" i="2"/>
  <c r="J1429" i="2"/>
  <c r="I1429" i="2"/>
  <c r="H1429" i="2"/>
  <c r="G1429" i="2"/>
  <c r="F1429" i="2"/>
  <c r="E1429" i="2"/>
  <c r="D1429" i="2"/>
  <c r="C1429" i="2"/>
  <c r="B1429" i="2"/>
  <c r="A1429" i="2"/>
  <c r="AE1428" i="2"/>
  <c r="AD1428" i="2"/>
  <c r="AC1428" i="2"/>
  <c r="AB1428" i="2"/>
  <c r="AA1428" i="2"/>
  <c r="Z1428" i="2"/>
  <c r="Y1428" i="2"/>
  <c r="X1428" i="2"/>
  <c r="W1428" i="2"/>
  <c r="V1428" i="2"/>
  <c r="U1428" i="2"/>
  <c r="T1428" i="2"/>
  <c r="S1428" i="2"/>
  <c r="R1428" i="2"/>
  <c r="Q1428" i="2"/>
  <c r="P1428" i="2"/>
  <c r="O1428" i="2"/>
  <c r="N1428" i="2"/>
  <c r="M1428" i="2"/>
  <c r="L1428" i="2"/>
  <c r="K1428" i="2"/>
  <c r="J1428" i="2"/>
  <c r="I1428" i="2"/>
  <c r="H1428" i="2"/>
  <c r="G1428" i="2"/>
  <c r="F1428" i="2"/>
  <c r="E1428" i="2"/>
  <c r="D1428" i="2"/>
  <c r="C1428" i="2"/>
  <c r="B1428" i="2"/>
  <c r="A1428" i="2"/>
  <c r="AE1427" i="2"/>
  <c r="AD1427" i="2"/>
  <c r="AC1427" i="2"/>
  <c r="AB1427" i="2"/>
  <c r="AA1427" i="2"/>
  <c r="Z1427" i="2"/>
  <c r="Y1427" i="2"/>
  <c r="X1427" i="2"/>
  <c r="W1427" i="2"/>
  <c r="V1427" i="2"/>
  <c r="U1427" i="2"/>
  <c r="T1427" i="2"/>
  <c r="S1427" i="2"/>
  <c r="R1427" i="2"/>
  <c r="Q1427" i="2"/>
  <c r="P1427" i="2"/>
  <c r="O1427" i="2"/>
  <c r="N1427" i="2"/>
  <c r="M1427" i="2"/>
  <c r="L1427" i="2"/>
  <c r="K1427" i="2"/>
  <c r="J1427" i="2"/>
  <c r="I1427" i="2"/>
  <c r="H1427" i="2"/>
  <c r="G1427" i="2"/>
  <c r="F1427" i="2"/>
  <c r="E1427" i="2"/>
  <c r="D1427" i="2"/>
  <c r="C1427" i="2"/>
  <c r="B1427" i="2"/>
  <c r="A1427" i="2"/>
  <c r="AE1426" i="2"/>
  <c r="AD1426" i="2"/>
  <c r="AC1426" i="2"/>
  <c r="AB1426" i="2"/>
  <c r="AA1426" i="2"/>
  <c r="Z1426" i="2"/>
  <c r="Y1426" i="2"/>
  <c r="X1426" i="2"/>
  <c r="W1426" i="2"/>
  <c r="V1426" i="2"/>
  <c r="U1426" i="2"/>
  <c r="T1426" i="2"/>
  <c r="S1426" i="2"/>
  <c r="R1426" i="2"/>
  <c r="Q1426" i="2"/>
  <c r="P1426" i="2"/>
  <c r="O1426" i="2"/>
  <c r="N1426" i="2"/>
  <c r="M1426" i="2"/>
  <c r="L1426" i="2"/>
  <c r="K1426" i="2"/>
  <c r="J1426" i="2"/>
  <c r="I1426" i="2"/>
  <c r="H1426" i="2"/>
  <c r="G1426" i="2"/>
  <c r="F1426" i="2"/>
  <c r="E1426" i="2"/>
  <c r="D1426" i="2"/>
  <c r="C1426" i="2"/>
  <c r="B1426" i="2"/>
  <c r="A1426" i="2"/>
  <c r="AE1425" i="2"/>
  <c r="AD1425" i="2"/>
  <c r="AC1425" i="2"/>
  <c r="AB1425" i="2"/>
  <c r="AA1425" i="2"/>
  <c r="Z1425" i="2"/>
  <c r="Y1425" i="2"/>
  <c r="X1425" i="2"/>
  <c r="W1425" i="2"/>
  <c r="V1425" i="2"/>
  <c r="U1425" i="2"/>
  <c r="T1425" i="2"/>
  <c r="S1425" i="2"/>
  <c r="R1425" i="2"/>
  <c r="Q1425" i="2"/>
  <c r="P1425" i="2"/>
  <c r="O1425" i="2"/>
  <c r="N1425" i="2"/>
  <c r="M1425" i="2"/>
  <c r="L1425" i="2"/>
  <c r="K1425" i="2"/>
  <c r="J1425" i="2"/>
  <c r="I1425" i="2"/>
  <c r="H1425" i="2"/>
  <c r="G1425" i="2"/>
  <c r="F1425" i="2"/>
  <c r="E1425" i="2"/>
  <c r="D1425" i="2"/>
  <c r="C1425" i="2"/>
  <c r="B1425" i="2"/>
  <c r="A1425" i="2"/>
  <c r="AE1424" i="2"/>
  <c r="AD1424" i="2"/>
  <c r="AC1424" i="2"/>
  <c r="AB1424" i="2"/>
  <c r="AA1424" i="2"/>
  <c r="Z1424" i="2"/>
  <c r="Y1424" i="2"/>
  <c r="X1424" i="2"/>
  <c r="W1424" i="2"/>
  <c r="V1424" i="2"/>
  <c r="U1424" i="2"/>
  <c r="T1424" i="2"/>
  <c r="S1424" i="2"/>
  <c r="R1424" i="2"/>
  <c r="Q1424" i="2"/>
  <c r="P1424" i="2"/>
  <c r="O1424" i="2"/>
  <c r="N1424" i="2"/>
  <c r="M1424" i="2"/>
  <c r="L1424" i="2"/>
  <c r="K1424" i="2"/>
  <c r="J1424" i="2"/>
  <c r="I1424" i="2"/>
  <c r="H1424" i="2"/>
  <c r="G1424" i="2"/>
  <c r="F1424" i="2"/>
  <c r="E1424" i="2"/>
  <c r="D1424" i="2"/>
  <c r="C1424" i="2"/>
  <c r="B1424" i="2"/>
  <c r="A1424" i="2"/>
  <c r="AE1423" i="2"/>
  <c r="AD1423" i="2"/>
  <c r="AC1423" i="2"/>
  <c r="AB1423" i="2"/>
  <c r="AA1423" i="2"/>
  <c r="Z1423" i="2"/>
  <c r="Y1423" i="2"/>
  <c r="X1423" i="2"/>
  <c r="W1423" i="2"/>
  <c r="V1423" i="2"/>
  <c r="U1423" i="2"/>
  <c r="T1423" i="2"/>
  <c r="S1423" i="2"/>
  <c r="R1423" i="2"/>
  <c r="Q1423" i="2"/>
  <c r="P1423" i="2"/>
  <c r="O1423" i="2"/>
  <c r="N1423" i="2"/>
  <c r="M1423" i="2"/>
  <c r="L1423" i="2"/>
  <c r="K1423" i="2"/>
  <c r="J1423" i="2"/>
  <c r="I1423" i="2"/>
  <c r="H1423" i="2"/>
  <c r="G1423" i="2"/>
  <c r="F1423" i="2"/>
  <c r="E1423" i="2"/>
  <c r="D1423" i="2"/>
  <c r="C1423" i="2"/>
  <c r="B1423" i="2"/>
  <c r="A1423" i="2"/>
  <c r="AE1422" i="2"/>
  <c r="AD1422" i="2"/>
  <c r="AC1422" i="2"/>
  <c r="AB1422" i="2"/>
  <c r="AA1422" i="2"/>
  <c r="Z1422" i="2"/>
  <c r="Y1422" i="2"/>
  <c r="X1422" i="2"/>
  <c r="W1422" i="2"/>
  <c r="V1422" i="2"/>
  <c r="U1422" i="2"/>
  <c r="T1422" i="2"/>
  <c r="S1422" i="2"/>
  <c r="R1422" i="2"/>
  <c r="Q1422" i="2"/>
  <c r="P1422" i="2"/>
  <c r="O1422" i="2"/>
  <c r="N1422" i="2"/>
  <c r="M1422" i="2"/>
  <c r="L1422" i="2"/>
  <c r="K1422" i="2"/>
  <c r="J1422" i="2"/>
  <c r="I1422" i="2"/>
  <c r="H1422" i="2"/>
  <c r="G1422" i="2"/>
  <c r="F1422" i="2"/>
  <c r="E1422" i="2"/>
  <c r="D1422" i="2"/>
  <c r="C1422" i="2"/>
  <c r="B1422" i="2"/>
  <c r="A1422" i="2"/>
  <c r="AE1421" i="2"/>
  <c r="AD1421" i="2"/>
  <c r="AC1421" i="2"/>
  <c r="AB1421" i="2"/>
  <c r="AA1421" i="2"/>
  <c r="Z1421" i="2"/>
  <c r="Y1421" i="2"/>
  <c r="X1421" i="2"/>
  <c r="W1421" i="2"/>
  <c r="V1421" i="2"/>
  <c r="U1421" i="2"/>
  <c r="T1421" i="2"/>
  <c r="S1421" i="2"/>
  <c r="R1421" i="2"/>
  <c r="Q1421" i="2"/>
  <c r="P1421" i="2"/>
  <c r="O1421" i="2"/>
  <c r="N1421" i="2"/>
  <c r="M1421" i="2"/>
  <c r="L1421" i="2"/>
  <c r="K1421" i="2"/>
  <c r="J1421" i="2"/>
  <c r="I1421" i="2"/>
  <c r="H1421" i="2"/>
  <c r="G1421" i="2"/>
  <c r="F1421" i="2"/>
  <c r="E1421" i="2"/>
  <c r="D1421" i="2"/>
  <c r="C1421" i="2"/>
  <c r="B1421" i="2"/>
  <c r="A1421" i="2"/>
  <c r="AE1420" i="2"/>
  <c r="AD1420" i="2"/>
  <c r="AC1420" i="2"/>
  <c r="AB1420" i="2"/>
  <c r="AA1420" i="2"/>
  <c r="Z1420" i="2"/>
  <c r="Y1420" i="2"/>
  <c r="X1420" i="2"/>
  <c r="W1420" i="2"/>
  <c r="V1420" i="2"/>
  <c r="U1420" i="2"/>
  <c r="T1420" i="2"/>
  <c r="S1420" i="2"/>
  <c r="R1420" i="2"/>
  <c r="Q1420" i="2"/>
  <c r="P1420" i="2"/>
  <c r="O1420" i="2"/>
  <c r="N1420" i="2"/>
  <c r="M1420" i="2"/>
  <c r="L1420" i="2"/>
  <c r="K1420" i="2"/>
  <c r="J1420" i="2"/>
  <c r="I1420" i="2"/>
  <c r="H1420" i="2"/>
  <c r="G1420" i="2"/>
  <c r="F1420" i="2"/>
  <c r="E1420" i="2"/>
  <c r="D1420" i="2"/>
  <c r="C1420" i="2"/>
  <c r="B1420" i="2"/>
  <c r="A1420" i="2"/>
  <c r="AE1419" i="2"/>
  <c r="AD1419" i="2"/>
  <c r="AC1419" i="2"/>
  <c r="AB1419" i="2"/>
  <c r="AA1419" i="2"/>
  <c r="Z1419" i="2"/>
  <c r="Y1419" i="2"/>
  <c r="X1419" i="2"/>
  <c r="W1419" i="2"/>
  <c r="V1419" i="2"/>
  <c r="U1419" i="2"/>
  <c r="T1419" i="2"/>
  <c r="S1419" i="2"/>
  <c r="R1419" i="2"/>
  <c r="Q1419" i="2"/>
  <c r="P1419" i="2"/>
  <c r="O1419" i="2"/>
  <c r="N1419" i="2"/>
  <c r="M1419" i="2"/>
  <c r="L1419" i="2"/>
  <c r="K1419" i="2"/>
  <c r="J1419" i="2"/>
  <c r="I1419" i="2"/>
  <c r="H1419" i="2"/>
  <c r="G1419" i="2"/>
  <c r="F1419" i="2"/>
  <c r="E1419" i="2"/>
  <c r="D1419" i="2"/>
  <c r="C1419" i="2"/>
  <c r="B1419" i="2"/>
  <c r="A1419" i="2"/>
  <c r="AE1418" i="2"/>
  <c r="AD1418" i="2"/>
  <c r="AC1418" i="2"/>
  <c r="AB1418" i="2"/>
  <c r="AA1418" i="2"/>
  <c r="Z1418" i="2"/>
  <c r="Y1418" i="2"/>
  <c r="X1418" i="2"/>
  <c r="W1418" i="2"/>
  <c r="V1418" i="2"/>
  <c r="U1418" i="2"/>
  <c r="T1418" i="2"/>
  <c r="S1418" i="2"/>
  <c r="R1418" i="2"/>
  <c r="Q1418" i="2"/>
  <c r="P1418" i="2"/>
  <c r="O1418" i="2"/>
  <c r="N1418" i="2"/>
  <c r="M1418" i="2"/>
  <c r="L1418" i="2"/>
  <c r="K1418" i="2"/>
  <c r="J1418" i="2"/>
  <c r="I1418" i="2"/>
  <c r="H1418" i="2"/>
  <c r="G1418" i="2"/>
  <c r="F1418" i="2"/>
  <c r="E1418" i="2"/>
  <c r="D1418" i="2"/>
  <c r="C1418" i="2"/>
  <c r="B1418" i="2"/>
  <c r="A1418" i="2"/>
  <c r="AE1417" i="2"/>
  <c r="AD1417" i="2"/>
  <c r="AC1417" i="2"/>
  <c r="AB1417" i="2"/>
  <c r="AA1417" i="2"/>
  <c r="Z1417" i="2"/>
  <c r="Y1417" i="2"/>
  <c r="X1417" i="2"/>
  <c r="W1417" i="2"/>
  <c r="V1417" i="2"/>
  <c r="U1417" i="2"/>
  <c r="T1417" i="2"/>
  <c r="S1417" i="2"/>
  <c r="R1417" i="2"/>
  <c r="Q1417" i="2"/>
  <c r="P1417" i="2"/>
  <c r="O1417" i="2"/>
  <c r="N1417" i="2"/>
  <c r="M1417" i="2"/>
  <c r="L1417" i="2"/>
  <c r="K1417" i="2"/>
  <c r="J1417" i="2"/>
  <c r="I1417" i="2"/>
  <c r="H1417" i="2"/>
  <c r="G1417" i="2"/>
  <c r="F1417" i="2"/>
  <c r="E1417" i="2"/>
  <c r="D1417" i="2"/>
  <c r="C1417" i="2"/>
  <c r="B1417" i="2"/>
  <c r="A1417" i="2"/>
  <c r="AE1416" i="2"/>
  <c r="AD1416" i="2"/>
  <c r="AC1416" i="2"/>
  <c r="AB1416" i="2"/>
  <c r="AA1416" i="2"/>
  <c r="Z1416" i="2"/>
  <c r="Y1416" i="2"/>
  <c r="X1416" i="2"/>
  <c r="W1416" i="2"/>
  <c r="V1416" i="2"/>
  <c r="U1416" i="2"/>
  <c r="T1416" i="2"/>
  <c r="S1416" i="2"/>
  <c r="R1416" i="2"/>
  <c r="Q1416" i="2"/>
  <c r="P1416" i="2"/>
  <c r="O1416" i="2"/>
  <c r="N1416" i="2"/>
  <c r="M1416" i="2"/>
  <c r="L1416" i="2"/>
  <c r="K1416" i="2"/>
  <c r="J1416" i="2"/>
  <c r="I1416" i="2"/>
  <c r="H1416" i="2"/>
  <c r="G1416" i="2"/>
  <c r="F1416" i="2"/>
  <c r="E1416" i="2"/>
  <c r="D1416" i="2"/>
  <c r="C1416" i="2"/>
  <c r="B1416" i="2"/>
  <c r="A1416" i="2"/>
  <c r="AE1415" i="2"/>
  <c r="AD1415" i="2"/>
  <c r="AC1415" i="2"/>
  <c r="AB1415" i="2"/>
  <c r="AA1415" i="2"/>
  <c r="Z1415" i="2"/>
  <c r="Y1415" i="2"/>
  <c r="X1415" i="2"/>
  <c r="W1415" i="2"/>
  <c r="V1415" i="2"/>
  <c r="U1415" i="2"/>
  <c r="T1415" i="2"/>
  <c r="S1415" i="2"/>
  <c r="R1415" i="2"/>
  <c r="Q1415" i="2"/>
  <c r="P1415" i="2"/>
  <c r="O1415" i="2"/>
  <c r="N1415" i="2"/>
  <c r="M1415" i="2"/>
  <c r="L1415" i="2"/>
  <c r="K1415" i="2"/>
  <c r="J1415" i="2"/>
  <c r="I1415" i="2"/>
  <c r="H1415" i="2"/>
  <c r="G1415" i="2"/>
  <c r="F1415" i="2"/>
  <c r="E1415" i="2"/>
  <c r="D1415" i="2"/>
  <c r="C1415" i="2"/>
  <c r="B1415" i="2"/>
  <c r="A1415" i="2"/>
  <c r="AE1414" i="2"/>
  <c r="AD1414" i="2"/>
  <c r="AC1414" i="2"/>
  <c r="AB1414" i="2"/>
  <c r="AA1414" i="2"/>
  <c r="Z1414" i="2"/>
  <c r="Y1414" i="2"/>
  <c r="X1414" i="2"/>
  <c r="W1414" i="2"/>
  <c r="V1414" i="2"/>
  <c r="U1414" i="2"/>
  <c r="T1414" i="2"/>
  <c r="S1414" i="2"/>
  <c r="R1414" i="2"/>
  <c r="Q1414" i="2"/>
  <c r="P1414" i="2"/>
  <c r="O1414" i="2"/>
  <c r="N1414" i="2"/>
  <c r="M1414" i="2"/>
  <c r="L1414" i="2"/>
  <c r="K1414" i="2"/>
  <c r="J1414" i="2"/>
  <c r="I1414" i="2"/>
  <c r="H1414" i="2"/>
  <c r="G1414" i="2"/>
  <c r="F1414" i="2"/>
  <c r="E1414" i="2"/>
  <c r="D1414" i="2"/>
  <c r="C1414" i="2"/>
  <c r="B1414" i="2"/>
  <c r="A1414" i="2"/>
  <c r="AE1413" i="2"/>
  <c r="AD1413" i="2"/>
  <c r="AC1413" i="2"/>
  <c r="AB1413" i="2"/>
  <c r="AA1413" i="2"/>
  <c r="Z1413" i="2"/>
  <c r="Y1413" i="2"/>
  <c r="X1413" i="2"/>
  <c r="W1413" i="2"/>
  <c r="V1413" i="2"/>
  <c r="U1413" i="2"/>
  <c r="T1413" i="2"/>
  <c r="S1413" i="2"/>
  <c r="R1413" i="2"/>
  <c r="Q1413" i="2"/>
  <c r="P1413" i="2"/>
  <c r="O1413" i="2"/>
  <c r="N1413" i="2"/>
  <c r="M1413" i="2"/>
  <c r="L1413" i="2"/>
  <c r="K1413" i="2"/>
  <c r="J1413" i="2"/>
  <c r="I1413" i="2"/>
  <c r="H1413" i="2"/>
  <c r="G1413" i="2"/>
  <c r="F1413" i="2"/>
  <c r="E1413" i="2"/>
  <c r="D1413" i="2"/>
  <c r="C1413" i="2"/>
  <c r="B1413" i="2"/>
  <c r="A1413" i="2"/>
  <c r="AE1412" i="2"/>
  <c r="AD1412" i="2"/>
  <c r="AC1412" i="2"/>
  <c r="AB1412" i="2"/>
  <c r="AA1412" i="2"/>
  <c r="Z1412" i="2"/>
  <c r="Y1412" i="2"/>
  <c r="X1412" i="2"/>
  <c r="W1412" i="2"/>
  <c r="V1412" i="2"/>
  <c r="U1412" i="2"/>
  <c r="T1412" i="2"/>
  <c r="S1412" i="2"/>
  <c r="R1412" i="2"/>
  <c r="Q1412" i="2"/>
  <c r="P1412" i="2"/>
  <c r="O1412" i="2"/>
  <c r="N1412" i="2"/>
  <c r="M1412" i="2"/>
  <c r="L1412" i="2"/>
  <c r="K1412" i="2"/>
  <c r="J1412" i="2"/>
  <c r="I1412" i="2"/>
  <c r="H1412" i="2"/>
  <c r="G1412" i="2"/>
  <c r="F1412" i="2"/>
  <c r="E1412" i="2"/>
  <c r="D1412" i="2"/>
  <c r="C1412" i="2"/>
  <c r="B1412" i="2"/>
  <c r="A1412" i="2"/>
  <c r="AE1411" i="2"/>
  <c r="AD1411" i="2"/>
  <c r="AC1411" i="2"/>
  <c r="AB1411" i="2"/>
  <c r="AA1411" i="2"/>
  <c r="Z1411" i="2"/>
  <c r="Y1411" i="2"/>
  <c r="X1411" i="2"/>
  <c r="W1411" i="2"/>
  <c r="V1411" i="2"/>
  <c r="U1411" i="2"/>
  <c r="T1411" i="2"/>
  <c r="S1411" i="2"/>
  <c r="R1411" i="2"/>
  <c r="Q1411" i="2"/>
  <c r="P1411" i="2"/>
  <c r="O1411" i="2"/>
  <c r="N1411" i="2"/>
  <c r="M1411" i="2"/>
  <c r="L1411" i="2"/>
  <c r="K1411" i="2"/>
  <c r="J1411" i="2"/>
  <c r="I1411" i="2"/>
  <c r="H1411" i="2"/>
  <c r="G1411" i="2"/>
  <c r="F1411" i="2"/>
  <c r="E1411" i="2"/>
  <c r="D1411" i="2"/>
  <c r="C1411" i="2"/>
  <c r="B1411" i="2"/>
  <c r="A1411" i="2"/>
  <c r="AE1410" i="2"/>
  <c r="AD1410" i="2"/>
  <c r="AC1410" i="2"/>
  <c r="AB1410" i="2"/>
  <c r="AA1410" i="2"/>
  <c r="Z1410" i="2"/>
  <c r="Y1410" i="2"/>
  <c r="X1410" i="2"/>
  <c r="W1410" i="2"/>
  <c r="V1410" i="2"/>
  <c r="U1410" i="2"/>
  <c r="T1410" i="2"/>
  <c r="S1410" i="2"/>
  <c r="R1410" i="2"/>
  <c r="Q1410" i="2"/>
  <c r="P1410" i="2"/>
  <c r="O1410" i="2"/>
  <c r="N1410" i="2"/>
  <c r="M1410" i="2"/>
  <c r="L1410" i="2"/>
  <c r="K1410" i="2"/>
  <c r="J1410" i="2"/>
  <c r="I1410" i="2"/>
  <c r="H1410" i="2"/>
  <c r="G1410" i="2"/>
  <c r="F1410" i="2"/>
  <c r="E1410" i="2"/>
  <c r="D1410" i="2"/>
  <c r="C1410" i="2"/>
  <c r="B1410" i="2"/>
  <c r="A1410" i="2"/>
  <c r="AE1409" i="2"/>
  <c r="AD1409" i="2"/>
  <c r="AC1409" i="2"/>
  <c r="AB1409" i="2"/>
  <c r="AA1409" i="2"/>
  <c r="Z1409" i="2"/>
  <c r="Y1409" i="2"/>
  <c r="X1409" i="2"/>
  <c r="W1409" i="2"/>
  <c r="V1409" i="2"/>
  <c r="U1409" i="2"/>
  <c r="T1409" i="2"/>
  <c r="S1409" i="2"/>
  <c r="R1409" i="2"/>
  <c r="Q1409" i="2"/>
  <c r="P1409" i="2"/>
  <c r="O1409" i="2"/>
  <c r="N1409" i="2"/>
  <c r="M1409" i="2"/>
  <c r="L1409" i="2"/>
  <c r="K1409" i="2"/>
  <c r="J1409" i="2"/>
  <c r="I1409" i="2"/>
  <c r="H1409" i="2"/>
  <c r="G1409" i="2"/>
  <c r="F1409" i="2"/>
  <c r="E1409" i="2"/>
  <c r="D1409" i="2"/>
  <c r="C1409" i="2"/>
  <c r="B1409" i="2"/>
  <c r="A1409" i="2"/>
  <c r="AE1408" i="2"/>
  <c r="AD1408" i="2"/>
  <c r="AC1408" i="2"/>
  <c r="AB1408" i="2"/>
  <c r="AA1408" i="2"/>
  <c r="Z1408" i="2"/>
  <c r="Y1408" i="2"/>
  <c r="X1408" i="2"/>
  <c r="W1408" i="2"/>
  <c r="V1408" i="2"/>
  <c r="U1408" i="2"/>
  <c r="T1408" i="2"/>
  <c r="S1408" i="2"/>
  <c r="R1408" i="2"/>
  <c r="Q1408" i="2"/>
  <c r="P1408" i="2"/>
  <c r="O1408" i="2"/>
  <c r="N1408" i="2"/>
  <c r="M1408" i="2"/>
  <c r="L1408" i="2"/>
  <c r="K1408" i="2"/>
  <c r="J1408" i="2"/>
  <c r="I1408" i="2"/>
  <c r="H1408" i="2"/>
  <c r="G1408" i="2"/>
  <c r="F1408" i="2"/>
  <c r="E1408" i="2"/>
  <c r="D1408" i="2"/>
  <c r="C1408" i="2"/>
  <c r="B1408" i="2"/>
  <c r="A1408" i="2"/>
  <c r="AE1407" i="2"/>
  <c r="AD1407" i="2"/>
  <c r="AC1407" i="2"/>
  <c r="AB1407" i="2"/>
  <c r="AA1407" i="2"/>
  <c r="Z1407" i="2"/>
  <c r="Y1407" i="2"/>
  <c r="X1407" i="2"/>
  <c r="W1407" i="2"/>
  <c r="V1407" i="2"/>
  <c r="U1407" i="2"/>
  <c r="T1407" i="2"/>
  <c r="S1407" i="2"/>
  <c r="R1407" i="2"/>
  <c r="Q1407" i="2"/>
  <c r="P1407" i="2"/>
  <c r="O1407" i="2"/>
  <c r="N1407" i="2"/>
  <c r="M1407" i="2"/>
  <c r="L1407" i="2"/>
  <c r="K1407" i="2"/>
  <c r="J1407" i="2"/>
  <c r="I1407" i="2"/>
  <c r="H1407" i="2"/>
  <c r="G1407" i="2"/>
  <c r="F1407" i="2"/>
  <c r="E1407" i="2"/>
  <c r="D1407" i="2"/>
  <c r="C1407" i="2"/>
  <c r="B1407" i="2"/>
  <c r="A1407" i="2"/>
  <c r="AE1406" i="2"/>
  <c r="AD1406" i="2"/>
  <c r="AC1406" i="2"/>
  <c r="AB1406" i="2"/>
  <c r="AA1406" i="2"/>
  <c r="Z1406" i="2"/>
  <c r="Y1406" i="2"/>
  <c r="X1406" i="2"/>
  <c r="W1406" i="2"/>
  <c r="V1406" i="2"/>
  <c r="U1406" i="2"/>
  <c r="T1406" i="2"/>
  <c r="S1406" i="2"/>
  <c r="R1406" i="2"/>
  <c r="Q1406" i="2"/>
  <c r="P1406" i="2"/>
  <c r="O1406" i="2"/>
  <c r="N1406" i="2"/>
  <c r="M1406" i="2"/>
  <c r="L1406" i="2"/>
  <c r="K1406" i="2"/>
  <c r="J1406" i="2"/>
  <c r="I1406" i="2"/>
  <c r="H1406" i="2"/>
  <c r="G1406" i="2"/>
  <c r="F1406" i="2"/>
  <c r="E1406" i="2"/>
  <c r="D1406" i="2"/>
  <c r="C1406" i="2"/>
  <c r="B1406" i="2"/>
  <c r="A1406" i="2"/>
  <c r="AE1405" i="2"/>
  <c r="AD1405" i="2"/>
  <c r="AC1405" i="2"/>
  <c r="AB1405" i="2"/>
  <c r="AA1405" i="2"/>
  <c r="Z1405" i="2"/>
  <c r="Y1405" i="2"/>
  <c r="X1405" i="2"/>
  <c r="W1405" i="2"/>
  <c r="V1405" i="2"/>
  <c r="U1405" i="2"/>
  <c r="T1405" i="2"/>
  <c r="S1405" i="2"/>
  <c r="R1405" i="2"/>
  <c r="Q1405" i="2"/>
  <c r="P1405" i="2"/>
  <c r="O1405" i="2"/>
  <c r="N1405" i="2"/>
  <c r="M1405" i="2"/>
  <c r="L1405" i="2"/>
  <c r="K1405" i="2"/>
  <c r="J1405" i="2"/>
  <c r="I1405" i="2"/>
  <c r="H1405" i="2"/>
  <c r="G1405" i="2"/>
  <c r="F1405" i="2"/>
  <c r="E1405" i="2"/>
  <c r="D1405" i="2"/>
  <c r="C1405" i="2"/>
  <c r="B1405" i="2"/>
  <c r="A1405" i="2"/>
  <c r="AE1404" i="2"/>
  <c r="AD1404" i="2"/>
  <c r="AC1404" i="2"/>
  <c r="AB1404" i="2"/>
  <c r="AA1404" i="2"/>
  <c r="Z1404" i="2"/>
  <c r="Y1404" i="2"/>
  <c r="X1404" i="2"/>
  <c r="W1404" i="2"/>
  <c r="V1404" i="2"/>
  <c r="U1404" i="2"/>
  <c r="T1404" i="2"/>
  <c r="S1404" i="2"/>
  <c r="R1404" i="2"/>
  <c r="Q1404" i="2"/>
  <c r="P1404" i="2"/>
  <c r="O1404" i="2"/>
  <c r="N1404" i="2"/>
  <c r="M1404" i="2"/>
  <c r="L1404" i="2"/>
  <c r="K1404" i="2"/>
  <c r="J1404" i="2"/>
  <c r="I1404" i="2"/>
  <c r="H1404" i="2"/>
  <c r="G1404" i="2"/>
  <c r="F1404" i="2"/>
  <c r="E1404" i="2"/>
  <c r="D1404" i="2"/>
  <c r="C1404" i="2"/>
  <c r="B1404" i="2"/>
  <c r="A1404" i="2"/>
  <c r="AE1403" i="2"/>
  <c r="AD1403" i="2"/>
  <c r="AC1403" i="2"/>
  <c r="AB1403" i="2"/>
  <c r="AA1403" i="2"/>
  <c r="Z1403" i="2"/>
  <c r="Y1403" i="2"/>
  <c r="X1403" i="2"/>
  <c r="W1403" i="2"/>
  <c r="V1403" i="2"/>
  <c r="U1403" i="2"/>
  <c r="T1403" i="2"/>
  <c r="S1403" i="2"/>
  <c r="R1403" i="2"/>
  <c r="Q1403" i="2"/>
  <c r="P1403" i="2"/>
  <c r="O1403" i="2"/>
  <c r="N1403" i="2"/>
  <c r="M1403" i="2"/>
  <c r="L1403" i="2"/>
  <c r="K1403" i="2"/>
  <c r="J1403" i="2"/>
  <c r="I1403" i="2"/>
  <c r="H1403" i="2"/>
  <c r="G1403" i="2"/>
  <c r="F1403" i="2"/>
  <c r="E1403" i="2"/>
  <c r="D1403" i="2"/>
  <c r="C1403" i="2"/>
  <c r="B1403" i="2"/>
  <c r="A1403" i="2"/>
  <c r="AE1402" i="2"/>
  <c r="AD1402" i="2"/>
  <c r="AC1402" i="2"/>
  <c r="AB1402" i="2"/>
  <c r="AA1402" i="2"/>
  <c r="Z1402" i="2"/>
  <c r="Y1402" i="2"/>
  <c r="X1402" i="2"/>
  <c r="W1402" i="2"/>
  <c r="V1402" i="2"/>
  <c r="U1402" i="2"/>
  <c r="T1402" i="2"/>
  <c r="S1402" i="2"/>
  <c r="R1402" i="2"/>
  <c r="Q1402" i="2"/>
  <c r="P1402" i="2"/>
  <c r="O1402" i="2"/>
  <c r="N1402" i="2"/>
  <c r="M1402" i="2"/>
  <c r="L1402" i="2"/>
  <c r="K1402" i="2"/>
  <c r="J1402" i="2"/>
  <c r="I1402" i="2"/>
  <c r="H1402" i="2"/>
  <c r="G1402" i="2"/>
  <c r="F1402" i="2"/>
  <c r="E1402" i="2"/>
  <c r="D1402" i="2"/>
  <c r="C1402" i="2"/>
  <c r="B1402" i="2"/>
  <c r="A1402" i="2"/>
  <c r="AE1401" i="2"/>
  <c r="AD1401" i="2"/>
  <c r="AC1401" i="2"/>
  <c r="AB1401" i="2"/>
  <c r="AA1401" i="2"/>
  <c r="Z1401" i="2"/>
  <c r="Y1401" i="2"/>
  <c r="X1401" i="2"/>
  <c r="W1401" i="2"/>
  <c r="V1401" i="2"/>
  <c r="U1401" i="2"/>
  <c r="T1401" i="2"/>
  <c r="S1401" i="2"/>
  <c r="R1401" i="2"/>
  <c r="Q1401" i="2"/>
  <c r="P1401" i="2"/>
  <c r="O1401" i="2"/>
  <c r="N1401" i="2"/>
  <c r="M1401" i="2"/>
  <c r="L1401" i="2"/>
  <c r="K1401" i="2"/>
  <c r="J1401" i="2"/>
  <c r="I1401" i="2"/>
  <c r="H1401" i="2"/>
  <c r="G1401" i="2"/>
  <c r="F1401" i="2"/>
  <c r="E1401" i="2"/>
  <c r="D1401" i="2"/>
  <c r="C1401" i="2"/>
  <c r="B1401" i="2"/>
  <c r="A1401" i="2"/>
  <c r="AE1400" i="2"/>
  <c r="AD1400" i="2"/>
  <c r="AC1400" i="2"/>
  <c r="AB1400" i="2"/>
  <c r="AA1400" i="2"/>
  <c r="Z1400" i="2"/>
  <c r="Y1400" i="2"/>
  <c r="X1400" i="2"/>
  <c r="W1400" i="2"/>
  <c r="V1400" i="2"/>
  <c r="U1400" i="2"/>
  <c r="T1400" i="2"/>
  <c r="S1400" i="2"/>
  <c r="R1400" i="2"/>
  <c r="Q1400" i="2"/>
  <c r="P1400" i="2"/>
  <c r="O1400" i="2"/>
  <c r="N1400" i="2"/>
  <c r="M1400" i="2"/>
  <c r="L1400" i="2"/>
  <c r="K1400" i="2"/>
  <c r="J1400" i="2"/>
  <c r="I1400" i="2"/>
  <c r="H1400" i="2"/>
  <c r="G1400" i="2"/>
  <c r="F1400" i="2"/>
  <c r="E1400" i="2"/>
  <c r="D1400" i="2"/>
  <c r="C1400" i="2"/>
  <c r="B1400" i="2"/>
  <c r="A1400" i="2"/>
  <c r="AE1399" i="2"/>
  <c r="AD1399" i="2"/>
  <c r="AC1399" i="2"/>
  <c r="AB1399" i="2"/>
  <c r="AA1399" i="2"/>
  <c r="Z1399" i="2"/>
  <c r="Y1399" i="2"/>
  <c r="X1399" i="2"/>
  <c r="W1399" i="2"/>
  <c r="V1399" i="2"/>
  <c r="U1399" i="2"/>
  <c r="T1399" i="2"/>
  <c r="S1399" i="2"/>
  <c r="R1399" i="2"/>
  <c r="Q1399" i="2"/>
  <c r="P1399" i="2"/>
  <c r="O1399" i="2"/>
  <c r="N1399" i="2"/>
  <c r="M1399" i="2"/>
  <c r="L1399" i="2"/>
  <c r="K1399" i="2"/>
  <c r="J1399" i="2"/>
  <c r="I1399" i="2"/>
  <c r="H1399" i="2"/>
  <c r="G1399" i="2"/>
  <c r="F1399" i="2"/>
  <c r="E1399" i="2"/>
  <c r="D1399" i="2"/>
  <c r="C1399" i="2"/>
  <c r="B1399" i="2"/>
  <c r="A1399" i="2"/>
  <c r="AE1398" i="2"/>
  <c r="AD1398" i="2"/>
  <c r="AC1398" i="2"/>
  <c r="AB1398" i="2"/>
  <c r="AA1398" i="2"/>
  <c r="Z1398" i="2"/>
  <c r="Y1398" i="2"/>
  <c r="X1398" i="2"/>
  <c r="W1398" i="2"/>
  <c r="V1398" i="2"/>
  <c r="U1398" i="2"/>
  <c r="T1398" i="2"/>
  <c r="S1398" i="2"/>
  <c r="R1398" i="2"/>
  <c r="Q1398" i="2"/>
  <c r="P1398" i="2"/>
  <c r="O1398" i="2"/>
  <c r="N1398" i="2"/>
  <c r="M1398" i="2"/>
  <c r="L1398" i="2"/>
  <c r="K1398" i="2"/>
  <c r="J1398" i="2"/>
  <c r="I1398" i="2"/>
  <c r="H1398" i="2"/>
  <c r="G1398" i="2"/>
  <c r="F1398" i="2"/>
  <c r="E1398" i="2"/>
  <c r="D1398" i="2"/>
  <c r="C1398" i="2"/>
  <c r="B1398" i="2"/>
  <c r="A1398" i="2"/>
  <c r="AE1397" i="2"/>
  <c r="AD1397" i="2"/>
  <c r="AC1397" i="2"/>
  <c r="AB1397" i="2"/>
  <c r="AA1397" i="2"/>
  <c r="Z1397" i="2"/>
  <c r="Y1397" i="2"/>
  <c r="X1397" i="2"/>
  <c r="W1397" i="2"/>
  <c r="V1397" i="2"/>
  <c r="U1397" i="2"/>
  <c r="T1397" i="2"/>
  <c r="S1397" i="2"/>
  <c r="R1397" i="2"/>
  <c r="Q1397" i="2"/>
  <c r="P1397" i="2"/>
  <c r="O1397" i="2"/>
  <c r="N1397" i="2"/>
  <c r="M1397" i="2"/>
  <c r="L1397" i="2"/>
  <c r="K1397" i="2"/>
  <c r="J1397" i="2"/>
  <c r="I1397" i="2"/>
  <c r="H1397" i="2"/>
  <c r="G1397" i="2"/>
  <c r="F1397" i="2"/>
  <c r="E1397" i="2"/>
  <c r="D1397" i="2"/>
  <c r="C1397" i="2"/>
  <c r="B1397" i="2"/>
  <c r="A1397" i="2"/>
  <c r="AE1396" i="2"/>
  <c r="AD1396" i="2"/>
  <c r="AC1396" i="2"/>
  <c r="AB1396" i="2"/>
  <c r="AA1396" i="2"/>
  <c r="Z1396" i="2"/>
  <c r="Y1396" i="2"/>
  <c r="X1396" i="2"/>
  <c r="W1396" i="2"/>
  <c r="V1396" i="2"/>
  <c r="U1396" i="2"/>
  <c r="T1396" i="2"/>
  <c r="S1396" i="2"/>
  <c r="R1396" i="2"/>
  <c r="Q1396" i="2"/>
  <c r="P1396" i="2"/>
  <c r="O1396" i="2"/>
  <c r="N1396" i="2"/>
  <c r="M1396" i="2"/>
  <c r="L1396" i="2"/>
  <c r="K1396" i="2"/>
  <c r="J1396" i="2"/>
  <c r="I1396" i="2"/>
  <c r="H1396" i="2"/>
  <c r="G1396" i="2"/>
  <c r="F1396" i="2"/>
  <c r="E1396" i="2"/>
  <c r="D1396" i="2"/>
  <c r="C1396" i="2"/>
  <c r="B1396" i="2"/>
  <c r="A1396" i="2"/>
  <c r="AE1395" i="2"/>
  <c r="AD1395" i="2"/>
  <c r="AC1395" i="2"/>
  <c r="AB1395" i="2"/>
  <c r="AA1395" i="2"/>
  <c r="Z1395" i="2"/>
  <c r="Y1395" i="2"/>
  <c r="X1395" i="2"/>
  <c r="W1395" i="2"/>
  <c r="V1395" i="2"/>
  <c r="U1395" i="2"/>
  <c r="T1395" i="2"/>
  <c r="S1395" i="2"/>
  <c r="R1395" i="2"/>
  <c r="Q1395" i="2"/>
  <c r="P1395" i="2"/>
  <c r="O1395" i="2"/>
  <c r="N1395" i="2"/>
  <c r="M1395" i="2"/>
  <c r="L1395" i="2"/>
  <c r="K1395" i="2"/>
  <c r="J1395" i="2"/>
  <c r="I1395" i="2"/>
  <c r="H1395" i="2"/>
  <c r="G1395" i="2"/>
  <c r="F1395" i="2"/>
  <c r="E1395" i="2"/>
  <c r="D1395" i="2"/>
  <c r="C1395" i="2"/>
  <c r="B1395" i="2"/>
  <c r="A1395" i="2"/>
  <c r="AE1394" i="2"/>
  <c r="AD1394" i="2"/>
  <c r="AC1394" i="2"/>
  <c r="AB1394" i="2"/>
  <c r="AA1394" i="2"/>
  <c r="Z1394" i="2"/>
  <c r="Y1394" i="2"/>
  <c r="X1394" i="2"/>
  <c r="W1394" i="2"/>
  <c r="V1394" i="2"/>
  <c r="U1394" i="2"/>
  <c r="T1394" i="2"/>
  <c r="S1394" i="2"/>
  <c r="R1394" i="2"/>
  <c r="Q1394" i="2"/>
  <c r="P1394" i="2"/>
  <c r="O1394" i="2"/>
  <c r="N1394" i="2"/>
  <c r="M1394" i="2"/>
  <c r="L1394" i="2"/>
  <c r="K1394" i="2"/>
  <c r="J1394" i="2"/>
  <c r="I1394" i="2"/>
  <c r="H1394" i="2"/>
  <c r="G1394" i="2"/>
  <c r="F1394" i="2"/>
  <c r="E1394" i="2"/>
  <c r="D1394" i="2"/>
  <c r="C1394" i="2"/>
  <c r="B1394" i="2"/>
  <c r="A1394" i="2"/>
  <c r="AE1393" i="2"/>
  <c r="AD1393" i="2"/>
  <c r="AC1393" i="2"/>
  <c r="AB1393" i="2"/>
  <c r="AA1393" i="2"/>
  <c r="Z1393" i="2"/>
  <c r="Y1393" i="2"/>
  <c r="X1393" i="2"/>
  <c r="W1393" i="2"/>
  <c r="V1393" i="2"/>
  <c r="U1393" i="2"/>
  <c r="T1393" i="2"/>
  <c r="S1393" i="2"/>
  <c r="R1393" i="2"/>
  <c r="Q1393" i="2"/>
  <c r="P1393" i="2"/>
  <c r="O1393" i="2"/>
  <c r="N1393" i="2"/>
  <c r="M1393" i="2"/>
  <c r="L1393" i="2"/>
  <c r="K1393" i="2"/>
  <c r="J1393" i="2"/>
  <c r="I1393" i="2"/>
  <c r="H1393" i="2"/>
  <c r="G1393" i="2"/>
  <c r="F1393" i="2"/>
  <c r="E1393" i="2"/>
  <c r="D1393" i="2"/>
  <c r="C1393" i="2"/>
  <c r="B1393" i="2"/>
  <c r="A1393" i="2"/>
  <c r="AE1392" i="2"/>
  <c r="AD1392" i="2"/>
  <c r="AC1392" i="2"/>
  <c r="AB1392" i="2"/>
  <c r="AA1392" i="2"/>
  <c r="Z1392" i="2"/>
  <c r="Y1392" i="2"/>
  <c r="X1392" i="2"/>
  <c r="W1392" i="2"/>
  <c r="V1392" i="2"/>
  <c r="U1392" i="2"/>
  <c r="T1392" i="2"/>
  <c r="S1392" i="2"/>
  <c r="R1392" i="2"/>
  <c r="Q1392" i="2"/>
  <c r="P1392" i="2"/>
  <c r="O1392" i="2"/>
  <c r="N1392" i="2"/>
  <c r="M1392" i="2"/>
  <c r="L1392" i="2"/>
  <c r="K1392" i="2"/>
  <c r="J1392" i="2"/>
  <c r="I1392" i="2"/>
  <c r="H1392" i="2"/>
  <c r="G1392" i="2"/>
  <c r="F1392" i="2"/>
  <c r="E1392" i="2"/>
  <c r="D1392" i="2"/>
  <c r="C1392" i="2"/>
  <c r="B1392" i="2"/>
  <c r="A1392" i="2"/>
  <c r="AE1391" i="2"/>
  <c r="AD1391" i="2"/>
  <c r="AC1391" i="2"/>
  <c r="AB1391" i="2"/>
  <c r="AA1391" i="2"/>
  <c r="Z1391" i="2"/>
  <c r="Y1391" i="2"/>
  <c r="X1391" i="2"/>
  <c r="W1391" i="2"/>
  <c r="V1391" i="2"/>
  <c r="U1391" i="2"/>
  <c r="T1391" i="2"/>
  <c r="S1391" i="2"/>
  <c r="R1391" i="2"/>
  <c r="Q1391" i="2"/>
  <c r="P1391" i="2"/>
  <c r="O1391" i="2"/>
  <c r="N1391" i="2"/>
  <c r="M1391" i="2"/>
  <c r="L1391" i="2"/>
  <c r="K1391" i="2"/>
  <c r="J1391" i="2"/>
  <c r="I1391" i="2"/>
  <c r="H1391" i="2"/>
  <c r="G1391" i="2"/>
  <c r="F1391" i="2"/>
  <c r="E1391" i="2"/>
  <c r="D1391" i="2"/>
  <c r="C1391" i="2"/>
  <c r="B1391" i="2"/>
  <c r="A1391" i="2"/>
  <c r="AE1390" i="2"/>
  <c r="AD1390" i="2"/>
  <c r="AC1390" i="2"/>
  <c r="AB1390" i="2"/>
  <c r="AA1390" i="2"/>
  <c r="Z1390" i="2"/>
  <c r="Y1390" i="2"/>
  <c r="X1390" i="2"/>
  <c r="W1390" i="2"/>
  <c r="V1390" i="2"/>
  <c r="U1390" i="2"/>
  <c r="T1390" i="2"/>
  <c r="S1390" i="2"/>
  <c r="R1390" i="2"/>
  <c r="Q1390" i="2"/>
  <c r="P1390" i="2"/>
  <c r="O1390" i="2"/>
  <c r="N1390" i="2"/>
  <c r="M1390" i="2"/>
  <c r="L1390" i="2"/>
  <c r="K1390" i="2"/>
  <c r="J1390" i="2"/>
  <c r="I1390" i="2"/>
  <c r="H1390" i="2"/>
  <c r="G1390" i="2"/>
  <c r="F1390" i="2"/>
  <c r="E1390" i="2"/>
  <c r="D1390" i="2"/>
  <c r="C1390" i="2"/>
  <c r="B1390" i="2"/>
  <c r="A1390" i="2"/>
  <c r="AE1389" i="2"/>
  <c r="AD1389" i="2"/>
  <c r="AC1389" i="2"/>
  <c r="AB1389" i="2"/>
  <c r="AA1389" i="2"/>
  <c r="Z1389" i="2"/>
  <c r="Y1389" i="2"/>
  <c r="X1389" i="2"/>
  <c r="W1389" i="2"/>
  <c r="V1389" i="2"/>
  <c r="U1389" i="2"/>
  <c r="T1389" i="2"/>
  <c r="S1389" i="2"/>
  <c r="R1389" i="2"/>
  <c r="Q1389" i="2"/>
  <c r="P1389" i="2"/>
  <c r="O1389" i="2"/>
  <c r="N1389" i="2"/>
  <c r="M1389" i="2"/>
  <c r="L1389" i="2"/>
  <c r="K1389" i="2"/>
  <c r="J1389" i="2"/>
  <c r="I1389" i="2"/>
  <c r="H1389" i="2"/>
  <c r="G1389" i="2"/>
  <c r="F1389" i="2"/>
  <c r="E1389" i="2"/>
  <c r="D1389" i="2"/>
  <c r="C1389" i="2"/>
  <c r="B1389" i="2"/>
  <c r="A1389" i="2"/>
  <c r="AE1388" i="2"/>
  <c r="AD1388" i="2"/>
  <c r="AC1388" i="2"/>
  <c r="AB1388" i="2"/>
  <c r="AA1388" i="2"/>
  <c r="Z1388" i="2"/>
  <c r="Y1388" i="2"/>
  <c r="X1388" i="2"/>
  <c r="W1388" i="2"/>
  <c r="V1388" i="2"/>
  <c r="U1388" i="2"/>
  <c r="T1388" i="2"/>
  <c r="S1388" i="2"/>
  <c r="R1388" i="2"/>
  <c r="Q1388" i="2"/>
  <c r="P1388" i="2"/>
  <c r="O1388" i="2"/>
  <c r="N1388" i="2"/>
  <c r="M1388" i="2"/>
  <c r="L1388" i="2"/>
  <c r="K1388" i="2"/>
  <c r="J1388" i="2"/>
  <c r="I1388" i="2"/>
  <c r="H1388" i="2"/>
  <c r="G1388" i="2"/>
  <c r="F1388" i="2"/>
  <c r="E1388" i="2"/>
  <c r="D1388" i="2"/>
  <c r="C1388" i="2"/>
  <c r="B1388" i="2"/>
  <c r="A1388" i="2"/>
  <c r="AE1387" i="2"/>
  <c r="AD1387" i="2"/>
  <c r="AC1387" i="2"/>
  <c r="AB1387" i="2"/>
  <c r="AA1387" i="2"/>
  <c r="Z1387" i="2"/>
  <c r="Y1387" i="2"/>
  <c r="X1387" i="2"/>
  <c r="W1387" i="2"/>
  <c r="V1387" i="2"/>
  <c r="U1387" i="2"/>
  <c r="T1387" i="2"/>
  <c r="S1387" i="2"/>
  <c r="R1387" i="2"/>
  <c r="Q1387" i="2"/>
  <c r="P1387" i="2"/>
  <c r="O1387" i="2"/>
  <c r="N1387" i="2"/>
  <c r="M1387" i="2"/>
  <c r="L1387" i="2"/>
  <c r="K1387" i="2"/>
  <c r="J1387" i="2"/>
  <c r="I1387" i="2"/>
  <c r="H1387" i="2"/>
  <c r="G1387" i="2"/>
  <c r="F1387" i="2"/>
  <c r="E1387" i="2"/>
  <c r="D1387" i="2"/>
  <c r="C1387" i="2"/>
  <c r="B1387" i="2"/>
  <c r="A1387" i="2"/>
  <c r="AE1386" i="2"/>
  <c r="AD1386" i="2"/>
  <c r="AC1386" i="2"/>
  <c r="AB1386" i="2"/>
  <c r="AA1386" i="2"/>
  <c r="Z1386" i="2"/>
  <c r="Y1386" i="2"/>
  <c r="X1386" i="2"/>
  <c r="W1386" i="2"/>
  <c r="V1386" i="2"/>
  <c r="U1386" i="2"/>
  <c r="T1386" i="2"/>
  <c r="S1386" i="2"/>
  <c r="R1386" i="2"/>
  <c r="Q1386" i="2"/>
  <c r="P1386" i="2"/>
  <c r="O1386" i="2"/>
  <c r="N1386" i="2"/>
  <c r="M1386" i="2"/>
  <c r="L1386" i="2"/>
  <c r="K1386" i="2"/>
  <c r="J1386" i="2"/>
  <c r="I1386" i="2"/>
  <c r="H1386" i="2"/>
  <c r="G1386" i="2"/>
  <c r="F1386" i="2"/>
  <c r="E1386" i="2"/>
  <c r="D1386" i="2"/>
  <c r="C1386" i="2"/>
  <c r="B1386" i="2"/>
  <c r="A1386" i="2"/>
  <c r="AE1385" i="2"/>
  <c r="AD1385" i="2"/>
  <c r="AC1385" i="2"/>
  <c r="AB1385" i="2"/>
  <c r="AA1385" i="2"/>
  <c r="Z1385" i="2"/>
  <c r="Y1385" i="2"/>
  <c r="X1385" i="2"/>
  <c r="W1385" i="2"/>
  <c r="V1385" i="2"/>
  <c r="U1385" i="2"/>
  <c r="T1385" i="2"/>
  <c r="S1385" i="2"/>
  <c r="R1385" i="2"/>
  <c r="Q1385" i="2"/>
  <c r="P1385" i="2"/>
  <c r="O1385" i="2"/>
  <c r="N1385" i="2"/>
  <c r="M1385" i="2"/>
  <c r="L1385" i="2"/>
  <c r="K1385" i="2"/>
  <c r="J1385" i="2"/>
  <c r="I1385" i="2"/>
  <c r="H1385" i="2"/>
  <c r="G1385" i="2"/>
  <c r="F1385" i="2"/>
  <c r="E1385" i="2"/>
  <c r="D1385" i="2"/>
  <c r="C1385" i="2"/>
  <c r="B1385" i="2"/>
  <c r="A1385" i="2"/>
  <c r="AE1384" i="2"/>
  <c r="AD1384" i="2"/>
  <c r="AC1384" i="2"/>
  <c r="AB1384" i="2"/>
  <c r="AA1384" i="2"/>
  <c r="Z1384" i="2"/>
  <c r="Y1384" i="2"/>
  <c r="X1384" i="2"/>
  <c r="W1384" i="2"/>
  <c r="V1384" i="2"/>
  <c r="U1384" i="2"/>
  <c r="T1384" i="2"/>
  <c r="S1384" i="2"/>
  <c r="R1384" i="2"/>
  <c r="Q1384" i="2"/>
  <c r="P1384" i="2"/>
  <c r="O1384" i="2"/>
  <c r="N1384" i="2"/>
  <c r="M1384" i="2"/>
  <c r="L1384" i="2"/>
  <c r="K1384" i="2"/>
  <c r="J1384" i="2"/>
  <c r="I1384" i="2"/>
  <c r="H1384" i="2"/>
  <c r="G1384" i="2"/>
  <c r="F1384" i="2"/>
  <c r="E1384" i="2"/>
  <c r="D1384" i="2"/>
  <c r="C1384" i="2"/>
  <c r="B1384" i="2"/>
  <c r="A1384" i="2"/>
  <c r="AE1383" i="2"/>
  <c r="AD1383" i="2"/>
  <c r="AC1383" i="2"/>
  <c r="AB1383" i="2"/>
  <c r="AA1383" i="2"/>
  <c r="Z1383" i="2"/>
  <c r="Y1383" i="2"/>
  <c r="X1383" i="2"/>
  <c r="W1383" i="2"/>
  <c r="V1383" i="2"/>
  <c r="U1383" i="2"/>
  <c r="T1383" i="2"/>
  <c r="S1383" i="2"/>
  <c r="R1383" i="2"/>
  <c r="Q1383" i="2"/>
  <c r="P1383" i="2"/>
  <c r="O1383" i="2"/>
  <c r="N1383" i="2"/>
  <c r="M1383" i="2"/>
  <c r="L1383" i="2"/>
  <c r="K1383" i="2"/>
  <c r="J1383" i="2"/>
  <c r="I1383" i="2"/>
  <c r="H1383" i="2"/>
  <c r="G1383" i="2"/>
  <c r="F1383" i="2"/>
  <c r="E1383" i="2"/>
  <c r="D1383" i="2"/>
  <c r="C1383" i="2"/>
  <c r="B1383" i="2"/>
  <c r="A1383" i="2"/>
  <c r="AE1382" i="2"/>
  <c r="AD1382" i="2"/>
  <c r="AC1382" i="2"/>
  <c r="AB1382" i="2"/>
  <c r="AA1382" i="2"/>
  <c r="Z1382" i="2"/>
  <c r="Y1382" i="2"/>
  <c r="X1382" i="2"/>
  <c r="W1382" i="2"/>
  <c r="V1382" i="2"/>
  <c r="U1382" i="2"/>
  <c r="T1382" i="2"/>
  <c r="S1382" i="2"/>
  <c r="R1382" i="2"/>
  <c r="Q1382" i="2"/>
  <c r="P1382" i="2"/>
  <c r="O1382" i="2"/>
  <c r="N1382" i="2"/>
  <c r="M1382" i="2"/>
  <c r="L1382" i="2"/>
  <c r="K1382" i="2"/>
  <c r="J1382" i="2"/>
  <c r="I1382" i="2"/>
  <c r="H1382" i="2"/>
  <c r="G1382" i="2"/>
  <c r="F1382" i="2"/>
  <c r="E1382" i="2"/>
  <c r="D1382" i="2"/>
  <c r="C1382" i="2"/>
  <c r="B1382" i="2"/>
  <c r="A1382" i="2"/>
  <c r="AE1381" i="2"/>
  <c r="AD1381" i="2"/>
  <c r="AC1381" i="2"/>
  <c r="AB1381" i="2"/>
  <c r="AA1381" i="2"/>
  <c r="Z1381" i="2"/>
  <c r="Y1381" i="2"/>
  <c r="X1381" i="2"/>
  <c r="W1381" i="2"/>
  <c r="V1381" i="2"/>
  <c r="U1381" i="2"/>
  <c r="T1381" i="2"/>
  <c r="S1381" i="2"/>
  <c r="R1381" i="2"/>
  <c r="Q1381" i="2"/>
  <c r="P1381" i="2"/>
  <c r="O1381" i="2"/>
  <c r="N1381" i="2"/>
  <c r="M1381" i="2"/>
  <c r="L1381" i="2"/>
  <c r="K1381" i="2"/>
  <c r="J1381" i="2"/>
  <c r="I1381" i="2"/>
  <c r="H1381" i="2"/>
  <c r="G1381" i="2"/>
  <c r="F1381" i="2"/>
  <c r="E1381" i="2"/>
  <c r="D1381" i="2"/>
  <c r="C1381" i="2"/>
  <c r="B1381" i="2"/>
  <c r="A1381" i="2"/>
  <c r="AE1380" i="2"/>
  <c r="AD1380" i="2"/>
  <c r="AC1380" i="2"/>
  <c r="AB1380" i="2"/>
  <c r="AA1380" i="2"/>
  <c r="Z1380" i="2"/>
  <c r="Y1380" i="2"/>
  <c r="X1380" i="2"/>
  <c r="W1380" i="2"/>
  <c r="V1380" i="2"/>
  <c r="U1380" i="2"/>
  <c r="T1380" i="2"/>
  <c r="S1380" i="2"/>
  <c r="R1380" i="2"/>
  <c r="Q1380" i="2"/>
  <c r="P1380" i="2"/>
  <c r="O1380" i="2"/>
  <c r="N1380" i="2"/>
  <c r="M1380" i="2"/>
  <c r="L1380" i="2"/>
  <c r="K1380" i="2"/>
  <c r="J1380" i="2"/>
  <c r="I1380" i="2"/>
  <c r="H1380" i="2"/>
  <c r="G1380" i="2"/>
  <c r="F1380" i="2"/>
  <c r="E1380" i="2"/>
  <c r="D1380" i="2"/>
  <c r="C1380" i="2"/>
  <c r="B1380" i="2"/>
  <c r="A1380" i="2"/>
  <c r="AE1379" i="2"/>
  <c r="AD1379" i="2"/>
  <c r="AC1379" i="2"/>
  <c r="AB1379" i="2"/>
  <c r="AA1379" i="2"/>
  <c r="Z1379" i="2"/>
  <c r="Y1379" i="2"/>
  <c r="X1379" i="2"/>
  <c r="W1379" i="2"/>
  <c r="V1379" i="2"/>
  <c r="U1379" i="2"/>
  <c r="T1379" i="2"/>
  <c r="S1379" i="2"/>
  <c r="R1379" i="2"/>
  <c r="Q1379" i="2"/>
  <c r="P1379" i="2"/>
  <c r="O1379" i="2"/>
  <c r="N1379" i="2"/>
  <c r="M1379" i="2"/>
  <c r="L1379" i="2"/>
  <c r="K1379" i="2"/>
  <c r="J1379" i="2"/>
  <c r="I1379" i="2"/>
  <c r="H1379" i="2"/>
  <c r="G1379" i="2"/>
  <c r="F1379" i="2"/>
  <c r="E1379" i="2"/>
  <c r="D1379" i="2"/>
  <c r="C1379" i="2"/>
  <c r="B1379" i="2"/>
  <c r="A1379" i="2"/>
  <c r="AE1378" i="2"/>
  <c r="AD1378" i="2"/>
  <c r="AC1378" i="2"/>
  <c r="AB1378" i="2"/>
  <c r="AA1378" i="2"/>
  <c r="Z1378" i="2"/>
  <c r="Y1378" i="2"/>
  <c r="X1378" i="2"/>
  <c r="W1378" i="2"/>
  <c r="V1378" i="2"/>
  <c r="U1378" i="2"/>
  <c r="T1378" i="2"/>
  <c r="S1378" i="2"/>
  <c r="R1378" i="2"/>
  <c r="Q1378" i="2"/>
  <c r="P1378" i="2"/>
  <c r="O1378" i="2"/>
  <c r="N1378" i="2"/>
  <c r="M1378" i="2"/>
  <c r="L1378" i="2"/>
  <c r="K1378" i="2"/>
  <c r="J1378" i="2"/>
  <c r="I1378" i="2"/>
  <c r="H1378" i="2"/>
  <c r="G1378" i="2"/>
  <c r="F1378" i="2"/>
  <c r="E1378" i="2"/>
  <c r="D1378" i="2"/>
  <c r="C1378" i="2"/>
  <c r="B1378" i="2"/>
  <c r="A1378" i="2"/>
  <c r="AE1377" i="2"/>
  <c r="AD1377" i="2"/>
  <c r="AC1377" i="2"/>
  <c r="AB1377" i="2"/>
  <c r="AA1377" i="2"/>
  <c r="Z1377" i="2"/>
  <c r="Y1377" i="2"/>
  <c r="X1377" i="2"/>
  <c r="W1377" i="2"/>
  <c r="V1377" i="2"/>
  <c r="U1377" i="2"/>
  <c r="T1377" i="2"/>
  <c r="S1377" i="2"/>
  <c r="R1377" i="2"/>
  <c r="Q1377" i="2"/>
  <c r="P1377" i="2"/>
  <c r="O1377" i="2"/>
  <c r="N1377" i="2"/>
  <c r="M1377" i="2"/>
  <c r="L1377" i="2"/>
  <c r="K1377" i="2"/>
  <c r="J1377" i="2"/>
  <c r="I1377" i="2"/>
  <c r="H1377" i="2"/>
  <c r="G1377" i="2"/>
  <c r="F1377" i="2"/>
  <c r="E1377" i="2"/>
  <c r="D1377" i="2"/>
  <c r="C1377" i="2"/>
  <c r="B1377" i="2"/>
  <c r="A1377" i="2"/>
  <c r="AE1376" i="2"/>
  <c r="AD1376" i="2"/>
  <c r="AC1376" i="2"/>
  <c r="AB1376" i="2"/>
  <c r="AA1376" i="2"/>
  <c r="Z1376" i="2"/>
  <c r="Y1376" i="2"/>
  <c r="X1376" i="2"/>
  <c r="W1376" i="2"/>
  <c r="V1376" i="2"/>
  <c r="U1376" i="2"/>
  <c r="T1376" i="2"/>
  <c r="S1376" i="2"/>
  <c r="R1376" i="2"/>
  <c r="Q1376" i="2"/>
  <c r="P1376" i="2"/>
  <c r="O1376" i="2"/>
  <c r="N1376" i="2"/>
  <c r="M1376" i="2"/>
  <c r="L1376" i="2"/>
  <c r="K1376" i="2"/>
  <c r="J1376" i="2"/>
  <c r="I1376" i="2"/>
  <c r="H1376" i="2"/>
  <c r="G1376" i="2"/>
  <c r="F1376" i="2"/>
  <c r="E1376" i="2"/>
  <c r="D1376" i="2"/>
  <c r="C1376" i="2"/>
  <c r="B1376" i="2"/>
  <c r="A1376" i="2"/>
  <c r="AE1375" i="2"/>
  <c r="AD1375" i="2"/>
  <c r="AC1375" i="2"/>
  <c r="AB1375" i="2"/>
  <c r="AA1375" i="2"/>
  <c r="Z1375" i="2"/>
  <c r="Y1375" i="2"/>
  <c r="X1375" i="2"/>
  <c r="W1375" i="2"/>
  <c r="V1375" i="2"/>
  <c r="U1375" i="2"/>
  <c r="T1375" i="2"/>
  <c r="S1375" i="2"/>
  <c r="R1375" i="2"/>
  <c r="Q1375" i="2"/>
  <c r="P1375" i="2"/>
  <c r="O1375" i="2"/>
  <c r="N1375" i="2"/>
  <c r="M1375" i="2"/>
  <c r="L1375" i="2"/>
  <c r="K1375" i="2"/>
  <c r="J1375" i="2"/>
  <c r="I1375" i="2"/>
  <c r="H1375" i="2"/>
  <c r="G1375" i="2"/>
  <c r="F1375" i="2"/>
  <c r="E1375" i="2"/>
  <c r="D1375" i="2"/>
  <c r="C1375" i="2"/>
  <c r="B1375" i="2"/>
  <c r="A1375" i="2"/>
  <c r="AE1374" i="2"/>
  <c r="AD1374" i="2"/>
  <c r="AC1374" i="2"/>
  <c r="AB1374" i="2"/>
  <c r="AA1374" i="2"/>
  <c r="Z1374" i="2"/>
  <c r="Y1374" i="2"/>
  <c r="X1374" i="2"/>
  <c r="W1374" i="2"/>
  <c r="V1374" i="2"/>
  <c r="U1374" i="2"/>
  <c r="T1374" i="2"/>
  <c r="S1374" i="2"/>
  <c r="R1374" i="2"/>
  <c r="Q1374" i="2"/>
  <c r="P1374" i="2"/>
  <c r="O1374" i="2"/>
  <c r="N1374" i="2"/>
  <c r="M1374" i="2"/>
  <c r="L1374" i="2"/>
  <c r="K1374" i="2"/>
  <c r="J1374" i="2"/>
  <c r="I1374" i="2"/>
  <c r="H1374" i="2"/>
  <c r="G1374" i="2"/>
  <c r="F1374" i="2"/>
  <c r="E1374" i="2"/>
  <c r="D1374" i="2"/>
  <c r="C1374" i="2"/>
  <c r="B1374" i="2"/>
  <c r="A1374" i="2"/>
  <c r="AE1373" i="2"/>
  <c r="AD1373" i="2"/>
  <c r="AC1373" i="2"/>
  <c r="AB1373" i="2"/>
  <c r="AA1373" i="2"/>
  <c r="Z1373" i="2"/>
  <c r="Y1373" i="2"/>
  <c r="X1373" i="2"/>
  <c r="W1373" i="2"/>
  <c r="V1373" i="2"/>
  <c r="U1373" i="2"/>
  <c r="T1373" i="2"/>
  <c r="S1373" i="2"/>
  <c r="R1373" i="2"/>
  <c r="Q1373" i="2"/>
  <c r="P1373" i="2"/>
  <c r="O1373" i="2"/>
  <c r="N1373" i="2"/>
  <c r="M1373" i="2"/>
  <c r="L1373" i="2"/>
  <c r="K1373" i="2"/>
  <c r="J1373" i="2"/>
  <c r="I1373" i="2"/>
  <c r="H1373" i="2"/>
  <c r="G1373" i="2"/>
  <c r="F1373" i="2"/>
  <c r="E1373" i="2"/>
  <c r="D1373" i="2"/>
  <c r="C1373" i="2"/>
  <c r="B1373" i="2"/>
  <c r="A1373" i="2"/>
  <c r="AE1372" i="2"/>
  <c r="AD1372" i="2"/>
  <c r="AC1372" i="2"/>
  <c r="AB1372" i="2"/>
  <c r="AA1372" i="2"/>
  <c r="Z1372" i="2"/>
  <c r="Y1372" i="2"/>
  <c r="X1372" i="2"/>
  <c r="W1372" i="2"/>
  <c r="V1372" i="2"/>
  <c r="U1372" i="2"/>
  <c r="T1372" i="2"/>
  <c r="S1372" i="2"/>
  <c r="R1372" i="2"/>
  <c r="Q1372" i="2"/>
  <c r="P1372" i="2"/>
  <c r="O1372" i="2"/>
  <c r="N1372" i="2"/>
  <c r="M1372" i="2"/>
  <c r="L1372" i="2"/>
  <c r="K1372" i="2"/>
  <c r="J1372" i="2"/>
  <c r="I1372" i="2"/>
  <c r="H1372" i="2"/>
  <c r="G1372" i="2"/>
  <c r="F1372" i="2"/>
  <c r="E1372" i="2"/>
  <c r="D1372" i="2"/>
  <c r="C1372" i="2"/>
  <c r="B1372" i="2"/>
  <c r="A1372" i="2"/>
  <c r="AE1371" i="2"/>
  <c r="AD1371" i="2"/>
  <c r="AC1371" i="2"/>
  <c r="AB1371" i="2"/>
  <c r="AA1371" i="2"/>
  <c r="Z1371" i="2"/>
  <c r="Y1371" i="2"/>
  <c r="X1371" i="2"/>
  <c r="W1371" i="2"/>
  <c r="V1371" i="2"/>
  <c r="U1371" i="2"/>
  <c r="T1371" i="2"/>
  <c r="S1371" i="2"/>
  <c r="R1371" i="2"/>
  <c r="Q1371" i="2"/>
  <c r="P1371" i="2"/>
  <c r="O1371" i="2"/>
  <c r="N1371" i="2"/>
  <c r="M1371" i="2"/>
  <c r="L1371" i="2"/>
  <c r="K1371" i="2"/>
  <c r="J1371" i="2"/>
  <c r="I1371" i="2"/>
  <c r="H1371" i="2"/>
  <c r="G1371" i="2"/>
  <c r="F1371" i="2"/>
  <c r="E1371" i="2"/>
  <c r="D1371" i="2"/>
  <c r="C1371" i="2"/>
  <c r="B1371" i="2"/>
  <c r="A1371" i="2"/>
  <c r="AE1370" i="2"/>
  <c r="AD1370" i="2"/>
  <c r="AC1370" i="2"/>
  <c r="AB1370" i="2"/>
  <c r="AA1370" i="2"/>
  <c r="Z1370" i="2"/>
  <c r="Y1370" i="2"/>
  <c r="X1370" i="2"/>
  <c r="W1370" i="2"/>
  <c r="V1370" i="2"/>
  <c r="U1370" i="2"/>
  <c r="T1370" i="2"/>
  <c r="S1370" i="2"/>
  <c r="R1370" i="2"/>
  <c r="Q1370" i="2"/>
  <c r="P1370" i="2"/>
  <c r="O1370" i="2"/>
  <c r="N1370" i="2"/>
  <c r="M1370" i="2"/>
  <c r="L1370" i="2"/>
  <c r="K1370" i="2"/>
  <c r="J1370" i="2"/>
  <c r="I1370" i="2"/>
  <c r="H1370" i="2"/>
  <c r="G1370" i="2"/>
  <c r="F1370" i="2"/>
  <c r="E1370" i="2"/>
  <c r="D1370" i="2"/>
  <c r="C1370" i="2"/>
  <c r="B1370" i="2"/>
  <c r="A1370" i="2"/>
  <c r="AE1369" i="2"/>
  <c r="AD1369" i="2"/>
  <c r="AC1369" i="2"/>
  <c r="AB1369" i="2"/>
  <c r="AA1369" i="2"/>
  <c r="Z1369" i="2"/>
  <c r="Y1369" i="2"/>
  <c r="X1369" i="2"/>
  <c r="W1369" i="2"/>
  <c r="V1369" i="2"/>
  <c r="U1369" i="2"/>
  <c r="T1369" i="2"/>
  <c r="S1369" i="2"/>
  <c r="R1369" i="2"/>
  <c r="Q1369" i="2"/>
  <c r="P1369" i="2"/>
  <c r="O1369" i="2"/>
  <c r="N1369" i="2"/>
  <c r="M1369" i="2"/>
  <c r="L1369" i="2"/>
  <c r="K1369" i="2"/>
  <c r="J1369" i="2"/>
  <c r="I1369" i="2"/>
  <c r="H1369" i="2"/>
  <c r="G1369" i="2"/>
  <c r="F1369" i="2"/>
  <c r="E1369" i="2"/>
  <c r="D1369" i="2"/>
  <c r="C1369" i="2"/>
  <c r="B1369" i="2"/>
  <c r="A1369" i="2"/>
  <c r="AE1368" i="2"/>
  <c r="AD1368" i="2"/>
  <c r="AC1368" i="2"/>
  <c r="AB1368" i="2"/>
  <c r="AA1368" i="2"/>
  <c r="Z1368" i="2"/>
  <c r="Y1368" i="2"/>
  <c r="X1368" i="2"/>
  <c r="W1368" i="2"/>
  <c r="V1368" i="2"/>
  <c r="U1368" i="2"/>
  <c r="T1368" i="2"/>
  <c r="S1368" i="2"/>
  <c r="R1368" i="2"/>
  <c r="Q1368" i="2"/>
  <c r="P1368" i="2"/>
  <c r="O1368" i="2"/>
  <c r="N1368" i="2"/>
  <c r="M1368" i="2"/>
  <c r="L1368" i="2"/>
  <c r="K1368" i="2"/>
  <c r="J1368" i="2"/>
  <c r="I1368" i="2"/>
  <c r="H1368" i="2"/>
  <c r="G1368" i="2"/>
  <c r="F1368" i="2"/>
  <c r="E1368" i="2"/>
  <c r="D1368" i="2"/>
  <c r="C1368" i="2"/>
  <c r="B1368" i="2"/>
  <c r="A1368" i="2"/>
  <c r="AE1367" i="2"/>
  <c r="AD1367" i="2"/>
  <c r="AC1367" i="2"/>
  <c r="AB1367" i="2"/>
  <c r="AA1367" i="2"/>
  <c r="Z1367" i="2"/>
  <c r="Y1367" i="2"/>
  <c r="X1367" i="2"/>
  <c r="W1367" i="2"/>
  <c r="V1367" i="2"/>
  <c r="U1367" i="2"/>
  <c r="T1367" i="2"/>
  <c r="S1367" i="2"/>
  <c r="R1367" i="2"/>
  <c r="Q1367" i="2"/>
  <c r="P1367" i="2"/>
  <c r="O1367" i="2"/>
  <c r="N1367" i="2"/>
  <c r="M1367" i="2"/>
  <c r="L1367" i="2"/>
  <c r="K1367" i="2"/>
  <c r="J1367" i="2"/>
  <c r="I1367" i="2"/>
  <c r="H1367" i="2"/>
  <c r="G1367" i="2"/>
  <c r="F1367" i="2"/>
  <c r="E1367" i="2"/>
  <c r="D1367" i="2"/>
  <c r="C1367" i="2"/>
  <c r="B1367" i="2"/>
  <c r="A1367" i="2"/>
  <c r="AE1366" i="2"/>
  <c r="AD1366" i="2"/>
  <c r="AC1366" i="2"/>
  <c r="AB1366" i="2"/>
  <c r="AA1366" i="2"/>
  <c r="Z1366" i="2"/>
  <c r="Y1366" i="2"/>
  <c r="X1366" i="2"/>
  <c r="W1366" i="2"/>
  <c r="V1366" i="2"/>
  <c r="U1366" i="2"/>
  <c r="T1366" i="2"/>
  <c r="S1366" i="2"/>
  <c r="R1366" i="2"/>
  <c r="Q1366" i="2"/>
  <c r="P1366" i="2"/>
  <c r="O1366" i="2"/>
  <c r="N1366" i="2"/>
  <c r="M1366" i="2"/>
  <c r="L1366" i="2"/>
  <c r="K1366" i="2"/>
  <c r="J1366" i="2"/>
  <c r="I1366" i="2"/>
  <c r="H1366" i="2"/>
  <c r="G1366" i="2"/>
  <c r="F1366" i="2"/>
  <c r="E1366" i="2"/>
  <c r="D1366" i="2"/>
  <c r="C1366" i="2"/>
  <c r="B1366" i="2"/>
  <c r="A1366" i="2"/>
  <c r="AE1365" i="2"/>
  <c r="AD1365" i="2"/>
  <c r="AC1365" i="2"/>
  <c r="AB1365" i="2"/>
  <c r="AA1365" i="2"/>
  <c r="Z1365" i="2"/>
  <c r="Y1365" i="2"/>
  <c r="X1365" i="2"/>
  <c r="W1365" i="2"/>
  <c r="V1365" i="2"/>
  <c r="U1365" i="2"/>
  <c r="T1365" i="2"/>
  <c r="S1365" i="2"/>
  <c r="R1365" i="2"/>
  <c r="Q1365" i="2"/>
  <c r="P1365" i="2"/>
  <c r="O1365" i="2"/>
  <c r="N1365" i="2"/>
  <c r="M1365" i="2"/>
  <c r="L1365" i="2"/>
  <c r="K1365" i="2"/>
  <c r="J1365" i="2"/>
  <c r="I1365" i="2"/>
  <c r="H1365" i="2"/>
  <c r="G1365" i="2"/>
  <c r="F1365" i="2"/>
  <c r="E1365" i="2"/>
  <c r="D1365" i="2"/>
  <c r="C1365" i="2"/>
  <c r="B1365" i="2"/>
  <c r="A1365" i="2"/>
  <c r="AE1364" i="2"/>
  <c r="AD1364" i="2"/>
  <c r="AC1364" i="2"/>
  <c r="AB1364" i="2"/>
  <c r="AA1364" i="2"/>
  <c r="Z1364" i="2"/>
  <c r="Y1364" i="2"/>
  <c r="X1364" i="2"/>
  <c r="W1364" i="2"/>
  <c r="V1364" i="2"/>
  <c r="U1364" i="2"/>
  <c r="T1364" i="2"/>
  <c r="S1364" i="2"/>
  <c r="R1364" i="2"/>
  <c r="Q1364" i="2"/>
  <c r="P1364" i="2"/>
  <c r="O1364" i="2"/>
  <c r="N1364" i="2"/>
  <c r="M1364" i="2"/>
  <c r="L1364" i="2"/>
  <c r="K1364" i="2"/>
  <c r="J1364" i="2"/>
  <c r="I1364" i="2"/>
  <c r="H1364" i="2"/>
  <c r="G1364" i="2"/>
  <c r="F1364" i="2"/>
  <c r="E1364" i="2"/>
  <c r="D1364" i="2"/>
  <c r="C1364" i="2"/>
  <c r="B1364" i="2"/>
  <c r="A1364" i="2"/>
  <c r="AE1363" i="2"/>
  <c r="AD1363" i="2"/>
  <c r="AC1363" i="2"/>
  <c r="AB1363" i="2"/>
  <c r="AA1363" i="2"/>
  <c r="Z1363" i="2"/>
  <c r="Y1363" i="2"/>
  <c r="X1363" i="2"/>
  <c r="W1363" i="2"/>
  <c r="V1363" i="2"/>
  <c r="U1363" i="2"/>
  <c r="T1363" i="2"/>
  <c r="S1363" i="2"/>
  <c r="R1363" i="2"/>
  <c r="Q1363" i="2"/>
  <c r="P1363" i="2"/>
  <c r="O1363" i="2"/>
  <c r="N1363" i="2"/>
  <c r="M1363" i="2"/>
  <c r="L1363" i="2"/>
  <c r="K1363" i="2"/>
  <c r="J1363" i="2"/>
  <c r="I1363" i="2"/>
  <c r="H1363" i="2"/>
  <c r="G1363" i="2"/>
  <c r="F1363" i="2"/>
  <c r="E1363" i="2"/>
  <c r="D1363" i="2"/>
  <c r="C1363" i="2"/>
  <c r="B1363" i="2"/>
  <c r="A1363" i="2"/>
  <c r="AE1362" i="2"/>
  <c r="AD1362" i="2"/>
  <c r="AC1362" i="2"/>
  <c r="AB1362" i="2"/>
  <c r="AA1362" i="2"/>
  <c r="Z1362" i="2"/>
  <c r="Y1362" i="2"/>
  <c r="X1362" i="2"/>
  <c r="W1362" i="2"/>
  <c r="V1362" i="2"/>
  <c r="U1362" i="2"/>
  <c r="T1362" i="2"/>
  <c r="S1362" i="2"/>
  <c r="R1362" i="2"/>
  <c r="Q1362" i="2"/>
  <c r="P1362" i="2"/>
  <c r="O1362" i="2"/>
  <c r="N1362" i="2"/>
  <c r="M1362" i="2"/>
  <c r="L1362" i="2"/>
  <c r="K1362" i="2"/>
  <c r="J1362" i="2"/>
  <c r="I1362" i="2"/>
  <c r="H1362" i="2"/>
  <c r="G1362" i="2"/>
  <c r="F1362" i="2"/>
  <c r="E1362" i="2"/>
  <c r="D1362" i="2"/>
  <c r="C1362" i="2"/>
  <c r="B1362" i="2"/>
  <c r="A1362" i="2"/>
  <c r="AE1361" i="2"/>
  <c r="AD1361" i="2"/>
  <c r="AC1361" i="2"/>
  <c r="AB1361" i="2"/>
  <c r="AA1361" i="2"/>
  <c r="Z1361" i="2"/>
  <c r="Y1361" i="2"/>
  <c r="X1361" i="2"/>
  <c r="W1361" i="2"/>
  <c r="V1361" i="2"/>
  <c r="U1361" i="2"/>
  <c r="T1361" i="2"/>
  <c r="S1361" i="2"/>
  <c r="R1361" i="2"/>
  <c r="Q1361" i="2"/>
  <c r="P1361" i="2"/>
  <c r="O1361" i="2"/>
  <c r="N1361" i="2"/>
  <c r="M1361" i="2"/>
  <c r="L1361" i="2"/>
  <c r="K1361" i="2"/>
  <c r="J1361" i="2"/>
  <c r="I1361" i="2"/>
  <c r="H1361" i="2"/>
  <c r="G1361" i="2"/>
  <c r="F1361" i="2"/>
  <c r="E1361" i="2"/>
  <c r="D1361" i="2"/>
  <c r="C1361" i="2"/>
  <c r="B1361" i="2"/>
  <c r="A1361" i="2"/>
  <c r="AE1360" i="2"/>
  <c r="AD1360" i="2"/>
  <c r="AC1360" i="2"/>
  <c r="AB1360" i="2"/>
  <c r="AA1360" i="2"/>
  <c r="Z1360" i="2"/>
  <c r="Y1360" i="2"/>
  <c r="X1360" i="2"/>
  <c r="W1360" i="2"/>
  <c r="V1360" i="2"/>
  <c r="U1360" i="2"/>
  <c r="T1360" i="2"/>
  <c r="S1360" i="2"/>
  <c r="R1360" i="2"/>
  <c r="Q1360" i="2"/>
  <c r="P1360" i="2"/>
  <c r="O1360" i="2"/>
  <c r="N1360" i="2"/>
  <c r="M1360" i="2"/>
  <c r="L1360" i="2"/>
  <c r="K1360" i="2"/>
  <c r="J1360" i="2"/>
  <c r="I1360" i="2"/>
  <c r="H1360" i="2"/>
  <c r="G1360" i="2"/>
  <c r="F1360" i="2"/>
  <c r="E1360" i="2"/>
  <c r="D1360" i="2"/>
  <c r="C1360" i="2"/>
  <c r="B1360" i="2"/>
  <c r="A1360" i="2"/>
  <c r="AE1359" i="2"/>
  <c r="AD1359" i="2"/>
  <c r="AC1359" i="2"/>
  <c r="AB1359" i="2"/>
  <c r="AA1359" i="2"/>
  <c r="Z1359" i="2"/>
  <c r="Y1359" i="2"/>
  <c r="X1359" i="2"/>
  <c r="W1359" i="2"/>
  <c r="V1359" i="2"/>
  <c r="U1359" i="2"/>
  <c r="T1359" i="2"/>
  <c r="S1359" i="2"/>
  <c r="R1359" i="2"/>
  <c r="Q1359" i="2"/>
  <c r="P1359" i="2"/>
  <c r="O1359" i="2"/>
  <c r="N1359" i="2"/>
  <c r="M1359" i="2"/>
  <c r="L1359" i="2"/>
  <c r="K1359" i="2"/>
  <c r="J1359" i="2"/>
  <c r="I1359" i="2"/>
  <c r="H1359" i="2"/>
  <c r="G1359" i="2"/>
  <c r="F1359" i="2"/>
  <c r="E1359" i="2"/>
  <c r="D1359" i="2"/>
  <c r="C1359" i="2"/>
  <c r="B1359" i="2"/>
  <c r="A1359" i="2"/>
  <c r="AE1358" i="2"/>
  <c r="AD1358" i="2"/>
  <c r="AC1358" i="2"/>
  <c r="AB1358" i="2"/>
  <c r="AA1358" i="2"/>
  <c r="Z1358" i="2"/>
  <c r="Y1358" i="2"/>
  <c r="X1358" i="2"/>
  <c r="W1358" i="2"/>
  <c r="V1358" i="2"/>
  <c r="U1358" i="2"/>
  <c r="T1358" i="2"/>
  <c r="S1358" i="2"/>
  <c r="R1358" i="2"/>
  <c r="Q1358" i="2"/>
  <c r="P1358" i="2"/>
  <c r="O1358" i="2"/>
  <c r="N1358" i="2"/>
  <c r="M1358" i="2"/>
  <c r="L1358" i="2"/>
  <c r="K1358" i="2"/>
  <c r="J1358" i="2"/>
  <c r="I1358" i="2"/>
  <c r="H1358" i="2"/>
  <c r="G1358" i="2"/>
  <c r="F1358" i="2"/>
  <c r="E1358" i="2"/>
  <c r="D1358" i="2"/>
  <c r="C1358" i="2"/>
  <c r="B1358" i="2"/>
  <c r="A1358" i="2"/>
  <c r="AE1357" i="2"/>
  <c r="AD1357" i="2"/>
  <c r="AC1357" i="2"/>
  <c r="AB1357" i="2"/>
  <c r="AA1357" i="2"/>
  <c r="Z1357" i="2"/>
  <c r="Y1357" i="2"/>
  <c r="X1357" i="2"/>
  <c r="W1357" i="2"/>
  <c r="V1357" i="2"/>
  <c r="U1357" i="2"/>
  <c r="T1357" i="2"/>
  <c r="S1357" i="2"/>
  <c r="R1357" i="2"/>
  <c r="Q1357" i="2"/>
  <c r="P1357" i="2"/>
  <c r="O1357" i="2"/>
  <c r="N1357" i="2"/>
  <c r="M1357" i="2"/>
  <c r="L1357" i="2"/>
  <c r="K1357" i="2"/>
  <c r="J1357" i="2"/>
  <c r="I1357" i="2"/>
  <c r="H1357" i="2"/>
  <c r="G1357" i="2"/>
  <c r="F1357" i="2"/>
  <c r="E1357" i="2"/>
  <c r="D1357" i="2"/>
  <c r="C1357" i="2"/>
  <c r="B1357" i="2"/>
  <c r="A1357" i="2"/>
  <c r="AE1356" i="2"/>
  <c r="AD1356" i="2"/>
  <c r="AC1356" i="2"/>
  <c r="AB1356" i="2"/>
  <c r="AA1356" i="2"/>
  <c r="Z1356" i="2"/>
  <c r="Y1356" i="2"/>
  <c r="X1356" i="2"/>
  <c r="W1356" i="2"/>
  <c r="V1356" i="2"/>
  <c r="U1356" i="2"/>
  <c r="T1356" i="2"/>
  <c r="S1356" i="2"/>
  <c r="R1356" i="2"/>
  <c r="Q1356" i="2"/>
  <c r="P1356" i="2"/>
  <c r="O1356" i="2"/>
  <c r="N1356" i="2"/>
  <c r="M1356" i="2"/>
  <c r="L1356" i="2"/>
  <c r="K1356" i="2"/>
  <c r="J1356" i="2"/>
  <c r="I1356" i="2"/>
  <c r="H1356" i="2"/>
  <c r="G1356" i="2"/>
  <c r="F1356" i="2"/>
  <c r="E1356" i="2"/>
  <c r="D1356" i="2"/>
  <c r="C1356" i="2"/>
  <c r="B1356" i="2"/>
  <c r="A1356" i="2"/>
  <c r="AE1355" i="2"/>
  <c r="AD1355" i="2"/>
  <c r="AC1355" i="2"/>
  <c r="AB1355" i="2"/>
  <c r="AA1355" i="2"/>
  <c r="Z1355" i="2"/>
  <c r="Y1355" i="2"/>
  <c r="X1355" i="2"/>
  <c r="W1355" i="2"/>
  <c r="V1355" i="2"/>
  <c r="U1355" i="2"/>
  <c r="T1355" i="2"/>
  <c r="S1355" i="2"/>
  <c r="R1355" i="2"/>
  <c r="Q1355" i="2"/>
  <c r="P1355" i="2"/>
  <c r="O1355" i="2"/>
  <c r="N1355" i="2"/>
  <c r="M1355" i="2"/>
  <c r="L1355" i="2"/>
  <c r="K1355" i="2"/>
  <c r="J1355" i="2"/>
  <c r="I1355" i="2"/>
  <c r="H1355" i="2"/>
  <c r="G1355" i="2"/>
  <c r="F1355" i="2"/>
  <c r="E1355" i="2"/>
  <c r="D1355" i="2"/>
  <c r="C1355" i="2"/>
  <c r="B1355" i="2"/>
  <c r="A1355" i="2"/>
  <c r="AE1354" i="2"/>
  <c r="AD1354" i="2"/>
  <c r="AC1354" i="2"/>
  <c r="AB1354" i="2"/>
  <c r="AA1354" i="2"/>
  <c r="Z1354" i="2"/>
  <c r="Y1354" i="2"/>
  <c r="X1354" i="2"/>
  <c r="W1354" i="2"/>
  <c r="V1354" i="2"/>
  <c r="U1354" i="2"/>
  <c r="T1354" i="2"/>
  <c r="S1354" i="2"/>
  <c r="R1354" i="2"/>
  <c r="Q1354" i="2"/>
  <c r="P1354" i="2"/>
  <c r="O1354" i="2"/>
  <c r="N1354" i="2"/>
  <c r="M1354" i="2"/>
  <c r="L1354" i="2"/>
  <c r="K1354" i="2"/>
  <c r="J1354" i="2"/>
  <c r="I1354" i="2"/>
  <c r="H1354" i="2"/>
  <c r="G1354" i="2"/>
  <c r="F1354" i="2"/>
  <c r="E1354" i="2"/>
  <c r="D1354" i="2"/>
  <c r="C1354" i="2"/>
  <c r="B1354" i="2"/>
  <c r="A1354" i="2"/>
  <c r="AE1353" i="2"/>
  <c r="AD1353" i="2"/>
  <c r="AC1353" i="2"/>
  <c r="AB1353" i="2"/>
  <c r="AA1353" i="2"/>
  <c r="Z1353" i="2"/>
  <c r="Y1353" i="2"/>
  <c r="X1353" i="2"/>
  <c r="W1353" i="2"/>
  <c r="V1353" i="2"/>
  <c r="U1353" i="2"/>
  <c r="T1353" i="2"/>
  <c r="S1353" i="2"/>
  <c r="R1353" i="2"/>
  <c r="Q1353" i="2"/>
  <c r="P1353" i="2"/>
  <c r="O1353" i="2"/>
  <c r="N1353" i="2"/>
  <c r="M1353" i="2"/>
  <c r="L1353" i="2"/>
  <c r="K1353" i="2"/>
  <c r="J1353" i="2"/>
  <c r="I1353" i="2"/>
  <c r="H1353" i="2"/>
  <c r="G1353" i="2"/>
  <c r="F1353" i="2"/>
  <c r="E1353" i="2"/>
  <c r="D1353" i="2"/>
  <c r="C1353" i="2"/>
  <c r="B1353" i="2"/>
  <c r="A1353" i="2"/>
  <c r="AE1352" i="2"/>
  <c r="AD1352" i="2"/>
  <c r="AC1352" i="2"/>
  <c r="AB1352" i="2"/>
  <c r="AA1352" i="2"/>
  <c r="Z1352" i="2"/>
  <c r="Y1352" i="2"/>
  <c r="X1352" i="2"/>
  <c r="W1352" i="2"/>
  <c r="V1352" i="2"/>
  <c r="U1352" i="2"/>
  <c r="T1352" i="2"/>
  <c r="S1352" i="2"/>
  <c r="R1352" i="2"/>
  <c r="Q1352" i="2"/>
  <c r="P1352" i="2"/>
  <c r="O1352" i="2"/>
  <c r="N1352" i="2"/>
  <c r="M1352" i="2"/>
  <c r="L1352" i="2"/>
  <c r="K1352" i="2"/>
  <c r="J1352" i="2"/>
  <c r="I1352" i="2"/>
  <c r="H1352" i="2"/>
  <c r="G1352" i="2"/>
  <c r="F1352" i="2"/>
  <c r="E1352" i="2"/>
  <c r="D1352" i="2"/>
  <c r="C1352" i="2"/>
  <c r="B1352" i="2"/>
  <c r="A1352" i="2"/>
  <c r="AE1351" i="2"/>
  <c r="AD1351" i="2"/>
  <c r="AC1351" i="2"/>
  <c r="AB1351" i="2"/>
  <c r="AA1351" i="2"/>
  <c r="Z1351" i="2"/>
  <c r="Y1351" i="2"/>
  <c r="X1351" i="2"/>
  <c r="W1351" i="2"/>
  <c r="V1351" i="2"/>
  <c r="U1351" i="2"/>
  <c r="T1351" i="2"/>
  <c r="S1351" i="2"/>
  <c r="R1351" i="2"/>
  <c r="Q1351" i="2"/>
  <c r="P1351" i="2"/>
  <c r="O1351" i="2"/>
  <c r="N1351" i="2"/>
  <c r="M1351" i="2"/>
  <c r="L1351" i="2"/>
  <c r="K1351" i="2"/>
  <c r="J1351" i="2"/>
  <c r="I1351" i="2"/>
  <c r="H1351" i="2"/>
  <c r="G1351" i="2"/>
  <c r="F1351" i="2"/>
  <c r="E1351" i="2"/>
  <c r="D1351" i="2"/>
  <c r="C1351" i="2"/>
  <c r="B1351" i="2"/>
  <c r="A1351" i="2"/>
  <c r="AE1350" i="2"/>
  <c r="AD1350" i="2"/>
  <c r="AC1350" i="2"/>
  <c r="AB1350" i="2"/>
  <c r="AA1350" i="2"/>
  <c r="Z1350" i="2"/>
  <c r="Y1350" i="2"/>
  <c r="X1350" i="2"/>
  <c r="W1350" i="2"/>
  <c r="V1350" i="2"/>
  <c r="U1350" i="2"/>
  <c r="T1350" i="2"/>
  <c r="S1350" i="2"/>
  <c r="R1350" i="2"/>
  <c r="Q1350" i="2"/>
  <c r="P1350" i="2"/>
  <c r="O1350" i="2"/>
  <c r="N1350" i="2"/>
  <c r="M1350" i="2"/>
  <c r="L1350" i="2"/>
  <c r="K1350" i="2"/>
  <c r="J1350" i="2"/>
  <c r="I1350" i="2"/>
  <c r="H1350" i="2"/>
  <c r="G1350" i="2"/>
  <c r="F1350" i="2"/>
  <c r="E1350" i="2"/>
  <c r="D1350" i="2"/>
  <c r="C1350" i="2"/>
  <c r="B1350" i="2"/>
  <c r="A1350" i="2"/>
  <c r="AE1349" i="2"/>
  <c r="AD1349" i="2"/>
  <c r="AC1349" i="2"/>
  <c r="AB1349" i="2"/>
  <c r="AA1349" i="2"/>
  <c r="Z1349" i="2"/>
  <c r="Y1349" i="2"/>
  <c r="X1349" i="2"/>
  <c r="W1349" i="2"/>
  <c r="V1349" i="2"/>
  <c r="U1349" i="2"/>
  <c r="T1349" i="2"/>
  <c r="S1349" i="2"/>
  <c r="R1349" i="2"/>
  <c r="Q1349" i="2"/>
  <c r="P1349" i="2"/>
  <c r="O1349" i="2"/>
  <c r="N1349" i="2"/>
  <c r="M1349" i="2"/>
  <c r="L1349" i="2"/>
  <c r="K1349" i="2"/>
  <c r="J1349" i="2"/>
  <c r="I1349" i="2"/>
  <c r="H1349" i="2"/>
  <c r="G1349" i="2"/>
  <c r="F1349" i="2"/>
  <c r="E1349" i="2"/>
  <c r="D1349" i="2"/>
  <c r="C1349" i="2"/>
  <c r="B1349" i="2"/>
  <c r="A1349" i="2"/>
  <c r="AE1348" i="2"/>
  <c r="AD1348" i="2"/>
  <c r="AC1348" i="2"/>
  <c r="AB1348" i="2"/>
  <c r="AA1348" i="2"/>
  <c r="Z1348" i="2"/>
  <c r="Y1348" i="2"/>
  <c r="X1348" i="2"/>
  <c r="W1348" i="2"/>
  <c r="V1348" i="2"/>
  <c r="U1348" i="2"/>
  <c r="T1348" i="2"/>
  <c r="S1348" i="2"/>
  <c r="R1348" i="2"/>
  <c r="Q1348" i="2"/>
  <c r="P1348" i="2"/>
  <c r="O1348" i="2"/>
  <c r="N1348" i="2"/>
  <c r="M1348" i="2"/>
  <c r="L1348" i="2"/>
  <c r="K1348" i="2"/>
  <c r="J1348" i="2"/>
  <c r="I1348" i="2"/>
  <c r="H1348" i="2"/>
  <c r="G1348" i="2"/>
  <c r="F1348" i="2"/>
  <c r="E1348" i="2"/>
  <c r="D1348" i="2"/>
  <c r="C1348" i="2"/>
  <c r="B1348" i="2"/>
  <c r="A1348" i="2"/>
  <c r="AE1347" i="2"/>
  <c r="AD1347" i="2"/>
  <c r="AC1347" i="2"/>
  <c r="AB1347" i="2"/>
  <c r="AA1347" i="2"/>
  <c r="Z1347" i="2"/>
  <c r="Y1347" i="2"/>
  <c r="X1347" i="2"/>
  <c r="W1347" i="2"/>
  <c r="V1347" i="2"/>
  <c r="U1347" i="2"/>
  <c r="T1347" i="2"/>
  <c r="S1347" i="2"/>
  <c r="R1347" i="2"/>
  <c r="Q1347" i="2"/>
  <c r="P1347" i="2"/>
  <c r="O1347" i="2"/>
  <c r="N1347" i="2"/>
  <c r="M1347" i="2"/>
  <c r="L1347" i="2"/>
  <c r="K1347" i="2"/>
  <c r="J1347" i="2"/>
  <c r="I1347" i="2"/>
  <c r="H1347" i="2"/>
  <c r="G1347" i="2"/>
  <c r="F1347" i="2"/>
  <c r="E1347" i="2"/>
  <c r="D1347" i="2"/>
  <c r="C1347" i="2"/>
  <c r="B1347" i="2"/>
  <c r="A1347" i="2"/>
  <c r="AE1346" i="2"/>
  <c r="AD1346" i="2"/>
  <c r="AC1346" i="2"/>
  <c r="AB1346" i="2"/>
  <c r="AA1346" i="2"/>
  <c r="Z1346" i="2"/>
  <c r="Y1346" i="2"/>
  <c r="X1346" i="2"/>
  <c r="W1346" i="2"/>
  <c r="V1346" i="2"/>
  <c r="U1346" i="2"/>
  <c r="T1346" i="2"/>
  <c r="S1346" i="2"/>
  <c r="R1346" i="2"/>
  <c r="Q1346" i="2"/>
  <c r="P1346" i="2"/>
  <c r="O1346" i="2"/>
  <c r="N1346" i="2"/>
  <c r="M1346" i="2"/>
  <c r="L1346" i="2"/>
  <c r="K1346" i="2"/>
  <c r="J1346" i="2"/>
  <c r="I1346" i="2"/>
  <c r="H1346" i="2"/>
  <c r="G1346" i="2"/>
  <c r="F1346" i="2"/>
  <c r="E1346" i="2"/>
  <c r="D1346" i="2"/>
  <c r="C1346" i="2"/>
  <c r="B1346" i="2"/>
  <c r="A1346" i="2"/>
  <c r="AE1345" i="2"/>
  <c r="AD1345" i="2"/>
  <c r="AC1345" i="2"/>
  <c r="AB1345" i="2"/>
  <c r="AA1345" i="2"/>
  <c r="Z1345" i="2"/>
  <c r="Y1345" i="2"/>
  <c r="X1345" i="2"/>
  <c r="W1345" i="2"/>
  <c r="V1345" i="2"/>
  <c r="U1345" i="2"/>
  <c r="T1345" i="2"/>
  <c r="S1345" i="2"/>
  <c r="R1345" i="2"/>
  <c r="Q1345" i="2"/>
  <c r="P1345" i="2"/>
  <c r="O1345" i="2"/>
  <c r="N1345" i="2"/>
  <c r="M1345" i="2"/>
  <c r="L1345" i="2"/>
  <c r="K1345" i="2"/>
  <c r="J1345" i="2"/>
  <c r="I1345" i="2"/>
  <c r="H1345" i="2"/>
  <c r="G1345" i="2"/>
  <c r="F1345" i="2"/>
  <c r="E1345" i="2"/>
  <c r="D1345" i="2"/>
  <c r="C1345" i="2"/>
  <c r="B1345" i="2"/>
  <c r="A1345" i="2"/>
  <c r="AE1344" i="2"/>
  <c r="AD1344" i="2"/>
  <c r="AC1344" i="2"/>
  <c r="AB1344" i="2"/>
  <c r="AA1344" i="2"/>
  <c r="Z1344" i="2"/>
  <c r="Y1344" i="2"/>
  <c r="X1344" i="2"/>
  <c r="W1344" i="2"/>
  <c r="V1344" i="2"/>
  <c r="U1344" i="2"/>
  <c r="T1344" i="2"/>
  <c r="S1344" i="2"/>
  <c r="R1344" i="2"/>
  <c r="Q1344" i="2"/>
  <c r="P1344" i="2"/>
  <c r="O1344" i="2"/>
  <c r="N1344" i="2"/>
  <c r="M1344" i="2"/>
  <c r="L1344" i="2"/>
  <c r="K1344" i="2"/>
  <c r="J1344" i="2"/>
  <c r="I1344" i="2"/>
  <c r="H1344" i="2"/>
  <c r="G1344" i="2"/>
  <c r="F1344" i="2"/>
  <c r="E1344" i="2"/>
  <c r="D1344" i="2"/>
  <c r="C1344" i="2"/>
  <c r="B1344" i="2"/>
  <c r="A1344" i="2"/>
  <c r="AE1343" i="2"/>
  <c r="AD1343" i="2"/>
  <c r="AC1343" i="2"/>
  <c r="AB1343" i="2"/>
  <c r="AA1343" i="2"/>
  <c r="Z1343" i="2"/>
  <c r="Y1343" i="2"/>
  <c r="X1343" i="2"/>
  <c r="W1343" i="2"/>
  <c r="V1343" i="2"/>
  <c r="U1343" i="2"/>
  <c r="T1343" i="2"/>
  <c r="S1343" i="2"/>
  <c r="R1343" i="2"/>
  <c r="Q1343" i="2"/>
  <c r="P1343" i="2"/>
  <c r="O1343" i="2"/>
  <c r="N1343" i="2"/>
  <c r="M1343" i="2"/>
  <c r="L1343" i="2"/>
  <c r="K1343" i="2"/>
  <c r="J1343" i="2"/>
  <c r="I1343" i="2"/>
  <c r="H1343" i="2"/>
  <c r="G1343" i="2"/>
  <c r="F1343" i="2"/>
  <c r="E1343" i="2"/>
  <c r="D1343" i="2"/>
  <c r="C1343" i="2"/>
  <c r="B1343" i="2"/>
  <c r="A1343" i="2"/>
  <c r="AE1342" i="2"/>
  <c r="AD1342" i="2"/>
  <c r="AC1342" i="2"/>
  <c r="AB1342" i="2"/>
  <c r="AA1342" i="2"/>
  <c r="Z1342" i="2"/>
  <c r="Y1342" i="2"/>
  <c r="X1342" i="2"/>
  <c r="W1342" i="2"/>
  <c r="V1342" i="2"/>
  <c r="U1342" i="2"/>
  <c r="T1342" i="2"/>
  <c r="S1342" i="2"/>
  <c r="R1342" i="2"/>
  <c r="Q1342" i="2"/>
  <c r="P1342" i="2"/>
  <c r="O1342" i="2"/>
  <c r="N1342" i="2"/>
  <c r="M1342" i="2"/>
  <c r="L1342" i="2"/>
  <c r="K1342" i="2"/>
  <c r="J1342" i="2"/>
  <c r="I1342" i="2"/>
  <c r="H1342" i="2"/>
  <c r="G1342" i="2"/>
  <c r="F1342" i="2"/>
  <c r="E1342" i="2"/>
  <c r="D1342" i="2"/>
  <c r="C1342" i="2"/>
  <c r="B1342" i="2"/>
  <c r="A1342" i="2"/>
  <c r="AE1341" i="2"/>
  <c r="AD1341" i="2"/>
  <c r="AC1341" i="2"/>
  <c r="AB1341" i="2"/>
  <c r="AA1341" i="2"/>
  <c r="Z1341" i="2"/>
  <c r="Y1341" i="2"/>
  <c r="X1341" i="2"/>
  <c r="W1341" i="2"/>
  <c r="V1341" i="2"/>
  <c r="U1341" i="2"/>
  <c r="T1341" i="2"/>
  <c r="S1341" i="2"/>
  <c r="R1341" i="2"/>
  <c r="Q1341" i="2"/>
  <c r="P1341" i="2"/>
  <c r="O1341" i="2"/>
  <c r="N1341" i="2"/>
  <c r="M1341" i="2"/>
  <c r="L1341" i="2"/>
  <c r="K1341" i="2"/>
  <c r="J1341" i="2"/>
  <c r="I1341" i="2"/>
  <c r="H1341" i="2"/>
  <c r="G1341" i="2"/>
  <c r="F1341" i="2"/>
  <c r="E1341" i="2"/>
  <c r="D1341" i="2"/>
  <c r="C1341" i="2"/>
  <c r="B1341" i="2"/>
  <c r="A1341" i="2"/>
  <c r="AE1340" i="2"/>
  <c r="AD1340" i="2"/>
  <c r="AC1340" i="2"/>
  <c r="AB1340" i="2"/>
  <c r="AA1340" i="2"/>
  <c r="Z1340" i="2"/>
  <c r="Y1340" i="2"/>
  <c r="X1340" i="2"/>
  <c r="W1340" i="2"/>
  <c r="V1340" i="2"/>
  <c r="U1340" i="2"/>
  <c r="T1340" i="2"/>
  <c r="S1340" i="2"/>
  <c r="R1340" i="2"/>
  <c r="Q1340" i="2"/>
  <c r="P1340" i="2"/>
  <c r="O1340" i="2"/>
  <c r="N1340" i="2"/>
  <c r="M1340" i="2"/>
  <c r="L1340" i="2"/>
  <c r="K1340" i="2"/>
  <c r="J1340" i="2"/>
  <c r="I1340" i="2"/>
  <c r="H1340" i="2"/>
  <c r="G1340" i="2"/>
  <c r="F1340" i="2"/>
  <c r="E1340" i="2"/>
  <c r="D1340" i="2"/>
  <c r="C1340" i="2"/>
  <c r="B1340" i="2"/>
  <c r="A1340" i="2"/>
  <c r="AE1339" i="2"/>
  <c r="AD1339" i="2"/>
  <c r="AC1339" i="2"/>
  <c r="AB1339" i="2"/>
  <c r="AA1339" i="2"/>
  <c r="Z1339" i="2"/>
  <c r="Y1339" i="2"/>
  <c r="X1339" i="2"/>
  <c r="W1339" i="2"/>
  <c r="V1339" i="2"/>
  <c r="U1339" i="2"/>
  <c r="T1339" i="2"/>
  <c r="S1339" i="2"/>
  <c r="R1339" i="2"/>
  <c r="Q1339" i="2"/>
  <c r="P1339" i="2"/>
  <c r="O1339" i="2"/>
  <c r="N1339" i="2"/>
  <c r="M1339" i="2"/>
  <c r="L1339" i="2"/>
  <c r="K1339" i="2"/>
  <c r="J1339" i="2"/>
  <c r="I1339" i="2"/>
  <c r="H1339" i="2"/>
  <c r="G1339" i="2"/>
  <c r="F1339" i="2"/>
  <c r="E1339" i="2"/>
  <c r="D1339" i="2"/>
  <c r="C1339" i="2"/>
  <c r="B1339" i="2"/>
  <c r="A1339" i="2"/>
  <c r="AE1338" i="2"/>
  <c r="AD1338" i="2"/>
  <c r="AC1338" i="2"/>
  <c r="AB1338" i="2"/>
  <c r="AA1338" i="2"/>
  <c r="Z1338" i="2"/>
  <c r="Y1338" i="2"/>
  <c r="X1338" i="2"/>
  <c r="W1338" i="2"/>
  <c r="V1338" i="2"/>
  <c r="U1338" i="2"/>
  <c r="T1338" i="2"/>
  <c r="S1338" i="2"/>
  <c r="R1338" i="2"/>
  <c r="Q1338" i="2"/>
  <c r="P1338" i="2"/>
  <c r="O1338" i="2"/>
  <c r="N1338" i="2"/>
  <c r="M1338" i="2"/>
  <c r="L1338" i="2"/>
  <c r="K1338" i="2"/>
  <c r="J1338" i="2"/>
  <c r="I1338" i="2"/>
  <c r="H1338" i="2"/>
  <c r="G1338" i="2"/>
  <c r="F1338" i="2"/>
  <c r="E1338" i="2"/>
  <c r="D1338" i="2"/>
  <c r="C1338" i="2"/>
  <c r="B1338" i="2"/>
  <c r="A1338" i="2"/>
  <c r="AE1337" i="2"/>
  <c r="AD1337" i="2"/>
  <c r="AC1337" i="2"/>
  <c r="AB1337" i="2"/>
  <c r="AA1337" i="2"/>
  <c r="Z1337" i="2"/>
  <c r="Y1337" i="2"/>
  <c r="X1337" i="2"/>
  <c r="W1337" i="2"/>
  <c r="V1337" i="2"/>
  <c r="U1337" i="2"/>
  <c r="T1337" i="2"/>
  <c r="S1337" i="2"/>
  <c r="R1337" i="2"/>
  <c r="Q1337" i="2"/>
  <c r="P1337" i="2"/>
  <c r="O1337" i="2"/>
  <c r="N1337" i="2"/>
  <c r="M1337" i="2"/>
  <c r="L1337" i="2"/>
  <c r="K1337" i="2"/>
  <c r="J1337" i="2"/>
  <c r="I1337" i="2"/>
  <c r="H1337" i="2"/>
  <c r="G1337" i="2"/>
  <c r="F1337" i="2"/>
  <c r="E1337" i="2"/>
  <c r="D1337" i="2"/>
  <c r="C1337" i="2"/>
  <c r="B1337" i="2"/>
  <c r="A1337" i="2"/>
  <c r="AE1336" i="2"/>
  <c r="AD1336" i="2"/>
  <c r="AC1336" i="2"/>
  <c r="AB1336" i="2"/>
  <c r="AA1336" i="2"/>
  <c r="Z1336" i="2"/>
  <c r="Y1336" i="2"/>
  <c r="X1336" i="2"/>
  <c r="W1336" i="2"/>
  <c r="V1336" i="2"/>
  <c r="U1336" i="2"/>
  <c r="T1336" i="2"/>
  <c r="S1336" i="2"/>
  <c r="R1336" i="2"/>
  <c r="Q1336" i="2"/>
  <c r="P1336" i="2"/>
  <c r="O1336" i="2"/>
  <c r="N1336" i="2"/>
  <c r="M1336" i="2"/>
  <c r="L1336" i="2"/>
  <c r="K1336" i="2"/>
  <c r="J1336" i="2"/>
  <c r="I1336" i="2"/>
  <c r="H1336" i="2"/>
  <c r="G1336" i="2"/>
  <c r="F1336" i="2"/>
  <c r="E1336" i="2"/>
  <c r="D1336" i="2"/>
  <c r="C1336" i="2"/>
  <c r="B1336" i="2"/>
  <c r="A1336" i="2"/>
  <c r="AE1335" i="2"/>
  <c r="AD1335" i="2"/>
  <c r="AC1335" i="2"/>
  <c r="AB1335" i="2"/>
  <c r="AA1335" i="2"/>
  <c r="Z1335" i="2"/>
  <c r="Y1335" i="2"/>
  <c r="X1335" i="2"/>
  <c r="W1335" i="2"/>
  <c r="V1335" i="2"/>
  <c r="U1335" i="2"/>
  <c r="T1335" i="2"/>
  <c r="S1335" i="2"/>
  <c r="R1335" i="2"/>
  <c r="Q1335" i="2"/>
  <c r="P1335" i="2"/>
  <c r="O1335" i="2"/>
  <c r="N1335" i="2"/>
  <c r="M1335" i="2"/>
  <c r="L1335" i="2"/>
  <c r="K1335" i="2"/>
  <c r="J1335" i="2"/>
  <c r="I1335" i="2"/>
  <c r="H1335" i="2"/>
  <c r="G1335" i="2"/>
  <c r="F1335" i="2"/>
  <c r="E1335" i="2"/>
  <c r="D1335" i="2"/>
  <c r="C1335" i="2"/>
  <c r="B1335" i="2"/>
  <c r="A1335" i="2"/>
  <c r="AE1334" i="2"/>
  <c r="AD1334" i="2"/>
  <c r="AC1334" i="2"/>
  <c r="AB1334" i="2"/>
  <c r="AA1334" i="2"/>
  <c r="Z1334" i="2"/>
  <c r="Y1334" i="2"/>
  <c r="X1334" i="2"/>
  <c r="W1334" i="2"/>
  <c r="V1334" i="2"/>
  <c r="U1334" i="2"/>
  <c r="T1334" i="2"/>
  <c r="S1334" i="2"/>
  <c r="R1334" i="2"/>
  <c r="Q1334" i="2"/>
  <c r="P1334" i="2"/>
  <c r="O1334" i="2"/>
  <c r="N1334" i="2"/>
  <c r="M1334" i="2"/>
  <c r="L1334" i="2"/>
  <c r="K1334" i="2"/>
  <c r="J1334" i="2"/>
  <c r="I1334" i="2"/>
  <c r="H1334" i="2"/>
  <c r="G1334" i="2"/>
  <c r="F1334" i="2"/>
  <c r="E1334" i="2"/>
  <c r="D1334" i="2"/>
  <c r="C1334" i="2"/>
  <c r="B1334" i="2"/>
  <c r="A1334" i="2"/>
  <c r="AE1333" i="2"/>
  <c r="AD1333" i="2"/>
  <c r="AC1333" i="2"/>
  <c r="AB1333" i="2"/>
  <c r="AA1333" i="2"/>
  <c r="Z1333" i="2"/>
  <c r="Y1333" i="2"/>
  <c r="X1333" i="2"/>
  <c r="W1333" i="2"/>
  <c r="V1333" i="2"/>
  <c r="U1333" i="2"/>
  <c r="T1333" i="2"/>
  <c r="S1333" i="2"/>
  <c r="R1333" i="2"/>
  <c r="Q1333" i="2"/>
  <c r="P1333" i="2"/>
  <c r="O1333" i="2"/>
  <c r="N1333" i="2"/>
  <c r="M1333" i="2"/>
  <c r="L1333" i="2"/>
  <c r="K1333" i="2"/>
  <c r="J1333" i="2"/>
  <c r="I1333" i="2"/>
  <c r="H1333" i="2"/>
  <c r="G1333" i="2"/>
  <c r="F1333" i="2"/>
  <c r="E1333" i="2"/>
  <c r="D1333" i="2"/>
  <c r="C1333" i="2"/>
  <c r="B1333" i="2"/>
  <c r="A1333" i="2"/>
  <c r="AE1332" i="2"/>
  <c r="AD1332" i="2"/>
  <c r="AC1332" i="2"/>
  <c r="AB1332" i="2"/>
  <c r="AA1332" i="2"/>
  <c r="Z1332" i="2"/>
  <c r="Y1332" i="2"/>
  <c r="X1332" i="2"/>
  <c r="W1332" i="2"/>
  <c r="V1332" i="2"/>
  <c r="U1332" i="2"/>
  <c r="T1332" i="2"/>
  <c r="S1332" i="2"/>
  <c r="R1332" i="2"/>
  <c r="Q1332" i="2"/>
  <c r="P1332" i="2"/>
  <c r="O1332" i="2"/>
  <c r="N1332" i="2"/>
  <c r="M1332" i="2"/>
  <c r="L1332" i="2"/>
  <c r="K1332" i="2"/>
  <c r="J1332" i="2"/>
  <c r="I1332" i="2"/>
  <c r="H1332" i="2"/>
  <c r="G1332" i="2"/>
  <c r="F1332" i="2"/>
  <c r="E1332" i="2"/>
  <c r="D1332" i="2"/>
  <c r="C1332" i="2"/>
  <c r="B1332" i="2"/>
  <c r="A1332" i="2"/>
  <c r="AE1331" i="2"/>
  <c r="AD1331" i="2"/>
  <c r="AC1331" i="2"/>
  <c r="AB1331" i="2"/>
  <c r="AA1331" i="2"/>
  <c r="Z1331" i="2"/>
  <c r="Y1331" i="2"/>
  <c r="X1331" i="2"/>
  <c r="W1331" i="2"/>
  <c r="V1331" i="2"/>
  <c r="U1331" i="2"/>
  <c r="T1331" i="2"/>
  <c r="S1331" i="2"/>
  <c r="R1331" i="2"/>
  <c r="Q1331" i="2"/>
  <c r="P1331" i="2"/>
  <c r="O1331" i="2"/>
  <c r="N1331" i="2"/>
  <c r="M1331" i="2"/>
  <c r="L1331" i="2"/>
  <c r="K1331" i="2"/>
  <c r="J1331" i="2"/>
  <c r="I1331" i="2"/>
  <c r="H1331" i="2"/>
  <c r="G1331" i="2"/>
  <c r="F1331" i="2"/>
  <c r="E1331" i="2"/>
  <c r="D1331" i="2"/>
  <c r="C1331" i="2"/>
  <c r="B1331" i="2"/>
  <c r="A1331" i="2"/>
  <c r="AE1330" i="2"/>
  <c r="AD1330" i="2"/>
  <c r="AC1330" i="2"/>
  <c r="AB1330" i="2"/>
  <c r="AA1330" i="2"/>
  <c r="Z1330" i="2"/>
  <c r="Y1330" i="2"/>
  <c r="X1330" i="2"/>
  <c r="W1330" i="2"/>
  <c r="V1330" i="2"/>
  <c r="U1330" i="2"/>
  <c r="T1330" i="2"/>
  <c r="S1330" i="2"/>
  <c r="R1330" i="2"/>
  <c r="Q1330" i="2"/>
  <c r="P1330" i="2"/>
  <c r="O1330" i="2"/>
  <c r="N1330" i="2"/>
  <c r="M1330" i="2"/>
  <c r="L1330" i="2"/>
  <c r="K1330" i="2"/>
  <c r="J1330" i="2"/>
  <c r="I1330" i="2"/>
  <c r="H1330" i="2"/>
  <c r="G1330" i="2"/>
  <c r="F1330" i="2"/>
  <c r="E1330" i="2"/>
  <c r="D1330" i="2"/>
  <c r="C1330" i="2"/>
  <c r="B1330" i="2"/>
  <c r="A1330" i="2"/>
  <c r="AE1329" i="2"/>
  <c r="AD1329" i="2"/>
  <c r="AC1329" i="2"/>
  <c r="AB1329" i="2"/>
  <c r="AA1329" i="2"/>
  <c r="Z1329" i="2"/>
  <c r="Y1329" i="2"/>
  <c r="X1329" i="2"/>
  <c r="W1329" i="2"/>
  <c r="V1329" i="2"/>
  <c r="U1329" i="2"/>
  <c r="T1329" i="2"/>
  <c r="S1329" i="2"/>
  <c r="R1329" i="2"/>
  <c r="Q1329" i="2"/>
  <c r="P1329" i="2"/>
  <c r="O1329" i="2"/>
  <c r="N1329" i="2"/>
  <c r="M1329" i="2"/>
  <c r="L1329" i="2"/>
  <c r="K1329" i="2"/>
  <c r="J1329" i="2"/>
  <c r="I1329" i="2"/>
  <c r="H1329" i="2"/>
  <c r="G1329" i="2"/>
  <c r="F1329" i="2"/>
  <c r="E1329" i="2"/>
  <c r="D1329" i="2"/>
  <c r="C1329" i="2"/>
  <c r="B1329" i="2"/>
  <c r="A1329" i="2"/>
  <c r="AE1328" i="2"/>
  <c r="AD1328" i="2"/>
  <c r="AC1328" i="2"/>
  <c r="AB1328" i="2"/>
  <c r="AA1328" i="2"/>
  <c r="Z1328" i="2"/>
  <c r="Y1328" i="2"/>
  <c r="X1328" i="2"/>
  <c r="W1328" i="2"/>
  <c r="V1328" i="2"/>
  <c r="U1328" i="2"/>
  <c r="T1328" i="2"/>
  <c r="S1328" i="2"/>
  <c r="R1328" i="2"/>
  <c r="Q1328" i="2"/>
  <c r="P1328" i="2"/>
  <c r="O1328" i="2"/>
  <c r="N1328" i="2"/>
  <c r="M1328" i="2"/>
  <c r="L1328" i="2"/>
  <c r="K1328" i="2"/>
  <c r="J1328" i="2"/>
  <c r="I1328" i="2"/>
  <c r="H1328" i="2"/>
  <c r="G1328" i="2"/>
  <c r="F1328" i="2"/>
  <c r="E1328" i="2"/>
  <c r="D1328" i="2"/>
  <c r="C1328" i="2"/>
  <c r="B1328" i="2"/>
  <c r="A1328" i="2"/>
  <c r="AE1327" i="2"/>
  <c r="AD1327" i="2"/>
  <c r="AC1327" i="2"/>
  <c r="AB1327" i="2"/>
  <c r="AA1327" i="2"/>
  <c r="Z1327" i="2"/>
  <c r="Y1327" i="2"/>
  <c r="X1327" i="2"/>
  <c r="W1327" i="2"/>
  <c r="V1327" i="2"/>
  <c r="U1327" i="2"/>
  <c r="T1327" i="2"/>
  <c r="S1327" i="2"/>
  <c r="R1327" i="2"/>
  <c r="Q1327" i="2"/>
  <c r="P1327" i="2"/>
  <c r="O1327" i="2"/>
  <c r="N1327" i="2"/>
  <c r="M1327" i="2"/>
  <c r="L1327" i="2"/>
  <c r="K1327" i="2"/>
  <c r="J1327" i="2"/>
  <c r="I1327" i="2"/>
  <c r="H1327" i="2"/>
  <c r="G1327" i="2"/>
  <c r="F1327" i="2"/>
  <c r="E1327" i="2"/>
  <c r="D1327" i="2"/>
  <c r="C1327" i="2"/>
  <c r="B1327" i="2"/>
  <c r="A1327" i="2"/>
  <c r="AE1326" i="2"/>
  <c r="AD1326" i="2"/>
  <c r="AC1326" i="2"/>
  <c r="AB1326" i="2"/>
  <c r="AA1326" i="2"/>
  <c r="Z1326" i="2"/>
  <c r="Y1326" i="2"/>
  <c r="X1326" i="2"/>
  <c r="W1326" i="2"/>
  <c r="V1326" i="2"/>
  <c r="U1326" i="2"/>
  <c r="T1326" i="2"/>
  <c r="S1326" i="2"/>
  <c r="R1326" i="2"/>
  <c r="Q1326" i="2"/>
  <c r="P1326" i="2"/>
  <c r="O1326" i="2"/>
  <c r="N1326" i="2"/>
  <c r="M1326" i="2"/>
  <c r="L1326" i="2"/>
  <c r="K1326" i="2"/>
  <c r="J1326" i="2"/>
  <c r="I1326" i="2"/>
  <c r="H1326" i="2"/>
  <c r="G1326" i="2"/>
  <c r="F1326" i="2"/>
  <c r="E1326" i="2"/>
  <c r="D1326" i="2"/>
  <c r="C1326" i="2"/>
  <c r="B1326" i="2"/>
  <c r="A1326" i="2"/>
  <c r="AE1325" i="2"/>
  <c r="AD1325" i="2"/>
  <c r="AC1325" i="2"/>
  <c r="AB1325" i="2"/>
  <c r="AA1325" i="2"/>
  <c r="Z1325" i="2"/>
  <c r="Y1325" i="2"/>
  <c r="X1325" i="2"/>
  <c r="W1325" i="2"/>
  <c r="V1325" i="2"/>
  <c r="U1325" i="2"/>
  <c r="T1325" i="2"/>
  <c r="S1325" i="2"/>
  <c r="R1325" i="2"/>
  <c r="Q1325" i="2"/>
  <c r="P1325" i="2"/>
  <c r="O1325" i="2"/>
  <c r="N1325" i="2"/>
  <c r="M1325" i="2"/>
  <c r="L1325" i="2"/>
  <c r="K1325" i="2"/>
  <c r="J1325" i="2"/>
  <c r="I1325" i="2"/>
  <c r="H1325" i="2"/>
  <c r="G1325" i="2"/>
  <c r="F1325" i="2"/>
  <c r="E1325" i="2"/>
  <c r="D1325" i="2"/>
  <c r="C1325" i="2"/>
  <c r="B1325" i="2"/>
  <c r="A1325" i="2"/>
  <c r="AE1324" i="2"/>
  <c r="AD1324" i="2"/>
  <c r="AC1324" i="2"/>
  <c r="AB1324" i="2"/>
  <c r="AA1324" i="2"/>
  <c r="Z1324" i="2"/>
  <c r="Y1324" i="2"/>
  <c r="X1324" i="2"/>
  <c r="W1324" i="2"/>
  <c r="V1324" i="2"/>
  <c r="U1324" i="2"/>
  <c r="T1324" i="2"/>
  <c r="S1324" i="2"/>
  <c r="R1324" i="2"/>
  <c r="Q1324" i="2"/>
  <c r="P1324" i="2"/>
  <c r="O1324" i="2"/>
  <c r="N1324" i="2"/>
  <c r="M1324" i="2"/>
  <c r="L1324" i="2"/>
  <c r="K1324" i="2"/>
  <c r="J1324" i="2"/>
  <c r="I1324" i="2"/>
  <c r="H1324" i="2"/>
  <c r="G1324" i="2"/>
  <c r="F1324" i="2"/>
  <c r="E1324" i="2"/>
  <c r="D1324" i="2"/>
  <c r="C1324" i="2"/>
  <c r="B1324" i="2"/>
  <c r="A1324" i="2"/>
  <c r="AE1323" i="2"/>
  <c r="AD1323" i="2"/>
  <c r="AC1323" i="2"/>
  <c r="AB1323" i="2"/>
  <c r="AA1323" i="2"/>
  <c r="Z1323" i="2"/>
  <c r="Y1323" i="2"/>
  <c r="X1323" i="2"/>
  <c r="W1323" i="2"/>
  <c r="V1323" i="2"/>
  <c r="U1323" i="2"/>
  <c r="T1323" i="2"/>
  <c r="S1323" i="2"/>
  <c r="R1323" i="2"/>
  <c r="Q1323" i="2"/>
  <c r="P1323" i="2"/>
  <c r="O1323" i="2"/>
  <c r="N1323" i="2"/>
  <c r="M1323" i="2"/>
  <c r="L1323" i="2"/>
  <c r="K1323" i="2"/>
  <c r="J1323" i="2"/>
  <c r="I1323" i="2"/>
  <c r="H1323" i="2"/>
  <c r="G1323" i="2"/>
  <c r="F1323" i="2"/>
  <c r="E1323" i="2"/>
  <c r="D1323" i="2"/>
  <c r="C1323" i="2"/>
  <c r="B1323" i="2"/>
  <c r="A1323" i="2"/>
  <c r="AE1322" i="2"/>
  <c r="AD1322" i="2"/>
  <c r="AC1322" i="2"/>
  <c r="AB1322" i="2"/>
  <c r="AA1322" i="2"/>
  <c r="Z1322" i="2"/>
  <c r="Y1322" i="2"/>
  <c r="X1322" i="2"/>
  <c r="W1322" i="2"/>
  <c r="V1322" i="2"/>
  <c r="U1322" i="2"/>
  <c r="T1322" i="2"/>
  <c r="S1322" i="2"/>
  <c r="R1322" i="2"/>
  <c r="Q1322" i="2"/>
  <c r="P1322" i="2"/>
  <c r="O1322" i="2"/>
  <c r="N1322" i="2"/>
  <c r="M1322" i="2"/>
  <c r="L1322" i="2"/>
  <c r="K1322" i="2"/>
  <c r="J1322" i="2"/>
  <c r="I1322" i="2"/>
  <c r="H1322" i="2"/>
  <c r="G1322" i="2"/>
  <c r="F1322" i="2"/>
  <c r="E1322" i="2"/>
  <c r="D1322" i="2"/>
  <c r="C1322" i="2"/>
  <c r="B1322" i="2"/>
  <c r="A1322" i="2"/>
  <c r="AE1321" i="2"/>
  <c r="AD1321" i="2"/>
  <c r="AC1321" i="2"/>
  <c r="AB1321" i="2"/>
  <c r="AA1321" i="2"/>
  <c r="Z1321" i="2"/>
  <c r="Y1321" i="2"/>
  <c r="X1321" i="2"/>
  <c r="W1321" i="2"/>
  <c r="V1321" i="2"/>
  <c r="U1321" i="2"/>
  <c r="T1321" i="2"/>
  <c r="S1321" i="2"/>
  <c r="R1321" i="2"/>
  <c r="Q1321" i="2"/>
  <c r="P1321" i="2"/>
  <c r="O1321" i="2"/>
  <c r="N1321" i="2"/>
  <c r="M1321" i="2"/>
  <c r="L1321" i="2"/>
  <c r="K1321" i="2"/>
  <c r="J1321" i="2"/>
  <c r="I1321" i="2"/>
  <c r="H1321" i="2"/>
  <c r="G1321" i="2"/>
  <c r="F1321" i="2"/>
  <c r="E1321" i="2"/>
  <c r="D1321" i="2"/>
  <c r="C1321" i="2"/>
  <c r="B1321" i="2"/>
  <c r="A1321" i="2"/>
  <c r="AE1320" i="2"/>
  <c r="AD1320" i="2"/>
  <c r="AC1320" i="2"/>
  <c r="AB1320" i="2"/>
  <c r="AA1320" i="2"/>
  <c r="Z1320" i="2"/>
  <c r="Y1320" i="2"/>
  <c r="X1320" i="2"/>
  <c r="W1320" i="2"/>
  <c r="V1320" i="2"/>
  <c r="U1320" i="2"/>
  <c r="T1320" i="2"/>
  <c r="S1320" i="2"/>
  <c r="R1320" i="2"/>
  <c r="Q1320" i="2"/>
  <c r="P1320" i="2"/>
  <c r="O1320" i="2"/>
  <c r="N1320" i="2"/>
  <c r="M1320" i="2"/>
  <c r="L1320" i="2"/>
  <c r="K1320" i="2"/>
  <c r="J1320" i="2"/>
  <c r="I1320" i="2"/>
  <c r="H1320" i="2"/>
  <c r="G1320" i="2"/>
  <c r="F1320" i="2"/>
  <c r="E1320" i="2"/>
  <c r="D1320" i="2"/>
  <c r="C1320" i="2"/>
  <c r="B1320" i="2"/>
  <c r="A1320" i="2"/>
  <c r="AE1319" i="2"/>
  <c r="AD1319" i="2"/>
  <c r="AC1319" i="2"/>
  <c r="AB1319" i="2"/>
  <c r="AA1319" i="2"/>
  <c r="Z1319" i="2"/>
  <c r="Y1319" i="2"/>
  <c r="X1319" i="2"/>
  <c r="W1319" i="2"/>
  <c r="V1319" i="2"/>
  <c r="U1319" i="2"/>
  <c r="T1319" i="2"/>
  <c r="S1319" i="2"/>
  <c r="R1319" i="2"/>
  <c r="Q1319" i="2"/>
  <c r="P1319" i="2"/>
  <c r="O1319" i="2"/>
  <c r="N1319" i="2"/>
  <c r="M1319" i="2"/>
  <c r="L1319" i="2"/>
  <c r="K1319" i="2"/>
  <c r="J1319" i="2"/>
  <c r="I1319" i="2"/>
  <c r="H1319" i="2"/>
  <c r="G1319" i="2"/>
  <c r="F1319" i="2"/>
  <c r="E1319" i="2"/>
  <c r="D1319" i="2"/>
  <c r="C1319" i="2"/>
  <c r="B1319" i="2"/>
  <c r="A1319" i="2"/>
  <c r="AE1318" i="2"/>
  <c r="AD1318" i="2"/>
  <c r="AC1318" i="2"/>
  <c r="AB1318" i="2"/>
  <c r="AA1318" i="2"/>
  <c r="Z1318" i="2"/>
  <c r="Y1318" i="2"/>
  <c r="X1318" i="2"/>
  <c r="W1318" i="2"/>
  <c r="V1318" i="2"/>
  <c r="U1318" i="2"/>
  <c r="T1318" i="2"/>
  <c r="S1318" i="2"/>
  <c r="R1318" i="2"/>
  <c r="Q1318" i="2"/>
  <c r="P1318" i="2"/>
  <c r="O1318" i="2"/>
  <c r="N1318" i="2"/>
  <c r="M1318" i="2"/>
  <c r="L1318" i="2"/>
  <c r="K1318" i="2"/>
  <c r="J1318" i="2"/>
  <c r="I1318" i="2"/>
  <c r="H1318" i="2"/>
  <c r="G1318" i="2"/>
  <c r="F1318" i="2"/>
  <c r="E1318" i="2"/>
  <c r="D1318" i="2"/>
  <c r="C1318" i="2"/>
  <c r="B1318" i="2"/>
  <c r="A1318" i="2"/>
  <c r="AE1317" i="2"/>
  <c r="AD1317" i="2"/>
  <c r="AC1317" i="2"/>
  <c r="AB1317" i="2"/>
  <c r="AA1317" i="2"/>
  <c r="Z1317" i="2"/>
  <c r="Y1317" i="2"/>
  <c r="X1317" i="2"/>
  <c r="W1317" i="2"/>
  <c r="V1317" i="2"/>
  <c r="U1317" i="2"/>
  <c r="T1317" i="2"/>
  <c r="S1317" i="2"/>
  <c r="R1317" i="2"/>
  <c r="Q1317" i="2"/>
  <c r="P1317" i="2"/>
  <c r="O1317" i="2"/>
  <c r="N1317" i="2"/>
  <c r="M1317" i="2"/>
  <c r="L1317" i="2"/>
  <c r="K1317" i="2"/>
  <c r="J1317" i="2"/>
  <c r="I1317" i="2"/>
  <c r="H1317" i="2"/>
  <c r="G1317" i="2"/>
  <c r="F1317" i="2"/>
  <c r="E1317" i="2"/>
  <c r="D1317" i="2"/>
  <c r="C1317" i="2"/>
  <c r="B1317" i="2"/>
  <c r="A1317" i="2"/>
  <c r="AE1316" i="2"/>
  <c r="AD1316" i="2"/>
  <c r="AC1316" i="2"/>
  <c r="AB1316" i="2"/>
  <c r="AA1316" i="2"/>
  <c r="Z1316" i="2"/>
  <c r="Y1316" i="2"/>
  <c r="X1316" i="2"/>
  <c r="W1316" i="2"/>
  <c r="V1316" i="2"/>
  <c r="U1316" i="2"/>
  <c r="T1316" i="2"/>
  <c r="S1316" i="2"/>
  <c r="R1316" i="2"/>
  <c r="Q1316" i="2"/>
  <c r="P1316" i="2"/>
  <c r="O1316" i="2"/>
  <c r="N1316" i="2"/>
  <c r="M1316" i="2"/>
  <c r="L1316" i="2"/>
  <c r="K1316" i="2"/>
  <c r="J1316" i="2"/>
  <c r="I1316" i="2"/>
  <c r="H1316" i="2"/>
  <c r="G1316" i="2"/>
  <c r="F1316" i="2"/>
  <c r="E1316" i="2"/>
  <c r="D1316" i="2"/>
  <c r="C1316" i="2"/>
  <c r="B1316" i="2"/>
  <c r="A1316" i="2"/>
  <c r="AE1315" i="2"/>
  <c r="AD1315" i="2"/>
  <c r="AC1315" i="2"/>
  <c r="AB1315" i="2"/>
  <c r="AA1315" i="2"/>
  <c r="Z1315" i="2"/>
  <c r="Y1315" i="2"/>
  <c r="X1315" i="2"/>
  <c r="W1315" i="2"/>
  <c r="V1315" i="2"/>
  <c r="U1315" i="2"/>
  <c r="T1315" i="2"/>
  <c r="S1315" i="2"/>
  <c r="R1315" i="2"/>
  <c r="Q1315" i="2"/>
  <c r="P1315" i="2"/>
  <c r="O1315" i="2"/>
  <c r="N1315" i="2"/>
  <c r="M1315" i="2"/>
  <c r="L1315" i="2"/>
  <c r="K1315" i="2"/>
  <c r="J1315" i="2"/>
  <c r="I1315" i="2"/>
  <c r="H1315" i="2"/>
  <c r="G1315" i="2"/>
  <c r="F1315" i="2"/>
  <c r="E1315" i="2"/>
  <c r="D1315" i="2"/>
  <c r="C1315" i="2"/>
  <c r="B1315" i="2"/>
  <c r="A1315" i="2"/>
  <c r="AE1314" i="2"/>
  <c r="AD1314" i="2"/>
  <c r="AC1314" i="2"/>
  <c r="AB1314" i="2"/>
  <c r="AA1314" i="2"/>
  <c r="Z1314" i="2"/>
  <c r="Y1314" i="2"/>
  <c r="X1314" i="2"/>
  <c r="W1314" i="2"/>
  <c r="V1314" i="2"/>
  <c r="U1314" i="2"/>
  <c r="T1314" i="2"/>
  <c r="S1314" i="2"/>
  <c r="R1314" i="2"/>
  <c r="Q1314" i="2"/>
  <c r="P1314" i="2"/>
  <c r="O1314" i="2"/>
  <c r="N1314" i="2"/>
  <c r="M1314" i="2"/>
  <c r="L1314" i="2"/>
  <c r="K1314" i="2"/>
  <c r="J1314" i="2"/>
  <c r="I1314" i="2"/>
  <c r="H1314" i="2"/>
  <c r="G1314" i="2"/>
  <c r="F1314" i="2"/>
  <c r="E1314" i="2"/>
  <c r="D1314" i="2"/>
  <c r="C1314" i="2"/>
  <c r="B1314" i="2"/>
  <c r="A1314" i="2"/>
  <c r="AE1313" i="2"/>
  <c r="AD1313" i="2"/>
  <c r="AC1313" i="2"/>
  <c r="AB1313" i="2"/>
  <c r="AA1313" i="2"/>
  <c r="Z1313" i="2"/>
  <c r="Y1313" i="2"/>
  <c r="X1313" i="2"/>
  <c r="W1313" i="2"/>
  <c r="V1313" i="2"/>
  <c r="U1313" i="2"/>
  <c r="T1313" i="2"/>
  <c r="S1313" i="2"/>
  <c r="R1313" i="2"/>
  <c r="Q1313" i="2"/>
  <c r="P1313" i="2"/>
  <c r="O1313" i="2"/>
  <c r="N1313" i="2"/>
  <c r="M1313" i="2"/>
  <c r="L1313" i="2"/>
  <c r="K1313" i="2"/>
  <c r="J1313" i="2"/>
  <c r="I1313" i="2"/>
  <c r="H1313" i="2"/>
  <c r="G1313" i="2"/>
  <c r="F1313" i="2"/>
  <c r="E1313" i="2"/>
  <c r="D1313" i="2"/>
  <c r="C1313" i="2"/>
  <c r="B1313" i="2"/>
  <c r="A1313" i="2"/>
  <c r="AE1312" i="2"/>
  <c r="AD1312" i="2"/>
  <c r="AC1312" i="2"/>
  <c r="AB1312" i="2"/>
  <c r="AA1312" i="2"/>
  <c r="Z1312" i="2"/>
  <c r="Y1312" i="2"/>
  <c r="X1312" i="2"/>
  <c r="W1312" i="2"/>
  <c r="V1312" i="2"/>
  <c r="U1312" i="2"/>
  <c r="T1312" i="2"/>
  <c r="S1312" i="2"/>
  <c r="R1312" i="2"/>
  <c r="Q1312" i="2"/>
  <c r="P1312" i="2"/>
  <c r="O1312" i="2"/>
  <c r="N1312" i="2"/>
  <c r="M1312" i="2"/>
  <c r="L1312" i="2"/>
  <c r="K1312" i="2"/>
  <c r="J1312" i="2"/>
  <c r="I1312" i="2"/>
  <c r="H1312" i="2"/>
  <c r="G1312" i="2"/>
  <c r="F1312" i="2"/>
  <c r="E1312" i="2"/>
  <c r="D1312" i="2"/>
  <c r="C1312" i="2"/>
  <c r="B1312" i="2"/>
  <c r="A1312" i="2"/>
  <c r="AE1311" i="2"/>
  <c r="AD1311" i="2"/>
  <c r="AC1311" i="2"/>
  <c r="AB1311" i="2"/>
  <c r="AA1311" i="2"/>
  <c r="Z1311" i="2"/>
  <c r="Y1311" i="2"/>
  <c r="X1311" i="2"/>
  <c r="W1311" i="2"/>
  <c r="V1311" i="2"/>
  <c r="U1311" i="2"/>
  <c r="T1311" i="2"/>
  <c r="S1311" i="2"/>
  <c r="R1311" i="2"/>
  <c r="Q1311" i="2"/>
  <c r="P1311" i="2"/>
  <c r="O1311" i="2"/>
  <c r="N1311" i="2"/>
  <c r="M1311" i="2"/>
  <c r="L1311" i="2"/>
  <c r="K1311" i="2"/>
  <c r="J1311" i="2"/>
  <c r="I1311" i="2"/>
  <c r="H1311" i="2"/>
  <c r="G1311" i="2"/>
  <c r="F1311" i="2"/>
  <c r="E1311" i="2"/>
  <c r="D1311" i="2"/>
  <c r="C1311" i="2"/>
  <c r="B1311" i="2"/>
  <c r="A1311" i="2"/>
  <c r="AE1310" i="2"/>
  <c r="AD1310" i="2"/>
  <c r="AC1310" i="2"/>
  <c r="AB1310" i="2"/>
  <c r="AA1310" i="2"/>
  <c r="Z1310" i="2"/>
  <c r="Y1310" i="2"/>
  <c r="X1310" i="2"/>
  <c r="W1310" i="2"/>
  <c r="V1310" i="2"/>
  <c r="U1310" i="2"/>
  <c r="T1310" i="2"/>
  <c r="S1310" i="2"/>
  <c r="R1310" i="2"/>
  <c r="Q1310" i="2"/>
  <c r="P1310" i="2"/>
  <c r="O1310" i="2"/>
  <c r="N1310" i="2"/>
  <c r="M1310" i="2"/>
  <c r="L1310" i="2"/>
  <c r="K1310" i="2"/>
  <c r="J1310" i="2"/>
  <c r="I1310" i="2"/>
  <c r="H1310" i="2"/>
  <c r="G1310" i="2"/>
  <c r="F1310" i="2"/>
  <c r="E1310" i="2"/>
  <c r="D1310" i="2"/>
  <c r="C1310" i="2"/>
  <c r="B1310" i="2"/>
  <c r="A1310" i="2"/>
  <c r="AE1309" i="2"/>
  <c r="AD1309" i="2"/>
  <c r="AC1309" i="2"/>
  <c r="AB1309" i="2"/>
  <c r="AA1309" i="2"/>
  <c r="Z1309" i="2"/>
  <c r="Y1309" i="2"/>
  <c r="X1309" i="2"/>
  <c r="W1309" i="2"/>
  <c r="V1309" i="2"/>
  <c r="U1309" i="2"/>
  <c r="T1309" i="2"/>
  <c r="S1309" i="2"/>
  <c r="R1309" i="2"/>
  <c r="Q1309" i="2"/>
  <c r="P1309" i="2"/>
  <c r="O1309" i="2"/>
  <c r="N1309" i="2"/>
  <c r="M1309" i="2"/>
  <c r="L1309" i="2"/>
  <c r="K1309" i="2"/>
  <c r="J1309" i="2"/>
  <c r="I1309" i="2"/>
  <c r="H1309" i="2"/>
  <c r="G1309" i="2"/>
  <c r="F1309" i="2"/>
  <c r="E1309" i="2"/>
  <c r="D1309" i="2"/>
  <c r="C1309" i="2"/>
  <c r="B1309" i="2"/>
  <c r="A1309" i="2"/>
  <c r="AE1308" i="2"/>
  <c r="AD1308" i="2"/>
  <c r="AC1308" i="2"/>
  <c r="AB1308" i="2"/>
  <c r="AA1308" i="2"/>
  <c r="Z1308" i="2"/>
  <c r="Y1308" i="2"/>
  <c r="X1308" i="2"/>
  <c r="W1308" i="2"/>
  <c r="V1308" i="2"/>
  <c r="U1308" i="2"/>
  <c r="T1308" i="2"/>
  <c r="S1308" i="2"/>
  <c r="R1308" i="2"/>
  <c r="Q1308" i="2"/>
  <c r="P1308" i="2"/>
  <c r="O1308" i="2"/>
  <c r="N1308" i="2"/>
  <c r="M1308" i="2"/>
  <c r="L1308" i="2"/>
  <c r="K1308" i="2"/>
  <c r="J1308" i="2"/>
  <c r="I1308" i="2"/>
  <c r="H1308" i="2"/>
  <c r="G1308" i="2"/>
  <c r="F1308" i="2"/>
  <c r="E1308" i="2"/>
  <c r="D1308" i="2"/>
  <c r="C1308" i="2"/>
  <c r="B1308" i="2"/>
  <c r="A1308" i="2"/>
  <c r="AE1307" i="2"/>
  <c r="AD1307" i="2"/>
  <c r="AC1307" i="2"/>
  <c r="AB1307" i="2"/>
  <c r="AA1307" i="2"/>
  <c r="Z1307" i="2"/>
  <c r="Y1307" i="2"/>
  <c r="X1307" i="2"/>
  <c r="W1307" i="2"/>
  <c r="V1307" i="2"/>
  <c r="U1307" i="2"/>
  <c r="T1307" i="2"/>
  <c r="S1307" i="2"/>
  <c r="R1307" i="2"/>
  <c r="Q1307" i="2"/>
  <c r="P1307" i="2"/>
  <c r="O1307" i="2"/>
  <c r="N1307" i="2"/>
  <c r="M1307" i="2"/>
  <c r="L1307" i="2"/>
  <c r="K1307" i="2"/>
  <c r="J1307" i="2"/>
  <c r="I1307" i="2"/>
  <c r="H1307" i="2"/>
  <c r="G1307" i="2"/>
  <c r="F1307" i="2"/>
  <c r="E1307" i="2"/>
  <c r="D1307" i="2"/>
  <c r="C1307" i="2"/>
  <c r="B1307" i="2"/>
  <c r="A1307" i="2"/>
  <c r="AE1306" i="2"/>
  <c r="AD1306" i="2"/>
  <c r="AC1306" i="2"/>
  <c r="AB1306" i="2"/>
  <c r="AA1306" i="2"/>
  <c r="Z1306" i="2"/>
  <c r="Y1306" i="2"/>
  <c r="X1306" i="2"/>
  <c r="W1306" i="2"/>
  <c r="V1306" i="2"/>
  <c r="U1306" i="2"/>
  <c r="T1306" i="2"/>
  <c r="S1306" i="2"/>
  <c r="R1306" i="2"/>
  <c r="Q1306" i="2"/>
  <c r="P1306" i="2"/>
  <c r="O1306" i="2"/>
  <c r="N1306" i="2"/>
  <c r="M1306" i="2"/>
  <c r="L1306" i="2"/>
  <c r="K1306" i="2"/>
  <c r="J1306" i="2"/>
  <c r="I1306" i="2"/>
  <c r="H1306" i="2"/>
  <c r="G1306" i="2"/>
  <c r="F1306" i="2"/>
  <c r="E1306" i="2"/>
  <c r="D1306" i="2"/>
  <c r="C1306" i="2"/>
  <c r="B1306" i="2"/>
  <c r="A1306" i="2"/>
  <c r="AE1305" i="2"/>
  <c r="AD1305" i="2"/>
  <c r="AC1305" i="2"/>
  <c r="AB1305" i="2"/>
  <c r="AA1305" i="2"/>
  <c r="Z1305" i="2"/>
  <c r="Y1305" i="2"/>
  <c r="X1305" i="2"/>
  <c r="W1305" i="2"/>
  <c r="V1305" i="2"/>
  <c r="U1305" i="2"/>
  <c r="T1305" i="2"/>
  <c r="S1305" i="2"/>
  <c r="R1305" i="2"/>
  <c r="Q1305" i="2"/>
  <c r="P1305" i="2"/>
  <c r="O1305" i="2"/>
  <c r="N1305" i="2"/>
  <c r="M1305" i="2"/>
  <c r="L1305" i="2"/>
  <c r="K1305" i="2"/>
  <c r="J1305" i="2"/>
  <c r="I1305" i="2"/>
  <c r="H1305" i="2"/>
  <c r="G1305" i="2"/>
  <c r="F1305" i="2"/>
  <c r="E1305" i="2"/>
  <c r="D1305" i="2"/>
  <c r="C1305" i="2"/>
  <c r="B1305" i="2"/>
  <c r="A1305" i="2"/>
  <c r="AE1304" i="2"/>
  <c r="AD1304" i="2"/>
  <c r="AC1304" i="2"/>
  <c r="AB1304" i="2"/>
  <c r="AA1304" i="2"/>
  <c r="Z1304" i="2"/>
  <c r="Y1304" i="2"/>
  <c r="X1304" i="2"/>
  <c r="W1304" i="2"/>
  <c r="V1304" i="2"/>
  <c r="U1304" i="2"/>
  <c r="T1304" i="2"/>
  <c r="S1304" i="2"/>
  <c r="R1304" i="2"/>
  <c r="Q1304" i="2"/>
  <c r="P1304" i="2"/>
  <c r="O1304" i="2"/>
  <c r="N1304" i="2"/>
  <c r="M1304" i="2"/>
  <c r="L1304" i="2"/>
  <c r="K1304" i="2"/>
  <c r="J1304" i="2"/>
  <c r="I1304" i="2"/>
  <c r="H1304" i="2"/>
  <c r="G1304" i="2"/>
  <c r="F1304" i="2"/>
  <c r="E1304" i="2"/>
  <c r="D1304" i="2"/>
  <c r="C1304" i="2"/>
  <c r="B1304" i="2"/>
  <c r="A1304" i="2"/>
  <c r="AE1303" i="2"/>
  <c r="AD1303" i="2"/>
  <c r="AC1303" i="2"/>
  <c r="AB1303" i="2"/>
  <c r="AA1303" i="2"/>
  <c r="Z1303" i="2"/>
  <c r="Y1303" i="2"/>
  <c r="X1303" i="2"/>
  <c r="W1303" i="2"/>
  <c r="V1303" i="2"/>
  <c r="U1303" i="2"/>
  <c r="T1303" i="2"/>
  <c r="S1303" i="2"/>
  <c r="R1303" i="2"/>
  <c r="Q1303" i="2"/>
  <c r="P1303" i="2"/>
  <c r="O1303" i="2"/>
  <c r="N1303" i="2"/>
  <c r="M1303" i="2"/>
  <c r="L1303" i="2"/>
  <c r="K1303" i="2"/>
  <c r="J1303" i="2"/>
  <c r="I1303" i="2"/>
  <c r="H1303" i="2"/>
  <c r="G1303" i="2"/>
  <c r="F1303" i="2"/>
  <c r="E1303" i="2"/>
  <c r="D1303" i="2"/>
  <c r="C1303" i="2"/>
  <c r="B1303" i="2"/>
  <c r="A1303" i="2"/>
  <c r="AE1302" i="2"/>
  <c r="AD1302" i="2"/>
  <c r="AC1302" i="2"/>
  <c r="AB1302" i="2"/>
  <c r="AA1302" i="2"/>
  <c r="Z1302" i="2"/>
  <c r="Y1302" i="2"/>
  <c r="X1302" i="2"/>
  <c r="W1302" i="2"/>
  <c r="V1302" i="2"/>
  <c r="U1302" i="2"/>
  <c r="T1302" i="2"/>
  <c r="S1302" i="2"/>
  <c r="R1302" i="2"/>
  <c r="Q1302" i="2"/>
  <c r="P1302" i="2"/>
  <c r="O1302" i="2"/>
  <c r="N1302" i="2"/>
  <c r="M1302" i="2"/>
  <c r="L1302" i="2"/>
  <c r="K1302" i="2"/>
  <c r="J1302" i="2"/>
  <c r="I1302" i="2"/>
  <c r="H1302" i="2"/>
  <c r="G1302" i="2"/>
  <c r="F1302" i="2"/>
  <c r="E1302" i="2"/>
  <c r="D1302" i="2"/>
  <c r="C1302" i="2"/>
  <c r="B1302" i="2"/>
  <c r="A1302" i="2"/>
  <c r="AE1301" i="2"/>
  <c r="AD1301" i="2"/>
  <c r="AC1301" i="2"/>
  <c r="AB1301" i="2"/>
  <c r="AA1301" i="2"/>
  <c r="Z1301" i="2"/>
  <c r="Y1301" i="2"/>
  <c r="X1301" i="2"/>
  <c r="W1301" i="2"/>
  <c r="V1301" i="2"/>
  <c r="U1301" i="2"/>
  <c r="T1301" i="2"/>
  <c r="S1301" i="2"/>
  <c r="R1301" i="2"/>
  <c r="Q1301" i="2"/>
  <c r="P1301" i="2"/>
  <c r="O1301" i="2"/>
  <c r="N1301" i="2"/>
  <c r="M1301" i="2"/>
  <c r="L1301" i="2"/>
  <c r="K1301" i="2"/>
  <c r="J1301" i="2"/>
  <c r="I1301" i="2"/>
  <c r="H1301" i="2"/>
  <c r="G1301" i="2"/>
  <c r="F1301" i="2"/>
  <c r="E1301" i="2"/>
  <c r="D1301" i="2"/>
  <c r="C1301" i="2"/>
  <c r="B1301" i="2"/>
  <c r="A1301" i="2"/>
  <c r="AE1300" i="2"/>
  <c r="AD1300" i="2"/>
  <c r="AC1300" i="2"/>
  <c r="AB1300" i="2"/>
  <c r="AA1300" i="2"/>
  <c r="Z1300" i="2"/>
  <c r="Y1300" i="2"/>
  <c r="X1300" i="2"/>
  <c r="W1300" i="2"/>
  <c r="V1300" i="2"/>
  <c r="U1300" i="2"/>
  <c r="T1300" i="2"/>
  <c r="S1300" i="2"/>
  <c r="R1300" i="2"/>
  <c r="Q1300" i="2"/>
  <c r="P1300" i="2"/>
  <c r="O1300" i="2"/>
  <c r="N1300" i="2"/>
  <c r="M1300" i="2"/>
  <c r="L1300" i="2"/>
  <c r="K1300" i="2"/>
  <c r="J1300" i="2"/>
  <c r="I1300" i="2"/>
  <c r="H1300" i="2"/>
  <c r="G1300" i="2"/>
  <c r="F1300" i="2"/>
  <c r="E1300" i="2"/>
  <c r="D1300" i="2"/>
  <c r="C1300" i="2"/>
  <c r="B1300" i="2"/>
  <c r="A1300" i="2"/>
  <c r="AE1299" i="2"/>
  <c r="AD1299" i="2"/>
  <c r="AC1299" i="2"/>
  <c r="AB1299" i="2"/>
  <c r="AA1299" i="2"/>
  <c r="Z1299" i="2"/>
  <c r="Y1299" i="2"/>
  <c r="X1299" i="2"/>
  <c r="W1299" i="2"/>
  <c r="V1299" i="2"/>
  <c r="U1299" i="2"/>
  <c r="T1299" i="2"/>
  <c r="S1299" i="2"/>
  <c r="R1299" i="2"/>
  <c r="Q1299" i="2"/>
  <c r="P1299" i="2"/>
  <c r="O1299" i="2"/>
  <c r="N1299" i="2"/>
  <c r="M1299" i="2"/>
  <c r="L1299" i="2"/>
  <c r="K1299" i="2"/>
  <c r="J1299" i="2"/>
  <c r="I1299" i="2"/>
  <c r="H1299" i="2"/>
  <c r="G1299" i="2"/>
  <c r="F1299" i="2"/>
  <c r="E1299" i="2"/>
  <c r="D1299" i="2"/>
  <c r="C1299" i="2"/>
  <c r="B1299" i="2"/>
  <c r="A1299" i="2"/>
  <c r="AE1298" i="2"/>
  <c r="AD1298" i="2"/>
  <c r="AC1298" i="2"/>
  <c r="AB1298" i="2"/>
  <c r="AA1298" i="2"/>
  <c r="Z1298" i="2"/>
  <c r="Y1298" i="2"/>
  <c r="X1298" i="2"/>
  <c r="W1298" i="2"/>
  <c r="V1298" i="2"/>
  <c r="U1298" i="2"/>
  <c r="T1298" i="2"/>
  <c r="S1298" i="2"/>
  <c r="R1298" i="2"/>
  <c r="Q1298" i="2"/>
  <c r="P1298" i="2"/>
  <c r="O1298" i="2"/>
  <c r="N1298" i="2"/>
  <c r="M1298" i="2"/>
  <c r="L1298" i="2"/>
  <c r="K1298" i="2"/>
  <c r="J1298" i="2"/>
  <c r="I1298" i="2"/>
  <c r="H1298" i="2"/>
  <c r="G1298" i="2"/>
  <c r="F1298" i="2"/>
  <c r="E1298" i="2"/>
  <c r="D1298" i="2"/>
  <c r="C1298" i="2"/>
  <c r="B1298" i="2"/>
  <c r="A1298" i="2"/>
  <c r="AE1297" i="2"/>
  <c r="AD1297" i="2"/>
  <c r="AC1297" i="2"/>
  <c r="AB1297" i="2"/>
  <c r="AA1297" i="2"/>
  <c r="Z1297" i="2"/>
  <c r="Y1297" i="2"/>
  <c r="X1297" i="2"/>
  <c r="W1297" i="2"/>
  <c r="V1297" i="2"/>
  <c r="U1297" i="2"/>
  <c r="T1297" i="2"/>
  <c r="S1297" i="2"/>
  <c r="R1297" i="2"/>
  <c r="Q1297" i="2"/>
  <c r="P1297" i="2"/>
  <c r="O1297" i="2"/>
  <c r="N1297" i="2"/>
  <c r="M1297" i="2"/>
  <c r="L1297" i="2"/>
  <c r="K1297" i="2"/>
  <c r="J1297" i="2"/>
  <c r="I1297" i="2"/>
  <c r="H1297" i="2"/>
  <c r="G1297" i="2"/>
  <c r="F1297" i="2"/>
  <c r="E1297" i="2"/>
  <c r="D1297" i="2"/>
  <c r="C1297" i="2"/>
  <c r="B1297" i="2"/>
  <c r="A1297" i="2"/>
  <c r="AE1296" i="2"/>
  <c r="AD1296" i="2"/>
  <c r="AC1296" i="2"/>
  <c r="AB1296" i="2"/>
  <c r="AA1296" i="2"/>
  <c r="Z1296" i="2"/>
  <c r="Y1296" i="2"/>
  <c r="X1296" i="2"/>
  <c r="W1296" i="2"/>
  <c r="V1296" i="2"/>
  <c r="U1296" i="2"/>
  <c r="T1296" i="2"/>
  <c r="S1296" i="2"/>
  <c r="R1296" i="2"/>
  <c r="Q1296" i="2"/>
  <c r="P1296" i="2"/>
  <c r="O1296" i="2"/>
  <c r="N1296" i="2"/>
  <c r="M1296" i="2"/>
  <c r="L1296" i="2"/>
  <c r="K1296" i="2"/>
  <c r="J1296" i="2"/>
  <c r="I1296" i="2"/>
  <c r="H1296" i="2"/>
  <c r="G1296" i="2"/>
  <c r="F1296" i="2"/>
  <c r="E1296" i="2"/>
  <c r="D1296" i="2"/>
  <c r="C1296" i="2"/>
  <c r="B1296" i="2"/>
  <c r="A1296" i="2"/>
  <c r="AE1295" i="2"/>
  <c r="AD1295" i="2"/>
  <c r="AC1295" i="2"/>
  <c r="AB1295" i="2"/>
  <c r="AA1295" i="2"/>
  <c r="Z1295" i="2"/>
  <c r="Y1295" i="2"/>
  <c r="X1295" i="2"/>
  <c r="W1295" i="2"/>
  <c r="V1295" i="2"/>
  <c r="U1295" i="2"/>
  <c r="T1295" i="2"/>
  <c r="S1295" i="2"/>
  <c r="R1295" i="2"/>
  <c r="Q1295" i="2"/>
  <c r="P1295" i="2"/>
  <c r="O1295" i="2"/>
  <c r="N1295" i="2"/>
  <c r="M1295" i="2"/>
  <c r="L1295" i="2"/>
  <c r="K1295" i="2"/>
  <c r="J1295" i="2"/>
  <c r="I1295" i="2"/>
  <c r="H1295" i="2"/>
  <c r="G1295" i="2"/>
  <c r="F1295" i="2"/>
  <c r="E1295" i="2"/>
  <c r="D1295" i="2"/>
  <c r="C1295" i="2"/>
  <c r="B1295" i="2"/>
  <c r="A1295" i="2"/>
  <c r="AE1294" i="2"/>
  <c r="AD1294" i="2"/>
  <c r="AC1294" i="2"/>
  <c r="AB1294" i="2"/>
  <c r="AA1294" i="2"/>
  <c r="Z1294" i="2"/>
  <c r="Y1294" i="2"/>
  <c r="X1294" i="2"/>
  <c r="W1294" i="2"/>
  <c r="V1294" i="2"/>
  <c r="U1294" i="2"/>
  <c r="T1294" i="2"/>
  <c r="S1294" i="2"/>
  <c r="R1294" i="2"/>
  <c r="Q1294" i="2"/>
  <c r="P1294" i="2"/>
  <c r="O1294" i="2"/>
  <c r="N1294" i="2"/>
  <c r="M1294" i="2"/>
  <c r="L1294" i="2"/>
  <c r="K1294" i="2"/>
  <c r="J1294" i="2"/>
  <c r="I1294" i="2"/>
  <c r="H1294" i="2"/>
  <c r="G1294" i="2"/>
  <c r="F1294" i="2"/>
  <c r="E1294" i="2"/>
  <c r="D1294" i="2"/>
  <c r="C1294" i="2"/>
  <c r="B1294" i="2"/>
  <c r="A1294" i="2"/>
  <c r="AE1293" i="2"/>
  <c r="AD1293" i="2"/>
  <c r="AC1293" i="2"/>
  <c r="AB1293" i="2"/>
  <c r="AA1293" i="2"/>
  <c r="Z1293" i="2"/>
  <c r="Y1293" i="2"/>
  <c r="X1293" i="2"/>
  <c r="W1293" i="2"/>
  <c r="V1293" i="2"/>
  <c r="U1293" i="2"/>
  <c r="T1293" i="2"/>
  <c r="S1293" i="2"/>
  <c r="R1293" i="2"/>
  <c r="Q1293" i="2"/>
  <c r="P1293" i="2"/>
  <c r="O1293" i="2"/>
  <c r="N1293" i="2"/>
  <c r="M1293" i="2"/>
  <c r="L1293" i="2"/>
  <c r="K1293" i="2"/>
  <c r="J1293" i="2"/>
  <c r="I1293" i="2"/>
  <c r="H1293" i="2"/>
  <c r="G1293" i="2"/>
  <c r="F1293" i="2"/>
  <c r="E1293" i="2"/>
  <c r="D1293" i="2"/>
  <c r="C1293" i="2"/>
  <c r="B1293" i="2"/>
  <c r="A1293" i="2"/>
  <c r="AE1292" i="2"/>
  <c r="AD1292" i="2"/>
  <c r="AC1292" i="2"/>
  <c r="AB1292" i="2"/>
  <c r="AA1292" i="2"/>
  <c r="Z1292" i="2"/>
  <c r="Y1292" i="2"/>
  <c r="X1292" i="2"/>
  <c r="W1292" i="2"/>
  <c r="V1292" i="2"/>
  <c r="U1292" i="2"/>
  <c r="T1292" i="2"/>
  <c r="S1292" i="2"/>
  <c r="R1292" i="2"/>
  <c r="Q1292" i="2"/>
  <c r="P1292" i="2"/>
  <c r="O1292" i="2"/>
  <c r="N1292" i="2"/>
  <c r="M1292" i="2"/>
  <c r="L1292" i="2"/>
  <c r="K1292" i="2"/>
  <c r="J1292" i="2"/>
  <c r="I1292" i="2"/>
  <c r="H1292" i="2"/>
  <c r="G1292" i="2"/>
  <c r="F1292" i="2"/>
  <c r="E1292" i="2"/>
  <c r="D1292" i="2"/>
  <c r="C1292" i="2"/>
  <c r="B1292" i="2"/>
  <c r="A1292" i="2"/>
  <c r="AE1291" i="2"/>
  <c r="AD1291" i="2"/>
  <c r="AC1291" i="2"/>
  <c r="AB1291" i="2"/>
  <c r="AA1291" i="2"/>
  <c r="Z1291" i="2"/>
  <c r="Y1291" i="2"/>
  <c r="X1291" i="2"/>
  <c r="W1291" i="2"/>
  <c r="V1291" i="2"/>
  <c r="U1291" i="2"/>
  <c r="T1291" i="2"/>
  <c r="S1291" i="2"/>
  <c r="R1291" i="2"/>
  <c r="Q1291" i="2"/>
  <c r="P1291" i="2"/>
  <c r="O1291" i="2"/>
  <c r="N1291" i="2"/>
  <c r="M1291" i="2"/>
  <c r="L1291" i="2"/>
  <c r="K1291" i="2"/>
  <c r="J1291" i="2"/>
  <c r="I1291" i="2"/>
  <c r="H1291" i="2"/>
  <c r="G1291" i="2"/>
  <c r="F1291" i="2"/>
  <c r="E1291" i="2"/>
  <c r="D1291" i="2"/>
  <c r="C1291" i="2"/>
  <c r="B1291" i="2"/>
  <c r="A1291" i="2"/>
  <c r="AE1290" i="2"/>
  <c r="AD1290" i="2"/>
  <c r="AC1290" i="2"/>
  <c r="AB1290" i="2"/>
  <c r="AA1290" i="2"/>
  <c r="Z1290" i="2"/>
  <c r="Y1290" i="2"/>
  <c r="X1290" i="2"/>
  <c r="W1290" i="2"/>
  <c r="V1290" i="2"/>
  <c r="U1290" i="2"/>
  <c r="T1290" i="2"/>
  <c r="S1290" i="2"/>
  <c r="R1290" i="2"/>
  <c r="Q1290" i="2"/>
  <c r="P1290" i="2"/>
  <c r="O1290" i="2"/>
  <c r="N1290" i="2"/>
  <c r="M1290" i="2"/>
  <c r="L1290" i="2"/>
  <c r="K1290" i="2"/>
  <c r="J1290" i="2"/>
  <c r="I1290" i="2"/>
  <c r="H1290" i="2"/>
  <c r="G1290" i="2"/>
  <c r="F1290" i="2"/>
  <c r="E1290" i="2"/>
  <c r="D1290" i="2"/>
  <c r="C1290" i="2"/>
  <c r="B1290" i="2"/>
  <c r="A1290" i="2"/>
  <c r="AE1289" i="2"/>
  <c r="AD1289" i="2"/>
  <c r="AC1289" i="2"/>
  <c r="AB1289" i="2"/>
  <c r="AA1289" i="2"/>
  <c r="Z1289" i="2"/>
  <c r="Y1289" i="2"/>
  <c r="X1289" i="2"/>
  <c r="W1289" i="2"/>
  <c r="V1289" i="2"/>
  <c r="U1289" i="2"/>
  <c r="T1289" i="2"/>
  <c r="S1289" i="2"/>
  <c r="R1289" i="2"/>
  <c r="Q1289" i="2"/>
  <c r="P1289" i="2"/>
  <c r="O1289" i="2"/>
  <c r="N1289" i="2"/>
  <c r="M1289" i="2"/>
  <c r="L1289" i="2"/>
  <c r="K1289" i="2"/>
  <c r="J1289" i="2"/>
  <c r="I1289" i="2"/>
  <c r="H1289" i="2"/>
  <c r="G1289" i="2"/>
  <c r="F1289" i="2"/>
  <c r="E1289" i="2"/>
  <c r="D1289" i="2"/>
  <c r="C1289" i="2"/>
  <c r="B1289" i="2"/>
  <c r="A1289" i="2"/>
  <c r="AE1288" i="2"/>
  <c r="AD1288" i="2"/>
  <c r="AC1288" i="2"/>
  <c r="AB1288" i="2"/>
  <c r="AA1288" i="2"/>
  <c r="Z1288" i="2"/>
  <c r="Y1288" i="2"/>
  <c r="X1288" i="2"/>
  <c r="W1288" i="2"/>
  <c r="V1288" i="2"/>
  <c r="U1288" i="2"/>
  <c r="T1288" i="2"/>
  <c r="S1288" i="2"/>
  <c r="R1288" i="2"/>
  <c r="Q1288" i="2"/>
  <c r="P1288" i="2"/>
  <c r="O1288" i="2"/>
  <c r="N1288" i="2"/>
  <c r="M1288" i="2"/>
  <c r="L1288" i="2"/>
  <c r="K1288" i="2"/>
  <c r="J1288" i="2"/>
  <c r="I1288" i="2"/>
  <c r="H1288" i="2"/>
  <c r="G1288" i="2"/>
  <c r="F1288" i="2"/>
  <c r="E1288" i="2"/>
  <c r="D1288" i="2"/>
  <c r="C1288" i="2"/>
  <c r="B1288" i="2"/>
  <c r="A1288" i="2"/>
  <c r="AE1287" i="2"/>
  <c r="AD1287" i="2"/>
  <c r="AC1287" i="2"/>
  <c r="AB1287" i="2"/>
  <c r="AA1287" i="2"/>
  <c r="Z1287" i="2"/>
  <c r="Y1287" i="2"/>
  <c r="X1287" i="2"/>
  <c r="W1287" i="2"/>
  <c r="V1287" i="2"/>
  <c r="U1287" i="2"/>
  <c r="T1287" i="2"/>
  <c r="S1287" i="2"/>
  <c r="R1287" i="2"/>
  <c r="Q1287" i="2"/>
  <c r="P1287" i="2"/>
  <c r="O1287" i="2"/>
  <c r="N1287" i="2"/>
  <c r="M1287" i="2"/>
  <c r="L1287" i="2"/>
  <c r="K1287" i="2"/>
  <c r="J1287" i="2"/>
  <c r="I1287" i="2"/>
  <c r="H1287" i="2"/>
  <c r="G1287" i="2"/>
  <c r="F1287" i="2"/>
  <c r="E1287" i="2"/>
  <c r="D1287" i="2"/>
  <c r="C1287" i="2"/>
  <c r="B1287" i="2"/>
  <c r="A1287" i="2"/>
  <c r="AE1286" i="2"/>
  <c r="AD1286" i="2"/>
  <c r="AC1286" i="2"/>
  <c r="AB1286" i="2"/>
  <c r="AA1286" i="2"/>
  <c r="Z1286" i="2"/>
  <c r="Y1286" i="2"/>
  <c r="X1286" i="2"/>
  <c r="W1286" i="2"/>
  <c r="V1286" i="2"/>
  <c r="U1286" i="2"/>
  <c r="T1286" i="2"/>
  <c r="S1286" i="2"/>
  <c r="R1286" i="2"/>
  <c r="Q1286" i="2"/>
  <c r="P1286" i="2"/>
  <c r="O1286" i="2"/>
  <c r="N1286" i="2"/>
  <c r="M1286" i="2"/>
  <c r="L1286" i="2"/>
  <c r="K1286" i="2"/>
  <c r="J1286" i="2"/>
  <c r="I1286" i="2"/>
  <c r="H1286" i="2"/>
  <c r="G1286" i="2"/>
  <c r="F1286" i="2"/>
  <c r="E1286" i="2"/>
  <c r="D1286" i="2"/>
  <c r="C1286" i="2"/>
  <c r="B1286" i="2"/>
  <c r="A1286" i="2"/>
  <c r="AE1285" i="2"/>
  <c r="AD1285" i="2"/>
  <c r="AC1285" i="2"/>
  <c r="AB1285" i="2"/>
  <c r="AA1285" i="2"/>
  <c r="Z1285" i="2"/>
  <c r="Y1285" i="2"/>
  <c r="X1285" i="2"/>
  <c r="W1285" i="2"/>
  <c r="V1285" i="2"/>
  <c r="U1285" i="2"/>
  <c r="T1285" i="2"/>
  <c r="S1285" i="2"/>
  <c r="R1285" i="2"/>
  <c r="Q1285" i="2"/>
  <c r="P1285" i="2"/>
  <c r="O1285" i="2"/>
  <c r="N1285" i="2"/>
  <c r="M1285" i="2"/>
  <c r="L1285" i="2"/>
  <c r="K1285" i="2"/>
  <c r="J1285" i="2"/>
  <c r="I1285" i="2"/>
  <c r="H1285" i="2"/>
  <c r="G1285" i="2"/>
  <c r="F1285" i="2"/>
  <c r="E1285" i="2"/>
  <c r="D1285" i="2"/>
  <c r="C1285" i="2"/>
  <c r="B1285" i="2"/>
  <c r="A1285" i="2"/>
  <c r="AE1284" i="2"/>
  <c r="AD1284" i="2"/>
  <c r="AC1284" i="2"/>
  <c r="AB1284" i="2"/>
  <c r="AA1284" i="2"/>
  <c r="Z1284" i="2"/>
  <c r="Y1284" i="2"/>
  <c r="X1284" i="2"/>
  <c r="W1284" i="2"/>
  <c r="V1284" i="2"/>
  <c r="U1284" i="2"/>
  <c r="T1284" i="2"/>
  <c r="S1284" i="2"/>
  <c r="R1284" i="2"/>
  <c r="Q1284" i="2"/>
  <c r="P1284" i="2"/>
  <c r="O1284" i="2"/>
  <c r="N1284" i="2"/>
  <c r="M1284" i="2"/>
  <c r="L1284" i="2"/>
  <c r="K1284" i="2"/>
  <c r="J1284" i="2"/>
  <c r="I1284" i="2"/>
  <c r="H1284" i="2"/>
  <c r="G1284" i="2"/>
  <c r="F1284" i="2"/>
  <c r="E1284" i="2"/>
  <c r="D1284" i="2"/>
  <c r="C1284" i="2"/>
  <c r="B1284" i="2"/>
  <c r="A1284" i="2"/>
  <c r="AE1283" i="2"/>
  <c r="AD1283" i="2"/>
  <c r="AC1283" i="2"/>
  <c r="AB1283" i="2"/>
  <c r="AA1283" i="2"/>
  <c r="Z1283" i="2"/>
  <c r="Y1283" i="2"/>
  <c r="X1283" i="2"/>
  <c r="W1283" i="2"/>
  <c r="V1283" i="2"/>
  <c r="U1283" i="2"/>
  <c r="T1283" i="2"/>
  <c r="S1283" i="2"/>
  <c r="R1283" i="2"/>
  <c r="Q1283" i="2"/>
  <c r="P1283" i="2"/>
  <c r="O1283" i="2"/>
  <c r="N1283" i="2"/>
  <c r="M1283" i="2"/>
  <c r="L1283" i="2"/>
  <c r="K1283" i="2"/>
  <c r="J1283" i="2"/>
  <c r="I1283" i="2"/>
  <c r="H1283" i="2"/>
  <c r="G1283" i="2"/>
  <c r="F1283" i="2"/>
  <c r="E1283" i="2"/>
  <c r="D1283" i="2"/>
  <c r="C1283" i="2"/>
  <c r="B1283" i="2"/>
  <c r="A1283" i="2"/>
  <c r="AE1282" i="2"/>
  <c r="AD1282" i="2"/>
  <c r="AC1282" i="2"/>
  <c r="AB1282" i="2"/>
  <c r="AA1282" i="2"/>
  <c r="Z1282" i="2"/>
  <c r="Y1282" i="2"/>
  <c r="X1282" i="2"/>
  <c r="W1282" i="2"/>
  <c r="V1282" i="2"/>
  <c r="U1282" i="2"/>
  <c r="T1282" i="2"/>
  <c r="S1282" i="2"/>
  <c r="R1282" i="2"/>
  <c r="Q1282" i="2"/>
  <c r="P1282" i="2"/>
  <c r="O1282" i="2"/>
  <c r="N1282" i="2"/>
  <c r="M1282" i="2"/>
  <c r="L1282" i="2"/>
  <c r="K1282" i="2"/>
  <c r="J1282" i="2"/>
  <c r="I1282" i="2"/>
  <c r="H1282" i="2"/>
  <c r="G1282" i="2"/>
  <c r="F1282" i="2"/>
  <c r="E1282" i="2"/>
  <c r="D1282" i="2"/>
  <c r="C1282" i="2"/>
  <c r="B1282" i="2"/>
  <c r="A1282" i="2"/>
  <c r="AE1281" i="2"/>
  <c r="AD1281" i="2"/>
  <c r="AC1281" i="2"/>
  <c r="AB1281" i="2"/>
  <c r="AA1281" i="2"/>
  <c r="Z1281" i="2"/>
  <c r="Y1281" i="2"/>
  <c r="X1281" i="2"/>
  <c r="W1281" i="2"/>
  <c r="V1281" i="2"/>
  <c r="U1281" i="2"/>
  <c r="T1281" i="2"/>
  <c r="S1281" i="2"/>
  <c r="R1281" i="2"/>
  <c r="Q1281" i="2"/>
  <c r="P1281" i="2"/>
  <c r="O1281" i="2"/>
  <c r="N1281" i="2"/>
  <c r="M1281" i="2"/>
  <c r="L1281" i="2"/>
  <c r="K1281" i="2"/>
  <c r="J1281" i="2"/>
  <c r="I1281" i="2"/>
  <c r="H1281" i="2"/>
  <c r="G1281" i="2"/>
  <c r="F1281" i="2"/>
  <c r="E1281" i="2"/>
  <c r="D1281" i="2"/>
  <c r="C1281" i="2"/>
  <c r="B1281" i="2"/>
  <c r="A1281" i="2"/>
  <c r="AE1280" i="2"/>
  <c r="AD1280" i="2"/>
  <c r="AC1280" i="2"/>
  <c r="AB1280" i="2"/>
  <c r="AA1280" i="2"/>
  <c r="Z1280" i="2"/>
  <c r="Y1280" i="2"/>
  <c r="X1280" i="2"/>
  <c r="W1280" i="2"/>
  <c r="V1280" i="2"/>
  <c r="U1280" i="2"/>
  <c r="T1280" i="2"/>
  <c r="S1280" i="2"/>
  <c r="R1280" i="2"/>
  <c r="Q1280" i="2"/>
  <c r="P1280" i="2"/>
  <c r="O1280" i="2"/>
  <c r="N1280" i="2"/>
  <c r="M1280" i="2"/>
  <c r="L1280" i="2"/>
  <c r="K1280" i="2"/>
  <c r="J1280" i="2"/>
  <c r="I1280" i="2"/>
  <c r="H1280" i="2"/>
  <c r="G1280" i="2"/>
  <c r="F1280" i="2"/>
  <c r="E1280" i="2"/>
  <c r="D1280" i="2"/>
  <c r="C1280" i="2"/>
  <c r="B1280" i="2"/>
  <c r="A1280" i="2"/>
  <c r="AE1279" i="2"/>
  <c r="AD1279" i="2"/>
  <c r="AC1279" i="2"/>
  <c r="AB1279" i="2"/>
  <c r="AA1279" i="2"/>
  <c r="Z1279" i="2"/>
  <c r="Y1279" i="2"/>
  <c r="X1279" i="2"/>
  <c r="W1279" i="2"/>
  <c r="V1279" i="2"/>
  <c r="U1279" i="2"/>
  <c r="T1279" i="2"/>
  <c r="S1279" i="2"/>
  <c r="R1279" i="2"/>
  <c r="Q1279" i="2"/>
  <c r="P1279" i="2"/>
  <c r="O1279" i="2"/>
  <c r="N1279" i="2"/>
  <c r="M1279" i="2"/>
  <c r="L1279" i="2"/>
  <c r="K1279" i="2"/>
  <c r="J1279" i="2"/>
  <c r="I1279" i="2"/>
  <c r="H1279" i="2"/>
  <c r="G1279" i="2"/>
  <c r="F1279" i="2"/>
  <c r="E1279" i="2"/>
  <c r="D1279" i="2"/>
  <c r="C1279" i="2"/>
  <c r="B1279" i="2"/>
  <c r="A1279" i="2"/>
  <c r="AE1278" i="2"/>
  <c r="AD1278" i="2"/>
  <c r="AC1278" i="2"/>
  <c r="AB1278" i="2"/>
  <c r="AA1278" i="2"/>
  <c r="Z1278" i="2"/>
  <c r="Y1278" i="2"/>
  <c r="X1278" i="2"/>
  <c r="W1278" i="2"/>
  <c r="V1278" i="2"/>
  <c r="U1278" i="2"/>
  <c r="T1278" i="2"/>
  <c r="S1278" i="2"/>
  <c r="R1278" i="2"/>
  <c r="Q1278" i="2"/>
  <c r="P1278" i="2"/>
  <c r="O1278" i="2"/>
  <c r="N1278" i="2"/>
  <c r="M1278" i="2"/>
  <c r="L1278" i="2"/>
  <c r="K1278" i="2"/>
  <c r="J1278" i="2"/>
  <c r="I1278" i="2"/>
  <c r="H1278" i="2"/>
  <c r="G1278" i="2"/>
  <c r="F1278" i="2"/>
  <c r="E1278" i="2"/>
  <c r="D1278" i="2"/>
  <c r="C1278" i="2"/>
  <c r="B1278" i="2"/>
  <c r="A1278" i="2"/>
  <c r="AE1277" i="2"/>
  <c r="AD1277" i="2"/>
  <c r="AC1277" i="2"/>
  <c r="AB1277" i="2"/>
  <c r="AA1277" i="2"/>
  <c r="Z1277" i="2"/>
  <c r="Y1277" i="2"/>
  <c r="X1277" i="2"/>
  <c r="W1277" i="2"/>
  <c r="V1277" i="2"/>
  <c r="U1277" i="2"/>
  <c r="T1277" i="2"/>
  <c r="S1277" i="2"/>
  <c r="R1277" i="2"/>
  <c r="Q1277" i="2"/>
  <c r="P1277" i="2"/>
  <c r="O1277" i="2"/>
  <c r="N1277" i="2"/>
  <c r="M1277" i="2"/>
  <c r="L1277" i="2"/>
  <c r="K1277" i="2"/>
  <c r="J1277" i="2"/>
  <c r="I1277" i="2"/>
  <c r="H1277" i="2"/>
  <c r="G1277" i="2"/>
  <c r="F1277" i="2"/>
  <c r="E1277" i="2"/>
  <c r="D1277" i="2"/>
  <c r="C1277" i="2"/>
  <c r="B1277" i="2"/>
  <c r="A1277" i="2"/>
  <c r="AE1276" i="2"/>
  <c r="AD1276" i="2"/>
  <c r="AC1276" i="2"/>
  <c r="AB1276" i="2"/>
  <c r="AA1276" i="2"/>
  <c r="Z1276" i="2"/>
  <c r="Y1276" i="2"/>
  <c r="X1276" i="2"/>
  <c r="W1276" i="2"/>
  <c r="V1276" i="2"/>
  <c r="U1276" i="2"/>
  <c r="T1276" i="2"/>
  <c r="S1276" i="2"/>
  <c r="R1276" i="2"/>
  <c r="Q1276" i="2"/>
  <c r="P1276" i="2"/>
  <c r="O1276" i="2"/>
  <c r="N1276" i="2"/>
  <c r="M1276" i="2"/>
  <c r="L1276" i="2"/>
  <c r="K1276" i="2"/>
  <c r="J1276" i="2"/>
  <c r="I1276" i="2"/>
  <c r="H1276" i="2"/>
  <c r="G1276" i="2"/>
  <c r="F1276" i="2"/>
  <c r="E1276" i="2"/>
  <c r="D1276" i="2"/>
  <c r="C1276" i="2"/>
  <c r="B1276" i="2"/>
  <c r="A1276" i="2"/>
  <c r="AE1275" i="2"/>
  <c r="AD1275" i="2"/>
  <c r="AC1275" i="2"/>
  <c r="AB1275" i="2"/>
  <c r="AA1275" i="2"/>
  <c r="Z1275" i="2"/>
  <c r="Y1275" i="2"/>
  <c r="X1275" i="2"/>
  <c r="W1275" i="2"/>
  <c r="V1275" i="2"/>
  <c r="U1275" i="2"/>
  <c r="T1275" i="2"/>
  <c r="S1275" i="2"/>
  <c r="R1275" i="2"/>
  <c r="Q1275" i="2"/>
  <c r="P1275" i="2"/>
  <c r="O1275" i="2"/>
  <c r="N1275" i="2"/>
  <c r="M1275" i="2"/>
  <c r="L1275" i="2"/>
  <c r="K1275" i="2"/>
  <c r="J1275" i="2"/>
  <c r="I1275" i="2"/>
  <c r="H1275" i="2"/>
  <c r="G1275" i="2"/>
  <c r="F1275" i="2"/>
  <c r="E1275" i="2"/>
  <c r="D1275" i="2"/>
  <c r="C1275" i="2"/>
  <c r="B1275" i="2"/>
  <c r="A1275" i="2"/>
  <c r="AE1274" i="2"/>
  <c r="AD1274" i="2"/>
  <c r="AC1274" i="2"/>
  <c r="AB1274" i="2"/>
  <c r="AA1274" i="2"/>
  <c r="Z1274" i="2"/>
  <c r="Y1274" i="2"/>
  <c r="X1274" i="2"/>
  <c r="W1274" i="2"/>
  <c r="V1274" i="2"/>
  <c r="U1274" i="2"/>
  <c r="T1274" i="2"/>
  <c r="S1274" i="2"/>
  <c r="R1274" i="2"/>
  <c r="Q1274" i="2"/>
  <c r="P1274" i="2"/>
  <c r="O1274" i="2"/>
  <c r="N1274" i="2"/>
  <c r="M1274" i="2"/>
  <c r="L1274" i="2"/>
  <c r="K1274" i="2"/>
  <c r="J1274" i="2"/>
  <c r="I1274" i="2"/>
  <c r="H1274" i="2"/>
  <c r="G1274" i="2"/>
  <c r="F1274" i="2"/>
  <c r="E1274" i="2"/>
  <c r="D1274" i="2"/>
  <c r="C1274" i="2"/>
  <c r="B1274" i="2"/>
  <c r="A1274" i="2"/>
  <c r="AE1273" i="2"/>
  <c r="AD1273" i="2"/>
  <c r="AC1273" i="2"/>
  <c r="AB1273" i="2"/>
  <c r="AA1273" i="2"/>
  <c r="Z1273" i="2"/>
  <c r="Y1273" i="2"/>
  <c r="X1273" i="2"/>
  <c r="W1273" i="2"/>
  <c r="V1273" i="2"/>
  <c r="U1273" i="2"/>
  <c r="T1273" i="2"/>
  <c r="S1273" i="2"/>
  <c r="R1273" i="2"/>
  <c r="Q1273" i="2"/>
  <c r="P1273" i="2"/>
  <c r="O1273" i="2"/>
  <c r="N1273" i="2"/>
  <c r="M1273" i="2"/>
  <c r="L1273" i="2"/>
  <c r="K1273" i="2"/>
  <c r="J1273" i="2"/>
  <c r="I1273" i="2"/>
  <c r="H1273" i="2"/>
  <c r="G1273" i="2"/>
  <c r="F1273" i="2"/>
  <c r="E1273" i="2"/>
  <c r="D1273" i="2"/>
  <c r="C1273" i="2"/>
  <c r="B1273" i="2"/>
  <c r="A1273" i="2"/>
  <c r="AE1272" i="2"/>
  <c r="AD1272" i="2"/>
  <c r="AC1272" i="2"/>
  <c r="AB1272" i="2"/>
  <c r="AA1272" i="2"/>
  <c r="Z1272" i="2"/>
  <c r="Y1272" i="2"/>
  <c r="X1272" i="2"/>
  <c r="W1272" i="2"/>
  <c r="V1272" i="2"/>
  <c r="U1272" i="2"/>
  <c r="T1272" i="2"/>
  <c r="S1272" i="2"/>
  <c r="R1272" i="2"/>
  <c r="Q1272" i="2"/>
  <c r="P1272" i="2"/>
  <c r="O1272" i="2"/>
  <c r="N1272" i="2"/>
  <c r="M1272" i="2"/>
  <c r="L1272" i="2"/>
  <c r="K1272" i="2"/>
  <c r="J1272" i="2"/>
  <c r="I1272" i="2"/>
  <c r="H1272" i="2"/>
  <c r="G1272" i="2"/>
  <c r="F1272" i="2"/>
  <c r="E1272" i="2"/>
  <c r="D1272" i="2"/>
  <c r="C1272" i="2"/>
  <c r="B1272" i="2"/>
  <c r="A1272" i="2"/>
  <c r="AE1271" i="2"/>
  <c r="AD1271" i="2"/>
  <c r="AC1271" i="2"/>
  <c r="AB1271" i="2"/>
  <c r="AA1271" i="2"/>
  <c r="Z1271" i="2"/>
  <c r="Y1271" i="2"/>
  <c r="X1271" i="2"/>
  <c r="W1271" i="2"/>
  <c r="V1271" i="2"/>
  <c r="U1271" i="2"/>
  <c r="T1271" i="2"/>
  <c r="S1271" i="2"/>
  <c r="R1271" i="2"/>
  <c r="Q1271" i="2"/>
  <c r="P1271" i="2"/>
  <c r="O1271" i="2"/>
  <c r="N1271" i="2"/>
  <c r="M1271" i="2"/>
  <c r="L1271" i="2"/>
  <c r="K1271" i="2"/>
  <c r="J1271" i="2"/>
  <c r="I1271" i="2"/>
  <c r="H1271" i="2"/>
  <c r="G1271" i="2"/>
  <c r="F1271" i="2"/>
  <c r="E1271" i="2"/>
  <c r="D1271" i="2"/>
  <c r="C1271" i="2"/>
  <c r="B1271" i="2"/>
  <c r="A1271" i="2"/>
  <c r="AE1270" i="2"/>
  <c r="AD1270" i="2"/>
  <c r="AC1270" i="2"/>
  <c r="AB1270" i="2"/>
  <c r="AA1270" i="2"/>
  <c r="Z1270" i="2"/>
  <c r="Y1270" i="2"/>
  <c r="X1270" i="2"/>
  <c r="W1270" i="2"/>
  <c r="V1270" i="2"/>
  <c r="U1270" i="2"/>
  <c r="T1270" i="2"/>
  <c r="S1270" i="2"/>
  <c r="R1270" i="2"/>
  <c r="Q1270" i="2"/>
  <c r="P1270" i="2"/>
  <c r="O1270" i="2"/>
  <c r="N1270" i="2"/>
  <c r="M1270" i="2"/>
  <c r="L1270" i="2"/>
  <c r="K1270" i="2"/>
  <c r="J1270" i="2"/>
  <c r="I1270" i="2"/>
  <c r="H1270" i="2"/>
  <c r="G1270" i="2"/>
  <c r="F1270" i="2"/>
  <c r="E1270" i="2"/>
  <c r="D1270" i="2"/>
  <c r="C1270" i="2"/>
  <c r="B1270" i="2"/>
  <c r="A1270" i="2"/>
  <c r="AE1269" i="2"/>
  <c r="AD1269" i="2"/>
  <c r="AC1269" i="2"/>
  <c r="AB1269" i="2"/>
  <c r="AA1269" i="2"/>
  <c r="Z1269" i="2"/>
  <c r="Y1269" i="2"/>
  <c r="X1269" i="2"/>
  <c r="W1269" i="2"/>
  <c r="V1269" i="2"/>
  <c r="U1269" i="2"/>
  <c r="T1269" i="2"/>
  <c r="S1269" i="2"/>
  <c r="R1269" i="2"/>
  <c r="Q1269" i="2"/>
  <c r="P1269" i="2"/>
  <c r="O1269" i="2"/>
  <c r="N1269" i="2"/>
  <c r="M1269" i="2"/>
  <c r="L1269" i="2"/>
  <c r="K1269" i="2"/>
  <c r="J1269" i="2"/>
  <c r="I1269" i="2"/>
  <c r="H1269" i="2"/>
  <c r="G1269" i="2"/>
  <c r="F1269" i="2"/>
  <c r="E1269" i="2"/>
  <c r="D1269" i="2"/>
  <c r="C1269" i="2"/>
  <c r="B1269" i="2"/>
  <c r="A1269" i="2"/>
  <c r="AE1268" i="2"/>
  <c r="AD1268" i="2"/>
  <c r="AC1268" i="2"/>
  <c r="AB1268" i="2"/>
  <c r="AA1268" i="2"/>
  <c r="Z1268" i="2"/>
  <c r="Y1268" i="2"/>
  <c r="X1268" i="2"/>
  <c r="W1268" i="2"/>
  <c r="V1268" i="2"/>
  <c r="U1268" i="2"/>
  <c r="T1268" i="2"/>
  <c r="S1268" i="2"/>
  <c r="R1268" i="2"/>
  <c r="Q1268" i="2"/>
  <c r="P1268" i="2"/>
  <c r="O1268" i="2"/>
  <c r="N1268" i="2"/>
  <c r="M1268" i="2"/>
  <c r="L1268" i="2"/>
  <c r="K1268" i="2"/>
  <c r="J1268" i="2"/>
  <c r="I1268" i="2"/>
  <c r="H1268" i="2"/>
  <c r="G1268" i="2"/>
  <c r="F1268" i="2"/>
  <c r="E1268" i="2"/>
  <c r="D1268" i="2"/>
  <c r="C1268" i="2"/>
  <c r="B1268" i="2"/>
  <c r="A1268" i="2"/>
  <c r="AE1267" i="2"/>
  <c r="AD1267" i="2"/>
  <c r="AC1267" i="2"/>
  <c r="AB1267" i="2"/>
  <c r="AA1267" i="2"/>
  <c r="Z1267" i="2"/>
  <c r="Y1267" i="2"/>
  <c r="X1267" i="2"/>
  <c r="W1267" i="2"/>
  <c r="V1267" i="2"/>
  <c r="U1267" i="2"/>
  <c r="T1267" i="2"/>
  <c r="S1267" i="2"/>
  <c r="R1267" i="2"/>
  <c r="Q1267" i="2"/>
  <c r="P1267" i="2"/>
  <c r="O1267" i="2"/>
  <c r="N1267" i="2"/>
  <c r="M1267" i="2"/>
  <c r="L1267" i="2"/>
  <c r="K1267" i="2"/>
  <c r="J1267" i="2"/>
  <c r="I1267" i="2"/>
  <c r="H1267" i="2"/>
  <c r="G1267" i="2"/>
  <c r="F1267" i="2"/>
  <c r="E1267" i="2"/>
  <c r="D1267" i="2"/>
  <c r="C1267" i="2"/>
  <c r="B1267" i="2"/>
  <c r="A1267" i="2"/>
  <c r="AE1266" i="2"/>
  <c r="AD1266" i="2"/>
  <c r="AC1266" i="2"/>
  <c r="AB1266" i="2"/>
  <c r="AA1266" i="2"/>
  <c r="Z1266" i="2"/>
  <c r="Y1266" i="2"/>
  <c r="X1266" i="2"/>
  <c r="W1266" i="2"/>
  <c r="V1266" i="2"/>
  <c r="U1266" i="2"/>
  <c r="T1266" i="2"/>
  <c r="S1266" i="2"/>
  <c r="R1266" i="2"/>
  <c r="Q1266" i="2"/>
  <c r="P1266" i="2"/>
  <c r="O1266" i="2"/>
  <c r="N1266" i="2"/>
  <c r="M1266" i="2"/>
  <c r="L1266" i="2"/>
  <c r="K1266" i="2"/>
  <c r="J1266" i="2"/>
  <c r="I1266" i="2"/>
  <c r="H1266" i="2"/>
  <c r="G1266" i="2"/>
  <c r="F1266" i="2"/>
  <c r="E1266" i="2"/>
  <c r="D1266" i="2"/>
  <c r="C1266" i="2"/>
  <c r="B1266" i="2"/>
  <c r="A1266" i="2"/>
  <c r="AE1265" i="2"/>
  <c r="AD1265" i="2"/>
  <c r="AC1265" i="2"/>
  <c r="AB1265" i="2"/>
  <c r="AA1265" i="2"/>
  <c r="Z1265" i="2"/>
  <c r="Y1265" i="2"/>
  <c r="X1265" i="2"/>
  <c r="W1265" i="2"/>
  <c r="V1265" i="2"/>
  <c r="U1265" i="2"/>
  <c r="T1265" i="2"/>
  <c r="S1265" i="2"/>
  <c r="R1265" i="2"/>
  <c r="Q1265" i="2"/>
  <c r="P1265" i="2"/>
  <c r="O1265" i="2"/>
  <c r="N1265" i="2"/>
  <c r="M1265" i="2"/>
  <c r="L1265" i="2"/>
  <c r="K1265" i="2"/>
  <c r="J1265" i="2"/>
  <c r="I1265" i="2"/>
  <c r="H1265" i="2"/>
  <c r="G1265" i="2"/>
  <c r="F1265" i="2"/>
  <c r="E1265" i="2"/>
  <c r="D1265" i="2"/>
  <c r="C1265" i="2"/>
  <c r="B1265" i="2"/>
  <c r="A1265" i="2"/>
  <c r="AE1264" i="2"/>
  <c r="AD1264" i="2"/>
  <c r="AC1264" i="2"/>
  <c r="AB1264" i="2"/>
  <c r="AA1264" i="2"/>
  <c r="Z1264" i="2"/>
  <c r="Y1264" i="2"/>
  <c r="X1264" i="2"/>
  <c r="W1264" i="2"/>
  <c r="V1264" i="2"/>
  <c r="U1264" i="2"/>
  <c r="T1264" i="2"/>
  <c r="S1264" i="2"/>
  <c r="R1264" i="2"/>
  <c r="Q1264" i="2"/>
  <c r="P1264" i="2"/>
  <c r="O1264" i="2"/>
  <c r="N1264" i="2"/>
  <c r="M1264" i="2"/>
  <c r="L1264" i="2"/>
  <c r="K1264" i="2"/>
  <c r="J1264" i="2"/>
  <c r="I1264" i="2"/>
  <c r="H1264" i="2"/>
  <c r="G1264" i="2"/>
  <c r="F1264" i="2"/>
  <c r="E1264" i="2"/>
  <c r="D1264" i="2"/>
  <c r="C1264" i="2"/>
  <c r="B1264" i="2"/>
  <c r="A1264" i="2"/>
  <c r="AE1263" i="2"/>
  <c r="AD1263" i="2"/>
  <c r="AC1263" i="2"/>
  <c r="AB1263" i="2"/>
  <c r="AA1263" i="2"/>
  <c r="Z1263" i="2"/>
  <c r="Y1263" i="2"/>
  <c r="X1263" i="2"/>
  <c r="W1263" i="2"/>
  <c r="V1263" i="2"/>
  <c r="U1263" i="2"/>
  <c r="T1263" i="2"/>
  <c r="S1263" i="2"/>
  <c r="R1263" i="2"/>
  <c r="Q1263" i="2"/>
  <c r="P1263" i="2"/>
  <c r="O1263" i="2"/>
  <c r="N1263" i="2"/>
  <c r="M1263" i="2"/>
  <c r="L1263" i="2"/>
  <c r="K1263" i="2"/>
  <c r="J1263" i="2"/>
  <c r="I1263" i="2"/>
  <c r="H1263" i="2"/>
  <c r="G1263" i="2"/>
  <c r="F1263" i="2"/>
  <c r="E1263" i="2"/>
  <c r="D1263" i="2"/>
  <c r="C1263" i="2"/>
  <c r="B1263" i="2"/>
  <c r="A1263" i="2"/>
  <c r="AE1262" i="2"/>
  <c r="AD1262" i="2"/>
  <c r="AC1262" i="2"/>
  <c r="AB1262" i="2"/>
  <c r="AA1262" i="2"/>
  <c r="Z1262" i="2"/>
  <c r="Y1262" i="2"/>
  <c r="X1262" i="2"/>
  <c r="W1262" i="2"/>
  <c r="V1262" i="2"/>
  <c r="U1262" i="2"/>
  <c r="T1262" i="2"/>
  <c r="S1262" i="2"/>
  <c r="R1262" i="2"/>
  <c r="Q1262" i="2"/>
  <c r="P1262" i="2"/>
  <c r="O1262" i="2"/>
  <c r="N1262" i="2"/>
  <c r="M1262" i="2"/>
  <c r="L1262" i="2"/>
  <c r="K1262" i="2"/>
  <c r="J1262" i="2"/>
  <c r="I1262" i="2"/>
  <c r="H1262" i="2"/>
  <c r="G1262" i="2"/>
  <c r="F1262" i="2"/>
  <c r="E1262" i="2"/>
  <c r="D1262" i="2"/>
  <c r="C1262" i="2"/>
  <c r="B1262" i="2"/>
  <c r="A1262" i="2"/>
  <c r="AE1261" i="2"/>
  <c r="AD1261" i="2"/>
  <c r="AC1261" i="2"/>
  <c r="AB1261" i="2"/>
  <c r="AA1261" i="2"/>
  <c r="Z1261" i="2"/>
  <c r="Y1261" i="2"/>
  <c r="X1261" i="2"/>
  <c r="W1261" i="2"/>
  <c r="V1261" i="2"/>
  <c r="U1261" i="2"/>
  <c r="T1261" i="2"/>
  <c r="S1261" i="2"/>
  <c r="R1261" i="2"/>
  <c r="Q1261" i="2"/>
  <c r="P1261" i="2"/>
  <c r="O1261" i="2"/>
  <c r="N1261" i="2"/>
  <c r="M1261" i="2"/>
  <c r="L1261" i="2"/>
  <c r="K1261" i="2"/>
  <c r="J1261" i="2"/>
  <c r="I1261" i="2"/>
  <c r="H1261" i="2"/>
  <c r="G1261" i="2"/>
  <c r="F1261" i="2"/>
  <c r="E1261" i="2"/>
  <c r="D1261" i="2"/>
  <c r="C1261" i="2"/>
  <c r="B1261" i="2"/>
  <c r="A1261" i="2"/>
  <c r="AE1260" i="2"/>
  <c r="AD1260" i="2"/>
  <c r="AC1260" i="2"/>
  <c r="AB1260" i="2"/>
  <c r="AA1260" i="2"/>
  <c r="Z1260" i="2"/>
  <c r="Y1260" i="2"/>
  <c r="X1260" i="2"/>
  <c r="W1260" i="2"/>
  <c r="V1260" i="2"/>
  <c r="U1260" i="2"/>
  <c r="T1260" i="2"/>
  <c r="S1260" i="2"/>
  <c r="R1260" i="2"/>
  <c r="Q1260" i="2"/>
  <c r="P1260" i="2"/>
  <c r="O1260" i="2"/>
  <c r="N1260" i="2"/>
  <c r="M1260" i="2"/>
  <c r="L1260" i="2"/>
  <c r="K1260" i="2"/>
  <c r="J1260" i="2"/>
  <c r="I1260" i="2"/>
  <c r="H1260" i="2"/>
  <c r="G1260" i="2"/>
  <c r="F1260" i="2"/>
  <c r="E1260" i="2"/>
  <c r="D1260" i="2"/>
  <c r="C1260" i="2"/>
  <c r="B1260" i="2"/>
  <c r="A1260" i="2"/>
  <c r="AE1259" i="2"/>
  <c r="AD1259" i="2"/>
  <c r="AC1259" i="2"/>
  <c r="AB1259" i="2"/>
  <c r="AA1259" i="2"/>
  <c r="Z1259" i="2"/>
  <c r="Y1259" i="2"/>
  <c r="X1259" i="2"/>
  <c r="W1259" i="2"/>
  <c r="V1259" i="2"/>
  <c r="U1259" i="2"/>
  <c r="T1259" i="2"/>
  <c r="S1259" i="2"/>
  <c r="R1259" i="2"/>
  <c r="Q1259" i="2"/>
  <c r="P1259" i="2"/>
  <c r="O1259" i="2"/>
  <c r="N1259" i="2"/>
  <c r="M1259" i="2"/>
  <c r="L1259" i="2"/>
  <c r="K1259" i="2"/>
  <c r="J1259" i="2"/>
  <c r="I1259" i="2"/>
  <c r="H1259" i="2"/>
  <c r="G1259" i="2"/>
  <c r="F1259" i="2"/>
  <c r="E1259" i="2"/>
  <c r="D1259" i="2"/>
  <c r="C1259" i="2"/>
  <c r="B1259" i="2"/>
  <c r="A1259" i="2"/>
  <c r="AE1258" i="2"/>
  <c r="AD1258" i="2"/>
  <c r="AC1258" i="2"/>
  <c r="AB1258" i="2"/>
  <c r="AA1258" i="2"/>
  <c r="Z1258" i="2"/>
  <c r="Y1258" i="2"/>
  <c r="X1258" i="2"/>
  <c r="W1258" i="2"/>
  <c r="V1258" i="2"/>
  <c r="U1258" i="2"/>
  <c r="T1258" i="2"/>
  <c r="S1258" i="2"/>
  <c r="R1258" i="2"/>
  <c r="Q1258" i="2"/>
  <c r="P1258" i="2"/>
  <c r="O1258" i="2"/>
  <c r="N1258" i="2"/>
  <c r="M1258" i="2"/>
  <c r="L1258" i="2"/>
  <c r="K1258" i="2"/>
  <c r="J1258" i="2"/>
  <c r="I1258" i="2"/>
  <c r="H1258" i="2"/>
  <c r="G1258" i="2"/>
  <c r="F1258" i="2"/>
  <c r="E1258" i="2"/>
  <c r="D1258" i="2"/>
  <c r="C1258" i="2"/>
  <c r="B1258" i="2"/>
  <c r="A1258" i="2"/>
  <c r="AE1257" i="2"/>
  <c r="AD1257" i="2"/>
  <c r="AC1257" i="2"/>
  <c r="AB1257" i="2"/>
  <c r="AA1257" i="2"/>
  <c r="Z1257" i="2"/>
  <c r="Y1257" i="2"/>
  <c r="X1257" i="2"/>
  <c r="W1257" i="2"/>
  <c r="V1257" i="2"/>
  <c r="U1257" i="2"/>
  <c r="T1257" i="2"/>
  <c r="S1257" i="2"/>
  <c r="R1257" i="2"/>
  <c r="Q1257" i="2"/>
  <c r="P1257" i="2"/>
  <c r="O1257" i="2"/>
  <c r="N1257" i="2"/>
  <c r="M1257" i="2"/>
  <c r="L1257" i="2"/>
  <c r="K1257" i="2"/>
  <c r="J1257" i="2"/>
  <c r="I1257" i="2"/>
  <c r="H1257" i="2"/>
  <c r="G1257" i="2"/>
  <c r="F1257" i="2"/>
  <c r="E1257" i="2"/>
  <c r="D1257" i="2"/>
  <c r="C1257" i="2"/>
  <c r="B1257" i="2"/>
  <c r="A1257" i="2"/>
  <c r="AE1256" i="2"/>
  <c r="AD1256" i="2"/>
  <c r="AC1256" i="2"/>
  <c r="AB1256" i="2"/>
  <c r="AA1256" i="2"/>
  <c r="Z1256" i="2"/>
  <c r="Y1256" i="2"/>
  <c r="X1256" i="2"/>
  <c r="W1256" i="2"/>
  <c r="V1256" i="2"/>
  <c r="U1256" i="2"/>
  <c r="T1256" i="2"/>
  <c r="S1256" i="2"/>
  <c r="R1256" i="2"/>
  <c r="Q1256" i="2"/>
  <c r="P1256" i="2"/>
  <c r="O1256" i="2"/>
  <c r="N1256" i="2"/>
  <c r="M1256" i="2"/>
  <c r="L1256" i="2"/>
  <c r="K1256" i="2"/>
  <c r="J1256" i="2"/>
  <c r="I1256" i="2"/>
  <c r="H1256" i="2"/>
  <c r="G1256" i="2"/>
  <c r="F1256" i="2"/>
  <c r="E1256" i="2"/>
  <c r="D1256" i="2"/>
  <c r="C1256" i="2"/>
  <c r="B1256" i="2"/>
  <c r="A1256" i="2"/>
  <c r="AE1255" i="2"/>
  <c r="AD1255" i="2"/>
  <c r="AC1255" i="2"/>
  <c r="AB1255" i="2"/>
  <c r="AA1255" i="2"/>
  <c r="Z1255" i="2"/>
  <c r="Y1255" i="2"/>
  <c r="X1255" i="2"/>
  <c r="W1255" i="2"/>
  <c r="V1255" i="2"/>
  <c r="U1255" i="2"/>
  <c r="T1255" i="2"/>
  <c r="S1255" i="2"/>
  <c r="R1255" i="2"/>
  <c r="Q1255" i="2"/>
  <c r="P1255" i="2"/>
  <c r="O1255" i="2"/>
  <c r="N1255" i="2"/>
  <c r="M1255" i="2"/>
  <c r="L1255" i="2"/>
  <c r="K1255" i="2"/>
  <c r="J1255" i="2"/>
  <c r="I1255" i="2"/>
  <c r="H1255" i="2"/>
  <c r="G1255" i="2"/>
  <c r="F1255" i="2"/>
  <c r="E1255" i="2"/>
  <c r="D1255" i="2"/>
  <c r="C1255" i="2"/>
  <c r="B1255" i="2"/>
  <c r="A1255" i="2"/>
  <c r="AE1254" i="2"/>
  <c r="AD1254" i="2"/>
  <c r="AC1254" i="2"/>
  <c r="AB1254" i="2"/>
  <c r="AA1254" i="2"/>
  <c r="Z1254" i="2"/>
  <c r="Y1254" i="2"/>
  <c r="X1254" i="2"/>
  <c r="W1254" i="2"/>
  <c r="V1254" i="2"/>
  <c r="U1254" i="2"/>
  <c r="T1254" i="2"/>
  <c r="S1254" i="2"/>
  <c r="R1254" i="2"/>
  <c r="Q1254" i="2"/>
  <c r="P1254" i="2"/>
  <c r="O1254" i="2"/>
  <c r="N1254" i="2"/>
  <c r="M1254" i="2"/>
  <c r="L1254" i="2"/>
  <c r="K1254" i="2"/>
  <c r="J1254" i="2"/>
  <c r="I1254" i="2"/>
  <c r="H1254" i="2"/>
  <c r="G1254" i="2"/>
  <c r="F1254" i="2"/>
  <c r="E1254" i="2"/>
  <c r="D1254" i="2"/>
  <c r="C1254" i="2"/>
  <c r="B1254" i="2"/>
  <c r="A1254" i="2"/>
  <c r="AE1253" i="2"/>
  <c r="AD1253" i="2"/>
  <c r="AC1253" i="2"/>
  <c r="AB1253" i="2"/>
  <c r="AA1253" i="2"/>
  <c r="Z1253" i="2"/>
  <c r="Y1253" i="2"/>
  <c r="X1253" i="2"/>
  <c r="W1253" i="2"/>
  <c r="V1253" i="2"/>
  <c r="U1253" i="2"/>
  <c r="T1253" i="2"/>
  <c r="S1253" i="2"/>
  <c r="R1253" i="2"/>
  <c r="Q1253" i="2"/>
  <c r="P1253" i="2"/>
  <c r="O1253" i="2"/>
  <c r="N1253" i="2"/>
  <c r="M1253" i="2"/>
  <c r="L1253" i="2"/>
  <c r="K1253" i="2"/>
  <c r="J1253" i="2"/>
  <c r="I1253" i="2"/>
  <c r="H1253" i="2"/>
  <c r="G1253" i="2"/>
  <c r="F1253" i="2"/>
  <c r="E1253" i="2"/>
  <c r="D1253" i="2"/>
  <c r="C1253" i="2"/>
  <c r="B1253" i="2"/>
  <c r="A1253" i="2"/>
  <c r="AE1252" i="2"/>
  <c r="AD1252" i="2"/>
  <c r="AC1252" i="2"/>
  <c r="AB1252" i="2"/>
  <c r="AA1252" i="2"/>
  <c r="Z1252" i="2"/>
  <c r="Y1252" i="2"/>
  <c r="X1252" i="2"/>
  <c r="W1252" i="2"/>
  <c r="V1252" i="2"/>
  <c r="U1252" i="2"/>
  <c r="T1252" i="2"/>
  <c r="S1252" i="2"/>
  <c r="R1252" i="2"/>
  <c r="Q1252" i="2"/>
  <c r="P1252" i="2"/>
  <c r="O1252" i="2"/>
  <c r="N1252" i="2"/>
  <c r="M1252" i="2"/>
  <c r="L1252" i="2"/>
  <c r="K1252" i="2"/>
  <c r="J1252" i="2"/>
  <c r="I1252" i="2"/>
  <c r="H1252" i="2"/>
  <c r="G1252" i="2"/>
  <c r="F1252" i="2"/>
  <c r="E1252" i="2"/>
  <c r="D1252" i="2"/>
  <c r="C1252" i="2"/>
  <c r="B1252" i="2"/>
  <c r="A1252" i="2"/>
  <c r="AE1251" i="2"/>
  <c r="AD1251" i="2"/>
  <c r="AC1251" i="2"/>
  <c r="AB1251" i="2"/>
  <c r="AA1251" i="2"/>
  <c r="Z1251" i="2"/>
  <c r="Y1251" i="2"/>
  <c r="X1251" i="2"/>
  <c r="W1251" i="2"/>
  <c r="V1251" i="2"/>
  <c r="U1251" i="2"/>
  <c r="T1251" i="2"/>
  <c r="S1251" i="2"/>
  <c r="R1251" i="2"/>
  <c r="Q1251" i="2"/>
  <c r="P1251" i="2"/>
  <c r="O1251" i="2"/>
  <c r="N1251" i="2"/>
  <c r="M1251" i="2"/>
  <c r="L1251" i="2"/>
  <c r="K1251" i="2"/>
  <c r="J1251" i="2"/>
  <c r="I1251" i="2"/>
  <c r="H1251" i="2"/>
  <c r="G1251" i="2"/>
  <c r="F1251" i="2"/>
  <c r="E1251" i="2"/>
  <c r="D1251" i="2"/>
  <c r="C1251" i="2"/>
  <c r="B1251" i="2"/>
  <c r="A1251" i="2"/>
  <c r="AE1250" i="2"/>
  <c r="AD1250" i="2"/>
  <c r="AC1250" i="2"/>
  <c r="AB1250" i="2"/>
  <c r="AA1250" i="2"/>
  <c r="Z1250" i="2"/>
  <c r="Y1250" i="2"/>
  <c r="X1250" i="2"/>
  <c r="W1250" i="2"/>
  <c r="V1250" i="2"/>
  <c r="U1250" i="2"/>
  <c r="T1250" i="2"/>
  <c r="S1250" i="2"/>
  <c r="R1250" i="2"/>
  <c r="Q1250" i="2"/>
  <c r="P1250" i="2"/>
  <c r="O1250" i="2"/>
  <c r="N1250" i="2"/>
  <c r="M1250" i="2"/>
  <c r="L1250" i="2"/>
  <c r="K1250" i="2"/>
  <c r="J1250" i="2"/>
  <c r="I1250" i="2"/>
  <c r="H1250" i="2"/>
  <c r="G1250" i="2"/>
  <c r="F1250" i="2"/>
  <c r="E1250" i="2"/>
  <c r="D1250" i="2"/>
  <c r="C1250" i="2"/>
  <c r="B1250" i="2"/>
  <c r="A1250" i="2"/>
  <c r="AE1249" i="2"/>
  <c r="AD1249" i="2"/>
  <c r="AC1249" i="2"/>
  <c r="AB1249" i="2"/>
  <c r="AA1249" i="2"/>
  <c r="Z1249" i="2"/>
  <c r="Y1249" i="2"/>
  <c r="X1249" i="2"/>
  <c r="W1249" i="2"/>
  <c r="V1249" i="2"/>
  <c r="U1249" i="2"/>
  <c r="T1249" i="2"/>
  <c r="S1249" i="2"/>
  <c r="R1249" i="2"/>
  <c r="Q1249" i="2"/>
  <c r="P1249" i="2"/>
  <c r="O1249" i="2"/>
  <c r="N1249" i="2"/>
  <c r="M1249" i="2"/>
  <c r="L1249" i="2"/>
  <c r="K1249" i="2"/>
  <c r="J1249" i="2"/>
  <c r="I1249" i="2"/>
  <c r="H1249" i="2"/>
  <c r="G1249" i="2"/>
  <c r="F1249" i="2"/>
  <c r="E1249" i="2"/>
  <c r="D1249" i="2"/>
  <c r="C1249" i="2"/>
  <c r="B1249" i="2"/>
  <c r="A1249" i="2"/>
  <c r="AE1248" i="2"/>
  <c r="AD1248" i="2"/>
  <c r="AC1248" i="2"/>
  <c r="AB1248" i="2"/>
  <c r="AA1248" i="2"/>
  <c r="Z1248" i="2"/>
  <c r="Y1248" i="2"/>
  <c r="X1248" i="2"/>
  <c r="W1248" i="2"/>
  <c r="V1248" i="2"/>
  <c r="U1248" i="2"/>
  <c r="T1248" i="2"/>
  <c r="S1248" i="2"/>
  <c r="R1248" i="2"/>
  <c r="Q1248" i="2"/>
  <c r="P1248" i="2"/>
  <c r="O1248" i="2"/>
  <c r="N1248" i="2"/>
  <c r="M1248" i="2"/>
  <c r="L1248" i="2"/>
  <c r="K1248" i="2"/>
  <c r="J1248" i="2"/>
  <c r="I1248" i="2"/>
  <c r="H1248" i="2"/>
  <c r="G1248" i="2"/>
  <c r="F1248" i="2"/>
  <c r="E1248" i="2"/>
  <c r="D1248" i="2"/>
  <c r="C1248" i="2"/>
  <c r="B1248" i="2"/>
  <c r="A1248" i="2"/>
  <c r="AE1247" i="2"/>
  <c r="AD1247" i="2"/>
  <c r="AC1247" i="2"/>
  <c r="AB1247" i="2"/>
  <c r="AA1247" i="2"/>
  <c r="Z1247" i="2"/>
  <c r="Y1247" i="2"/>
  <c r="X1247" i="2"/>
  <c r="W1247" i="2"/>
  <c r="V1247" i="2"/>
  <c r="U1247" i="2"/>
  <c r="T1247" i="2"/>
  <c r="S1247" i="2"/>
  <c r="R1247" i="2"/>
  <c r="Q1247" i="2"/>
  <c r="P1247" i="2"/>
  <c r="O1247" i="2"/>
  <c r="N1247" i="2"/>
  <c r="M1247" i="2"/>
  <c r="L1247" i="2"/>
  <c r="K1247" i="2"/>
  <c r="J1247" i="2"/>
  <c r="I1247" i="2"/>
  <c r="H1247" i="2"/>
  <c r="G1247" i="2"/>
  <c r="F1247" i="2"/>
  <c r="E1247" i="2"/>
  <c r="D1247" i="2"/>
  <c r="C1247" i="2"/>
  <c r="B1247" i="2"/>
  <c r="A1247" i="2"/>
  <c r="AE1246" i="2"/>
  <c r="AD1246" i="2"/>
  <c r="AC1246" i="2"/>
  <c r="AB1246" i="2"/>
  <c r="AA1246" i="2"/>
  <c r="Z1246" i="2"/>
  <c r="Y1246" i="2"/>
  <c r="X1246" i="2"/>
  <c r="W1246" i="2"/>
  <c r="V1246" i="2"/>
  <c r="U1246" i="2"/>
  <c r="T1246" i="2"/>
  <c r="S1246" i="2"/>
  <c r="R1246" i="2"/>
  <c r="Q1246" i="2"/>
  <c r="P1246" i="2"/>
  <c r="O1246" i="2"/>
  <c r="N1246" i="2"/>
  <c r="M1246" i="2"/>
  <c r="L1246" i="2"/>
  <c r="K1246" i="2"/>
  <c r="J1246" i="2"/>
  <c r="I1246" i="2"/>
  <c r="H1246" i="2"/>
  <c r="G1246" i="2"/>
  <c r="F1246" i="2"/>
  <c r="E1246" i="2"/>
  <c r="D1246" i="2"/>
  <c r="C1246" i="2"/>
  <c r="B1246" i="2"/>
  <c r="A1246" i="2"/>
  <c r="AE1245" i="2"/>
  <c r="AD1245" i="2"/>
  <c r="AC1245" i="2"/>
  <c r="AB1245" i="2"/>
  <c r="AA1245" i="2"/>
  <c r="Z1245" i="2"/>
  <c r="Y1245" i="2"/>
  <c r="X1245" i="2"/>
  <c r="W1245" i="2"/>
  <c r="V1245" i="2"/>
  <c r="U1245" i="2"/>
  <c r="T1245" i="2"/>
  <c r="S1245" i="2"/>
  <c r="R1245" i="2"/>
  <c r="Q1245" i="2"/>
  <c r="P1245" i="2"/>
  <c r="O1245" i="2"/>
  <c r="N1245" i="2"/>
  <c r="M1245" i="2"/>
  <c r="L1245" i="2"/>
  <c r="K1245" i="2"/>
  <c r="J1245" i="2"/>
  <c r="I1245" i="2"/>
  <c r="H1245" i="2"/>
  <c r="G1245" i="2"/>
  <c r="F1245" i="2"/>
  <c r="E1245" i="2"/>
  <c r="D1245" i="2"/>
  <c r="C1245" i="2"/>
  <c r="B1245" i="2"/>
  <c r="A1245" i="2"/>
  <c r="AE1244" i="2"/>
  <c r="AD1244" i="2"/>
  <c r="AC1244" i="2"/>
  <c r="AB1244" i="2"/>
  <c r="AA1244" i="2"/>
  <c r="Z1244" i="2"/>
  <c r="Y1244" i="2"/>
  <c r="X1244" i="2"/>
  <c r="W1244" i="2"/>
  <c r="V1244" i="2"/>
  <c r="U1244" i="2"/>
  <c r="T1244" i="2"/>
  <c r="S1244" i="2"/>
  <c r="R1244" i="2"/>
  <c r="Q1244" i="2"/>
  <c r="P1244" i="2"/>
  <c r="O1244" i="2"/>
  <c r="N1244" i="2"/>
  <c r="M1244" i="2"/>
  <c r="L1244" i="2"/>
  <c r="K1244" i="2"/>
  <c r="J1244" i="2"/>
  <c r="I1244" i="2"/>
  <c r="H1244" i="2"/>
  <c r="G1244" i="2"/>
  <c r="F1244" i="2"/>
  <c r="E1244" i="2"/>
  <c r="D1244" i="2"/>
  <c r="C1244" i="2"/>
  <c r="B1244" i="2"/>
  <c r="A1244" i="2"/>
  <c r="AE1243" i="2"/>
  <c r="AD1243" i="2"/>
  <c r="AC1243" i="2"/>
  <c r="AB1243" i="2"/>
  <c r="AA1243" i="2"/>
  <c r="Z1243" i="2"/>
  <c r="Y1243" i="2"/>
  <c r="X1243" i="2"/>
  <c r="W1243" i="2"/>
  <c r="V1243" i="2"/>
  <c r="U1243" i="2"/>
  <c r="T1243" i="2"/>
  <c r="S1243" i="2"/>
  <c r="R1243" i="2"/>
  <c r="Q1243" i="2"/>
  <c r="P1243" i="2"/>
  <c r="O1243" i="2"/>
  <c r="N1243" i="2"/>
  <c r="M1243" i="2"/>
  <c r="L1243" i="2"/>
  <c r="K1243" i="2"/>
  <c r="J1243" i="2"/>
  <c r="I1243" i="2"/>
  <c r="H1243" i="2"/>
  <c r="G1243" i="2"/>
  <c r="F1243" i="2"/>
  <c r="E1243" i="2"/>
  <c r="D1243" i="2"/>
  <c r="C1243" i="2"/>
  <c r="B1243" i="2"/>
  <c r="A1243" i="2"/>
  <c r="AE1242" i="2"/>
  <c r="AD1242" i="2"/>
  <c r="AC1242" i="2"/>
  <c r="AB1242" i="2"/>
  <c r="AA1242" i="2"/>
  <c r="Z1242" i="2"/>
  <c r="Y1242" i="2"/>
  <c r="X1242" i="2"/>
  <c r="W1242" i="2"/>
  <c r="V1242" i="2"/>
  <c r="U1242" i="2"/>
  <c r="T1242" i="2"/>
  <c r="S1242" i="2"/>
  <c r="R1242" i="2"/>
  <c r="Q1242" i="2"/>
  <c r="P1242" i="2"/>
  <c r="O1242" i="2"/>
  <c r="N1242" i="2"/>
  <c r="M1242" i="2"/>
  <c r="L1242" i="2"/>
  <c r="K1242" i="2"/>
  <c r="J1242" i="2"/>
  <c r="I1242" i="2"/>
  <c r="H1242" i="2"/>
  <c r="G1242" i="2"/>
  <c r="F1242" i="2"/>
  <c r="E1242" i="2"/>
  <c r="D1242" i="2"/>
  <c r="C1242" i="2"/>
  <c r="B1242" i="2"/>
  <c r="A1242" i="2"/>
  <c r="AE1241" i="2"/>
  <c r="AD1241" i="2"/>
  <c r="AC1241" i="2"/>
  <c r="AB1241" i="2"/>
  <c r="AA1241" i="2"/>
  <c r="Z1241" i="2"/>
  <c r="Y1241" i="2"/>
  <c r="X1241" i="2"/>
  <c r="W1241" i="2"/>
  <c r="V1241" i="2"/>
  <c r="U1241" i="2"/>
  <c r="T1241" i="2"/>
  <c r="S1241" i="2"/>
  <c r="R1241" i="2"/>
  <c r="Q1241" i="2"/>
  <c r="P1241" i="2"/>
  <c r="O1241" i="2"/>
  <c r="N1241" i="2"/>
  <c r="M1241" i="2"/>
  <c r="L1241" i="2"/>
  <c r="K1241" i="2"/>
  <c r="J1241" i="2"/>
  <c r="I1241" i="2"/>
  <c r="H1241" i="2"/>
  <c r="G1241" i="2"/>
  <c r="F1241" i="2"/>
  <c r="E1241" i="2"/>
  <c r="D1241" i="2"/>
  <c r="C1241" i="2"/>
  <c r="B1241" i="2"/>
  <c r="A1241" i="2"/>
  <c r="AE1240" i="2"/>
  <c r="AD1240" i="2"/>
  <c r="AC1240" i="2"/>
  <c r="AB1240" i="2"/>
  <c r="AA1240" i="2"/>
  <c r="Z1240" i="2"/>
  <c r="Y1240" i="2"/>
  <c r="X1240" i="2"/>
  <c r="W1240" i="2"/>
  <c r="V1240" i="2"/>
  <c r="U1240" i="2"/>
  <c r="T1240" i="2"/>
  <c r="S1240" i="2"/>
  <c r="R1240" i="2"/>
  <c r="Q1240" i="2"/>
  <c r="P1240" i="2"/>
  <c r="O1240" i="2"/>
  <c r="N1240" i="2"/>
  <c r="M1240" i="2"/>
  <c r="L1240" i="2"/>
  <c r="K1240" i="2"/>
  <c r="J1240" i="2"/>
  <c r="I1240" i="2"/>
  <c r="H1240" i="2"/>
  <c r="G1240" i="2"/>
  <c r="F1240" i="2"/>
  <c r="E1240" i="2"/>
  <c r="D1240" i="2"/>
  <c r="C1240" i="2"/>
  <c r="B1240" i="2"/>
  <c r="A1240" i="2"/>
  <c r="AE1239" i="2"/>
  <c r="AD1239" i="2"/>
  <c r="AC1239" i="2"/>
  <c r="AB1239" i="2"/>
  <c r="AA1239" i="2"/>
  <c r="Z1239" i="2"/>
  <c r="Y1239" i="2"/>
  <c r="X1239" i="2"/>
  <c r="W1239" i="2"/>
  <c r="V1239" i="2"/>
  <c r="U1239" i="2"/>
  <c r="T1239" i="2"/>
  <c r="S1239" i="2"/>
  <c r="R1239" i="2"/>
  <c r="Q1239" i="2"/>
  <c r="P1239" i="2"/>
  <c r="O1239" i="2"/>
  <c r="N1239" i="2"/>
  <c r="M1239" i="2"/>
  <c r="L1239" i="2"/>
  <c r="K1239" i="2"/>
  <c r="J1239" i="2"/>
  <c r="I1239" i="2"/>
  <c r="H1239" i="2"/>
  <c r="G1239" i="2"/>
  <c r="F1239" i="2"/>
  <c r="E1239" i="2"/>
  <c r="D1239" i="2"/>
  <c r="C1239" i="2"/>
  <c r="B1239" i="2"/>
  <c r="A1239" i="2"/>
  <c r="AE1238" i="2"/>
  <c r="AD1238" i="2"/>
  <c r="AC1238" i="2"/>
  <c r="AB1238" i="2"/>
  <c r="AA1238" i="2"/>
  <c r="Z1238" i="2"/>
  <c r="Y1238" i="2"/>
  <c r="X1238" i="2"/>
  <c r="W1238" i="2"/>
  <c r="V1238" i="2"/>
  <c r="U1238" i="2"/>
  <c r="T1238" i="2"/>
  <c r="S1238" i="2"/>
  <c r="R1238" i="2"/>
  <c r="Q1238" i="2"/>
  <c r="P1238" i="2"/>
  <c r="O1238" i="2"/>
  <c r="N1238" i="2"/>
  <c r="M1238" i="2"/>
  <c r="L1238" i="2"/>
  <c r="K1238" i="2"/>
  <c r="J1238" i="2"/>
  <c r="I1238" i="2"/>
  <c r="H1238" i="2"/>
  <c r="G1238" i="2"/>
  <c r="F1238" i="2"/>
  <c r="E1238" i="2"/>
  <c r="D1238" i="2"/>
  <c r="C1238" i="2"/>
  <c r="B1238" i="2"/>
  <c r="A1238" i="2"/>
  <c r="AE1237" i="2"/>
  <c r="AD1237" i="2"/>
  <c r="AC1237" i="2"/>
  <c r="AB1237" i="2"/>
  <c r="AA1237" i="2"/>
  <c r="Z1237" i="2"/>
  <c r="Y1237" i="2"/>
  <c r="X1237" i="2"/>
  <c r="W1237" i="2"/>
  <c r="V1237" i="2"/>
  <c r="U1237" i="2"/>
  <c r="T1237" i="2"/>
  <c r="S1237" i="2"/>
  <c r="R1237" i="2"/>
  <c r="Q1237" i="2"/>
  <c r="P1237" i="2"/>
  <c r="O1237" i="2"/>
  <c r="N1237" i="2"/>
  <c r="M1237" i="2"/>
  <c r="L1237" i="2"/>
  <c r="K1237" i="2"/>
  <c r="J1237" i="2"/>
  <c r="I1237" i="2"/>
  <c r="H1237" i="2"/>
  <c r="G1237" i="2"/>
  <c r="F1237" i="2"/>
  <c r="E1237" i="2"/>
  <c r="D1237" i="2"/>
  <c r="C1237" i="2"/>
  <c r="B1237" i="2"/>
  <c r="A1237" i="2"/>
  <c r="AE1236" i="2"/>
  <c r="AD1236" i="2"/>
  <c r="AC1236" i="2"/>
  <c r="AB1236" i="2"/>
  <c r="AA1236" i="2"/>
  <c r="Z1236" i="2"/>
  <c r="Y1236" i="2"/>
  <c r="X1236" i="2"/>
  <c r="W1236" i="2"/>
  <c r="V1236" i="2"/>
  <c r="U1236" i="2"/>
  <c r="T1236" i="2"/>
  <c r="S1236" i="2"/>
  <c r="R1236" i="2"/>
  <c r="Q1236" i="2"/>
  <c r="P1236" i="2"/>
  <c r="O1236" i="2"/>
  <c r="N1236" i="2"/>
  <c r="M1236" i="2"/>
  <c r="L1236" i="2"/>
  <c r="K1236" i="2"/>
  <c r="J1236" i="2"/>
  <c r="I1236" i="2"/>
  <c r="H1236" i="2"/>
  <c r="G1236" i="2"/>
  <c r="F1236" i="2"/>
  <c r="E1236" i="2"/>
  <c r="D1236" i="2"/>
  <c r="C1236" i="2"/>
  <c r="B1236" i="2"/>
  <c r="A1236" i="2"/>
  <c r="AE1235" i="2"/>
  <c r="AD1235" i="2"/>
  <c r="AC1235" i="2"/>
  <c r="AB1235" i="2"/>
  <c r="AA1235" i="2"/>
  <c r="Z1235" i="2"/>
  <c r="Y1235" i="2"/>
  <c r="X1235" i="2"/>
  <c r="W1235" i="2"/>
  <c r="V1235" i="2"/>
  <c r="U1235" i="2"/>
  <c r="T1235" i="2"/>
  <c r="S1235" i="2"/>
  <c r="R1235" i="2"/>
  <c r="Q1235" i="2"/>
  <c r="P1235" i="2"/>
  <c r="O1235" i="2"/>
  <c r="N1235" i="2"/>
  <c r="M1235" i="2"/>
  <c r="L1235" i="2"/>
  <c r="K1235" i="2"/>
  <c r="J1235" i="2"/>
  <c r="I1235" i="2"/>
  <c r="H1235" i="2"/>
  <c r="G1235" i="2"/>
  <c r="F1235" i="2"/>
  <c r="E1235" i="2"/>
  <c r="D1235" i="2"/>
  <c r="C1235" i="2"/>
  <c r="B1235" i="2"/>
  <c r="A1235" i="2"/>
  <c r="AE1234" i="2"/>
  <c r="AD1234" i="2"/>
  <c r="AC1234" i="2"/>
  <c r="AB1234" i="2"/>
  <c r="AA1234" i="2"/>
  <c r="Z1234" i="2"/>
  <c r="Y1234" i="2"/>
  <c r="X1234" i="2"/>
  <c r="W1234" i="2"/>
  <c r="V1234" i="2"/>
  <c r="U1234" i="2"/>
  <c r="T1234" i="2"/>
  <c r="S1234" i="2"/>
  <c r="R1234" i="2"/>
  <c r="Q1234" i="2"/>
  <c r="P1234" i="2"/>
  <c r="O1234" i="2"/>
  <c r="N1234" i="2"/>
  <c r="M1234" i="2"/>
  <c r="L1234" i="2"/>
  <c r="K1234" i="2"/>
  <c r="J1234" i="2"/>
  <c r="I1234" i="2"/>
  <c r="H1234" i="2"/>
  <c r="G1234" i="2"/>
  <c r="F1234" i="2"/>
  <c r="E1234" i="2"/>
  <c r="D1234" i="2"/>
  <c r="C1234" i="2"/>
  <c r="B1234" i="2"/>
  <c r="A1234" i="2"/>
  <c r="AE1233" i="2"/>
  <c r="AD1233" i="2"/>
  <c r="AC1233" i="2"/>
  <c r="AB1233" i="2"/>
  <c r="AA1233" i="2"/>
  <c r="Z1233" i="2"/>
  <c r="Y1233" i="2"/>
  <c r="X1233" i="2"/>
  <c r="W1233" i="2"/>
  <c r="V1233" i="2"/>
  <c r="U1233" i="2"/>
  <c r="T1233" i="2"/>
  <c r="S1233" i="2"/>
  <c r="R1233" i="2"/>
  <c r="Q1233" i="2"/>
  <c r="P1233" i="2"/>
  <c r="O1233" i="2"/>
  <c r="N1233" i="2"/>
  <c r="M1233" i="2"/>
  <c r="L1233" i="2"/>
  <c r="K1233" i="2"/>
  <c r="J1233" i="2"/>
  <c r="I1233" i="2"/>
  <c r="H1233" i="2"/>
  <c r="G1233" i="2"/>
  <c r="F1233" i="2"/>
  <c r="E1233" i="2"/>
  <c r="D1233" i="2"/>
  <c r="C1233" i="2"/>
  <c r="B1233" i="2"/>
  <c r="A1233" i="2"/>
  <c r="AE1232" i="2"/>
  <c r="AD1232" i="2"/>
  <c r="AC1232" i="2"/>
  <c r="AB1232" i="2"/>
  <c r="AA1232" i="2"/>
  <c r="Z1232" i="2"/>
  <c r="Y1232" i="2"/>
  <c r="X1232" i="2"/>
  <c r="W1232" i="2"/>
  <c r="V1232" i="2"/>
  <c r="U1232" i="2"/>
  <c r="T1232" i="2"/>
  <c r="S1232" i="2"/>
  <c r="R1232" i="2"/>
  <c r="Q1232" i="2"/>
  <c r="P1232" i="2"/>
  <c r="O1232" i="2"/>
  <c r="N1232" i="2"/>
  <c r="M1232" i="2"/>
  <c r="L1232" i="2"/>
  <c r="K1232" i="2"/>
  <c r="J1232" i="2"/>
  <c r="I1232" i="2"/>
  <c r="H1232" i="2"/>
  <c r="G1232" i="2"/>
  <c r="F1232" i="2"/>
  <c r="E1232" i="2"/>
  <c r="D1232" i="2"/>
  <c r="C1232" i="2"/>
  <c r="B1232" i="2"/>
  <c r="A1232" i="2"/>
  <c r="AE1231" i="2"/>
  <c r="AD1231" i="2"/>
  <c r="AC1231" i="2"/>
  <c r="AB1231" i="2"/>
  <c r="AA1231" i="2"/>
  <c r="Z1231" i="2"/>
  <c r="Y1231" i="2"/>
  <c r="X1231" i="2"/>
  <c r="W1231" i="2"/>
  <c r="V1231" i="2"/>
  <c r="U1231" i="2"/>
  <c r="T1231" i="2"/>
  <c r="S1231" i="2"/>
  <c r="R1231" i="2"/>
  <c r="Q1231" i="2"/>
  <c r="P1231" i="2"/>
  <c r="O1231" i="2"/>
  <c r="N1231" i="2"/>
  <c r="M1231" i="2"/>
  <c r="L1231" i="2"/>
  <c r="K1231" i="2"/>
  <c r="J1231" i="2"/>
  <c r="I1231" i="2"/>
  <c r="H1231" i="2"/>
  <c r="G1231" i="2"/>
  <c r="F1231" i="2"/>
  <c r="E1231" i="2"/>
  <c r="D1231" i="2"/>
  <c r="C1231" i="2"/>
  <c r="B1231" i="2"/>
  <c r="A1231" i="2"/>
  <c r="AE1230" i="2"/>
  <c r="AD1230" i="2"/>
  <c r="AC1230" i="2"/>
  <c r="AB1230" i="2"/>
  <c r="AA1230" i="2"/>
  <c r="Z1230" i="2"/>
  <c r="Y1230" i="2"/>
  <c r="X1230" i="2"/>
  <c r="W1230" i="2"/>
  <c r="V1230" i="2"/>
  <c r="U1230" i="2"/>
  <c r="T1230" i="2"/>
  <c r="S1230" i="2"/>
  <c r="R1230" i="2"/>
  <c r="Q1230" i="2"/>
  <c r="P1230" i="2"/>
  <c r="O1230" i="2"/>
  <c r="N1230" i="2"/>
  <c r="M1230" i="2"/>
  <c r="L1230" i="2"/>
  <c r="K1230" i="2"/>
  <c r="J1230" i="2"/>
  <c r="I1230" i="2"/>
  <c r="H1230" i="2"/>
  <c r="G1230" i="2"/>
  <c r="F1230" i="2"/>
  <c r="E1230" i="2"/>
  <c r="D1230" i="2"/>
  <c r="C1230" i="2"/>
  <c r="B1230" i="2"/>
  <c r="A1230" i="2"/>
  <c r="AE1229" i="2"/>
  <c r="AD1229" i="2"/>
  <c r="AC1229" i="2"/>
  <c r="AB1229" i="2"/>
  <c r="AA1229" i="2"/>
  <c r="Z1229" i="2"/>
  <c r="Y1229" i="2"/>
  <c r="X1229" i="2"/>
  <c r="W1229" i="2"/>
  <c r="V1229" i="2"/>
  <c r="U1229" i="2"/>
  <c r="T1229" i="2"/>
  <c r="S1229" i="2"/>
  <c r="R1229" i="2"/>
  <c r="Q1229" i="2"/>
  <c r="P1229" i="2"/>
  <c r="O1229" i="2"/>
  <c r="N1229" i="2"/>
  <c r="M1229" i="2"/>
  <c r="L1229" i="2"/>
  <c r="K1229" i="2"/>
  <c r="J1229" i="2"/>
  <c r="I1229" i="2"/>
  <c r="H1229" i="2"/>
  <c r="G1229" i="2"/>
  <c r="F1229" i="2"/>
  <c r="E1229" i="2"/>
  <c r="D1229" i="2"/>
  <c r="C1229" i="2"/>
  <c r="B1229" i="2"/>
  <c r="A1229" i="2"/>
  <c r="AE1228" i="2"/>
  <c r="AD1228" i="2"/>
  <c r="AC1228" i="2"/>
  <c r="AB1228" i="2"/>
  <c r="AA1228" i="2"/>
  <c r="Z1228" i="2"/>
  <c r="Y1228" i="2"/>
  <c r="X1228" i="2"/>
  <c r="W1228" i="2"/>
  <c r="V1228" i="2"/>
  <c r="U1228" i="2"/>
  <c r="T1228" i="2"/>
  <c r="S1228" i="2"/>
  <c r="R1228" i="2"/>
  <c r="Q1228" i="2"/>
  <c r="P1228" i="2"/>
  <c r="O1228" i="2"/>
  <c r="N1228" i="2"/>
  <c r="M1228" i="2"/>
  <c r="L1228" i="2"/>
  <c r="K1228" i="2"/>
  <c r="J1228" i="2"/>
  <c r="I1228" i="2"/>
  <c r="H1228" i="2"/>
  <c r="G1228" i="2"/>
  <c r="F1228" i="2"/>
  <c r="E1228" i="2"/>
  <c r="D1228" i="2"/>
  <c r="C1228" i="2"/>
  <c r="B1228" i="2"/>
  <c r="A1228" i="2"/>
  <c r="AE1227" i="2"/>
  <c r="AD1227" i="2"/>
  <c r="AC1227" i="2"/>
  <c r="AB1227" i="2"/>
  <c r="AA1227" i="2"/>
  <c r="Z1227" i="2"/>
  <c r="Y1227" i="2"/>
  <c r="X1227" i="2"/>
  <c r="W1227" i="2"/>
  <c r="V1227" i="2"/>
  <c r="U1227" i="2"/>
  <c r="T1227" i="2"/>
  <c r="S1227" i="2"/>
  <c r="R1227" i="2"/>
  <c r="Q1227" i="2"/>
  <c r="P1227" i="2"/>
  <c r="O1227" i="2"/>
  <c r="N1227" i="2"/>
  <c r="M1227" i="2"/>
  <c r="L1227" i="2"/>
  <c r="K1227" i="2"/>
  <c r="J1227" i="2"/>
  <c r="I1227" i="2"/>
  <c r="H1227" i="2"/>
  <c r="G1227" i="2"/>
  <c r="F1227" i="2"/>
  <c r="E1227" i="2"/>
  <c r="D1227" i="2"/>
  <c r="C1227" i="2"/>
  <c r="B1227" i="2"/>
  <c r="A1227" i="2"/>
  <c r="AE1226" i="2"/>
  <c r="AD1226" i="2"/>
  <c r="AC1226" i="2"/>
  <c r="AB1226" i="2"/>
  <c r="AA1226" i="2"/>
  <c r="Z1226" i="2"/>
  <c r="Y1226" i="2"/>
  <c r="X1226" i="2"/>
  <c r="W1226" i="2"/>
  <c r="V1226" i="2"/>
  <c r="U1226" i="2"/>
  <c r="T1226" i="2"/>
  <c r="S1226" i="2"/>
  <c r="R1226" i="2"/>
  <c r="Q1226" i="2"/>
  <c r="P1226" i="2"/>
  <c r="O1226" i="2"/>
  <c r="N1226" i="2"/>
  <c r="M1226" i="2"/>
  <c r="L1226" i="2"/>
  <c r="K1226" i="2"/>
  <c r="J1226" i="2"/>
  <c r="I1226" i="2"/>
  <c r="H1226" i="2"/>
  <c r="G1226" i="2"/>
  <c r="F1226" i="2"/>
  <c r="E1226" i="2"/>
  <c r="D1226" i="2"/>
  <c r="C1226" i="2"/>
  <c r="B1226" i="2"/>
  <c r="A1226" i="2"/>
  <c r="AE1225" i="2"/>
  <c r="AD1225" i="2"/>
  <c r="AC1225" i="2"/>
  <c r="AB1225" i="2"/>
  <c r="AA1225" i="2"/>
  <c r="Z1225" i="2"/>
  <c r="Y1225" i="2"/>
  <c r="X1225" i="2"/>
  <c r="W1225" i="2"/>
  <c r="V1225" i="2"/>
  <c r="U1225" i="2"/>
  <c r="T1225" i="2"/>
  <c r="S1225" i="2"/>
  <c r="R1225" i="2"/>
  <c r="Q1225" i="2"/>
  <c r="P1225" i="2"/>
  <c r="O1225" i="2"/>
  <c r="N1225" i="2"/>
  <c r="M1225" i="2"/>
  <c r="L1225" i="2"/>
  <c r="K1225" i="2"/>
  <c r="J1225" i="2"/>
  <c r="I1225" i="2"/>
  <c r="H1225" i="2"/>
  <c r="G1225" i="2"/>
  <c r="F1225" i="2"/>
  <c r="E1225" i="2"/>
  <c r="D1225" i="2"/>
  <c r="C1225" i="2"/>
  <c r="B1225" i="2"/>
  <c r="A1225" i="2"/>
  <c r="AE1224" i="2"/>
  <c r="AD1224" i="2"/>
  <c r="AC1224" i="2"/>
  <c r="AB1224" i="2"/>
  <c r="AA1224" i="2"/>
  <c r="Z1224" i="2"/>
  <c r="Y1224" i="2"/>
  <c r="X1224" i="2"/>
  <c r="W1224" i="2"/>
  <c r="V1224" i="2"/>
  <c r="U1224" i="2"/>
  <c r="T1224" i="2"/>
  <c r="S1224" i="2"/>
  <c r="R1224" i="2"/>
  <c r="Q1224" i="2"/>
  <c r="P1224" i="2"/>
  <c r="O1224" i="2"/>
  <c r="N1224" i="2"/>
  <c r="M1224" i="2"/>
  <c r="L1224" i="2"/>
  <c r="K1224" i="2"/>
  <c r="J1224" i="2"/>
  <c r="I1224" i="2"/>
  <c r="H1224" i="2"/>
  <c r="G1224" i="2"/>
  <c r="F1224" i="2"/>
  <c r="E1224" i="2"/>
  <c r="D1224" i="2"/>
  <c r="C1224" i="2"/>
  <c r="B1224" i="2"/>
  <c r="A1224" i="2"/>
  <c r="AE1223" i="2"/>
  <c r="AD1223" i="2"/>
  <c r="AC1223" i="2"/>
  <c r="AB1223" i="2"/>
  <c r="AA1223" i="2"/>
  <c r="Z1223" i="2"/>
  <c r="Y1223" i="2"/>
  <c r="X1223" i="2"/>
  <c r="W1223" i="2"/>
  <c r="V1223" i="2"/>
  <c r="U1223" i="2"/>
  <c r="T1223" i="2"/>
  <c r="S1223" i="2"/>
  <c r="R1223" i="2"/>
  <c r="Q1223" i="2"/>
  <c r="P1223" i="2"/>
  <c r="O1223" i="2"/>
  <c r="N1223" i="2"/>
  <c r="M1223" i="2"/>
  <c r="L1223" i="2"/>
  <c r="K1223" i="2"/>
  <c r="J1223" i="2"/>
  <c r="I1223" i="2"/>
  <c r="H1223" i="2"/>
  <c r="G1223" i="2"/>
  <c r="F1223" i="2"/>
  <c r="E1223" i="2"/>
  <c r="D1223" i="2"/>
  <c r="C1223" i="2"/>
  <c r="B1223" i="2"/>
  <c r="A1223" i="2"/>
  <c r="AE1222" i="2"/>
  <c r="AD1222" i="2"/>
  <c r="AC1222" i="2"/>
  <c r="AB1222" i="2"/>
  <c r="AA1222" i="2"/>
  <c r="Z1222" i="2"/>
  <c r="Y1222" i="2"/>
  <c r="X1222" i="2"/>
  <c r="W1222" i="2"/>
  <c r="V1222" i="2"/>
  <c r="U1222" i="2"/>
  <c r="T1222" i="2"/>
  <c r="S1222" i="2"/>
  <c r="R1222" i="2"/>
  <c r="Q1222" i="2"/>
  <c r="P1222" i="2"/>
  <c r="O1222" i="2"/>
  <c r="N1222" i="2"/>
  <c r="M1222" i="2"/>
  <c r="L1222" i="2"/>
  <c r="K1222" i="2"/>
  <c r="J1222" i="2"/>
  <c r="I1222" i="2"/>
  <c r="H1222" i="2"/>
  <c r="G1222" i="2"/>
  <c r="F1222" i="2"/>
  <c r="E1222" i="2"/>
  <c r="D1222" i="2"/>
  <c r="C1222" i="2"/>
  <c r="B1222" i="2"/>
  <c r="A1222" i="2"/>
  <c r="AE1221" i="2"/>
  <c r="AD1221" i="2"/>
  <c r="AC1221" i="2"/>
  <c r="AB1221" i="2"/>
  <c r="AA1221" i="2"/>
  <c r="Z1221" i="2"/>
  <c r="Y1221" i="2"/>
  <c r="X1221" i="2"/>
  <c r="W1221" i="2"/>
  <c r="V1221" i="2"/>
  <c r="U1221" i="2"/>
  <c r="T1221" i="2"/>
  <c r="S1221" i="2"/>
  <c r="R1221" i="2"/>
  <c r="Q1221" i="2"/>
  <c r="P1221" i="2"/>
  <c r="O1221" i="2"/>
  <c r="N1221" i="2"/>
  <c r="M1221" i="2"/>
  <c r="L1221" i="2"/>
  <c r="K1221" i="2"/>
  <c r="J1221" i="2"/>
  <c r="I1221" i="2"/>
  <c r="H1221" i="2"/>
  <c r="G1221" i="2"/>
  <c r="F1221" i="2"/>
  <c r="E1221" i="2"/>
  <c r="D1221" i="2"/>
  <c r="C1221" i="2"/>
  <c r="B1221" i="2"/>
  <c r="A1221" i="2"/>
  <c r="AE1220" i="2"/>
  <c r="AD1220" i="2"/>
  <c r="AC1220" i="2"/>
  <c r="AB1220" i="2"/>
  <c r="AA1220" i="2"/>
  <c r="Z1220" i="2"/>
  <c r="Y1220" i="2"/>
  <c r="X1220" i="2"/>
  <c r="W1220" i="2"/>
  <c r="V1220" i="2"/>
  <c r="U1220" i="2"/>
  <c r="T1220" i="2"/>
  <c r="S1220" i="2"/>
  <c r="R1220" i="2"/>
  <c r="Q1220" i="2"/>
  <c r="P1220" i="2"/>
  <c r="O1220" i="2"/>
  <c r="N1220" i="2"/>
  <c r="M1220" i="2"/>
  <c r="L1220" i="2"/>
  <c r="K1220" i="2"/>
  <c r="J1220" i="2"/>
  <c r="I1220" i="2"/>
  <c r="H1220" i="2"/>
  <c r="G1220" i="2"/>
  <c r="F1220" i="2"/>
  <c r="E1220" i="2"/>
  <c r="D1220" i="2"/>
  <c r="C1220" i="2"/>
  <c r="B1220" i="2"/>
  <c r="A1220" i="2"/>
  <c r="AE1219" i="2"/>
  <c r="AD1219" i="2"/>
  <c r="AC1219" i="2"/>
  <c r="AB1219" i="2"/>
  <c r="AA1219" i="2"/>
  <c r="Z1219" i="2"/>
  <c r="Y1219" i="2"/>
  <c r="X1219" i="2"/>
  <c r="W1219" i="2"/>
  <c r="V1219" i="2"/>
  <c r="U1219" i="2"/>
  <c r="T1219" i="2"/>
  <c r="S1219" i="2"/>
  <c r="R1219" i="2"/>
  <c r="Q1219" i="2"/>
  <c r="P1219" i="2"/>
  <c r="O1219" i="2"/>
  <c r="N1219" i="2"/>
  <c r="M1219" i="2"/>
  <c r="L1219" i="2"/>
  <c r="K1219" i="2"/>
  <c r="J1219" i="2"/>
  <c r="I1219" i="2"/>
  <c r="H1219" i="2"/>
  <c r="G1219" i="2"/>
  <c r="F1219" i="2"/>
  <c r="E1219" i="2"/>
  <c r="D1219" i="2"/>
  <c r="C1219" i="2"/>
  <c r="B1219" i="2"/>
  <c r="A1219" i="2"/>
  <c r="AE1218" i="2"/>
  <c r="AD1218" i="2"/>
  <c r="AC1218" i="2"/>
  <c r="AB1218" i="2"/>
  <c r="AA1218" i="2"/>
  <c r="Z1218" i="2"/>
  <c r="Y1218" i="2"/>
  <c r="X1218" i="2"/>
  <c r="W1218" i="2"/>
  <c r="V1218" i="2"/>
  <c r="U1218" i="2"/>
  <c r="T1218" i="2"/>
  <c r="S1218" i="2"/>
  <c r="R1218" i="2"/>
  <c r="Q1218" i="2"/>
  <c r="P1218" i="2"/>
  <c r="O1218" i="2"/>
  <c r="N1218" i="2"/>
  <c r="M1218" i="2"/>
  <c r="L1218" i="2"/>
  <c r="K1218" i="2"/>
  <c r="J1218" i="2"/>
  <c r="I1218" i="2"/>
  <c r="H1218" i="2"/>
  <c r="G1218" i="2"/>
  <c r="F1218" i="2"/>
  <c r="E1218" i="2"/>
  <c r="D1218" i="2"/>
  <c r="C1218" i="2"/>
  <c r="B1218" i="2"/>
  <c r="A1218" i="2"/>
  <c r="AE1217" i="2"/>
  <c r="AD1217" i="2"/>
  <c r="AC1217" i="2"/>
  <c r="AB1217" i="2"/>
  <c r="AA1217" i="2"/>
  <c r="Z1217" i="2"/>
  <c r="Y1217" i="2"/>
  <c r="X1217" i="2"/>
  <c r="W1217" i="2"/>
  <c r="V1217" i="2"/>
  <c r="U1217" i="2"/>
  <c r="T1217" i="2"/>
  <c r="S1217" i="2"/>
  <c r="R1217" i="2"/>
  <c r="Q1217" i="2"/>
  <c r="P1217" i="2"/>
  <c r="O1217" i="2"/>
  <c r="N1217" i="2"/>
  <c r="M1217" i="2"/>
  <c r="L1217" i="2"/>
  <c r="K1217" i="2"/>
  <c r="J1217" i="2"/>
  <c r="I1217" i="2"/>
  <c r="H1217" i="2"/>
  <c r="G1217" i="2"/>
  <c r="F1217" i="2"/>
  <c r="E1217" i="2"/>
  <c r="D1217" i="2"/>
  <c r="C1217" i="2"/>
  <c r="B1217" i="2"/>
  <c r="A1217" i="2"/>
  <c r="AE1216" i="2"/>
  <c r="AD1216" i="2"/>
  <c r="AC1216" i="2"/>
  <c r="AB1216" i="2"/>
  <c r="AA1216" i="2"/>
  <c r="Z1216" i="2"/>
  <c r="Y1216" i="2"/>
  <c r="X1216" i="2"/>
  <c r="W1216" i="2"/>
  <c r="V1216" i="2"/>
  <c r="U1216" i="2"/>
  <c r="T1216" i="2"/>
  <c r="S1216" i="2"/>
  <c r="R1216" i="2"/>
  <c r="Q1216" i="2"/>
  <c r="P1216" i="2"/>
  <c r="O1216" i="2"/>
  <c r="N1216" i="2"/>
  <c r="M1216" i="2"/>
  <c r="L1216" i="2"/>
  <c r="K1216" i="2"/>
  <c r="J1216" i="2"/>
  <c r="I1216" i="2"/>
  <c r="H1216" i="2"/>
  <c r="G1216" i="2"/>
  <c r="F1216" i="2"/>
  <c r="E1216" i="2"/>
  <c r="D1216" i="2"/>
  <c r="C1216" i="2"/>
  <c r="B1216" i="2"/>
  <c r="A1216" i="2"/>
  <c r="AE1215" i="2"/>
  <c r="AD1215" i="2"/>
  <c r="AC1215" i="2"/>
  <c r="AB1215" i="2"/>
  <c r="AA1215" i="2"/>
  <c r="Z1215" i="2"/>
  <c r="Y1215" i="2"/>
  <c r="X1215" i="2"/>
  <c r="W1215" i="2"/>
  <c r="V1215" i="2"/>
  <c r="U1215" i="2"/>
  <c r="T1215" i="2"/>
  <c r="S1215" i="2"/>
  <c r="R1215" i="2"/>
  <c r="Q1215" i="2"/>
  <c r="P1215" i="2"/>
  <c r="O1215" i="2"/>
  <c r="N1215" i="2"/>
  <c r="M1215" i="2"/>
  <c r="L1215" i="2"/>
  <c r="K1215" i="2"/>
  <c r="J1215" i="2"/>
  <c r="I1215" i="2"/>
  <c r="H1215" i="2"/>
  <c r="G1215" i="2"/>
  <c r="F1215" i="2"/>
  <c r="E1215" i="2"/>
  <c r="D1215" i="2"/>
  <c r="C1215" i="2"/>
  <c r="B1215" i="2"/>
  <c r="A1215" i="2"/>
  <c r="AE1214" i="2"/>
  <c r="AD1214" i="2"/>
  <c r="AC1214" i="2"/>
  <c r="AB1214" i="2"/>
  <c r="AA1214" i="2"/>
  <c r="Z1214" i="2"/>
  <c r="Y1214" i="2"/>
  <c r="X1214" i="2"/>
  <c r="W1214" i="2"/>
  <c r="V1214" i="2"/>
  <c r="U1214" i="2"/>
  <c r="T1214" i="2"/>
  <c r="S1214" i="2"/>
  <c r="R1214" i="2"/>
  <c r="Q1214" i="2"/>
  <c r="P1214" i="2"/>
  <c r="O1214" i="2"/>
  <c r="N1214" i="2"/>
  <c r="M1214" i="2"/>
  <c r="L1214" i="2"/>
  <c r="K1214" i="2"/>
  <c r="J1214" i="2"/>
  <c r="I1214" i="2"/>
  <c r="H1214" i="2"/>
  <c r="G1214" i="2"/>
  <c r="F1214" i="2"/>
  <c r="E1214" i="2"/>
  <c r="D1214" i="2"/>
  <c r="C1214" i="2"/>
  <c r="B1214" i="2"/>
  <c r="A1214" i="2"/>
  <c r="AE1213" i="2"/>
  <c r="AD1213" i="2"/>
  <c r="AC1213" i="2"/>
  <c r="AB1213" i="2"/>
  <c r="AA1213" i="2"/>
  <c r="Z1213" i="2"/>
  <c r="Y1213" i="2"/>
  <c r="X1213" i="2"/>
  <c r="W1213" i="2"/>
  <c r="V1213" i="2"/>
  <c r="U1213" i="2"/>
  <c r="T1213" i="2"/>
  <c r="S1213" i="2"/>
  <c r="R1213" i="2"/>
  <c r="Q1213" i="2"/>
  <c r="P1213" i="2"/>
  <c r="O1213" i="2"/>
  <c r="N1213" i="2"/>
  <c r="M1213" i="2"/>
  <c r="L1213" i="2"/>
  <c r="K1213" i="2"/>
  <c r="J1213" i="2"/>
  <c r="I1213" i="2"/>
  <c r="H1213" i="2"/>
  <c r="G1213" i="2"/>
  <c r="F1213" i="2"/>
  <c r="E1213" i="2"/>
  <c r="D1213" i="2"/>
  <c r="C1213" i="2"/>
  <c r="B1213" i="2"/>
  <c r="A1213" i="2"/>
  <c r="AE1212" i="2"/>
  <c r="AD1212" i="2"/>
  <c r="AC1212" i="2"/>
  <c r="AB1212" i="2"/>
  <c r="AA1212" i="2"/>
  <c r="Z1212" i="2"/>
  <c r="Y1212" i="2"/>
  <c r="X1212" i="2"/>
  <c r="W1212" i="2"/>
  <c r="V1212" i="2"/>
  <c r="U1212" i="2"/>
  <c r="T1212" i="2"/>
  <c r="S1212" i="2"/>
  <c r="R1212" i="2"/>
  <c r="Q1212" i="2"/>
  <c r="P1212" i="2"/>
  <c r="O1212" i="2"/>
  <c r="N1212" i="2"/>
  <c r="M1212" i="2"/>
  <c r="L1212" i="2"/>
  <c r="K1212" i="2"/>
  <c r="J1212" i="2"/>
  <c r="I1212" i="2"/>
  <c r="H1212" i="2"/>
  <c r="G1212" i="2"/>
  <c r="F1212" i="2"/>
  <c r="E1212" i="2"/>
  <c r="D1212" i="2"/>
  <c r="C1212" i="2"/>
  <c r="B1212" i="2"/>
  <c r="A1212" i="2"/>
  <c r="AE1211" i="2"/>
  <c r="AD1211" i="2"/>
  <c r="AC1211" i="2"/>
  <c r="AB1211" i="2"/>
  <c r="AA1211" i="2"/>
  <c r="Z1211" i="2"/>
  <c r="Y1211" i="2"/>
  <c r="X1211" i="2"/>
  <c r="W1211" i="2"/>
  <c r="V1211" i="2"/>
  <c r="U1211" i="2"/>
  <c r="T1211" i="2"/>
  <c r="S1211" i="2"/>
  <c r="R1211" i="2"/>
  <c r="Q1211" i="2"/>
  <c r="P1211" i="2"/>
  <c r="O1211" i="2"/>
  <c r="N1211" i="2"/>
  <c r="M1211" i="2"/>
  <c r="L1211" i="2"/>
  <c r="K1211" i="2"/>
  <c r="J1211" i="2"/>
  <c r="I1211" i="2"/>
  <c r="H1211" i="2"/>
  <c r="G1211" i="2"/>
  <c r="F1211" i="2"/>
  <c r="E1211" i="2"/>
  <c r="D1211" i="2"/>
  <c r="C1211" i="2"/>
  <c r="B1211" i="2"/>
  <c r="A1211" i="2"/>
  <c r="AE1210" i="2"/>
  <c r="AD1210" i="2"/>
  <c r="AC1210" i="2"/>
  <c r="AB1210" i="2"/>
  <c r="AA1210" i="2"/>
  <c r="Z1210" i="2"/>
  <c r="Y1210" i="2"/>
  <c r="X1210" i="2"/>
  <c r="W1210" i="2"/>
  <c r="V1210" i="2"/>
  <c r="U1210" i="2"/>
  <c r="T1210" i="2"/>
  <c r="S1210" i="2"/>
  <c r="R1210" i="2"/>
  <c r="Q1210" i="2"/>
  <c r="P1210" i="2"/>
  <c r="O1210" i="2"/>
  <c r="N1210" i="2"/>
  <c r="M1210" i="2"/>
  <c r="L1210" i="2"/>
  <c r="K1210" i="2"/>
  <c r="J1210" i="2"/>
  <c r="I1210" i="2"/>
  <c r="H1210" i="2"/>
  <c r="G1210" i="2"/>
  <c r="F1210" i="2"/>
  <c r="E1210" i="2"/>
  <c r="D1210" i="2"/>
  <c r="C1210" i="2"/>
  <c r="B1210" i="2"/>
  <c r="A1210" i="2"/>
  <c r="AE1209" i="2"/>
  <c r="AD1209" i="2"/>
  <c r="AC1209" i="2"/>
  <c r="AB1209" i="2"/>
  <c r="AA1209" i="2"/>
  <c r="Z1209" i="2"/>
  <c r="Y1209" i="2"/>
  <c r="X1209" i="2"/>
  <c r="W1209" i="2"/>
  <c r="V1209" i="2"/>
  <c r="U1209" i="2"/>
  <c r="T1209" i="2"/>
  <c r="S1209" i="2"/>
  <c r="R1209" i="2"/>
  <c r="Q1209" i="2"/>
  <c r="P1209" i="2"/>
  <c r="O1209" i="2"/>
  <c r="N1209" i="2"/>
  <c r="M1209" i="2"/>
  <c r="L1209" i="2"/>
  <c r="K1209" i="2"/>
  <c r="J1209" i="2"/>
  <c r="I1209" i="2"/>
  <c r="H1209" i="2"/>
  <c r="G1209" i="2"/>
  <c r="F1209" i="2"/>
  <c r="E1209" i="2"/>
  <c r="D1209" i="2"/>
  <c r="C1209" i="2"/>
  <c r="B1209" i="2"/>
  <c r="A1209" i="2"/>
  <c r="AE1208" i="2"/>
  <c r="AD1208" i="2"/>
  <c r="AC1208" i="2"/>
  <c r="AB1208" i="2"/>
  <c r="AA1208" i="2"/>
  <c r="Z1208" i="2"/>
  <c r="Y1208" i="2"/>
  <c r="X1208" i="2"/>
  <c r="W1208" i="2"/>
  <c r="V1208" i="2"/>
  <c r="U1208" i="2"/>
  <c r="T1208" i="2"/>
  <c r="S1208" i="2"/>
  <c r="R1208" i="2"/>
  <c r="Q1208" i="2"/>
  <c r="P1208" i="2"/>
  <c r="O1208" i="2"/>
  <c r="N1208" i="2"/>
  <c r="M1208" i="2"/>
  <c r="L1208" i="2"/>
  <c r="K1208" i="2"/>
  <c r="J1208" i="2"/>
  <c r="I1208" i="2"/>
  <c r="H1208" i="2"/>
  <c r="G1208" i="2"/>
  <c r="F1208" i="2"/>
  <c r="E1208" i="2"/>
  <c r="D1208" i="2"/>
  <c r="C1208" i="2"/>
  <c r="B1208" i="2"/>
  <c r="A1208" i="2"/>
  <c r="AE1207" i="2"/>
  <c r="AD1207" i="2"/>
  <c r="AC1207" i="2"/>
  <c r="AB1207" i="2"/>
  <c r="AA1207" i="2"/>
  <c r="Z1207" i="2"/>
  <c r="Y1207" i="2"/>
  <c r="X1207" i="2"/>
  <c r="W1207" i="2"/>
  <c r="V1207" i="2"/>
  <c r="U1207" i="2"/>
  <c r="T1207" i="2"/>
  <c r="S1207" i="2"/>
  <c r="R1207" i="2"/>
  <c r="Q1207" i="2"/>
  <c r="P1207" i="2"/>
  <c r="O1207" i="2"/>
  <c r="N1207" i="2"/>
  <c r="M1207" i="2"/>
  <c r="L1207" i="2"/>
  <c r="K1207" i="2"/>
  <c r="J1207" i="2"/>
  <c r="I1207" i="2"/>
  <c r="H1207" i="2"/>
  <c r="G1207" i="2"/>
  <c r="F1207" i="2"/>
  <c r="E1207" i="2"/>
  <c r="D1207" i="2"/>
  <c r="C1207" i="2"/>
  <c r="B1207" i="2"/>
  <c r="A1207" i="2"/>
  <c r="AE1206" i="2"/>
  <c r="AD1206" i="2"/>
  <c r="AC1206" i="2"/>
  <c r="AB1206" i="2"/>
  <c r="AA1206" i="2"/>
  <c r="Z1206" i="2"/>
  <c r="Y1206" i="2"/>
  <c r="X1206" i="2"/>
  <c r="W1206" i="2"/>
  <c r="V1206" i="2"/>
  <c r="U1206" i="2"/>
  <c r="T1206" i="2"/>
  <c r="S1206" i="2"/>
  <c r="R1206" i="2"/>
  <c r="Q1206" i="2"/>
  <c r="P1206" i="2"/>
  <c r="O1206" i="2"/>
  <c r="N1206" i="2"/>
  <c r="M1206" i="2"/>
  <c r="L1206" i="2"/>
  <c r="K1206" i="2"/>
  <c r="J1206" i="2"/>
  <c r="I1206" i="2"/>
  <c r="H1206" i="2"/>
  <c r="G1206" i="2"/>
  <c r="F1206" i="2"/>
  <c r="E1206" i="2"/>
  <c r="D1206" i="2"/>
  <c r="C1206" i="2"/>
  <c r="B1206" i="2"/>
  <c r="A1206" i="2"/>
  <c r="AE1205" i="2"/>
  <c r="AD1205" i="2"/>
  <c r="AC1205" i="2"/>
  <c r="AB1205" i="2"/>
  <c r="AA1205" i="2"/>
  <c r="Z1205" i="2"/>
  <c r="Y1205" i="2"/>
  <c r="X1205" i="2"/>
  <c r="W1205" i="2"/>
  <c r="V1205" i="2"/>
  <c r="U1205" i="2"/>
  <c r="T1205" i="2"/>
  <c r="S1205" i="2"/>
  <c r="R1205" i="2"/>
  <c r="Q1205" i="2"/>
  <c r="P1205" i="2"/>
  <c r="O1205" i="2"/>
  <c r="N1205" i="2"/>
  <c r="M1205" i="2"/>
  <c r="L1205" i="2"/>
  <c r="K1205" i="2"/>
  <c r="J1205" i="2"/>
  <c r="I1205" i="2"/>
  <c r="H1205" i="2"/>
  <c r="G1205" i="2"/>
  <c r="F1205" i="2"/>
  <c r="E1205" i="2"/>
  <c r="D1205" i="2"/>
  <c r="C1205" i="2"/>
  <c r="B1205" i="2"/>
  <c r="A1205" i="2"/>
  <c r="AE1204" i="2"/>
  <c r="AD1204" i="2"/>
  <c r="AC1204" i="2"/>
  <c r="AB1204" i="2"/>
  <c r="AA1204" i="2"/>
  <c r="Z1204" i="2"/>
  <c r="Y1204" i="2"/>
  <c r="X1204" i="2"/>
  <c r="W1204" i="2"/>
  <c r="V1204" i="2"/>
  <c r="U1204" i="2"/>
  <c r="T1204" i="2"/>
  <c r="S1204" i="2"/>
  <c r="R1204" i="2"/>
  <c r="Q1204" i="2"/>
  <c r="P1204" i="2"/>
  <c r="O1204" i="2"/>
  <c r="N1204" i="2"/>
  <c r="M1204" i="2"/>
  <c r="L1204" i="2"/>
  <c r="K1204" i="2"/>
  <c r="J1204" i="2"/>
  <c r="I1204" i="2"/>
  <c r="H1204" i="2"/>
  <c r="G1204" i="2"/>
  <c r="F1204" i="2"/>
  <c r="E1204" i="2"/>
  <c r="D1204" i="2"/>
  <c r="C1204" i="2"/>
  <c r="B1204" i="2"/>
  <c r="A1204" i="2"/>
  <c r="AE1203" i="2"/>
  <c r="AD1203" i="2"/>
  <c r="AC1203" i="2"/>
  <c r="AB1203" i="2"/>
  <c r="AA1203" i="2"/>
  <c r="Z1203" i="2"/>
  <c r="Y1203" i="2"/>
  <c r="X1203" i="2"/>
  <c r="W1203" i="2"/>
  <c r="V1203" i="2"/>
  <c r="U1203" i="2"/>
  <c r="T1203" i="2"/>
  <c r="S1203" i="2"/>
  <c r="R1203" i="2"/>
  <c r="Q1203" i="2"/>
  <c r="P1203" i="2"/>
  <c r="O1203" i="2"/>
  <c r="N1203" i="2"/>
  <c r="M1203" i="2"/>
  <c r="L1203" i="2"/>
  <c r="K1203" i="2"/>
  <c r="J1203" i="2"/>
  <c r="I1203" i="2"/>
  <c r="H1203" i="2"/>
  <c r="G1203" i="2"/>
  <c r="F1203" i="2"/>
  <c r="E1203" i="2"/>
  <c r="D1203" i="2"/>
  <c r="C1203" i="2"/>
  <c r="B1203" i="2"/>
  <c r="A1203" i="2"/>
  <c r="AE1202" i="2"/>
  <c r="AD1202" i="2"/>
  <c r="AC1202" i="2"/>
  <c r="AB1202" i="2"/>
  <c r="AA1202" i="2"/>
  <c r="Z1202" i="2"/>
  <c r="Y1202" i="2"/>
  <c r="X1202" i="2"/>
  <c r="W1202" i="2"/>
  <c r="V1202" i="2"/>
  <c r="U1202" i="2"/>
  <c r="T1202" i="2"/>
  <c r="S1202" i="2"/>
  <c r="R1202" i="2"/>
  <c r="Q1202" i="2"/>
  <c r="P1202" i="2"/>
  <c r="O1202" i="2"/>
  <c r="N1202" i="2"/>
  <c r="M1202" i="2"/>
  <c r="L1202" i="2"/>
  <c r="K1202" i="2"/>
  <c r="J1202" i="2"/>
  <c r="I1202" i="2"/>
  <c r="H1202" i="2"/>
  <c r="G1202" i="2"/>
  <c r="F1202" i="2"/>
  <c r="E1202" i="2"/>
  <c r="D1202" i="2"/>
  <c r="C1202" i="2"/>
  <c r="B1202" i="2"/>
  <c r="A1202" i="2"/>
  <c r="AE1201" i="2"/>
  <c r="AD1201" i="2"/>
  <c r="AC1201" i="2"/>
  <c r="AB1201" i="2"/>
  <c r="AA1201" i="2"/>
  <c r="Z1201" i="2"/>
  <c r="Y1201" i="2"/>
  <c r="X1201" i="2"/>
  <c r="W1201" i="2"/>
  <c r="V1201" i="2"/>
  <c r="U1201" i="2"/>
  <c r="T1201" i="2"/>
  <c r="S1201" i="2"/>
  <c r="R1201" i="2"/>
  <c r="Q1201" i="2"/>
  <c r="P1201" i="2"/>
  <c r="O1201" i="2"/>
  <c r="N1201" i="2"/>
  <c r="M1201" i="2"/>
  <c r="L1201" i="2"/>
  <c r="K1201" i="2"/>
  <c r="J1201" i="2"/>
  <c r="I1201" i="2"/>
  <c r="H1201" i="2"/>
  <c r="G1201" i="2"/>
  <c r="F1201" i="2"/>
  <c r="E1201" i="2"/>
  <c r="D1201" i="2"/>
  <c r="C1201" i="2"/>
  <c r="B1201" i="2"/>
  <c r="A1201" i="2"/>
  <c r="AE1200" i="2"/>
  <c r="AD1200" i="2"/>
  <c r="AC1200" i="2"/>
  <c r="AB1200" i="2"/>
  <c r="AA1200" i="2"/>
  <c r="Z1200" i="2"/>
  <c r="Y1200" i="2"/>
  <c r="X1200" i="2"/>
  <c r="W1200" i="2"/>
  <c r="V1200" i="2"/>
  <c r="U1200" i="2"/>
  <c r="T1200" i="2"/>
  <c r="S1200" i="2"/>
  <c r="R1200" i="2"/>
  <c r="Q1200" i="2"/>
  <c r="P1200" i="2"/>
  <c r="O1200" i="2"/>
  <c r="N1200" i="2"/>
  <c r="M1200" i="2"/>
  <c r="L1200" i="2"/>
  <c r="K1200" i="2"/>
  <c r="J1200" i="2"/>
  <c r="I1200" i="2"/>
  <c r="H1200" i="2"/>
  <c r="G1200" i="2"/>
  <c r="F1200" i="2"/>
  <c r="E1200" i="2"/>
  <c r="D1200" i="2"/>
  <c r="C1200" i="2"/>
  <c r="B1200" i="2"/>
  <c r="A1200" i="2"/>
  <c r="AE1199" i="2"/>
  <c r="AD1199" i="2"/>
  <c r="AC1199" i="2"/>
  <c r="AB1199" i="2"/>
  <c r="AA1199" i="2"/>
  <c r="Z1199" i="2"/>
  <c r="Y1199" i="2"/>
  <c r="X1199" i="2"/>
  <c r="W1199" i="2"/>
  <c r="V1199" i="2"/>
  <c r="U1199" i="2"/>
  <c r="T1199" i="2"/>
  <c r="S1199" i="2"/>
  <c r="R1199" i="2"/>
  <c r="Q1199" i="2"/>
  <c r="P1199" i="2"/>
  <c r="O1199" i="2"/>
  <c r="N1199" i="2"/>
  <c r="M1199" i="2"/>
  <c r="L1199" i="2"/>
  <c r="K1199" i="2"/>
  <c r="J1199" i="2"/>
  <c r="I1199" i="2"/>
  <c r="H1199" i="2"/>
  <c r="G1199" i="2"/>
  <c r="F1199" i="2"/>
  <c r="E1199" i="2"/>
  <c r="D1199" i="2"/>
  <c r="C1199" i="2"/>
  <c r="B1199" i="2"/>
  <c r="A1199" i="2"/>
  <c r="AE1198" i="2"/>
  <c r="AD1198" i="2"/>
  <c r="AC1198" i="2"/>
  <c r="AB1198" i="2"/>
  <c r="AA1198" i="2"/>
  <c r="Z1198" i="2"/>
  <c r="Y1198" i="2"/>
  <c r="X1198" i="2"/>
  <c r="W1198" i="2"/>
  <c r="V1198" i="2"/>
  <c r="U1198" i="2"/>
  <c r="T1198" i="2"/>
  <c r="S1198" i="2"/>
  <c r="R1198" i="2"/>
  <c r="Q1198" i="2"/>
  <c r="P1198" i="2"/>
  <c r="O1198" i="2"/>
  <c r="N1198" i="2"/>
  <c r="M1198" i="2"/>
  <c r="L1198" i="2"/>
  <c r="K1198" i="2"/>
  <c r="J1198" i="2"/>
  <c r="I1198" i="2"/>
  <c r="H1198" i="2"/>
  <c r="G1198" i="2"/>
  <c r="F1198" i="2"/>
  <c r="E1198" i="2"/>
  <c r="D1198" i="2"/>
  <c r="C1198" i="2"/>
  <c r="B1198" i="2"/>
  <c r="A1198" i="2"/>
  <c r="AE1197" i="2"/>
  <c r="AD1197" i="2"/>
  <c r="AC1197" i="2"/>
  <c r="AB1197" i="2"/>
  <c r="AA1197" i="2"/>
  <c r="Z1197" i="2"/>
  <c r="Y1197" i="2"/>
  <c r="X1197" i="2"/>
  <c r="W1197" i="2"/>
  <c r="V1197" i="2"/>
  <c r="U1197" i="2"/>
  <c r="T1197" i="2"/>
  <c r="S1197" i="2"/>
  <c r="R1197" i="2"/>
  <c r="Q1197" i="2"/>
  <c r="P1197" i="2"/>
  <c r="O1197" i="2"/>
  <c r="N1197" i="2"/>
  <c r="M1197" i="2"/>
  <c r="L1197" i="2"/>
  <c r="K1197" i="2"/>
  <c r="J1197" i="2"/>
  <c r="I1197" i="2"/>
  <c r="H1197" i="2"/>
  <c r="G1197" i="2"/>
  <c r="F1197" i="2"/>
  <c r="E1197" i="2"/>
  <c r="D1197" i="2"/>
  <c r="C1197" i="2"/>
  <c r="B1197" i="2"/>
  <c r="A1197" i="2"/>
  <c r="AE1196" i="2"/>
  <c r="AD1196" i="2"/>
  <c r="AC1196" i="2"/>
  <c r="AB1196" i="2"/>
  <c r="AA1196" i="2"/>
  <c r="Z1196" i="2"/>
  <c r="Y1196" i="2"/>
  <c r="X1196" i="2"/>
  <c r="W1196" i="2"/>
  <c r="V1196" i="2"/>
  <c r="U1196" i="2"/>
  <c r="T1196" i="2"/>
  <c r="S1196" i="2"/>
  <c r="R1196" i="2"/>
  <c r="Q1196" i="2"/>
  <c r="P1196" i="2"/>
  <c r="O1196" i="2"/>
  <c r="N1196" i="2"/>
  <c r="M1196" i="2"/>
  <c r="L1196" i="2"/>
  <c r="K1196" i="2"/>
  <c r="J1196" i="2"/>
  <c r="I1196" i="2"/>
  <c r="H1196" i="2"/>
  <c r="G1196" i="2"/>
  <c r="F1196" i="2"/>
  <c r="E1196" i="2"/>
  <c r="D1196" i="2"/>
  <c r="C1196" i="2"/>
  <c r="B1196" i="2"/>
  <c r="A1196" i="2"/>
  <c r="AE1195" i="2"/>
  <c r="AD1195" i="2"/>
  <c r="AC1195" i="2"/>
  <c r="AB1195" i="2"/>
  <c r="AA1195" i="2"/>
  <c r="Z1195" i="2"/>
  <c r="Y1195" i="2"/>
  <c r="X1195" i="2"/>
  <c r="W1195" i="2"/>
  <c r="V1195" i="2"/>
  <c r="U1195" i="2"/>
  <c r="T1195" i="2"/>
  <c r="S1195" i="2"/>
  <c r="R1195" i="2"/>
  <c r="Q1195" i="2"/>
  <c r="P1195" i="2"/>
  <c r="O1195" i="2"/>
  <c r="N1195" i="2"/>
  <c r="M1195" i="2"/>
  <c r="L1195" i="2"/>
  <c r="K1195" i="2"/>
  <c r="J1195" i="2"/>
  <c r="I1195" i="2"/>
  <c r="H1195" i="2"/>
  <c r="G1195" i="2"/>
  <c r="F1195" i="2"/>
  <c r="E1195" i="2"/>
  <c r="D1195" i="2"/>
  <c r="C1195" i="2"/>
  <c r="B1195" i="2"/>
  <c r="A1195" i="2"/>
  <c r="AE1194" i="2"/>
  <c r="AD1194" i="2"/>
  <c r="AC1194" i="2"/>
  <c r="AB1194" i="2"/>
  <c r="AA1194" i="2"/>
  <c r="Z1194" i="2"/>
  <c r="Y1194" i="2"/>
  <c r="X1194" i="2"/>
  <c r="W1194" i="2"/>
  <c r="V1194" i="2"/>
  <c r="U1194" i="2"/>
  <c r="T1194" i="2"/>
  <c r="S1194" i="2"/>
  <c r="R1194" i="2"/>
  <c r="Q1194" i="2"/>
  <c r="P1194" i="2"/>
  <c r="O1194" i="2"/>
  <c r="N1194" i="2"/>
  <c r="M1194" i="2"/>
  <c r="L1194" i="2"/>
  <c r="K1194" i="2"/>
  <c r="J1194" i="2"/>
  <c r="I1194" i="2"/>
  <c r="H1194" i="2"/>
  <c r="G1194" i="2"/>
  <c r="F1194" i="2"/>
  <c r="E1194" i="2"/>
  <c r="D1194" i="2"/>
  <c r="C1194" i="2"/>
  <c r="B1194" i="2"/>
  <c r="A1194" i="2"/>
  <c r="AE1193" i="2"/>
  <c r="AD1193" i="2"/>
  <c r="AC1193" i="2"/>
  <c r="AB1193" i="2"/>
  <c r="AA1193" i="2"/>
  <c r="Z1193" i="2"/>
  <c r="Y1193" i="2"/>
  <c r="X1193" i="2"/>
  <c r="W1193" i="2"/>
  <c r="V1193" i="2"/>
  <c r="U1193" i="2"/>
  <c r="T1193" i="2"/>
  <c r="S1193" i="2"/>
  <c r="R1193" i="2"/>
  <c r="Q1193" i="2"/>
  <c r="P1193" i="2"/>
  <c r="O1193" i="2"/>
  <c r="N1193" i="2"/>
  <c r="M1193" i="2"/>
  <c r="L1193" i="2"/>
  <c r="K1193" i="2"/>
  <c r="J1193" i="2"/>
  <c r="I1193" i="2"/>
  <c r="H1193" i="2"/>
  <c r="G1193" i="2"/>
  <c r="F1193" i="2"/>
  <c r="E1193" i="2"/>
  <c r="D1193" i="2"/>
  <c r="C1193" i="2"/>
  <c r="B1193" i="2"/>
  <c r="A1193" i="2"/>
  <c r="AE1192" i="2"/>
  <c r="AD1192" i="2"/>
  <c r="AC1192" i="2"/>
  <c r="AB1192" i="2"/>
  <c r="AA1192" i="2"/>
  <c r="Z1192" i="2"/>
  <c r="Y1192" i="2"/>
  <c r="X1192" i="2"/>
  <c r="W1192" i="2"/>
  <c r="V1192" i="2"/>
  <c r="U1192" i="2"/>
  <c r="T1192" i="2"/>
  <c r="S1192" i="2"/>
  <c r="R1192" i="2"/>
  <c r="Q1192" i="2"/>
  <c r="P1192" i="2"/>
  <c r="O1192" i="2"/>
  <c r="N1192" i="2"/>
  <c r="M1192" i="2"/>
  <c r="L1192" i="2"/>
  <c r="K1192" i="2"/>
  <c r="J1192" i="2"/>
  <c r="I1192" i="2"/>
  <c r="H1192" i="2"/>
  <c r="G1192" i="2"/>
  <c r="F1192" i="2"/>
  <c r="E1192" i="2"/>
  <c r="D1192" i="2"/>
  <c r="C1192" i="2"/>
  <c r="B1192" i="2"/>
  <c r="A1192" i="2"/>
  <c r="AE1191" i="2"/>
  <c r="AD1191" i="2"/>
  <c r="AC1191" i="2"/>
  <c r="AB1191" i="2"/>
  <c r="AA1191" i="2"/>
  <c r="Z1191" i="2"/>
  <c r="Y1191" i="2"/>
  <c r="X1191" i="2"/>
  <c r="W1191" i="2"/>
  <c r="V1191" i="2"/>
  <c r="U1191" i="2"/>
  <c r="T1191" i="2"/>
  <c r="S1191" i="2"/>
  <c r="R1191" i="2"/>
  <c r="Q1191" i="2"/>
  <c r="P1191" i="2"/>
  <c r="O1191" i="2"/>
  <c r="N1191" i="2"/>
  <c r="M1191" i="2"/>
  <c r="L1191" i="2"/>
  <c r="K1191" i="2"/>
  <c r="J1191" i="2"/>
  <c r="I1191" i="2"/>
  <c r="H1191" i="2"/>
  <c r="G1191" i="2"/>
  <c r="F1191" i="2"/>
  <c r="E1191" i="2"/>
  <c r="D1191" i="2"/>
  <c r="C1191" i="2"/>
  <c r="B1191" i="2"/>
  <c r="A1191" i="2"/>
  <c r="AE1190" i="2"/>
  <c r="AD1190" i="2"/>
  <c r="AC1190" i="2"/>
  <c r="AB1190" i="2"/>
  <c r="AA1190" i="2"/>
  <c r="Z1190" i="2"/>
  <c r="Y1190" i="2"/>
  <c r="X1190" i="2"/>
  <c r="W1190" i="2"/>
  <c r="V1190" i="2"/>
  <c r="U1190" i="2"/>
  <c r="T1190" i="2"/>
  <c r="S1190" i="2"/>
  <c r="R1190" i="2"/>
  <c r="Q1190" i="2"/>
  <c r="P1190" i="2"/>
  <c r="O1190" i="2"/>
  <c r="N1190" i="2"/>
  <c r="M1190" i="2"/>
  <c r="L1190" i="2"/>
  <c r="K1190" i="2"/>
  <c r="J1190" i="2"/>
  <c r="I1190" i="2"/>
  <c r="H1190" i="2"/>
  <c r="G1190" i="2"/>
  <c r="F1190" i="2"/>
  <c r="E1190" i="2"/>
  <c r="D1190" i="2"/>
  <c r="C1190" i="2"/>
  <c r="B1190" i="2"/>
  <c r="A1190" i="2"/>
  <c r="AE1189" i="2"/>
  <c r="AD1189" i="2"/>
  <c r="AC1189" i="2"/>
  <c r="AB1189" i="2"/>
  <c r="AA1189" i="2"/>
  <c r="Z1189" i="2"/>
  <c r="Y1189" i="2"/>
  <c r="X1189" i="2"/>
  <c r="W1189" i="2"/>
  <c r="V1189" i="2"/>
  <c r="U1189" i="2"/>
  <c r="T1189" i="2"/>
  <c r="S1189" i="2"/>
  <c r="R1189" i="2"/>
  <c r="Q1189" i="2"/>
  <c r="P1189" i="2"/>
  <c r="O1189" i="2"/>
  <c r="N1189" i="2"/>
  <c r="M1189" i="2"/>
  <c r="L1189" i="2"/>
  <c r="K1189" i="2"/>
  <c r="J1189" i="2"/>
  <c r="I1189" i="2"/>
  <c r="H1189" i="2"/>
  <c r="G1189" i="2"/>
  <c r="F1189" i="2"/>
  <c r="E1189" i="2"/>
  <c r="D1189" i="2"/>
  <c r="C1189" i="2"/>
  <c r="B1189" i="2"/>
  <c r="A1189" i="2"/>
  <c r="AE1188" i="2"/>
  <c r="AD1188" i="2"/>
  <c r="AC1188" i="2"/>
  <c r="AB1188" i="2"/>
  <c r="AA1188" i="2"/>
  <c r="Z1188" i="2"/>
  <c r="Y1188" i="2"/>
  <c r="X1188" i="2"/>
  <c r="W1188" i="2"/>
  <c r="V1188" i="2"/>
  <c r="U1188" i="2"/>
  <c r="T1188" i="2"/>
  <c r="S1188" i="2"/>
  <c r="R1188" i="2"/>
  <c r="Q1188" i="2"/>
  <c r="P1188" i="2"/>
  <c r="O1188" i="2"/>
  <c r="N1188" i="2"/>
  <c r="M1188" i="2"/>
  <c r="L1188" i="2"/>
  <c r="K1188" i="2"/>
  <c r="J1188" i="2"/>
  <c r="I1188" i="2"/>
  <c r="H1188" i="2"/>
  <c r="G1188" i="2"/>
  <c r="F1188" i="2"/>
  <c r="E1188" i="2"/>
  <c r="D1188" i="2"/>
  <c r="C1188" i="2"/>
  <c r="B1188" i="2"/>
  <c r="A1188" i="2"/>
  <c r="AE1187" i="2"/>
  <c r="AD1187" i="2"/>
  <c r="AC1187" i="2"/>
  <c r="AB1187" i="2"/>
  <c r="AA1187" i="2"/>
  <c r="Z1187" i="2"/>
  <c r="Y1187" i="2"/>
  <c r="X1187" i="2"/>
  <c r="W1187" i="2"/>
  <c r="V1187" i="2"/>
  <c r="U1187" i="2"/>
  <c r="T1187" i="2"/>
  <c r="S1187" i="2"/>
  <c r="R1187" i="2"/>
  <c r="Q1187" i="2"/>
  <c r="P1187" i="2"/>
  <c r="O1187" i="2"/>
  <c r="N1187" i="2"/>
  <c r="M1187" i="2"/>
  <c r="L1187" i="2"/>
  <c r="K1187" i="2"/>
  <c r="J1187" i="2"/>
  <c r="I1187" i="2"/>
  <c r="H1187" i="2"/>
  <c r="G1187" i="2"/>
  <c r="F1187" i="2"/>
  <c r="E1187" i="2"/>
  <c r="D1187" i="2"/>
  <c r="C1187" i="2"/>
  <c r="B1187" i="2"/>
  <c r="A1187" i="2"/>
  <c r="AE1186" i="2"/>
  <c r="AD1186" i="2"/>
  <c r="AC1186" i="2"/>
  <c r="AB1186" i="2"/>
  <c r="AA1186" i="2"/>
  <c r="Z1186" i="2"/>
  <c r="Y1186" i="2"/>
  <c r="X1186" i="2"/>
  <c r="W1186" i="2"/>
  <c r="V1186" i="2"/>
  <c r="U1186" i="2"/>
  <c r="T1186" i="2"/>
  <c r="S1186" i="2"/>
  <c r="R1186" i="2"/>
  <c r="Q1186" i="2"/>
  <c r="P1186" i="2"/>
  <c r="O1186" i="2"/>
  <c r="N1186" i="2"/>
  <c r="M1186" i="2"/>
  <c r="L1186" i="2"/>
  <c r="K1186" i="2"/>
  <c r="J1186" i="2"/>
  <c r="I1186" i="2"/>
  <c r="H1186" i="2"/>
  <c r="G1186" i="2"/>
  <c r="F1186" i="2"/>
  <c r="E1186" i="2"/>
  <c r="D1186" i="2"/>
  <c r="C1186" i="2"/>
  <c r="B1186" i="2"/>
  <c r="A1186" i="2"/>
  <c r="AE1185" i="2"/>
  <c r="AD1185" i="2"/>
  <c r="AC1185" i="2"/>
  <c r="AB1185" i="2"/>
  <c r="AA1185" i="2"/>
  <c r="Z1185" i="2"/>
  <c r="Y1185" i="2"/>
  <c r="X1185" i="2"/>
  <c r="W1185" i="2"/>
  <c r="V1185" i="2"/>
  <c r="U1185" i="2"/>
  <c r="T1185" i="2"/>
  <c r="S1185" i="2"/>
  <c r="R1185" i="2"/>
  <c r="Q1185" i="2"/>
  <c r="P1185" i="2"/>
  <c r="O1185" i="2"/>
  <c r="N1185" i="2"/>
  <c r="M1185" i="2"/>
  <c r="L1185" i="2"/>
  <c r="K1185" i="2"/>
  <c r="J1185" i="2"/>
  <c r="I1185" i="2"/>
  <c r="H1185" i="2"/>
  <c r="G1185" i="2"/>
  <c r="F1185" i="2"/>
  <c r="E1185" i="2"/>
  <c r="D1185" i="2"/>
  <c r="C1185" i="2"/>
  <c r="B1185" i="2"/>
  <c r="A1185" i="2"/>
  <c r="AE1184" i="2"/>
  <c r="AD1184" i="2"/>
  <c r="AC1184" i="2"/>
  <c r="AB1184" i="2"/>
  <c r="AA1184" i="2"/>
  <c r="Z1184" i="2"/>
  <c r="Y1184" i="2"/>
  <c r="X1184" i="2"/>
  <c r="W1184" i="2"/>
  <c r="V1184" i="2"/>
  <c r="U1184" i="2"/>
  <c r="T1184" i="2"/>
  <c r="S1184" i="2"/>
  <c r="R1184" i="2"/>
  <c r="Q1184" i="2"/>
  <c r="P1184" i="2"/>
  <c r="O1184" i="2"/>
  <c r="N1184" i="2"/>
  <c r="M1184" i="2"/>
  <c r="L1184" i="2"/>
  <c r="K1184" i="2"/>
  <c r="J1184" i="2"/>
  <c r="I1184" i="2"/>
  <c r="H1184" i="2"/>
  <c r="G1184" i="2"/>
  <c r="F1184" i="2"/>
  <c r="E1184" i="2"/>
  <c r="D1184" i="2"/>
  <c r="C1184" i="2"/>
  <c r="B1184" i="2"/>
  <c r="A1184" i="2"/>
  <c r="AE1183" i="2"/>
  <c r="AD1183" i="2"/>
  <c r="AC1183" i="2"/>
  <c r="AB1183" i="2"/>
  <c r="AA1183" i="2"/>
  <c r="Z1183" i="2"/>
  <c r="Y1183" i="2"/>
  <c r="X1183" i="2"/>
  <c r="W1183" i="2"/>
  <c r="V1183" i="2"/>
  <c r="U1183" i="2"/>
  <c r="T1183" i="2"/>
  <c r="S1183" i="2"/>
  <c r="R1183" i="2"/>
  <c r="Q1183" i="2"/>
  <c r="P1183" i="2"/>
  <c r="O1183" i="2"/>
  <c r="N1183" i="2"/>
  <c r="M1183" i="2"/>
  <c r="L1183" i="2"/>
  <c r="K1183" i="2"/>
  <c r="J1183" i="2"/>
  <c r="I1183" i="2"/>
  <c r="H1183" i="2"/>
  <c r="G1183" i="2"/>
  <c r="F1183" i="2"/>
  <c r="E1183" i="2"/>
  <c r="D1183" i="2"/>
  <c r="C1183" i="2"/>
  <c r="B1183" i="2"/>
  <c r="A1183" i="2"/>
  <c r="AE1182" i="2"/>
  <c r="AD1182" i="2"/>
  <c r="AC1182" i="2"/>
  <c r="AB1182" i="2"/>
  <c r="AA1182" i="2"/>
  <c r="Z1182" i="2"/>
  <c r="Y1182" i="2"/>
  <c r="X1182" i="2"/>
  <c r="W1182" i="2"/>
  <c r="V1182" i="2"/>
  <c r="U1182" i="2"/>
  <c r="T1182" i="2"/>
  <c r="S1182" i="2"/>
  <c r="R1182" i="2"/>
  <c r="Q1182" i="2"/>
  <c r="P1182" i="2"/>
  <c r="O1182" i="2"/>
  <c r="N1182" i="2"/>
  <c r="M1182" i="2"/>
  <c r="L1182" i="2"/>
  <c r="K1182" i="2"/>
  <c r="J1182" i="2"/>
  <c r="I1182" i="2"/>
  <c r="H1182" i="2"/>
  <c r="G1182" i="2"/>
  <c r="F1182" i="2"/>
  <c r="E1182" i="2"/>
  <c r="D1182" i="2"/>
  <c r="C1182" i="2"/>
  <c r="B1182" i="2"/>
  <c r="A1182" i="2"/>
  <c r="AE1181" i="2"/>
  <c r="AD1181" i="2"/>
  <c r="AC1181" i="2"/>
  <c r="AB1181" i="2"/>
  <c r="AA1181" i="2"/>
  <c r="Z1181" i="2"/>
  <c r="Y1181" i="2"/>
  <c r="X1181" i="2"/>
  <c r="W1181" i="2"/>
  <c r="V1181" i="2"/>
  <c r="U1181" i="2"/>
  <c r="T1181" i="2"/>
  <c r="S1181" i="2"/>
  <c r="R1181" i="2"/>
  <c r="Q1181" i="2"/>
  <c r="P1181" i="2"/>
  <c r="O1181" i="2"/>
  <c r="N1181" i="2"/>
  <c r="M1181" i="2"/>
  <c r="L1181" i="2"/>
  <c r="K1181" i="2"/>
  <c r="J1181" i="2"/>
  <c r="I1181" i="2"/>
  <c r="H1181" i="2"/>
  <c r="G1181" i="2"/>
  <c r="F1181" i="2"/>
  <c r="E1181" i="2"/>
  <c r="D1181" i="2"/>
  <c r="C1181" i="2"/>
  <c r="B1181" i="2"/>
  <c r="A1181" i="2"/>
  <c r="AE1180" i="2"/>
  <c r="AD1180" i="2"/>
  <c r="AC1180" i="2"/>
  <c r="AB1180" i="2"/>
  <c r="AA1180" i="2"/>
  <c r="Z1180" i="2"/>
  <c r="Y1180" i="2"/>
  <c r="X1180" i="2"/>
  <c r="W1180" i="2"/>
  <c r="V1180" i="2"/>
  <c r="U1180" i="2"/>
  <c r="T1180" i="2"/>
  <c r="S1180" i="2"/>
  <c r="R1180" i="2"/>
  <c r="Q1180" i="2"/>
  <c r="P1180" i="2"/>
  <c r="O1180" i="2"/>
  <c r="N1180" i="2"/>
  <c r="M1180" i="2"/>
  <c r="L1180" i="2"/>
  <c r="K1180" i="2"/>
  <c r="J1180" i="2"/>
  <c r="I1180" i="2"/>
  <c r="H1180" i="2"/>
  <c r="G1180" i="2"/>
  <c r="F1180" i="2"/>
  <c r="E1180" i="2"/>
  <c r="D1180" i="2"/>
  <c r="C1180" i="2"/>
  <c r="B1180" i="2"/>
  <c r="A1180" i="2"/>
  <c r="AE1179" i="2"/>
  <c r="AD1179" i="2"/>
  <c r="AC1179" i="2"/>
  <c r="AB1179" i="2"/>
  <c r="AA1179" i="2"/>
  <c r="Z1179" i="2"/>
  <c r="Y1179" i="2"/>
  <c r="X1179" i="2"/>
  <c r="W1179" i="2"/>
  <c r="V1179" i="2"/>
  <c r="U1179" i="2"/>
  <c r="T1179" i="2"/>
  <c r="S1179" i="2"/>
  <c r="R1179" i="2"/>
  <c r="Q1179" i="2"/>
  <c r="P1179" i="2"/>
  <c r="O1179" i="2"/>
  <c r="N1179" i="2"/>
  <c r="M1179" i="2"/>
  <c r="L1179" i="2"/>
  <c r="K1179" i="2"/>
  <c r="J1179" i="2"/>
  <c r="I1179" i="2"/>
  <c r="H1179" i="2"/>
  <c r="G1179" i="2"/>
  <c r="F1179" i="2"/>
  <c r="E1179" i="2"/>
  <c r="D1179" i="2"/>
  <c r="C1179" i="2"/>
  <c r="B1179" i="2"/>
  <c r="A1179" i="2"/>
  <c r="AE1178" i="2"/>
  <c r="AD1178" i="2"/>
  <c r="AC1178" i="2"/>
  <c r="AB1178" i="2"/>
  <c r="AA1178" i="2"/>
  <c r="Z1178" i="2"/>
  <c r="Y1178" i="2"/>
  <c r="X1178" i="2"/>
  <c r="W1178" i="2"/>
  <c r="V1178" i="2"/>
  <c r="U1178" i="2"/>
  <c r="T1178" i="2"/>
  <c r="S1178" i="2"/>
  <c r="R1178" i="2"/>
  <c r="Q1178" i="2"/>
  <c r="P1178" i="2"/>
  <c r="O1178" i="2"/>
  <c r="N1178" i="2"/>
  <c r="M1178" i="2"/>
  <c r="L1178" i="2"/>
  <c r="K1178" i="2"/>
  <c r="J1178" i="2"/>
  <c r="I1178" i="2"/>
  <c r="H1178" i="2"/>
  <c r="G1178" i="2"/>
  <c r="F1178" i="2"/>
  <c r="E1178" i="2"/>
  <c r="D1178" i="2"/>
  <c r="C1178" i="2"/>
  <c r="B1178" i="2"/>
  <c r="A1178" i="2"/>
  <c r="AE1177" i="2"/>
  <c r="AD1177" i="2"/>
  <c r="AC1177" i="2"/>
  <c r="AB1177" i="2"/>
  <c r="AA1177" i="2"/>
  <c r="Z1177" i="2"/>
  <c r="Y1177" i="2"/>
  <c r="X1177" i="2"/>
  <c r="W1177" i="2"/>
  <c r="V1177" i="2"/>
  <c r="U1177" i="2"/>
  <c r="T1177" i="2"/>
  <c r="S1177" i="2"/>
  <c r="R1177" i="2"/>
  <c r="Q1177" i="2"/>
  <c r="P1177" i="2"/>
  <c r="O1177" i="2"/>
  <c r="N1177" i="2"/>
  <c r="M1177" i="2"/>
  <c r="L1177" i="2"/>
  <c r="K1177" i="2"/>
  <c r="J1177" i="2"/>
  <c r="I1177" i="2"/>
  <c r="H1177" i="2"/>
  <c r="G1177" i="2"/>
  <c r="F1177" i="2"/>
  <c r="E1177" i="2"/>
  <c r="D1177" i="2"/>
  <c r="C1177" i="2"/>
  <c r="B1177" i="2"/>
  <c r="A1177" i="2"/>
  <c r="AE1176" i="2"/>
  <c r="AD1176" i="2"/>
  <c r="AC1176" i="2"/>
  <c r="AB1176" i="2"/>
  <c r="AA1176" i="2"/>
  <c r="Z1176" i="2"/>
  <c r="Y1176" i="2"/>
  <c r="X1176" i="2"/>
  <c r="W1176" i="2"/>
  <c r="V1176" i="2"/>
  <c r="U1176" i="2"/>
  <c r="T1176" i="2"/>
  <c r="S1176" i="2"/>
  <c r="R1176" i="2"/>
  <c r="Q1176" i="2"/>
  <c r="P1176" i="2"/>
  <c r="O1176" i="2"/>
  <c r="N1176" i="2"/>
  <c r="M1176" i="2"/>
  <c r="L1176" i="2"/>
  <c r="K1176" i="2"/>
  <c r="J1176" i="2"/>
  <c r="I1176" i="2"/>
  <c r="H1176" i="2"/>
  <c r="G1176" i="2"/>
  <c r="F1176" i="2"/>
  <c r="E1176" i="2"/>
  <c r="D1176" i="2"/>
  <c r="C1176" i="2"/>
  <c r="B1176" i="2"/>
  <c r="A1176" i="2"/>
  <c r="AE1175" i="2"/>
  <c r="AD1175" i="2"/>
  <c r="AC1175" i="2"/>
  <c r="AB1175" i="2"/>
  <c r="AA1175" i="2"/>
  <c r="Z1175" i="2"/>
  <c r="Y1175" i="2"/>
  <c r="X1175" i="2"/>
  <c r="W1175" i="2"/>
  <c r="V1175" i="2"/>
  <c r="U1175" i="2"/>
  <c r="T1175" i="2"/>
  <c r="S1175" i="2"/>
  <c r="R1175" i="2"/>
  <c r="Q1175" i="2"/>
  <c r="P1175" i="2"/>
  <c r="O1175" i="2"/>
  <c r="N1175" i="2"/>
  <c r="M1175" i="2"/>
  <c r="L1175" i="2"/>
  <c r="K1175" i="2"/>
  <c r="J1175" i="2"/>
  <c r="I1175" i="2"/>
  <c r="H1175" i="2"/>
  <c r="G1175" i="2"/>
  <c r="F1175" i="2"/>
  <c r="E1175" i="2"/>
  <c r="D1175" i="2"/>
  <c r="C1175" i="2"/>
  <c r="B1175" i="2"/>
  <c r="A1175" i="2"/>
  <c r="AE1174" i="2"/>
  <c r="AD1174" i="2"/>
  <c r="AC1174" i="2"/>
  <c r="AB1174" i="2"/>
  <c r="AA1174" i="2"/>
  <c r="Z1174" i="2"/>
  <c r="Y1174" i="2"/>
  <c r="X1174" i="2"/>
  <c r="W1174" i="2"/>
  <c r="V1174" i="2"/>
  <c r="U1174" i="2"/>
  <c r="T1174" i="2"/>
  <c r="S1174" i="2"/>
  <c r="R1174" i="2"/>
  <c r="Q1174" i="2"/>
  <c r="P1174" i="2"/>
  <c r="O1174" i="2"/>
  <c r="N1174" i="2"/>
  <c r="M1174" i="2"/>
  <c r="L1174" i="2"/>
  <c r="K1174" i="2"/>
  <c r="J1174" i="2"/>
  <c r="I1174" i="2"/>
  <c r="H1174" i="2"/>
  <c r="G1174" i="2"/>
  <c r="F1174" i="2"/>
  <c r="E1174" i="2"/>
  <c r="D1174" i="2"/>
  <c r="C1174" i="2"/>
  <c r="B1174" i="2"/>
  <c r="A1174" i="2"/>
  <c r="AE1173" i="2"/>
  <c r="AD1173" i="2"/>
  <c r="AC1173" i="2"/>
  <c r="AB1173" i="2"/>
  <c r="AA1173" i="2"/>
  <c r="Z1173" i="2"/>
  <c r="Y1173" i="2"/>
  <c r="X1173" i="2"/>
  <c r="W1173" i="2"/>
  <c r="V1173" i="2"/>
  <c r="U1173" i="2"/>
  <c r="T1173" i="2"/>
  <c r="S1173" i="2"/>
  <c r="R1173" i="2"/>
  <c r="Q1173" i="2"/>
  <c r="P1173" i="2"/>
  <c r="O1173" i="2"/>
  <c r="N1173" i="2"/>
  <c r="M1173" i="2"/>
  <c r="L1173" i="2"/>
  <c r="K1173" i="2"/>
  <c r="J1173" i="2"/>
  <c r="I1173" i="2"/>
  <c r="H1173" i="2"/>
  <c r="G1173" i="2"/>
  <c r="F1173" i="2"/>
  <c r="E1173" i="2"/>
  <c r="D1173" i="2"/>
  <c r="C1173" i="2"/>
  <c r="B1173" i="2"/>
  <c r="A1173" i="2"/>
  <c r="AE1172" i="2"/>
  <c r="AD1172" i="2"/>
  <c r="AC1172" i="2"/>
  <c r="AB1172" i="2"/>
  <c r="AA1172" i="2"/>
  <c r="Z1172" i="2"/>
  <c r="Y1172" i="2"/>
  <c r="X1172" i="2"/>
  <c r="W1172" i="2"/>
  <c r="V1172" i="2"/>
  <c r="U1172" i="2"/>
  <c r="T1172" i="2"/>
  <c r="S1172" i="2"/>
  <c r="R1172" i="2"/>
  <c r="Q1172" i="2"/>
  <c r="P1172" i="2"/>
  <c r="O1172" i="2"/>
  <c r="N1172" i="2"/>
  <c r="M1172" i="2"/>
  <c r="L1172" i="2"/>
  <c r="K1172" i="2"/>
  <c r="J1172" i="2"/>
  <c r="I1172" i="2"/>
  <c r="H1172" i="2"/>
  <c r="G1172" i="2"/>
  <c r="F1172" i="2"/>
  <c r="E1172" i="2"/>
  <c r="D1172" i="2"/>
  <c r="C1172" i="2"/>
  <c r="B1172" i="2"/>
  <c r="A1172" i="2"/>
  <c r="AE1171" i="2"/>
  <c r="AD1171" i="2"/>
  <c r="AC1171" i="2"/>
  <c r="AB1171" i="2"/>
  <c r="AA1171" i="2"/>
  <c r="Z1171" i="2"/>
  <c r="Y1171" i="2"/>
  <c r="X1171" i="2"/>
  <c r="W1171" i="2"/>
  <c r="V1171" i="2"/>
  <c r="U1171" i="2"/>
  <c r="T1171" i="2"/>
  <c r="S1171" i="2"/>
  <c r="R1171" i="2"/>
  <c r="Q1171" i="2"/>
  <c r="P1171" i="2"/>
  <c r="O1171" i="2"/>
  <c r="N1171" i="2"/>
  <c r="M1171" i="2"/>
  <c r="L1171" i="2"/>
  <c r="K1171" i="2"/>
  <c r="J1171" i="2"/>
  <c r="I1171" i="2"/>
  <c r="H1171" i="2"/>
  <c r="G1171" i="2"/>
  <c r="F1171" i="2"/>
  <c r="E1171" i="2"/>
  <c r="D1171" i="2"/>
  <c r="C1171" i="2"/>
  <c r="B1171" i="2"/>
  <c r="A1171" i="2"/>
  <c r="AE1170" i="2"/>
  <c r="AD1170" i="2"/>
  <c r="AC1170" i="2"/>
  <c r="AB1170" i="2"/>
  <c r="AA1170" i="2"/>
  <c r="Z1170" i="2"/>
  <c r="Y1170" i="2"/>
  <c r="X1170" i="2"/>
  <c r="W1170" i="2"/>
  <c r="V1170" i="2"/>
  <c r="U1170" i="2"/>
  <c r="T1170" i="2"/>
  <c r="S1170" i="2"/>
  <c r="R1170" i="2"/>
  <c r="Q1170" i="2"/>
  <c r="P1170" i="2"/>
  <c r="O1170" i="2"/>
  <c r="N1170" i="2"/>
  <c r="M1170" i="2"/>
  <c r="L1170" i="2"/>
  <c r="K1170" i="2"/>
  <c r="J1170" i="2"/>
  <c r="I1170" i="2"/>
  <c r="H1170" i="2"/>
  <c r="G1170" i="2"/>
  <c r="F1170" i="2"/>
  <c r="E1170" i="2"/>
  <c r="D1170" i="2"/>
  <c r="C1170" i="2"/>
  <c r="B1170" i="2"/>
  <c r="A1170" i="2"/>
  <c r="AE1169" i="2"/>
  <c r="AD1169" i="2"/>
  <c r="AC1169" i="2"/>
  <c r="AB1169" i="2"/>
  <c r="AA1169" i="2"/>
  <c r="Z1169" i="2"/>
  <c r="Y1169" i="2"/>
  <c r="X1169" i="2"/>
  <c r="W1169" i="2"/>
  <c r="V1169" i="2"/>
  <c r="U1169" i="2"/>
  <c r="T1169" i="2"/>
  <c r="S1169" i="2"/>
  <c r="R1169" i="2"/>
  <c r="Q1169" i="2"/>
  <c r="P1169" i="2"/>
  <c r="O1169" i="2"/>
  <c r="N1169" i="2"/>
  <c r="M1169" i="2"/>
  <c r="L1169" i="2"/>
  <c r="K1169" i="2"/>
  <c r="J1169" i="2"/>
  <c r="I1169" i="2"/>
  <c r="H1169" i="2"/>
  <c r="G1169" i="2"/>
  <c r="F1169" i="2"/>
  <c r="E1169" i="2"/>
  <c r="D1169" i="2"/>
  <c r="C1169" i="2"/>
  <c r="B1169" i="2"/>
  <c r="A1169" i="2"/>
  <c r="AE1168" i="2"/>
  <c r="AD1168" i="2"/>
  <c r="AC1168" i="2"/>
  <c r="AB1168" i="2"/>
  <c r="AA1168" i="2"/>
  <c r="Z1168" i="2"/>
  <c r="Y1168" i="2"/>
  <c r="X1168" i="2"/>
  <c r="W1168" i="2"/>
  <c r="V1168" i="2"/>
  <c r="U1168" i="2"/>
  <c r="T1168" i="2"/>
  <c r="S1168" i="2"/>
  <c r="R1168" i="2"/>
  <c r="Q1168" i="2"/>
  <c r="P1168" i="2"/>
  <c r="O1168" i="2"/>
  <c r="N1168" i="2"/>
  <c r="M1168" i="2"/>
  <c r="L1168" i="2"/>
  <c r="K1168" i="2"/>
  <c r="J1168" i="2"/>
  <c r="I1168" i="2"/>
  <c r="H1168" i="2"/>
  <c r="G1168" i="2"/>
  <c r="F1168" i="2"/>
  <c r="E1168" i="2"/>
  <c r="D1168" i="2"/>
  <c r="C1168" i="2"/>
  <c r="B1168" i="2"/>
  <c r="A1168" i="2"/>
  <c r="AE1167" i="2"/>
  <c r="AD1167" i="2"/>
  <c r="AC1167" i="2"/>
  <c r="AB1167" i="2"/>
  <c r="AA1167" i="2"/>
  <c r="Z1167" i="2"/>
  <c r="Y1167" i="2"/>
  <c r="X1167" i="2"/>
  <c r="W1167" i="2"/>
  <c r="V1167" i="2"/>
  <c r="U1167" i="2"/>
  <c r="T1167" i="2"/>
  <c r="S1167" i="2"/>
  <c r="R1167" i="2"/>
  <c r="Q1167" i="2"/>
  <c r="P1167" i="2"/>
  <c r="O1167" i="2"/>
  <c r="N1167" i="2"/>
  <c r="M1167" i="2"/>
  <c r="L1167" i="2"/>
  <c r="K1167" i="2"/>
  <c r="J1167" i="2"/>
  <c r="I1167" i="2"/>
  <c r="H1167" i="2"/>
  <c r="G1167" i="2"/>
  <c r="F1167" i="2"/>
  <c r="E1167" i="2"/>
  <c r="D1167" i="2"/>
  <c r="C1167" i="2"/>
  <c r="B1167" i="2"/>
  <c r="A1167" i="2"/>
  <c r="AE1166" i="2"/>
  <c r="AD1166" i="2"/>
  <c r="AC1166" i="2"/>
  <c r="AB1166" i="2"/>
  <c r="AA1166" i="2"/>
  <c r="Z1166" i="2"/>
  <c r="Y1166" i="2"/>
  <c r="X1166" i="2"/>
  <c r="W1166" i="2"/>
  <c r="V1166" i="2"/>
  <c r="U1166" i="2"/>
  <c r="T1166" i="2"/>
  <c r="S1166" i="2"/>
  <c r="R1166" i="2"/>
  <c r="Q1166" i="2"/>
  <c r="P1166" i="2"/>
  <c r="O1166" i="2"/>
  <c r="N1166" i="2"/>
  <c r="M1166" i="2"/>
  <c r="L1166" i="2"/>
  <c r="K1166" i="2"/>
  <c r="J1166" i="2"/>
  <c r="I1166" i="2"/>
  <c r="H1166" i="2"/>
  <c r="G1166" i="2"/>
  <c r="F1166" i="2"/>
  <c r="E1166" i="2"/>
  <c r="D1166" i="2"/>
  <c r="C1166" i="2"/>
  <c r="B1166" i="2"/>
  <c r="A1166" i="2"/>
  <c r="AE1165" i="2"/>
  <c r="AD1165" i="2"/>
  <c r="AC1165" i="2"/>
  <c r="AB1165" i="2"/>
  <c r="AA1165" i="2"/>
  <c r="Z1165" i="2"/>
  <c r="Y1165" i="2"/>
  <c r="X1165" i="2"/>
  <c r="W1165" i="2"/>
  <c r="V1165" i="2"/>
  <c r="U1165" i="2"/>
  <c r="T1165" i="2"/>
  <c r="S1165" i="2"/>
  <c r="R1165" i="2"/>
  <c r="Q1165" i="2"/>
  <c r="P1165" i="2"/>
  <c r="O1165" i="2"/>
  <c r="N1165" i="2"/>
  <c r="M1165" i="2"/>
  <c r="L1165" i="2"/>
  <c r="K1165" i="2"/>
  <c r="J1165" i="2"/>
  <c r="I1165" i="2"/>
  <c r="H1165" i="2"/>
  <c r="G1165" i="2"/>
  <c r="F1165" i="2"/>
  <c r="E1165" i="2"/>
  <c r="D1165" i="2"/>
  <c r="C1165" i="2"/>
  <c r="B1165" i="2"/>
  <c r="A1165" i="2"/>
  <c r="AE1164" i="2"/>
  <c r="AD1164" i="2"/>
  <c r="AC1164" i="2"/>
  <c r="AB1164" i="2"/>
  <c r="AA1164" i="2"/>
  <c r="Z1164" i="2"/>
  <c r="Y1164" i="2"/>
  <c r="X1164" i="2"/>
  <c r="W1164" i="2"/>
  <c r="V1164" i="2"/>
  <c r="U1164" i="2"/>
  <c r="T1164" i="2"/>
  <c r="S1164" i="2"/>
  <c r="R1164" i="2"/>
  <c r="Q1164" i="2"/>
  <c r="P1164" i="2"/>
  <c r="O1164" i="2"/>
  <c r="N1164" i="2"/>
  <c r="M1164" i="2"/>
  <c r="L1164" i="2"/>
  <c r="K1164" i="2"/>
  <c r="J1164" i="2"/>
  <c r="I1164" i="2"/>
  <c r="H1164" i="2"/>
  <c r="G1164" i="2"/>
  <c r="F1164" i="2"/>
  <c r="E1164" i="2"/>
  <c r="D1164" i="2"/>
  <c r="C1164" i="2"/>
  <c r="B1164" i="2"/>
  <c r="A1164" i="2"/>
  <c r="AE1163" i="2"/>
  <c r="AD1163" i="2"/>
  <c r="AC1163" i="2"/>
  <c r="AB1163" i="2"/>
  <c r="AA1163" i="2"/>
  <c r="Z1163" i="2"/>
  <c r="Y1163" i="2"/>
  <c r="X1163" i="2"/>
  <c r="W1163" i="2"/>
  <c r="V1163" i="2"/>
  <c r="U1163" i="2"/>
  <c r="T1163" i="2"/>
  <c r="S1163" i="2"/>
  <c r="R1163" i="2"/>
  <c r="Q1163" i="2"/>
  <c r="P1163" i="2"/>
  <c r="O1163" i="2"/>
  <c r="N1163" i="2"/>
  <c r="M1163" i="2"/>
  <c r="L1163" i="2"/>
  <c r="K1163" i="2"/>
  <c r="J1163" i="2"/>
  <c r="I1163" i="2"/>
  <c r="H1163" i="2"/>
  <c r="G1163" i="2"/>
  <c r="F1163" i="2"/>
  <c r="E1163" i="2"/>
  <c r="D1163" i="2"/>
  <c r="C1163" i="2"/>
  <c r="B1163" i="2"/>
  <c r="A1163" i="2"/>
  <c r="AE1162" i="2"/>
  <c r="AD1162" i="2"/>
  <c r="AC1162" i="2"/>
  <c r="AB1162" i="2"/>
  <c r="AA1162" i="2"/>
  <c r="Z1162" i="2"/>
  <c r="Y1162" i="2"/>
  <c r="X1162" i="2"/>
  <c r="W1162" i="2"/>
  <c r="V1162" i="2"/>
  <c r="U1162" i="2"/>
  <c r="T1162" i="2"/>
  <c r="S1162" i="2"/>
  <c r="R1162" i="2"/>
  <c r="Q1162" i="2"/>
  <c r="P1162" i="2"/>
  <c r="O1162" i="2"/>
  <c r="N1162" i="2"/>
  <c r="M1162" i="2"/>
  <c r="L1162" i="2"/>
  <c r="K1162" i="2"/>
  <c r="J1162" i="2"/>
  <c r="I1162" i="2"/>
  <c r="H1162" i="2"/>
  <c r="G1162" i="2"/>
  <c r="F1162" i="2"/>
  <c r="E1162" i="2"/>
  <c r="D1162" i="2"/>
  <c r="C1162" i="2"/>
  <c r="B1162" i="2"/>
  <c r="A1162" i="2"/>
  <c r="AE1161" i="2"/>
  <c r="AD1161" i="2"/>
  <c r="AC1161" i="2"/>
  <c r="AB1161" i="2"/>
  <c r="AA1161" i="2"/>
  <c r="Z1161" i="2"/>
  <c r="Y1161" i="2"/>
  <c r="X1161" i="2"/>
  <c r="W1161" i="2"/>
  <c r="V1161" i="2"/>
  <c r="U1161" i="2"/>
  <c r="T1161" i="2"/>
  <c r="S1161" i="2"/>
  <c r="R1161" i="2"/>
  <c r="Q1161" i="2"/>
  <c r="P1161" i="2"/>
  <c r="O1161" i="2"/>
  <c r="N1161" i="2"/>
  <c r="M1161" i="2"/>
  <c r="L1161" i="2"/>
  <c r="K1161" i="2"/>
  <c r="J1161" i="2"/>
  <c r="I1161" i="2"/>
  <c r="H1161" i="2"/>
  <c r="G1161" i="2"/>
  <c r="F1161" i="2"/>
  <c r="E1161" i="2"/>
  <c r="D1161" i="2"/>
  <c r="C1161" i="2"/>
  <c r="B1161" i="2"/>
  <c r="A1161" i="2"/>
  <c r="AE1160" i="2"/>
  <c r="AD1160" i="2"/>
  <c r="AC1160" i="2"/>
  <c r="AB1160" i="2"/>
  <c r="AA1160" i="2"/>
  <c r="Z1160" i="2"/>
  <c r="Y1160" i="2"/>
  <c r="X1160" i="2"/>
  <c r="W1160" i="2"/>
  <c r="V1160" i="2"/>
  <c r="U1160" i="2"/>
  <c r="T1160" i="2"/>
  <c r="S1160" i="2"/>
  <c r="R1160" i="2"/>
  <c r="Q1160" i="2"/>
  <c r="P1160" i="2"/>
  <c r="O1160" i="2"/>
  <c r="N1160" i="2"/>
  <c r="M1160" i="2"/>
  <c r="L1160" i="2"/>
  <c r="K1160" i="2"/>
  <c r="J1160" i="2"/>
  <c r="I1160" i="2"/>
  <c r="H1160" i="2"/>
  <c r="G1160" i="2"/>
  <c r="F1160" i="2"/>
  <c r="E1160" i="2"/>
  <c r="D1160" i="2"/>
  <c r="C1160" i="2"/>
  <c r="B1160" i="2"/>
  <c r="A1160" i="2"/>
  <c r="AE1159" i="2"/>
  <c r="AD1159" i="2"/>
  <c r="AC1159" i="2"/>
  <c r="AB1159" i="2"/>
  <c r="AA1159" i="2"/>
  <c r="Z1159" i="2"/>
  <c r="Y1159" i="2"/>
  <c r="X1159" i="2"/>
  <c r="W1159" i="2"/>
  <c r="V1159" i="2"/>
  <c r="U1159" i="2"/>
  <c r="T1159" i="2"/>
  <c r="S1159" i="2"/>
  <c r="R1159" i="2"/>
  <c r="Q1159" i="2"/>
  <c r="P1159" i="2"/>
  <c r="O1159" i="2"/>
  <c r="N1159" i="2"/>
  <c r="M1159" i="2"/>
  <c r="L1159" i="2"/>
  <c r="K1159" i="2"/>
  <c r="J1159" i="2"/>
  <c r="I1159" i="2"/>
  <c r="H1159" i="2"/>
  <c r="G1159" i="2"/>
  <c r="F1159" i="2"/>
  <c r="E1159" i="2"/>
  <c r="D1159" i="2"/>
  <c r="C1159" i="2"/>
  <c r="B1159" i="2"/>
  <c r="A1159" i="2"/>
  <c r="AE1158" i="2"/>
  <c r="AD1158" i="2"/>
  <c r="AC1158" i="2"/>
  <c r="AB1158" i="2"/>
  <c r="AA1158" i="2"/>
  <c r="Z1158" i="2"/>
  <c r="Y1158" i="2"/>
  <c r="X1158" i="2"/>
  <c r="W1158" i="2"/>
  <c r="V1158" i="2"/>
  <c r="U1158" i="2"/>
  <c r="T1158" i="2"/>
  <c r="S1158" i="2"/>
  <c r="R1158" i="2"/>
  <c r="Q1158" i="2"/>
  <c r="P1158" i="2"/>
  <c r="O1158" i="2"/>
  <c r="N1158" i="2"/>
  <c r="M1158" i="2"/>
  <c r="L1158" i="2"/>
  <c r="K1158" i="2"/>
  <c r="J1158" i="2"/>
  <c r="I1158" i="2"/>
  <c r="H1158" i="2"/>
  <c r="G1158" i="2"/>
  <c r="F1158" i="2"/>
  <c r="E1158" i="2"/>
  <c r="D1158" i="2"/>
  <c r="C1158" i="2"/>
  <c r="B1158" i="2"/>
  <c r="A1158" i="2"/>
  <c r="AE1157" i="2"/>
  <c r="AD1157" i="2"/>
  <c r="AC1157" i="2"/>
  <c r="AB1157" i="2"/>
  <c r="AA1157" i="2"/>
  <c r="Z1157" i="2"/>
  <c r="Y1157" i="2"/>
  <c r="X1157" i="2"/>
  <c r="W1157" i="2"/>
  <c r="V1157" i="2"/>
  <c r="U1157" i="2"/>
  <c r="T1157" i="2"/>
  <c r="S1157" i="2"/>
  <c r="R1157" i="2"/>
  <c r="Q1157" i="2"/>
  <c r="P1157" i="2"/>
  <c r="O1157" i="2"/>
  <c r="N1157" i="2"/>
  <c r="M1157" i="2"/>
  <c r="L1157" i="2"/>
  <c r="K1157" i="2"/>
  <c r="J1157" i="2"/>
  <c r="I1157" i="2"/>
  <c r="H1157" i="2"/>
  <c r="G1157" i="2"/>
  <c r="F1157" i="2"/>
  <c r="E1157" i="2"/>
  <c r="D1157" i="2"/>
  <c r="C1157" i="2"/>
  <c r="B1157" i="2"/>
  <c r="A1157" i="2"/>
  <c r="AE1156" i="2"/>
  <c r="AD1156" i="2"/>
  <c r="AC1156" i="2"/>
  <c r="AB1156" i="2"/>
  <c r="AA1156" i="2"/>
  <c r="Z1156" i="2"/>
  <c r="Y1156" i="2"/>
  <c r="X1156" i="2"/>
  <c r="W1156" i="2"/>
  <c r="V1156" i="2"/>
  <c r="U1156" i="2"/>
  <c r="T1156" i="2"/>
  <c r="S1156" i="2"/>
  <c r="R1156" i="2"/>
  <c r="Q1156" i="2"/>
  <c r="P1156" i="2"/>
  <c r="O1156" i="2"/>
  <c r="N1156" i="2"/>
  <c r="M1156" i="2"/>
  <c r="L1156" i="2"/>
  <c r="K1156" i="2"/>
  <c r="J1156" i="2"/>
  <c r="I1156" i="2"/>
  <c r="H1156" i="2"/>
  <c r="G1156" i="2"/>
  <c r="F1156" i="2"/>
  <c r="E1156" i="2"/>
  <c r="D1156" i="2"/>
  <c r="C1156" i="2"/>
  <c r="B1156" i="2"/>
  <c r="A1156" i="2"/>
  <c r="AE1155" i="2"/>
  <c r="AD1155" i="2"/>
  <c r="AC1155" i="2"/>
  <c r="AB1155" i="2"/>
  <c r="AA1155" i="2"/>
  <c r="Z1155" i="2"/>
  <c r="Y1155" i="2"/>
  <c r="X1155" i="2"/>
  <c r="W1155" i="2"/>
  <c r="V1155" i="2"/>
  <c r="U1155" i="2"/>
  <c r="T1155" i="2"/>
  <c r="S1155" i="2"/>
  <c r="R1155" i="2"/>
  <c r="Q1155" i="2"/>
  <c r="P1155" i="2"/>
  <c r="O1155" i="2"/>
  <c r="N1155" i="2"/>
  <c r="M1155" i="2"/>
  <c r="L1155" i="2"/>
  <c r="K1155" i="2"/>
  <c r="J1155" i="2"/>
  <c r="I1155" i="2"/>
  <c r="H1155" i="2"/>
  <c r="G1155" i="2"/>
  <c r="F1155" i="2"/>
  <c r="E1155" i="2"/>
  <c r="D1155" i="2"/>
  <c r="C1155" i="2"/>
  <c r="B1155" i="2"/>
  <c r="A1155" i="2"/>
  <c r="AE1154" i="2"/>
  <c r="AD1154" i="2"/>
  <c r="AC1154" i="2"/>
  <c r="AB1154" i="2"/>
  <c r="AA1154" i="2"/>
  <c r="Z1154" i="2"/>
  <c r="Y1154" i="2"/>
  <c r="X1154" i="2"/>
  <c r="W1154" i="2"/>
  <c r="V1154" i="2"/>
  <c r="U1154" i="2"/>
  <c r="T1154" i="2"/>
  <c r="S1154" i="2"/>
  <c r="R1154" i="2"/>
  <c r="Q1154" i="2"/>
  <c r="P1154" i="2"/>
  <c r="O1154" i="2"/>
  <c r="N1154" i="2"/>
  <c r="M1154" i="2"/>
  <c r="L1154" i="2"/>
  <c r="K1154" i="2"/>
  <c r="J1154" i="2"/>
  <c r="I1154" i="2"/>
  <c r="H1154" i="2"/>
  <c r="G1154" i="2"/>
  <c r="F1154" i="2"/>
  <c r="E1154" i="2"/>
  <c r="D1154" i="2"/>
  <c r="C1154" i="2"/>
  <c r="B1154" i="2"/>
  <c r="A1154" i="2"/>
  <c r="AE1153" i="2"/>
  <c r="AD1153" i="2"/>
  <c r="AC1153" i="2"/>
  <c r="AB1153" i="2"/>
  <c r="AA1153" i="2"/>
  <c r="Z1153" i="2"/>
  <c r="Y1153" i="2"/>
  <c r="X1153" i="2"/>
  <c r="W1153" i="2"/>
  <c r="V1153" i="2"/>
  <c r="U1153" i="2"/>
  <c r="T1153" i="2"/>
  <c r="S1153" i="2"/>
  <c r="R1153" i="2"/>
  <c r="Q1153" i="2"/>
  <c r="P1153" i="2"/>
  <c r="O1153" i="2"/>
  <c r="N1153" i="2"/>
  <c r="M1153" i="2"/>
  <c r="L1153" i="2"/>
  <c r="K1153" i="2"/>
  <c r="J1153" i="2"/>
  <c r="I1153" i="2"/>
  <c r="H1153" i="2"/>
  <c r="G1153" i="2"/>
  <c r="F1153" i="2"/>
  <c r="E1153" i="2"/>
  <c r="D1153" i="2"/>
  <c r="C1153" i="2"/>
  <c r="B1153" i="2"/>
  <c r="A1153" i="2"/>
  <c r="AE1152" i="2"/>
  <c r="AD1152" i="2"/>
  <c r="AC1152" i="2"/>
  <c r="AB1152" i="2"/>
  <c r="AA1152" i="2"/>
  <c r="Z1152" i="2"/>
  <c r="Y1152" i="2"/>
  <c r="X1152" i="2"/>
  <c r="W1152" i="2"/>
  <c r="V1152" i="2"/>
  <c r="U1152" i="2"/>
  <c r="T1152" i="2"/>
  <c r="S1152" i="2"/>
  <c r="R1152" i="2"/>
  <c r="Q1152" i="2"/>
  <c r="P1152" i="2"/>
  <c r="O1152" i="2"/>
  <c r="N1152" i="2"/>
  <c r="M1152" i="2"/>
  <c r="L1152" i="2"/>
  <c r="K1152" i="2"/>
  <c r="J1152" i="2"/>
  <c r="I1152" i="2"/>
  <c r="H1152" i="2"/>
  <c r="G1152" i="2"/>
  <c r="F1152" i="2"/>
  <c r="E1152" i="2"/>
  <c r="D1152" i="2"/>
  <c r="C1152" i="2"/>
  <c r="B1152" i="2"/>
  <c r="A1152" i="2"/>
  <c r="AE1151" i="2"/>
  <c r="AD1151" i="2"/>
  <c r="AC1151" i="2"/>
  <c r="AB1151" i="2"/>
  <c r="AA1151" i="2"/>
  <c r="Z1151" i="2"/>
  <c r="Y1151" i="2"/>
  <c r="X1151" i="2"/>
  <c r="W1151" i="2"/>
  <c r="V1151" i="2"/>
  <c r="U1151" i="2"/>
  <c r="T1151" i="2"/>
  <c r="S1151" i="2"/>
  <c r="R1151" i="2"/>
  <c r="Q1151" i="2"/>
  <c r="P1151" i="2"/>
  <c r="O1151" i="2"/>
  <c r="N1151" i="2"/>
  <c r="M1151" i="2"/>
  <c r="L1151" i="2"/>
  <c r="K1151" i="2"/>
  <c r="J1151" i="2"/>
  <c r="I1151" i="2"/>
  <c r="H1151" i="2"/>
  <c r="G1151" i="2"/>
  <c r="F1151" i="2"/>
  <c r="E1151" i="2"/>
  <c r="D1151" i="2"/>
  <c r="C1151" i="2"/>
  <c r="B1151" i="2"/>
  <c r="A1151" i="2"/>
  <c r="AE1150" i="2"/>
  <c r="AD1150" i="2"/>
  <c r="AC1150" i="2"/>
  <c r="AB1150" i="2"/>
  <c r="AA1150" i="2"/>
  <c r="Z1150" i="2"/>
  <c r="Y1150" i="2"/>
  <c r="X1150" i="2"/>
  <c r="W1150" i="2"/>
  <c r="V1150" i="2"/>
  <c r="U1150" i="2"/>
  <c r="T1150" i="2"/>
  <c r="S1150" i="2"/>
  <c r="R1150" i="2"/>
  <c r="Q1150" i="2"/>
  <c r="P1150" i="2"/>
  <c r="O1150" i="2"/>
  <c r="N1150" i="2"/>
  <c r="M1150" i="2"/>
  <c r="L1150" i="2"/>
  <c r="K1150" i="2"/>
  <c r="J1150" i="2"/>
  <c r="I1150" i="2"/>
  <c r="H1150" i="2"/>
  <c r="G1150" i="2"/>
  <c r="F1150" i="2"/>
  <c r="E1150" i="2"/>
  <c r="D1150" i="2"/>
  <c r="C1150" i="2"/>
  <c r="B1150" i="2"/>
  <c r="A1150" i="2"/>
  <c r="AE1149" i="2"/>
  <c r="AD1149" i="2"/>
  <c r="AC1149" i="2"/>
  <c r="AB1149" i="2"/>
  <c r="AA1149" i="2"/>
  <c r="Z1149" i="2"/>
  <c r="Y1149" i="2"/>
  <c r="X1149" i="2"/>
  <c r="W1149" i="2"/>
  <c r="V1149" i="2"/>
  <c r="U1149" i="2"/>
  <c r="T1149" i="2"/>
  <c r="S1149" i="2"/>
  <c r="R1149" i="2"/>
  <c r="Q1149" i="2"/>
  <c r="P1149" i="2"/>
  <c r="O1149" i="2"/>
  <c r="N1149" i="2"/>
  <c r="M1149" i="2"/>
  <c r="L1149" i="2"/>
  <c r="K1149" i="2"/>
  <c r="J1149" i="2"/>
  <c r="I1149" i="2"/>
  <c r="H1149" i="2"/>
  <c r="G1149" i="2"/>
  <c r="F1149" i="2"/>
  <c r="E1149" i="2"/>
  <c r="D1149" i="2"/>
  <c r="C1149" i="2"/>
  <c r="B1149" i="2"/>
  <c r="A1149" i="2"/>
  <c r="AE1148" i="2"/>
  <c r="AD1148" i="2"/>
  <c r="AC1148" i="2"/>
  <c r="AB1148" i="2"/>
  <c r="AA1148" i="2"/>
  <c r="Z1148" i="2"/>
  <c r="Y1148" i="2"/>
  <c r="X1148" i="2"/>
  <c r="W1148" i="2"/>
  <c r="V1148" i="2"/>
  <c r="U1148" i="2"/>
  <c r="T1148" i="2"/>
  <c r="S1148" i="2"/>
  <c r="R1148" i="2"/>
  <c r="Q1148" i="2"/>
  <c r="P1148" i="2"/>
  <c r="O1148" i="2"/>
  <c r="N1148" i="2"/>
  <c r="M1148" i="2"/>
  <c r="L1148" i="2"/>
  <c r="K1148" i="2"/>
  <c r="J1148" i="2"/>
  <c r="I1148" i="2"/>
  <c r="H1148" i="2"/>
  <c r="G1148" i="2"/>
  <c r="F1148" i="2"/>
  <c r="E1148" i="2"/>
  <c r="D1148" i="2"/>
  <c r="C1148" i="2"/>
  <c r="B1148" i="2"/>
  <c r="A1148" i="2"/>
  <c r="AE1147" i="2"/>
  <c r="AD1147" i="2"/>
  <c r="AC1147" i="2"/>
  <c r="AB1147" i="2"/>
  <c r="AA1147" i="2"/>
  <c r="Z1147" i="2"/>
  <c r="Y1147" i="2"/>
  <c r="X1147" i="2"/>
  <c r="W1147" i="2"/>
  <c r="V1147" i="2"/>
  <c r="U1147" i="2"/>
  <c r="T1147" i="2"/>
  <c r="S1147" i="2"/>
  <c r="R1147" i="2"/>
  <c r="Q1147" i="2"/>
  <c r="P1147" i="2"/>
  <c r="O1147" i="2"/>
  <c r="N1147" i="2"/>
  <c r="M1147" i="2"/>
  <c r="L1147" i="2"/>
  <c r="K1147" i="2"/>
  <c r="J1147" i="2"/>
  <c r="I1147" i="2"/>
  <c r="H1147" i="2"/>
  <c r="G1147" i="2"/>
  <c r="F1147" i="2"/>
  <c r="E1147" i="2"/>
  <c r="D1147" i="2"/>
  <c r="C1147" i="2"/>
  <c r="B1147" i="2"/>
  <c r="A1147" i="2"/>
  <c r="AE1146" i="2"/>
  <c r="AD1146" i="2"/>
  <c r="AC1146" i="2"/>
  <c r="AB1146" i="2"/>
  <c r="AA1146" i="2"/>
  <c r="Z1146" i="2"/>
  <c r="Y1146" i="2"/>
  <c r="X1146" i="2"/>
  <c r="W1146" i="2"/>
  <c r="V1146" i="2"/>
  <c r="U1146" i="2"/>
  <c r="T1146" i="2"/>
  <c r="S1146" i="2"/>
  <c r="R1146" i="2"/>
  <c r="Q1146" i="2"/>
  <c r="P1146" i="2"/>
  <c r="O1146" i="2"/>
  <c r="N1146" i="2"/>
  <c r="M1146" i="2"/>
  <c r="L1146" i="2"/>
  <c r="K1146" i="2"/>
  <c r="J1146" i="2"/>
  <c r="I1146" i="2"/>
  <c r="H1146" i="2"/>
  <c r="G1146" i="2"/>
  <c r="F1146" i="2"/>
  <c r="E1146" i="2"/>
  <c r="D1146" i="2"/>
  <c r="C1146" i="2"/>
  <c r="B1146" i="2"/>
  <c r="A1146" i="2"/>
  <c r="AE1145" i="2"/>
  <c r="AD1145" i="2"/>
  <c r="AC1145" i="2"/>
  <c r="AB1145" i="2"/>
  <c r="AA1145" i="2"/>
  <c r="Z1145" i="2"/>
  <c r="Y1145" i="2"/>
  <c r="X1145" i="2"/>
  <c r="W1145" i="2"/>
  <c r="V1145" i="2"/>
  <c r="U1145" i="2"/>
  <c r="T1145" i="2"/>
  <c r="S1145" i="2"/>
  <c r="R1145" i="2"/>
  <c r="Q1145" i="2"/>
  <c r="P1145" i="2"/>
  <c r="O1145" i="2"/>
  <c r="N1145" i="2"/>
  <c r="M1145" i="2"/>
  <c r="L1145" i="2"/>
  <c r="K1145" i="2"/>
  <c r="J1145" i="2"/>
  <c r="I1145" i="2"/>
  <c r="H1145" i="2"/>
  <c r="G1145" i="2"/>
  <c r="F1145" i="2"/>
  <c r="E1145" i="2"/>
  <c r="D1145" i="2"/>
  <c r="C1145" i="2"/>
  <c r="B1145" i="2"/>
  <c r="A1145" i="2"/>
  <c r="AE1144" i="2"/>
  <c r="AD1144" i="2"/>
  <c r="AC1144" i="2"/>
  <c r="AB1144" i="2"/>
  <c r="AA1144" i="2"/>
  <c r="Z1144" i="2"/>
  <c r="Y1144" i="2"/>
  <c r="X1144" i="2"/>
  <c r="W1144" i="2"/>
  <c r="V1144" i="2"/>
  <c r="U1144" i="2"/>
  <c r="T1144" i="2"/>
  <c r="S1144" i="2"/>
  <c r="R1144" i="2"/>
  <c r="Q1144" i="2"/>
  <c r="P1144" i="2"/>
  <c r="O1144" i="2"/>
  <c r="N1144" i="2"/>
  <c r="M1144" i="2"/>
  <c r="L1144" i="2"/>
  <c r="K1144" i="2"/>
  <c r="J1144" i="2"/>
  <c r="I1144" i="2"/>
  <c r="H1144" i="2"/>
  <c r="G1144" i="2"/>
  <c r="F1144" i="2"/>
  <c r="E1144" i="2"/>
  <c r="D1144" i="2"/>
  <c r="C1144" i="2"/>
  <c r="B1144" i="2"/>
  <c r="A1144" i="2"/>
  <c r="AE1143" i="2"/>
  <c r="AD1143" i="2"/>
  <c r="AC1143" i="2"/>
  <c r="AB1143" i="2"/>
  <c r="AA1143" i="2"/>
  <c r="Z1143" i="2"/>
  <c r="Y1143" i="2"/>
  <c r="X1143" i="2"/>
  <c r="W1143" i="2"/>
  <c r="V1143" i="2"/>
  <c r="U1143" i="2"/>
  <c r="T1143" i="2"/>
  <c r="S1143" i="2"/>
  <c r="R1143" i="2"/>
  <c r="Q1143" i="2"/>
  <c r="P1143" i="2"/>
  <c r="O1143" i="2"/>
  <c r="N1143" i="2"/>
  <c r="M1143" i="2"/>
  <c r="L1143" i="2"/>
  <c r="K1143" i="2"/>
  <c r="J1143" i="2"/>
  <c r="I1143" i="2"/>
  <c r="H1143" i="2"/>
  <c r="G1143" i="2"/>
  <c r="F1143" i="2"/>
  <c r="E1143" i="2"/>
  <c r="D1143" i="2"/>
  <c r="C1143" i="2"/>
  <c r="B1143" i="2"/>
  <c r="A1143" i="2"/>
  <c r="AE1142" i="2"/>
  <c r="AD1142" i="2"/>
  <c r="AC1142" i="2"/>
  <c r="AB1142" i="2"/>
  <c r="AA1142" i="2"/>
  <c r="Z1142" i="2"/>
  <c r="Y1142" i="2"/>
  <c r="X1142" i="2"/>
  <c r="W1142" i="2"/>
  <c r="V1142" i="2"/>
  <c r="U1142" i="2"/>
  <c r="T1142" i="2"/>
  <c r="S1142" i="2"/>
  <c r="R1142" i="2"/>
  <c r="Q1142" i="2"/>
  <c r="P1142" i="2"/>
  <c r="O1142" i="2"/>
  <c r="N1142" i="2"/>
  <c r="M1142" i="2"/>
  <c r="L1142" i="2"/>
  <c r="K1142" i="2"/>
  <c r="J1142" i="2"/>
  <c r="I1142" i="2"/>
  <c r="H1142" i="2"/>
  <c r="G1142" i="2"/>
  <c r="F1142" i="2"/>
  <c r="E1142" i="2"/>
  <c r="D1142" i="2"/>
  <c r="C1142" i="2"/>
  <c r="B1142" i="2"/>
  <c r="A1142" i="2"/>
  <c r="AE1141" i="2"/>
  <c r="AD1141" i="2"/>
  <c r="AC1141" i="2"/>
  <c r="AB1141" i="2"/>
  <c r="AA1141" i="2"/>
  <c r="Z1141" i="2"/>
  <c r="Y1141" i="2"/>
  <c r="X1141" i="2"/>
  <c r="W1141" i="2"/>
  <c r="V1141" i="2"/>
  <c r="U1141" i="2"/>
  <c r="T1141" i="2"/>
  <c r="S1141" i="2"/>
  <c r="R1141" i="2"/>
  <c r="Q1141" i="2"/>
  <c r="P1141" i="2"/>
  <c r="O1141" i="2"/>
  <c r="N1141" i="2"/>
  <c r="M1141" i="2"/>
  <c r="L1141" i="2"/>
  <c r="K1141" i="2"/>
  <c r="J1141" i="2"/>
  <c r="I1141" i="2"/>
  <c r="H1141" i="2"/>
  <c r="G1141" i="2"/>
  <c r="F1141" i="2"/>
  <c r="E1141" i="2"/>
  <c r="D1141" i="2"/>
  <c r="C1141" i="2"/>
  <c r="B1141" i="2"/>
  <c r="A1141" i="2"/>
  <c r="AE1140" i="2"/>
  <c r="AD1140" i="2"/>
  <c r="AC1140" i="2"/>
  <c r="AB1140" i="2"/>
  <c r="AA1140" i="2"/>
  <c r="Z1140" i="2"/>
  <c r="Y1140" i="2"/>
  <c r="X1140" i="2"/>
  <c r="W1140" i="2"/>
  <c r="V1140" i="2"/>
  <c r="U1140" i="2"/>
  <c r="T1140" i="2"/>
  <c r="S1140" i="2"/>
  <c r="R1140" i="2"/>
  <c r="Q1140" i="2"/>
  <c r="P1140" i="2"/>
  <c r="O1140" i="2"/>
  <c r="N1140" i="2"/>
  <c r="M1140" i="2"/>
  <c r="L1140" i="2"/>
  <c r="K1140" i="2"/>
  <c r="J1140" i="2"/>
  <c r="I1140" i="2"/>
  <c r="H1140" i="2"/>
  <c r="G1140" i="2"/>
  <c r="F1140" i="2"/>
  <c r="E1140" i="2"/>
  <c r="D1140" i="2"/>
  <c r="C1140" i="2"/>
  <c r="B1140" i="2"/>
  <c r="A1140" i="2"/>
  <c r="AE1139" i="2"/>
  <c r="AD1139" i="2"/>
  <c r="AC1139" i="2"/>
  <c r="AB1139" i="2"/>
  <c r="AA1139" i="2"/>
  <c r="Z1139" i="2"/>
  <c r="Y1139" i="2"/>
  <c r="X1139" i="2"/>
  <c r="W1139" i="2"/>
  <c r="V1139" i="2"/>
  <c r="U1139" i="2"/>
  <c r="T1139" i="2"/>
  <c r="S1139" i="2"/>
  <c r="R1139" i="2"/>
  <c r="Q1139" i="2"/>
  <c r="P1139" i="2"/>
  <c r="O1139" i="2"/>
  <c r="N1139" i="2"/>
  <c r="M1139" i="2"/>
  <c r="L1139" i="2"/>
  <c r="K1139" i="2"/>
  <c r="J1139" i="2"/>
  <c r="I1139" i="2"/>
  <c r="H1139" i="2"/>
  <c r="G1139" i="2"/>
  <c r="F1139" i="2"/>
  <c r="E1139" i="2"/>
  <c r="D1139" i="2"/>
  <c r="C1139" i="2"/>
  <c r="B1139" i="2"/>
  <c r="A1139" i="2"/>
  <c r="AE1138" i="2"/>
  <c r="AD1138" i="2"/>
  <c r="AC1138" i="2"/>
  <c r="AB1138" i="2"/>
  <c r="AA1138" i="2"/>
  <c r="Z1138" i="2"/>
  <c r="Y1138" i="2"/>
  <c r="X1138" i="2"/>
  <c r="W1138" i="2"/>
  <c r="V1138" i="2"/>
  <c r="U1138" i="2"/>
  <c r="T1138" i="2"/>
  <c r="S1138" i="2"/>
  <c r="R1138" i="2"/>
  <c r="Q1138" i="2"/>
  <c r="P1138" i="2"/>
  <c r="O1138" i="2"/>
  <c r="N1138" i="2"/>
  <c r="M1138" i="2"/>
  <c r="L1138" i="2"/>
  <c r="K1138" i="2"/>
  <c r="J1138" i="2"/>
  <c r="I1138" i="2"/>
  <c r="H1138" i="2"/>
  <c r="G1138" i="2"/>
  <c r="F1138" i="2"/>
  <c r="E1138" i="2"/>
  <c r="D1138" i="2"/>
  <c r="C1138" i="2"/>
  <c r="B1138" i="2"/>
  <c r="A1138" i="2"/>
  <c r="AE1137" i="2"/>
  <c r="AD1137" i="2"/>
  <c r="AC1137" i="2"/>
  <c r="AB1137" i="2"/>
  <c r="AA1137" i="2"/>
  <c r="Z1137" i="2"/>
  <c r="Y1137" i="2"/>
  <c r="X1137" i="2"/>
  <c r="W1137" i="2"/>
  <c r="V1137" i="2"/>
  <c r="U1137" i="2"/>
  <c r="T1137" i="2"/>
  <c r="S1137" i="2"/>
  <c r="R1137" i="2"/>
  <c r="Q1137" i="2"/>
  <c r="P1137" i="2"/>
  <c r="O1137" i="2"/>
  <c r="N1137" i="2"/>
  <c r="M1137" i="2"/>
  <c r="L1137" i="2"/>
  <c r="K1137" i="2"/>
  <c r="J1137" i="2"/>
  <c r="I1137" i="2"/>
  <c r="H1137" i="2"/>
  <c r="G1137" i="2"/>
  <c r="F1137" i="2"/>
  <c r="E1137" i="2"/>
  <c r="D1137" i="2"/>
  <c r="C1137" i="2"/>
  <c r="B1137" i="2"/>
  <c r="A1137" i="2"/>
  <c r="AE1136" i="2"/>
  <c r="AD1136" i="2"/>
  <c r="AC1136" i="2"/>
  <c r="AB1136" i="2"/>
  <c r="AA1136" i="2"/>
  <c r="Z1136" i="2"/>
  <c r="Y1136" i="2"/>
  <c r="X1136" i="2"/>
  <c r="W1136" i="2"/>
  <c r="V1136" i="2"/>
  <c r="U1136" i="2"/>
  <c r="T1136" i="2"/>
  <c r="S1136" i="2"/>
  <c r="R1136" i="2"/>
  <c r="Q1136" i="2"/>
  <c r="P1136" i="2"/>
  <c r="O1136" i="2"/>
  <c r="N1136" i="2"/>
  <c r="M1136" i="2"/>
  <c r="L1136" i="2"/>
  <c r="K1136" i="2"/>
  <c r="J1136" i="2"/>
  <c r="I1136" i="2"/>
  <c r="H1136" i="2"/>
  <c r="G1136" i="2"/>
  <c r="F1136" i="2"/>
  <c r="E1136" i="2"/>
  <c r="D1136" i="2"/>
  <c r="C1136" i="2"/>
  <c r="B1136" i="2"/>
  <c r="A1136" i="2"/>
  <c r="AE1135" i="2"/>
  <c r="AD1135" i="2"/>
  <c r="AC1135" i="2"/>
  <c r="AB1135" i="2"/>
  <c r="AA1135" i="2"/>
  <c r="Z1135" i="2"/>
  <c r="Y1135" i="2"/>
  <c r="X1135" i="2"/>
  <c r="W1135" i="2"/>
  <c r="V1135" i="2"/>
  <c r="U1135" i="2"/>
  <c r="T1135" i="2"/>
  <c r="S1135" i="2"/>
  <c r="R1135" i="2"/>
  <c r="Q1135" i="2"/>
  <c r="P1135" i="2"/>
  <c r="O1135" i="2"/>
  <c r="N1135" i="2"/>
  <c r="M1135" i="2"/>
  <c r="L1135" i="2"/>
  <c r="K1135" i="2"/>
  <c r="J1135" i="2"/>
  <c r="I1135" i="2"/>
  <c r="H1135" i="2"/>
  <c r="G1135" i="2"/>
  <c r="F1135" i="2"/>
  <c r="E1135" i="2"/>
  <c r="D1135" i="2"/>
  <c r="C1135" i="2"/>
  <c r="B1135" i="2"/>
  <c r="A1135" i="2"/>
  <c r="AE1134" i="2"/>
  <c r="AD1134" i="2"/>
  <c r="AC1134" i="2"/>
  <c r="AB1134" i="2"/>
  <c r="AA1134" i="2"/>
  <c r="Z1134" i="2"/>
  <c r="Y1134" i="2"/>
  <c r="X1134" i="2"/>
  <c r="W1134" i="2"/>
  <c r="V1134" i="2"/>
  <c r="U1134" i="2"/>
  <c r="T1134" i="2"/>
  <c r="S1134" i="2"/>
  <c r="R1134" i="2"/>
  <c r="Q1134" i="2"/>
  <c r="P1134" i="2"/>
  <c r="O1134" i="2"/>
  <c r="N1134" i="2"/>
  <c r="M1134" i="2"/>
  <c r="L1134" i="2"/>
  <c r="K1134" i="2"/>
  <c r="J1134" i="2"/>
  <c r="I1134" i="2"/>
  <c r="H1134" i="2"/>
  <c r="G1134" i="2"/>
  <c r="F1134" i="2"/>
  <c r="E1134" i="2"/>
  <c r="D1134" i="2"/>
  <c r="C1134" i="2"/>
  <c r="B1134" i="2"/>
  <c r="A1134" i="2"/>
  <c r="AE1133" i="2"/>
  <c r="AD1133" i="2"/>
  <c r="AC1133" i="2"/>
  <c r="AB1133" i="2"/>
  <c r="AA1133" i="2"/>
  <c r="Z1133" i="2"/>
  <c r="Y1133" i="2"/>
  <c r="X1133" i="2"/>
  <c r="W1133" i="2"/>
  <c r="V1133" i="2"/>
  <c r="U1133" i="2"/>
  <c r="T1133" i="2"/>
  <c r="S1133" i="2"/>
  <c r="R1133" i="2"/>
  <c r="Q1133" i="2"/>
  <c r="P1133" i="2"/>
  <c r="O1133" i="2"/>
  <c r="N1133" i="2"/>
  <c r="M1133" i="2"/>
  <c r="L1133" i="2"/>
  <c r="K1133" i="2"/>
  <c r="J1133" i="2"/>
  <c r="I1133" i="2"/>
  <c r="H1133" i="2"/>
  <c r="G1133" i="2"/>
  <c r="F1133" i="2"/>
  <c r="E1133" i="2"/>
  <c r="D1133" i="2"/>
  <c r="C1133" i="2"/>
  <c r="B1133" i="2"/>
  <c r="A1133" i="2"/>
  <c r="AE1132" i="2"/>
  <c r="AD1132" i="2"/>
  <c r="AC1132" i="2"/>
  <c r="AB1132" i="2"/>
  <c r="AA1132" i="2"/>
  <c r="Z1132" i="2"/>
  <c r="Y1132" i="2"/>
  <c r="X1132" i="2"/>
  <c r="W1132" i="2"/>
  <c r="V1132" i="2"/>
  <c r="U1132" i="2"/>
  <c r="T1132" i="2"/>
  <c r="S1132" i="2"/>
  <c r="R1132" i="2"/>
  <c r="Q1132" i="2"/>
  <c r="P1132" i="2"/>
  <c r="O1132" i="2"/>
  <c r="N1132" i="2"/>
  <c r="M1132" i="2"/>
  <c r="L1132" i="2"/>
  <c r="K1132" i="2"/>
  <c r="J1132" i="2"/>
  <c r="I1132" i="2"/>
  <c r="H1132" i="2"/>
  <c r="G1132" i="2"/>
  <c r="F1132" i="2"/>
  <c r="E1132" i="2"/>
  <c r="D1132" i="2"/>
  <c r="C1132" i="2"/>
  <c r="B1132" i="2"/>
  <c r="A1132" i="2"/>
  <c r="AE1131" i="2"/>
  <c r="AD1131" i="2"/>
  <c r="AC1131" i="2"/>
  <c r="AB1131" i="2"/>
  <c r="AA1131" i="2"/>
  <c r="Z1131" i="2"/>
  <c r="Y1131" i="2"/>
  <c r="X1131" i="2"/>
  <c r="W1131" i="2"/>
  <c r="V1131" i="2"/>
  <c r="U1131" i="2"/>
  <c r="T1131" i="2"/>
  <c r="S1131" i="2"/>
  <c r="R1131" i="2"/>
  <c r="Q1131" i="2"/>
  <c r="P1131" i="2"/>
  <c r="O1131" i="2"/>
  <c r="N1131" i="2"/>
  <c r="M1131" i="2"/>
  <c r="L1131" i="2"/>
  <c r="K1131" i="2"/>
  <c r="J1131" i="2"/>
  <c r="I1131" i="2"/>
  <c r="H1131" i="2"/>
  <c r="G1131" i="2"/>
  <c r="F1131" i="2"/>
  <c r="E1131" i="2"/>
  <c r="D1131" i="2"/>
  <c r="C1131" i="2"/>
  <c r="B1131" i="2"/>
  <c r="A1131" i="2"/>
  <c r="AE1130" i="2"/>
  <c r="AD1130" i="2"/>
  <c r="AC1130" i="2"/>
  <c r="AB1130" i="2"/>
  <c r="AA1130" i="2"/>
  <c r="Z1130" i="2"/>
  <c r="Y1130" i="2"/>
  <c r="X1130" i="2"/>
  <c r="W1130" i="2"/>
  <c r="V1130" i="2"/>
  <c r="U1130" i="2"/>
  <c r="T1130" i="2"/>
  <c r="S1130" i="2"/>
  <c r="R1130" i="2"/>
  <c r="Q1130" i="2"/>
  <c r="P1130" i="2"/>
  <c r="O1130" i="2"/>
  <c r="N1130" i="2"/>
  <c r="M1130" i="2"/>
  <c r="L1130" i="2"/>
  <c r="K1130" i="2"/>
  <c r="J1130" i="2"/>
  <c r="I1130" i="2"/>
  <c r="H1130" i="2"/>
  <c r="G1130" i="2"/>
  <c r="F1130" i="2"/>
  <c r="E1130" i="2"/>
  <c r="D1130" i="2"/>
  <c r="C1130" i="2"/>
  <c r="B1130" i="2"/>
  <c r="A1130" i="2"/>
  <c r="AE1129" i="2"/>
  <c r="AD1129" i="2"/>
  <c r="AC1129" i="2"/>
  <c r="AB1129" i="2"/>
  <c r="AA1129" i="2"/>
  <c r="Z1129" i="2"/>
  <c r="Y1129" i="2"/>
  <c r="X1129" i="2"/>
  <c r="W1129" i="2"/>
  <c r="V1129" i="2"/>
  <c r="U1129" i="2"/>
  <c r="T1129" i="2"/>
  <c r="S1129" i="2"/>
  <c r="R1129" i="2"/>
  <c r="Q1129" i="2"/>
  <c r="P1129" i="2"/>
  <c r="O1129" i="2"/>
  <c r="N1129" i="2"/>
  <c r="M1129" i="2"/>
  <c r="L1129" i="2"/>
  <c r="K1129" i="2"/>
  <c r="J1129" i="2"/>
  <c r="I1129" i="2"/>
  <c r="H1129" i="2"/>
  <c r="G1129" i="2"/>
  <c r="F1129" i="2"/>
  <c r="E1129" i="2"/>
  <c r="D1129" i="2"/>
  <c r="C1129" i="2"/>
  <c r="B1129" i="2"/>
  <c r="A1129" i="2"/>
  <c r="AE1128" i="2"/>
  <c r="AD1128" i="2"/>
  <c r="AC1128" i="2"/>
  <c r="AB1128" i="2"/>
  <c r="AA1128" i="2"/>
  <c r="Z1128" i="2"/>
  <c r="Y1128" i="2"/>
  <c r="X1128" i="2"/>
  <c r="W1128" i="2"/>
  <c r="V1128" i="2"/>
  <c r="U1128" i="2"/>
  <c r="T1128" i="2"/>
  <c r="S1128" i="2"/>
  <c r="R1128" i="2"/>
  <c r="Q1128" i="2"/>
  <c r="P1128" i="2"/>
  <c r="O1128" i="2"/>
  <c r="N1128" i="2"/>
  <c r="M1128" i="2"/>
  <c r="L1128" i="2"/>
  <c r="K1128" i="2"/>
  <c r="J1128" i="2"/>
  <c r="I1128" i="2"/>
  <c r="H1128" i="2"/>
  <c r="G1128" i="2"/>
  <c r="F1128" i="2"/>
  <c r="E1128" i="2"/>
  <c r="D1128" i="2"/>
  <c r="C1128" i="2"/>
  <c r="B1128" i="2"/>
  <c r="A1128" i="2"/>
  <c r="AE1127" i="2"/>
  <c r="AD1127" i="2"/>
  <c r="AC1127" i="2"/>
  <c r="AB1127" i="2"/>
  <c r="AA1127" i="2"/>
  <c r="Z1127" i="2"/>
  <c r="Y1127" i="2"/>
  <c r="X1127" i="2"/>
  <c r="W1127" i="2"/>
  <c r="V1127" i="2"/>
  <c r="U1127" i="2"/>
  <c r="T1127" i="2"/>
  <c r="S1127" i="2"/>
  <c r="R1127" i="2"/>
  <c r="Q1127" i="2"/>
  <c r="P1127" i="2"/>
  <c r="O1127" i="2"/>
  <c r="N1127" i="2"/>
  <c r="M1127" i="2"/>
  <c r="L1127" i="2"/>
  <c r="K1127" i="2"/>
  <c r="J1127" i="2"/>
  <c r="I1127" i="2"/>
  <c r="H1127" i="2"/>
  <c r="G1127" i="2"/>
  <c r="F1127" i="2"/>
  <c r="E1127" i="2"/>
  <c r="D1127" i="2"/>
  <c r="C1127" i="2"/>
  <c r="B1127" i="2"/>
  <c r="A1127" i="2"/>
  <c r="AE1126" i="2"/>
  <c r="AD1126" i="2"/>
  <c r="AC1126" i="2"/>
  <c r="AB1126" i="2"/>
  <c r="AA1126" i="2"/>
  <c r="Z1126" i="2"/>
  <c r="Y1126" i="2"/>
  <c r="X1126" i="2"/>
  <c r="W1126" i="2"/>
  <c r="V1126" i="2"/>
  <c r="U1126" i="2"/>
  <c r="T1126" i="2"/>
  <c r="S1126" i="2"/>
  <c r="R1126" i="2"/>
  <c r="Q1126" i="2"/>
  <c r="P1126" i="2"/>
  <c r="O1126" i="2"/>
  <c r="N1126" i="2"/>
  <c r="M1126" i="2"/>
  <c r="L1126" i="2"/>
  <c r="K1126" i="2"/>
  <c r="J1126" i="2"/>
  <c r="I1126" i="2"/>
  <c r="H1126" i="2"/>
  <c r="G1126" i="2"/>
  <c r="F1126" i="2"/>
  <c r="E1126" i="2"/>
  <c r="D1126" i="2"/>
  <c r="C1126" i="2"/>
  <c r="B1126" i="2"/>
  <c r="A1126" i="2"/>
  <c r="AE1125" i="2"/>
  <c r="AD1125" i="2"/>
  <c r="AC1125" i="2"/>
  <c r="AB1125" i="2"/>
  <c r="AA1125" i="2"/>
  <c r="Z1125" i="2"/>
  <c r="Y1125" i="2"/>
  <c r="X1125" i="2"/>
  <c r="W1125" i="2"/>
  <c r="V1125" i="2"/>
  <c r="U1125" i="2"/>
  <c r="T1125" i="2"/>
  <c r="S1125" i="2"/>
  <c r="R1125" i="2"/>
  <c r="Q1125" i="2"/>
  <c r="P1125" i="2"/>
  <c r="O1125" i="2"/>
  <c r="N1125" i="2"/>
  <c r="M1125" i="2"/>
  <c r="L1125" i="2"/>
  <c r="K1125" i="2"/>
  <c r="J1125" i="2"/>
  <c r="I1125" i="2"/>
  <c r="H1125" i="2"/>
  <c r="G1125" i="2"/>
  <c r="F1125" i="2"/>
  <c r="E1125" i="2"/>
  <c r="D1125" i="2"/>
  <c r="C1125" i="2"/>
  <c r="B1125" i="2"/>
  <c r="A1125" i="2"/>
  <c r="AE1124" i="2"/>
  <c r="AD1124" i="2"/>
  <c r="AC1124" i="2"/>
  <c r="AB1124" i="2"/>
  <c r="AA1124" i="2"/>
  <c r="Z1124" i="2"/>
  <c r="Y1124" i="2"/>
  <c r="X1124" i="2"/>
  <c r="W1124" i="2"/>
  <c r="V1124" i="2"/>
  <c r="U1124" i="2"/>
  <c r="T1124" i="2"/>
  <c r="S1124" i="2"/>
  <c r="R1124" i="2"/>
  <c r="Q1124" i="2"/>
  <c r="P1124" i="2"/>
  <c r="O1124" i="2"/>
  <c r="N1124" i="2"/>
  <c r="M1124" i="2"/>
  <c r="L1124" i="2"/>
  <c r="K1124" i="2"/>
  <c r="J1124" i="2"/>
  <c r="I1124" i="2"/>
  <c r="H1124" i="2"/>
  <c r="G1124" i="2"/>
  <c r="F1124" i="2"/>
  <c r="E1124" i="2"/>
  <c r="D1124" i="2"/>
  <c r="C1124" i="2"/>
  <c r="B1124" i="2"/>
  <c r="A1124" i="2"/>
  <c r="AE1123" i="2"/>
  <c r="AD1123" i="2"/>
  <c r="AC1123" i="2"/>
  <c r="AB1123" i="2"/>
  <c r="AA1123" i="2"/>
  <c r="Z1123" i="2"/>
  <c r="Y1123" i="2"/>
  <c r="X1123" i="2"/>
  <c r="W1123" i="2"/>
  <c r="V1123" i="2"/>
  <c r="U1123" i="2"/>
  <c r="T1123" i="2"/>
  <c r="S1123" i="2"/>
  <c r="R1123" i="2"/>
  <c r="Q1123" i="2"/>
  <c r="P1123" i="2"/>
  <c r="O1123" i="2"/>
  <c r="N1123" i="2"/>
  <c r="M1123" i="2"/>
  <c r="L1123" i="2"/>
  <c r="K1123" i="2"/>
  <c r="J1123" i="2"/>
  <c r="I1123" i="2"/>
  <c r="H1123" i="2"/>
  <c r="G1123" i="2"/>
  <c r="F1123" i="2"/>
  <c r="E1123" i="2"/>
  <c r="D1123" i="2"/>
  <c r="C1123" i="2"/>
  <c r="B1123" i="2"/>
  <c r="A1123" i="2"/>
  <c r="AE1122" i="2"/>
  <c r="AD1122" i="2"/>
  <c r="AC1122" i="2"/>
  <c r="AB1122" i="2"/>
  <c r="AA1122" i="2"/>
  <c r="Z1122" i="2"/>
  <c r="Y1122" i="2"/>
  <c r="X1122" i="2"/>
  <c r="W1122" i="2"/>
  <c r="V1122" i="2"/>
  <c r="U1122" i="2"/>
  <c r="T1122" i="2"/>
  <c r="S1122" i="2"/>
  <c r="R1122" i="2"/>
  <c r="Q1122" i="2"/>
  <c r="P1122" i="2"/>
  <c r="O1122" i="2"/>
  <c r="N1122" i="2"/>
  <c r="M1122" i="2"/>
  <c r="L1122" i="2"/>
  <c r="K1122" i="2"/>
  <c r="J1122" i="2"/>
  <c r="I1122" i="2"/>
  <c r="H1122" i="2"/>
  <c r="G1122" i="2"/>
  <c r="F1122" i="2"/>
  <c r="E1122" i="2"/>
  <c r="D1122" i="2"/>
  <c r="C1122" i="2"/>
  <c r="B1122" i="2"/>
  <c r="A1122" i="2"/>
  <c r="AE1121" i="2"/>
  <c r="AD1121" i="2"/>
  <c r="AC1121" i="2"/>
  <c r="AB1121" i="2"/>
  <c r="AA1121" i="2"/>
  <c r="Z1121" i="2"/>
  <c r="Y1121" i="2"/>
  <c r="X1121" i="2"/>
  <c r="W1121" i="2"/>
  <c r="V1121" i="2"/>
  <c r="U1121" i="2"/>
  <c r="T1121" i="2"/>
  <c r="S1121" i="2"/>
  <c r="R1121" i="2"/>
  <c r="Q1121" i="2"/>
  <c r="P1121" i="2"/>
  <c r="O1121" i="2"/>
  <c r="N1121" i="2"/>
  <c r="M1121" i="2"/>
  <c r="L1121" i="2"/>
  <c r="K1121" i="2"/>
  <c r="J1121" i="2"/>
  <c r="I1121" i="2"/>
  <c r="H1121" i="2"/>
  <c r="G1121" i="2"/>
  <c r="F1121" i="2"/>
  <c r="E1121" i="2"/>
  <c r="D1121" i="2"/>
  <c r="C1121" i="2"/>
  <c r="B1121" i="2"/>
  <c r="A1121" i="2"/>
  <c r="AE1120" i="2"/>
  <c r="AD1120" i="2"/>
  <c r="AC1120" i="2"/>
  <c r="AB1120" i="2"/>
  <c r="AA1120" i="2"/>
  <c r="Z1120" i="2"/>
  <c r="Y1120" i="2"/>
  <c r="X1120" i="2"/>
  <c r="W1120" i="2"/>
  <c r="V1120" i="2"/>
  <c r="U1120" i="2"/>
  <c r="T1120" i="2"/>
  <c r="S1120" i="2"/>
  <c r="R1120" i="2"/>
  <c r="Q1120" i="2"/>
  <c r="P1120" i="2"/>
  <c r="O1120" i="2"/>
  <c r="N1120" i="2"/>
  <c r="M1120" i="2"/>
  <c r="L1120" i="2"/>
  <c r="K1120" i="2"/>
  <c r="J1120" i="2"/>
  <c r="I1120" i="2"/>
  <c r="H1120" i="2"/>
  <c r="G1120" i="2"/>
  <c r="F1120" i="2"/>
  <c r="E1120" i="2"/>
  <c r="D1120" i="2"/>
  <c r="C1120" i="2"/>
  <c r="B1120" i="2"/>
  <c r="A1120" i="2"/>
  <c r="AE1119" i="2"/>
  <c r="AD1119" i="2"/>
  <c r="AC1119" i="2"/>
  <c r="AB1119" i="2"/>
  <c r="AA1119" i="2"/>
  <c r="Z1119" i="2"/>
  <c r="Y1119" i="2"/>
  <c r="X1119" i="2"/>
  <c r="W1119" i="2"/>
  <c r="V1119" i="2"/>
  <c r="U1119" i="2"/>
  <c r="T1119" i="2"/>
  <c r="S1119" i="2"/>
  <c r="R1119" i="2"/>
  <c r="Q1119" i="2"/>
  <c r="P1119" i="2"/>
  <c r="O1119" i="2"/>
  <c r="N1119" i="2"/>
  <c r="M1119" i="2"/>
  <c r="L1119" i="2"/>
  <c r="K1119" i="2"/>
  <c r="J1119" i="2"/>
  <c r="I1119" i="2"/>
  <c r="H1119" i="2"/>
  <c r="G1119" i="2"/>
  <c r="F1119" i="2"/>
  <c r="E1119" i="2"/>
  <c r="D1119" i="2"/>
  <c r="C1119" i="2"/>
  <c r="B1119" i="2"/>
  <c r="A1119" i="2"/>
  <c r="AE1118" i="2"/>
  <c r="AD1118" i="2"/>
  <c r="AC1118" i="2"/>
  <c r="AB1118" i="2"/>
  <c r="AA1118" i="2"/>
  <c r="Z1118" i="2"/>
  <c r="Y1118" i="2"/>
  <c r="X1118" i="2"/>
  <c r="W1118" i="2"/>
  <c r="V1118" i="2"/>
  <c r="U1118" i="2"/>
  <c r="T1118" i="2"/>
  <c r="S1118" i="2"/>
  <c r="R1118" i="2"/>
  <c r="Q1118" i="2"/>
  <c r="P1118" i="2"/>
  <c r="O1118" i="2"/>
  <c r="N1118" i="2"/>
  <c r="M1118" i="2"/>
  <c r="L1118" i="2"/>
  <c r="K1118" i="2"/>
  <c r="J1118" i="2"/>
  <c r="I1118" i="2"/>
  <c r="H1118" i="2"/>
  <c r="G1118" i="2"/>
  <c r="F1118" i="2"/>
  <c r="E1118" i="2"/>
  <c r="D1118" i="2"/>
  <c r="C1118" i="2"/>
  <c r="B1118" i="2"/>
  <c r="A1118" i="2"/>
  <c r="AE1117" i="2"/>
  <c r="AD1117" i="2"/>
  <c r="AC1117" i="2"/>
  <c r="AB1117" i="2"/>
  <c r="AA1117" i="2"/>
  <c r="Z1117" i="2"/>
  <c r="Y1117" i="2"/>
  <c r="X1117" i="2"/>
  <c r="W1117" i="2"/>
  <c r="V1117" i="2"/>
  <c r="U1117" i="2"/>
  <c r="T1117" i="2"/>
  <c r="S1117" i="2"/>
  <c r="R1117" i="2"/>
  <c r="Q1117" i="2"/>
  <c r="P1117" i="2"/>
  <c r="O1117" i="2"/>
  <c r="N1117" i="2"/>
  <c r="M1117" i="2"/>
  <c r="L1117" i="2"/>
  <c r="K1117" i="2"/>
  <c r="J1117" i="2"/>
  <c r="I1117" i="2"/>
  <c r="H1117" i="2"/>
  <c r="G1117" i="2"/>
  <c r="F1117" i="2"/>
  <c r="E1117" i="2"/>
  <c r="D1117" i="2"/>
  <c r="C1117" i="2"/>
  <c r="B1117" i="2"/>
  <c r="A1117" i="2"/>
  <c r="AE1116" i="2"/>
  <c r="AD1116" i="2"/>
  <c r="AC1116" i="2"/>
  <c r="AB1116" i="2"/>
  <c r="AA1116" i="2"/>
  <c r="Z1116" i="2"/>
  <c r="Y1116" i="2"/>
  <c r="X1116" i="2"/>
  <c r="W1116" i="2"/>
  <c r="V1116" i="2"/>
  <c r="U1116" i="2"/>
  <c r="T1116" i="2"/>
  <c r="S1116" i="2"/>
  <c r="R1116" i="2"/>
  <c r="Q1116" i="2"/>
  <c r="P1116" i="2"/>
  <c r="O1116" i="2"/>
  <c r="N1116" i="2"/>
  <c r="M1116" i="2"/>
  <c r="L1116" i="2"/>
  <c r="K1116" i="2"/>
  <c r="J1116" i="2"/>
  <c r="I1116" i="2"/>
  <c r="H1116" i="2"/>
  <c r="G1116" i="2"/>
  <c r="F1116" i="2"/>
  <c r="E1116" i="2"/>
  <c r="D1116" i="2"/>
  <c r="C1116" i="2"/>
  <c r="B1116" i="2"/>
  <c r="A1116" i="2"/>
  <c r="AE1115" i="2"/>
  <c r="AD1115" i="2"/>
  <c r="AC1115" i="2"/>
  <c r="AB1115" i="2"/>
  <c r="AA1115" i="2"/>
  <c r="Z1115" i="2"/>
  <c r="Y1115" i="2"/>
  <c r="X1115" i="2"/>
  <c r="W1115" i="2"/>
  <c r="V1115" i="2"/>
  <c r="U1115" i="2"/>
  <c r="T1115" i="2"/>
  <c r="S1115" i="2"/>
  <c r="R1115" i="2"/>
  <c r="Q1115" i="2"/>
  <c r="P1115" i="2"/>
  <c r="O1115" i="2"/>
  <c r="N1115" i="2"/>
  <c r="M1115" i="2"/>
  <c r="L1115" i="2"/>
  <c r="K1115" i="2"/>
  <c r="J1115" i="2"/>
  <c r="I1115" i="2"/>
  <c r="H1115" i="2"/>
  <c r="G1115" i="2"/>
  <c r="F1115" i="2"/>
  <c r="E1115" i="2"/>
  <c r="D1115" i="2"/>
  <c r="C1115" i="2"/>
  <c r="B1115" i="2"/>
  <c r="A1115" i="2"/>
  <c r="AE1114" i="2"/>
  <c r="AD1114" i="2"/>
  <c r="AC1114" i="2"/>
  <c r="AB1114" i="2"/>
  <c r="AA1114" i="2"/>
  <c r="Z1114" i="2"/>
  <c r="Y1114" i="2"/>
  <c r="X1114" i="2"/>
  <c r="W1114" i="2"/>
  <c r="V1114" i="2"/>
  <c r="U1114" i="2"/>
  <c r="T1114" i="2"/>
  <c r="S1114" i="2"/>
  <c r="R1114" i="2"/>
  <c r="Q1114" i="2"/>
  <c r="P1114" i="2"/>
  <c r="O1114" i="2"/>
  <c r="N1114" i="2"/>
  <c r="M1114" i="2"/>
  <c r="L1114" i="2"/>
  <c r="K1114" i="2"/>
  <c r="J1114" i="2"/>
  <c r="I1114" i="2"/>
  <c r="H1114" i="2"/>
  <c r="G1114" i="2"/>
  <c r="F1114" i="2"/>
  <c r="E1114" i="2"/>
  <c r="D1114" i="2"/>
  <c r="C1114" i="2"/>
  <c r="B1114" i="2"/>
  <c r="A1114" i="2"/>
  <c r="AE1113" i="2"/>
  <c r="AD1113" i="2"/>
  <c r="AC1113" i="2"/>
  <c r="AB1113" i="2"/>
  <c r="AA1113" i="2"/>
  <c r="Z1113" i="2"/>
  <c r="Y1113" i="2"/>
  <c r="X1113" i="2"/>
  <c r="W1113" i="2"/>
  <c r="V1113" i="2"/>
  <c r="U1113" i="2"/>
  <c r="T1113" i="2"/>
  <c r="S1113" i="2"/>
  <c r="R1113" i="2"/>
  <c r="Q1113" i="2"/>
  <c r="P1113" i="2"/>
  <c r="O1113" i="2"/>
  <c r="N1113" i="2"/>
  <c r="M1113" i="2"/>
  <c r="L1113" i="2"/>
  <c r="K1113" i="2"/>
  <c r="J1113" i="2"/>
  <c r="I1113" i="2"/>
  <c r="H1113" i="2"/>
  <c r="G1113" i="2"/>
  <c r="F1113" i="2"/>
  <c r="E1113" i="2"/>
  <c r="D1113" i="2"/>
  <c r="C1113" i="2"/>
  <c r="B1113" i="2"/>
  <c r="A1113" i="2"/>
  <c r="AE1112" i="2"/>
  <c r="AD1112" i="2"/>
  <c r="AC1112" i="2"/>
  <c r="AB1112" i="2"/>
  <c r="AA1112" i="2"/>
  <c r="Z1112" i="2"/>
  <c r="Y1112" i="2"/>
  <c r="X1112" i="2"/>
  <c r="W1112" i="2"/>
  <c r="V1112" i="2"/>
  <c r="U1112" i="2"/>
  <c r="T1112" i="2"/>
  <c r="S1112" i="2"/>
  <c r="R1112" i="2"/>
  <c r="Q1112" i="2"/>
  <c r="P1112" i="2"/>
  <c r="O1112" i="2"/>
  <c r="N1112" i="2"/>
  <c r="M1112" i="2"/>
  <c r="L1112" i="2"/>
  <c r="K1112" i="2"/>
  <c r="J1112" i="2"/>
  <c r="I1112" i="2"/>
  <c r="H1112" i="2"/>
  <c r="G1112" i="2"/>
  <c r="F1112" i="2"/>
  <c r="E1112" i="2"/>
  <c r="D1112" i="2"/>
  <c r="C1112" i="2"/>
  <c r="B1112" i="2"/>
  <c r="A1112" i="2"/>
  <c r="AE1111" i="2"/>
  <c r="AD1111" i="2"/>
  <c r="AC1111" i="2"/>
  <c r="AB1111" i="2"/>
  <c r="AA1111" i="2"/>
  <c r="Z1111" i="2"/>
  <c r="Y1111" i="2"/>
  <c r="X1111" i="2"/>
  <c r="W1111" i="2"/>
  <c r="V1111" i="2"/>
  <c r="U1111" i="2"/>
  <c r="T1111" i="2"/>
  <c r="S1111" i="2"/>
  <c r="R1111" i="2"/>
  <c r="Q1111" i="2"/>
  <c r="P1111" i="2"/>
  <c r="O1111" i="2"/>
  <c r="N1111" i="2"/>
  <c r="M1111" i="2"/>
  <c r="L1111" i="2"/>
  <c r="K1111" i="2"/>
  <c r="J1111" i="2"/>
  <c r="I1111" i="2"/>
  <c r="H1111" i="2"/>
  <c r="G1111" i="2"/>
  <c r="F1111" i="2"/>
  <c r="E1111" i="2"/>
  <c r="D1111" i="2"/>
  <c r="C1111" i="2"/>
  <c r="B1111" i="2"/>
  <c r="A1111" i="2"/>
  <c r="AE1110" i="2"/>
  <c r="AD1110" i="2"/>
  <c r="AC1110" i="2"/>
  <c r="AB1110" i="2"/>
  <c r="AA1110" i="2"/>
  <c r="Z1110" i="2"/>
  <c r="Y1110" i="2"/>
  <c r="X1110" i="2"/>
  <c r="W1110" i="2"/>
  <c r="V1110" i="2"/>
  <c r="U1110" i="2"/>
  <c r="T1110" i="2"/>
  <c r="S1110" i="2"/>
  <c r="R1110" i="2"/>
  <c r="Q1110" i="2"/>
  <c r="P1110" i="2"/>
  <c r="O1110" i="2"/>
  <c r="N1110" i="2"/>
  <c r="M1110" i="2"/>
  <c r="L1110" i="2"/>
  <c r="K1110" i="2"/>
  <c r="J1110" i="2"/>
  <c r="I1110" i="2"/>
  <c r="H1110" i="2"/>
  <c r="G1110" i="2"/>
  <c r="F1110" i="2"/>
  <c r="E1110" i="2"/>
  <c r="D1110" i="2"/>
  <c r="C1110" i="2"/>
  <c r="B1110" i="2"/>
  <c r="A1110" i="2"/>
  <c r="AE1109" i="2"/>
  <c r="AD1109" i="2"/>
  <c r="AC1109" i="2"/>
  <c r="AB1109" i="2"/>
  <c r="AA1109" i="2"/>
  <c r="Z1109" i="2"/>
  <c r="Y1109" i="2"/>
  <c r="X1109" i="2"/>
  <c r="W1109" i="2"/>
  <c r="V1109" i="2"/>
  <c r="U1109" i="2"/>
  <c r="T1109" i="2"/>
  <c r="S1109" i="2"/>
  <c r="R1109" i="2"/>
  <c r="Q1109" i="2"/>
  <c r="P1109" i="2"/>
  <c r="O1109" i="2"/>
  <c r="N1109" i="2"/>
  <c r="M1109" i="2"/>
  <c r="L1109" i="2"/>
  <c r="K1109" i="2"/>
  <c r="J1109" i="2"/>
  <c r="I1109" i="2"/>
  <c r="H1109" i="2"/>
  <c r="G1109" i="2"/>
  <c r="F1109" i="2"/>
  <c r="E1109" i="2"/>
  <c r="D1109" i="2"/>
  <c r="C1109" i="2"/>
  <c r="B1109" i="2"/>
  <c r="A1109" i="2"/>
  <c r="AE1108" i="2"/>
  <c r="AD1108" i="2"/>
  <c r="AC1108" i="2"/>
  <c r="AB1108" i="2"/>
  <c r="AA1108" i="2"/>
  <c r="Z1108" i="2"/>
  <c r="Y1108" i="2"/>
  <c r="X1108" i="2"/>
  <c r="W1108" i="2"/>
  <c r="V1108" i="2"/>
  <c r="U1108" i="2"/>
  <c r="T1108" i="2"/>
  <c r="S1108" i="2"/>
  <c r="R1108" i="2"/>
  <c r="Q1108" i="2"/>
  <c r="P1108" i="2"/>
  <c r="O1108" i="2"/>
  <c r="N1108" i="2"/>
  <c r="M1108" i="2"/>
  <c r="L1108" i="2"/>
  <c r="K1108" i="2"/>
  <c r="J1108" i="2"/>
  <c r="I1108" i="2"/>
  <c r="H1108" i="2"/>
  <c r="G1108" i="2"/>
  <c r="F1108" i="2"/>
  <c r="E1108" i="2"/>
  <c r="D1108" i="2"/>
  <c r="C1108" i="2"/>
  <c r="B1108" i="2"/>
  <c r="A1108" i="2"/>
  <c r="AE1107" i="2"/>
  <c r="AD1107" i="2"/>
  <c r="AC1107" i="2"/>
  <c r="AB1107" i="2"/>
  <c r="AA1107" i="2"/>
  <c r="Z1107" i="2"/>
  <c r="Y1107" i="2"/>
  <c r="X1107" i="2"/>
  <c r="W1107" i="2"/>
  <c r="V1107" i="2"/>
  <c r="U1107" i="2"/>
  <c r="T1107" i="2"/>
  <c r="S1107" i="2"/>
  <c r="R1107" i="2"/>
  <c r="Q1107" i="2"/>
  <c r="P1107" i="2"/>
  <c r="O1107" i="2"/>
  <c r="N1107" i="2"/>
  <c r="M1107" i="2"/>
  <c r="L1107" i="2"/>
  <c r="K1107" i="2"/>
  <c r="J1107" i="2"/>
  <c r="I1107" i="2"/>
  <c r="H1107" i="2"/>
  <c r="G1107" i="2"/>
  <c r="F1107" i="2"/>
  <c r="E1107" i="2"/>
  <c r="D1107" i="2"/>
  <c r="C1107" i="2"/>
  <c r="B1107" i="2"/>
  <c r="A1107" i="2"/>
  <c r="AE1106" i="2"/>
  <c r="AD1106" i="2"/>
  <c r="AC1106" i="2"/>
  <c r="AB1106" i="2"/>
  <c r="AA1106" i="2"/>
  <c r="Z1106" i="2"/>
  <c r="Y1106" i="2"/>
  <c r="X1106" i="2"/>
  <c r="W1106" i="2"/>
  <c r="V1106" i="2"/>
  <c r="U1106" i="2"/>
  <c r="T1106" i="2"/>
  <c r="S1106" i="2"/>
  <c r="R1106" i="2"/>
  <c r="Q1106" i="2"/>
  <c r="P1106" i="2"/>
  <c r="O1106" i="2"/>
  <c r="N1106" i="2"/>
  <c r="M1106" i="2"/>
  <c r="L1106" i="2"/>
  <c r="K1106" i="2"/>
  <c r="J1106" i="2"/>
  <c r="I1106" i="2"/>
  <c r="H1106" i="2"/>
  <c r="G1106" i="2"/>
  <c r="F1106" i="2"/>
  <c r="E1106" i="2"/>
  <c r="D1106" i="2"/>
  <c r="C1106" i="2"/>
  <c r="B1106" i="2"/>
  <c r="A1106" i="2"/>
  <c r="AE1105" i="2"/>
  <c r="AD1105" i="2"/>
  <c r="AC1105" i="2"/>
  <c r="AB1105" i="2"/>
  <c r="AA1105" i="2"/>
  <c r="Z1105" i="2"/>
  <c r="Y1105" i="2"/>
  <c r="X1105" i="2"/>
  <c r="W1105" i="2"/>
  <c r="V1105" i="2"/>
  <c r="U1105" i="2"/>
  <c r="T1105" i="2"/>
  <c r="S1105" i="2"/>
  <c r="R1105" i="2"/>
  <c r="Q1105" i="2"/>
  <c r="P1105" i="2"/>
  <c r="O1105" i="2"/>
  <c r="N1105" i="2"/>
  <c r="M1105" i="2"/>
  <c r="L1105" i="2"/>
  <c r="K1105" i="2"/>
  <c r="J1105" i="2"/>
  <c r="I1105" i="2"/>
  <c r="H1105" i="2"/>
  <c r="G1105" i="2"/>
  <c r="F1105" i="2"/>
  <c r="E1105" i="2"/>
  <c r="D1105" i="2"/>
  <c r="C1105" i="2"/>
  <c r="B1105" i="2"/>
  <c r="A1105" i="2"/>
  <c r="AE1104" i="2"/>
  <c r="AD1104" i="2"/>
  <c r="AC1104" i="2"/>
  <c r="AB1104" i="2"/>
  <c r="AA1104" i="2"/>
  <c r="Z1104" i="2"/>
  <c r="Y1104" i="2"/>
  <c r="X1104" i="2"/>
  <c r="W1104" i="2"/>
  <c r="V1104" i="2"/>
  <c r="U1104" i="2"/>
  <c r="T1104" i="2"/>
  <c r="S1104" i="2"/>
  <c r="R1104" i="2"/>
  <c r="Q1104" i="2"/>
  <c r="P1104" i="2"/>
  <c r="O1104" i="2"/>
  <c r="N1104" i="2"/>
  <c r="M1104" i="2"/>
  <c r="L1104" i="2"/>
  <c r="K1104" i="2"/>
  <c r="J1104" i="2"/>
  <c r="I1104" i="2"/>
  <c r="H1104" i="2"/>
  <c r="G1104" i="2"/>
  <c r="F1104" i="2"/>
  <c r="E1104" i="2"/>
  <c r="D1104" i="2"/>
  <c r="C1104" i="2"/>
  <c r="B1104" i="2"/>
  <c r="A1104" i="2"/>
  <c r="AE1103" i="2"/>
  <c r="AD1103" i="2"/>
  <c r="AC1103" i="2"/>
  <c r="AB1103" i="2"/>
  <c r="AA1103" i="2"/>
  <c r="Z1103" i="2"/>
  <c r="Y1103" i="2"/>
  <c r="X1103" i="2"/>
  <c r="W1103" i="2"/>
  <c r="V1103" i="2"/>
  <c r="U1103" i="2"/>
  <c r="T1103" i="2"/>
  <c r="S1103" i="2"/>
  <c r="R1103" i="2"/>
  <c r="Q1103" i="2"/>
  <c r="P1103" i="2"/>
  <c r="O1103" i="2"/>
  <c r="N1103" i="2"/>
  <c r="M1103" i="2"/>
  <c r="L1103" i="2"/>
  <c r="K1103" i="2"/>
  <c r="J1103" i="2"/>
  <c r="I1103" i="2"/>
  <c r="H1103" i="2"/>
  <c r="G1103" i="2"/>
  <c r="F1103" i="2"/>
  <c r="E1103" i="2"/>
  <c r="D1103" i="2"/>
  <c r="C1103" i="2"/>
  <c r="B1103" i="2"/>
  <c r="A1103" i="2"/>
  <c r="AE1102" i="2"/>
  <c r="AD1102" i="2"/>
  <c r="AC1102" i="2"/>
  <c r="AB1102" i="2"/>
  <c r="AA1102" i="2"/>
  <c r="Z1102" i="2"/>
  <c r="Y1102" i="2"/>
  <c r="X1102" i="2"/>
  <c r="W1102" i="2"/>
  <c r="V1102" i="2"/>
  <c r="U1102" i="2"/>
  <c r="T1102" i="2"/>
  <c r="S1102" i="2"/>
  <c r="R1102" i="2"/>
  <c r="Q1102" i="2"/>
  <c r="P1102" i="2"/>
  <c r="O1102" i="2"/>
  <c r="N1102" i="2"/>
  <c r="M1102" i="2"/>
  <c r="L1102" i="2"/>
  <c r="K1102" i="2"/>
  <c r="J1102" i="2"/>
  <c r="I1102" i="2"/>
  <c r="H1102" i="2"/>
  <c r="G1102" i="2"/>
  <c r="F1102" i="2"/>
  <c r="E1102" i="2"/>
  <c r="D1102" i="2"/>
  <c r="C1102" i="2"/>
  <c r="B1102" i="2"/>
  <c r="A1102" i="2"/>
  <c r="AE1101" i="2"/>
  <c r="AD1101" i="2"/>
  <c r="AC1101" i="2"/>
  <c r="AB1101" i="2"/>
  <c r="AA1101" i="2"/>
  <c r="Z1101" i="2"/>
  <c r="Y1101" i="2"/>
  <c r="X1101" i="2"/>
  <c r="W1101" i="2"/>
  <c r="V1101" i="2"/>
  <c r="U1101" i="2"/>
  <c r="T1101" i="2"/>
  <c r="S1101" i="2"/>
  <c r="R1101" i="2"/>
  <c r="Q1101" i="2"/>
  <c r="P1101" i="2"/>
  <c r="O1101" i="2"/>
  <c r="N1101" i="2"/>
  <c r="M1101" i="2"/>
  <c r="L1101" i="2"/>
  <c r="K1101" i="2"/>
  <c r="J1101" i="2"/>
  <c r="I1101" i="2"/>
  <c r="H1101" i="2"/>
  <c r="G1101" i="2"/>
  <c r="F1101" i="2"/>
  <c r="E1101" i="2"/>
  <c r="D1101" i="2"/>
  <c r="C1101" i="2"/>
  <c r="B1101" i="2"/>
  <c r="A1101" i="2"/>
  <c r="AE1100" i="2"/>
  <c r="AD1100" i="2"/>
  <c r="AC1100" i="2"/>
  <c r="AB1100" i="2"/>
  <c r="AA1100" i="2"/>
  <c r="Z1100" i="2"/>
  <c r="Y1100" i="2"/>
  <c r="X1100" i="2"/>
  <c r="W1100" i="2"/>
  <c r="V1100" i="2"/>
  <c r="U1100" i="2"/>
  <c r="T1100" i="2"/>
  <c r="S1100" i="2"/>
  <c r="R1100" i="2"/>
  <c r="Q1100" i="2"/>
  <c r="P1100" i="2"/>
  <c r="O1100" i="2"/>
  <c r="N1100" i="2"/>
  <c r="M1100" i="2"/>
  <c r="L1100" i="2"/>
  <c r="K1100" i="2"/>
  <c r="J1100" i="2"/>
  <c r="I1100" i="2"/>
  <c r="H1100" i="2"/>
  <c r="G1100" i="2"/>
  <c r="F1100" i="2"/>
  <c r="E1100" i="2"/>
  <c r="D1100" i="2"/>
  <c r="C1100" i="2"/>
  <c r="B1100" i="2"/>
  <c r="A1100" i="2"/>
  <c r="AE1099" i="2"/>
  <c r="AD1099" i="2"/>
  <c r="AC1099" i="2"/>
  <c r="AB1099" i="2"/>
  <c r="AA1099" i="2"/>
  <c r="Z1099" i="2"/>
  <c r="Y1099" i="2"/>
  <c r="X1099" i="2"/>
  <c r="W1099" i="2"/>
  <c r="V1099" i="2"/>
  <c r="U1099" i="2"/>
  <c r="T1099" i="2"/>
  <c r="S1099" i="2"/>
  <c r="R1099" i="2"/>
  <c r="Q1099" i="2"/>
  <c r="P1099" i="2"/>
  <c r="O1099" i="2"/>
  <c r="N1099" i="2"/>
  <c r="M1099" i="2"/>
  <c r="L1099" i="2"/>
  <c r="K1099" i="2"/>
  <c r="J1099" i="2"/>
  <c r="I1099" i="2"/>
  <c r="H1099" i="2"/>
  <c r="G1099" i="2"/>
  <c r="F1099" i="2"/>
  <c r="E1099" i="2"/>
  <c r="D1099" i="2"/>
  <c r="C1099" i="2"/>
  <c r="B1099" i="2"/>
  <c r="A1099" i="2"/>
  <c r="AE1098" i="2"/>
  <c r="AD1098" i="2"/>
  <c r="AC1098" i="2"/>
  <c r="AB1098" i="2"/>
  <c r="AA1098" i="2"/>
  <c r="Z1098" i="2"/>
  <c r="Y1098" i="2"/>
  <c r="X1098" i="2"/>
  <c r="W1098" i="2"/>
  <c r="V1098" i="2"/>
  <c r="U1098" i="2"/>
  <c r="T1098" i="2"/>
  <c r="S1098" i="2"/>
  <c r="R1098" i="2"/>
  <c r="Q1098" i="2"/>
  <c r="P1098" i="2"/>
  <c r="O1098" i="2"/>
  <c r="N1098" i="2"/>
  <c r="M1098" i="2"/>
  <c r="L1098" i="2"/>
  <c r="K1098" i="2"/>
  <c r="J1098" i="2"/>
  <c r="I1098" i="2"/>
  <c r="H1098" i="2"/>
  <c r="G1098" i="2"/>
  <c r="F1098" i="2"/>
  <c r="E1098" i="2"/>
  <c r="D1098" i="2"/>
  <c r="C1098" i="2"/>
  <c r="B1098" i="2"/>
  <c r="A1098" i="2"/>
  <c r="AE1097" i="2"/>
  <c r="AD1097" i="2"/>
  <c r="AC1097" i="2"/>
  <c r="AB1097" i="2"/>
  <c r="AA1097" i="2"/>
  <c r="Z1097" i="2"/>
  <c r="Y1097" i="2"/>
  <c r="X1097" i="2"/>
  <c r="W1097" i="2"/>
  <c r="V1097" i="2"/>
  <c r="U1097" i="2"/>
  <c r="T1097" i="2"/>
  <c r="S1097" i="2"/>
  <c r="R1097" i="2"/>
  <c r="Q1097" i="2"/>
  <c r="P1097" i="2"/>
  <c r="O1097" i="2"/>
  <c r="N1097" i="2"/>
  <c r="M1097" i="2"/>
  <c r="L1097" i="2"/>
  <c r="K1097" i="2"/>
  <c r="J1097" i="2"/>
  <c r="I1097" i="2"/>
  <c r="H1097" i="2"/>
  <c r="G1097" i="2"/>
  <c r="F1097" i="2"/>
  <c r="E1097" i="2"/>
  <c r="D1097" i="2"/>
  <c r="C1097" i="2"/>
  <c r="B1097" i="2"/>
  <c r="A1097" i="2"/>
  <c r="AE1096" i="2"/>
  <c r="AD1096" i="2"/>
  <c r="AC1096" i="2"/>
  <c r="AB1096" i="2"/>
  <c r="AA1096" i="2"/>
  <c r="Z1096" i="2"/>
  <c r="Y1096" i="2"/>
  <c r="X1096" i="2"/>
  <c r="W1096" i="2"/>
  <c r="V1096" i="2"/>
  <c r="U1096" i="2"/>
  <c r="T1096" i="2"/>
  <c r="S1096" i="2"/>
  <c r="R1096" i="2"/>
  <c r="Q1096" i="2"/>
  <c r="P1096" i="2"/>
  <c r="O1096" i="2"/>
  <c r="N1096" i="2"/>
  <c r="M1096" i="2"/>
  <c r="L1096" i="2"/>
  <c r="K1096" i="2"/>
  <c r="J1096" i="2"/>
  <c r="I1096" i="2"/>
  <c r="H1096" i="2"/>
  <c r="G1096" i="2"/>
  <c r="F1096" i="2"/>
  <c r="E1096" i="2"/>
  <c r="D1096" i="2"/>
  <c r="C1096" i="2"/>
  <c r="B1096" i="2"/>
  <c r="A1096" i="2"/>
  <c r="AE1095" i="2"/>
  <c r="AD1095" i="2"/>
  <c r="AC1095" i="2"/>
  <c r="AB1095" i="2"/>
  <c r="AA1095" i="2"/>
  <c r="Z1095" i="2"/>
  <c r="Y1095" i="2"/>
  <c r="X1095" i="2"/>
  <c r="W1095" i="2"/>
  <c r="V1095" i="2"/>
  <c r="U1095" i="2"/>
  <c r="T1095" i="2"/>
  <c r="S1095" i="2"/>
  <c r="R1095" i="2"/>
  <c r="Q1095" i="2"/>
  <c r="P1095" i="2"/>
  <c r="O1095" i="2"/>
  <c r="N1095" i="2"/>
  <c r="M1095" i="2"/>
  <c r="L1095" i="2"/>
  <c r="K1095" i="2"/>
  <c r="J1095" i="2"/>
  <c r="I1095" i="2"/>
  <c r="H1095" i="2"/>
  <c r="G1095" i="2"/>
  <c r="F1095" i="2"/>
  <c r="E1095" i="2"/>
  <c r="D1095" i="2"/>
  <c r="C1095" i="2"/>
  <c r="B1095" i="2"/>
  <c r="A1095" i="2"/>
  <c r="AE1094" i="2"/>
  <c r="AD1094" i="2"/>
  <c r="AC1094" i="2"/>
  <c r="AB1094" i="2"/>
  <c r="AA1094" i="2"/>
  <c r="Z1094" i="2"/>
  <c r="Y1094" i="2"/>
  <c r="X1094" i="2"/>
  <c r="W1094" i="2"/>
  <c r="V1094" i="2"/>
  <c r="U1094" i="2"/>
  <c r="T1094" i="2"/>
  <c r="S1094" i="2"/>
  <c r="R1094" i="2"/>
  <c r="Q1094" i="2"/>
  <c r="P1094" i="2"/>
  <c r="O1094" i="2"/>
  <c r="N1094" i="2"/>
  <c r="M1094" i="2"/>
  <c r="L1094" i="2"/>
  <c r="K1094" i="2"/>
  <c r="J1094" i="2"/>
  <c r="I1094" i="2"/>
  <c r="H1094" i="2"/>
  <c r="G1094" i="2"/>
  <c r="F1094" i="2"/>
  <c r="E1094" i="2"/>
  <c r="D1094" i="2"/>
  <c r="C1094" i="2"/>
  <c r="B1094" i="2"/>
  <c r="A1094" i="2"/>
  <c r="AE1093" i="2"/>
  <c r="AD1093" i="2"/>
  <c r="AC1093" i="2"/>
  <c r="AB1093" i="2"/>
  <c r="AA1093" i="2"/>
  <c r="Z1093" i="2"/>
  <c r="Y1093" i="2"/>
  <c r="X1093" i="2"/>
  <c r="W1093" i="2"/>
  <c r="V1093" i="2"/>
  <c r="U1093" i="2"/>
  <c r="T1093" i="2"/>
  <c r="S1093" i="2"/>
  <c r="R1093" i="2"/>
  <c r="Q1093" i="2"/>
  <c r="P1093" i="2"/>
  <c r="O1093" i="2"/>
  <c r="N1093" i="2"/>
  <c r="M1093" i="2"/>
  <c r="L1093" i="2"/>
  <c r="K1093" i="2"/>
  <c r="J1093" i="2"/>
  <c r="I1093" i="2"/>
  <c r="H1093" i="2"/>
  <c r="G1093" i="2"/>
  <c r="F1093" i="2"/>
  <c r="E1093" i="2"/>
  <c r="D1093" i="2"/>
  <c r="C1093" i="2"/>
  <c r="B1093" i="2"/>
  <c r="A1093" i="2"/>
  <c r="AE1092" i="2"/>
  <c r="AD1092" i="2"/>
  <c r="AC1092" i="2"/>
  <c r="AB1092" i="2"/>
  <c r="AA1092" i="2"/>
  <c r="Z1092" i="2"/>
  <c r="Y1092" i="2"/>
  <c r="X1092" i="2"/>
  <c r="W1092" i="2"/>
  <c r="V1092" i="2"/>
  <c r="U1092" i="2"/>
  <c r="T1092" i="2"/>
  <c r="S1092" i="2"/>
  <c r="R1092" i="2"/>
  <c r="Q1092" i="2"/>
  <c r="P1092" i="2"/>
  <c r="O1092" i="2"/>
  <c r="N1092" i="2"/>
  <c r="M1092" i="2"/>
  <c r="L1092" i="2"/>
  <c r="K1092" i="2"/>
  <c r="J1092" i="2"/>
  <c r="I1092" i="2"/>
  <c r="H1092" i="2"/>
  <c r="G1092" i="2"/>
  <c r="F1092" i="2"/>
  <c r="E1092" i="2"/>
  <c r="D1092" i="2"/>
  <c r="C1092" i="2"/>
  <c r="B1092" i="2"/>
  <c r="A1092" i="2"/>
  <c r="AE1091" i="2"/>
  <c r="AD1091" i="2"/>
  <c r="AC1091" i="2"/>
  <c r="AB1091" i="2"/>
  <c r="AA1091" i="2"/>
  <c r="Z1091" i="2"/>
  <c r="Y1091" i="2"/>
  <c r="X1091" i="2"/>
  <c r="W1091" i="2"/>
  <c r="V1091" i="2"/>
  <c r="U1091" i="2"/>
  <c r="T1091" i="2"/>
  <c r="S1091" i="2"/>
  <c r="R1091" i="2"/>
  <c r="Q1091" i="2"/>
  <c r="P1091" i="2"/>
  <c r="O1091" i="2"/>
  <c r="N1091" i="2"/>
  <c r="M1091" i="2"/>
  <c r="L1091" i="2"/>
  <c r="K1091" i="2"/>
  <c r="J1091" i="2"/>
  <c r="I1091" i="2"/>
  <c r="H1091" i="2"/>
  <c r="G1091" i="2"/>
  <c r="F1091" i="2"/>
  <c r="E1091" i="2"/>
  <c r="D1091" i="2"/>
  <c r="C1091" i="2"/>
  <c r="B1091" i="2"/>
  <c r="A1091" i="2"/>
  <c r="AE1090" i="2"/>
  <c r="AD1090" i="2"/>
  <c r="AC1090" i="2"/>
  <c r="AB1090" i="2"/>
  <c r="AA1090" i="2"/>
  <c r="Z1090" i="2"/>
  <c r="Y1090" i="2"/>
  <c r="X1090" i="2"/>
  <c r="W1090" i="2"/>
  <c r="V1090" i="2"/>
  <c r="U1090" i="2"/>
  <c r="T1090" i="2"/>
  <c r="S1090" i="2"/>
  <c r="R1090" i="2"/>
  <c r="Q1090" i="2"/>
  <c r="P1090" i="2"/>
  <c r="O1090" i="2"/>
  <c r="N1090" i="2"/>
  <c r="M1090" i="2"/>
  <c r="L1090" i="2"/>
  <c r="K1090" i="2"/>
  <c r="J1090" i="2"/>
  <c r="I1090" i="2"/>
  <c r="H1090" i="2"/>
  <c r="G1090" i="2"/>
  <c r="F1090" i="2"/>
  <c r="E1090" i="2"/>
  <c r="D1090" i="2"/>
  <c r="C1090" i="2"/>
  <c r="B1090" i="2"/>
  <c r="A1090" i="2"/>
  <c r="AE1089" i="2"/>
  <c r="AD1089" i="2"/>
  <c r="AC1089" i="2"/>
  <c r="AB1089" i="2"/>
  <c r="AA1089" i="2"/>
  <c r="Z1089" i="2"/>
  <c r="Y1089" i="2"/>
  <c r="X1089" i="2"/>
  <c r="W1089" i="2"/>
  <c r="V1089" i="2"/>
  <c r="U1089" i="2"/>
  <c r="T1089" i="2"/>
  <c r="S1089" i="2"/>
  <c r="R1089" i="2"/>
  <c r="Q1089" i="2"/>
  <c r="P1089" i="2"/>
  <c r="O1089" i="2"/>
  <c r="N1089" i="2"/>
  <c r="M1089" i="2"/>
  <c r="L1089" i="2"/>
  <c r="K1089" i="2"/>
  <c r="J1089" i="2"/>
  <c r="I1089" i="2"/>
  <c r="H1089" i="2"/>
  <c r="G1089" i="2"/>
  <c r="F1089" i="2"/>
  <c r="E1089" i="2"/>
  <c r="D1089" i="2"/>
  <c r="C1089" i="2"/>
  <c r="B1089" i="2"/>
  <c r="A1089" i="2"/>
  <c r="AE1088" i="2"/>
  <c r="AD1088" i="2"/>
  <c r="AC1088" i="2"/>
  <c r="AB1088" i="2"/>
  <c r="AA1088" i="2"/>
  <c r="Z1088" i="2"/>
  <c r="Y1088" i="2"/>
  <c r="X1088" i="2"/>
  <c r="W1088" i="2"/>
  <c r="V1088" i="2"/>
  <c r="U1088" i="2"/>
  <c r="T1088" i="2"/>
  <c r="S1088" i="2"/>
  <c r="R1088" i="2"/>
  <c r="Q1088" i="2"/>
  <c r="P1088" i="2"/>
  <c r="O1088" i="2"/>
  <c r="N1088" i="2"/>
  <c r="M1088" i="2"/>
  <c r="L1088" i="2"/>
  <c r="K1088" i="2"/>
  <c r="J1088" i="2"/>
  <c r="I1088" i="2"/>
  <c r="H1088" i="2"/>
  <c r="G1088" i="2"/>
  <c r="F1088" i="2"/>
  <c r="E1088" i="2"/>
  <c r="D1088" i="2"/>
  <c r="C1088" i="2"/>
  <c r="B1088" i="2"/>
  <c r="A1088" i="2"/>
  <c r="AE1087" i="2"/>
  <c r="AD1087" i="2"/>
  <c r="AC1087" i="2"/>
  <c r="AB1087" i="2"/>
  <c r="AA1087" i="2"/>
  <c r="Z1087" i="2"/>
  <c r="Y1087" i="2"/>
  <c r="X1087" i="2"/>
  <c r="W1087" i="2"/>
  <c r="V1087" i="2"/>
  <c r="U1087" i="2"/>
  <c r="T1087" i="2"/>
  <c r="S1087" i="2"/>
  <c r="R1087" i="2"/>
  <c r="Q1087" i="2"/>
  <c r="P1087" i="2"/>
  <c r="O1087" i="2"/>
  <c r="N1087" i="2"/>
  <c r="M1087" i="2"/>
  <c r="L1087" i="2"/>
  <c r="K1087" i="2"/>
  <c r="J1087" i="2"/>
  <c r="I1087" i="2"/>
  <c r="H1087" i="2"/>
  <c r="G1087" i="2"/>
  <c r="F1087" i="2"/>
  <c r="E1087" i="2"/>
  <c r="D1087" i="2"/>
  <c r="C1087" i="2"/>
  <c r="B1087" i="2"/>
  <c r="A1087" i="2"/>
  <c r="AE1086" i="2"/>
  <c r="AD1086" i="2"/>
  <c r="AC1086" i="2"/>
  <c r="AB1086" i="2"/>
  <c r="AA1086" i="2"/>
  <c r="Z1086" i="2"/>
  <c r="Y1086" i="2"/>
  <c r="X1086" i="2"/>
  <c r="W1086" i="2"/>
  <c r="V1086" i="2"/>
  <c r="U1086" i="2"/>
  <c r="T1086" i="2"/>
  <c r="S1086" i="2"/>
  <c r="R1086" i="2"/>
  <c r="Q1086" i="2"/>
  <c r="P1086" i="2"/>
  <c r="O1086" i="2"/>
  <c r="N1086" i="2"/>
  <c r="M1086" i="2"/>
  <c r="L1086" i="2"/>
  <c r="K1086" i="2"/>
  <c r="J1086" i="2"/>
  <c r="I1086" i="2"/>
  <c r="H1086" i="2"/>
  <c r="G1086" i="2"/>
  <c r="F1086" i="2"/>
  <c r="E1086" i="2"/>
  <c r="D1086" i="2"/>
  <c r="C1086" i="2"/>
  <c r="B1086" i="2"/>
  <c r="A1086" i="2"/>
  <c r="AE1085" i="2"/>
  <c r="AD1085" i="2"/>
  <c r="AC1085" i="2"/>
  <c r="AB1085" i="2"/>
  <c r="AA1085" i="2"/>
  <c r="Z1085" i="2"/>
  <c r="Y1085" i="2"/>
  <c r="X1085" i="2"/>
  <c r="W1085" i="2"/>
  <c r="V1085" i="2"/>
  <c r="U1085" i="2"/>
  <c r="T1085" i="2"/>
  <c r="S1085" i="2"/>
  <c r="R1085" i="2"/>
  <c r="Q1085" i="2"/>
  <c r="P1085" i="2"/>
  <c r="O1085" i="2"/>
  <c r="N1085" i="2"/>
  <c r="M1085" i="2"/>
  <c r="L1085" i="2"/>
  <c r="K1085" i="2"/>
  <c r="J1085" i="2"/>
  <c r="I1085" i="2"/>
  <c r="H1085" i="2"/>
  <c r="G1085" i="2"/>
  <c r="F1085" i="2"/>
  <c r="E1085" i="2"/>
  <c r="D1085" i="2"/>
  <c r="C1085" i="2"/>
  <c r="B1085" i="2"/>
  <c r="A1085" i="2"/>
  <c r="AE1084" i="2"/>
  <c r="AD1084" i="2"/>
  <c r="AC1084" i="2"/>
  <c r="AB1084" i="2"/>
  <c r="AA1084" i="2"/>
  <c r="Z1084" i="2"/>
  <c r="Y1084" i="2"/>
  <c r="X1084" i="2"/>
  <c r="W1084" i="2"/>
  <c r="V1084" i="2"/>
  <c r="U1084" i="2"/>
  <c r="T1084" i="2"/>
  <c r="S1084" i="2"/>
  <c r="R1084" i="2"/>
  <c r="Q1084" i="2"/>
  <c r="P1084" i="2"/>
  <c r="O1084" i="2"/>
  <c r="N1084" i="2"/>
  <c r="M1084" i="2"/>
  <c r="L1084" i="2"/>
  <c r="K1084" i="2"/>
  <c r="J1084" i="2"/>
  <c r="I1084" i="2"/>
  <c r="H1084" i="2"/>
  <c r="G1084" i="2"/>
  <c r="F1084" i="2"/>
  <c r="E1084" i="2"/>
  <c r="D1084" i="2"/>
  <c r="C1084" i="2"/>
  <c r="B1084" i="2"/>
  <c r="A1084" i="2"/>
  <c r="AE1083" i="2"/>
  <c r="AD1083" i="2"/>
  <c r="AC1083" i="2"/>
  <c r="AB1083" i="2"/>
  <c r="AA1083" i="2"/>
  <c r="Z1083" i="2"/>
  <c r="Y1083" i="2"/>
  <c r="X1083" i="2"/>
  <c r="W1083" i="2"/>
  <c r="V1083" i="2"/>
  <c r="U1083" i="2"/>
  <c r="T1083" i="2"/>
  <c r="S1083" i="2"/>
  <c r="R1083" i="2"/>
  <c r="Q1083" i="2"/>
  <c r="P1083" i="2"/>
  <c r="O1083" i="2"/>
  <c r="N1083" i="2"/>
  <c r="M1083" i="2"/>
  <c r="L1083" i="2"/>
  <c r="K1083" i="2"/>
  <c r="J1083" i="2"/>
  <c r="I1083" i="2"/>
  <c r="H1083" i="2"/>
  <c r="G1083" i="2"/>
  <c r="F1083" i="2"/>
  <c r="E1083" i="2"/>
  <c r="D1083" i="2"/>
  <c r="C1083" i="2"/>
  <c r="B1083" i="2"/>
  <c r="A1083" i="2"/>
  <c r="AE1082" i="2"/>
  <c r="AD1082" i="2"/>
  <c r="AC1082" i="2"/>
  <c r="AB1082" i="2"/>
  <c r="AA1082" i="2"/>
  <c r="Z1082" i="2"/>
  <c r="Y1082" i="2"/>
  <c r="X1082" i="2"/>
  <c r="W1082" i="2"/>
  <c r="V1082" i="2"/>
  <c r="U1082" i="2"/>
  <c r="T1082" i="2"/>
  <c r="S1082" i="2"/>
  <c r="R1082" i="2"/>
  <c r="Q1082" i="2"/>
  <c r="P1082" i="2"/>
  <c r="O1082" i="2"/>
  <c r="N1082" i="2"/>
  <c r="M1082" i="2"/>
  <c r="L1082" i="2"/>
  <c r="K1082" i="2"/>
  <c r="J1082" i="2"/>
  <c r="I1082" i="2"/>
  <c r="H1082" i="2"/>
  <c r="G1082" i="2"/>
  <c r="F1082" i="2"/>
  <c r="E1082" i="2"/>
  <c r="D1082" i="2"/>
  <c r="C1082" i="2"/>
  <c r="B1082" i="2"/>
  <c r="A1082" i="2"/>
  <c r="AE1081" i="2"/>
  <c r="AD1081" i="2"/>
  <c r="AC1081" i="2"/>
  <c r="AB1081" i="2"/>
  <c r="AA1081" i="2"/>
  <c r="Z1081" i="2"/>
  <c r="Y1081" i="2"/>
  <c r="X1081" i="2"/>
  <c r="W1081" i="2"/>
  <c r="V1081" i="2"/>
  <c r="U1081" i="2"/>
  <c r="T1081" i="2"/>
  <c r="S1081" i="2"/>
  <c r="R1081" i="2"/>
  <c r="Q1081" i="2"/>
  <c r="P1081" i="2"/>
  <c r="O1081" i="2"/>
  <c r="N1081" i="2"/>
  <c r="M1081" i="2"/>
  <c r="L1081" i="2"/>
  <c r="K1081" i="2"/>
  <c r="J1081" i="2"/>
  <c r="I1081" i="2"/>
  <c r="H1081" i="2"/>
  <c r="G1081" i="2"/>
  <c r="F1081" i="2"/>
  <c r="E1081" i="2"/>
  <c r="D1081" i="2"/>
  <c r="C1081" i="2"/>
  <c r="B1081" i="2"/>
  <c r="A1081" i="2"/>
  <c r="AE1080" i="2"/>
  <c r="AD1080" i="2"/>
  <c r="AC1080" i="2"/>
  <c r="AB1080" i="2"/>
  <c r="AA1080" i="2"/>
  <c r="Z1080" i="2"/>
  <c r="Y1080" i="2"/>
  <c r="X1080" i="2"/>
  <c r="W1080" i="2"/>
  <c r="V1080" i="2"/>
  <c r="U1080" i="2"/>
  <c r="T1080" i="2"/>
  <c r="S1080" i="2"/>
  <c r="R1080" i="2"/>
  <c r="Q1080" i="2"/>
  <c r="P1080" i="2"/>
  <c r="O1080" i="2"/>
  <c r="N1080" i="2"/>
  <c r="M1080" i="2"/>
  <c r="L1080" i="2"/>
  <c r="K1080" i="2"/>
  <c r="J1080" i="2"/>
  <c r="I1080" i="2"/>
  <c r="H1080" i="2"/>
  <c r="G1080" i="2"/>
  <c r="F1080" i="2"/>
  <c r="E1080" i="2"/>
  <c r="D1080" i="2"/>
  <c r="C1080" i="2"/>
  <c r="B1080" i="2"/>
  <c r="A1080" i="2"/>
  <c r="AE1079" i="2"/>
  <c r="AD1079" i="2"/>
  <c r="AC1079" i="2"/>
  <c r="AB1079" i="2"/>
  <c r="AA1079" i="2"/>
  <c r="Z1079" i="2"/>
  <c r="Y1079" i="2"/>
  <c r="X1079" i="2"/>
  <c r="W1079" i="2"/>
  <c r="V1079" i="2"/>
  <c r="U1079" i="2"/>
  <c r="T1079" i="2"/>
  <c r="S1079" i="2"/>
  <c r="R1079" i="2"/>
  <c r="Q1079" i="2"/>
  <c r="P1079" i="2"/>
  <c r="O1079" i="2"/>
  <c r="N1079" i="2"/>
  <c r="M1079" i="2"/>
  <c r="L1079" i="2"/>
  <c r="K1079" i="2"/>
  <c r="J1079" i="2"/>
  <c r="I1079" i="2"/>
  <c r="H1079" i="2"/>
  <c r="G1079" i="2"/>
  <c r="F1079" i="2"/>
  <c r="E1079" i="2"/>
  <c r="D1079" i="2"/>
  <c r="C1079" i="2"/>
  <c r="B1079" i="2"/>
  <c r="A1079" i="2"/>
  <c r="AE1078" i="2"/>
  <c r="AD1078" i="2"/>
  <c r="AC1078" i="2"/>
  <c r="AB1078" i="2"/>
  <c r="AA1078" i="2"/>
  <c r="Z1078" i="2"/>
  <c r="Y1078" i="2"/>
  <c r="X1078" i="2"/>
  <c r="W1078" i="2"/>
  <c r="V1078" i="2"/>
  <c r="U1078" i="2"/>
  <c r="T1078" i="2"/>
  <c r="S1078" i="2"/>
  <c r="R1078" i="2"/>
  <c r="Q1078" i="2"/>
  <c r="P1078" i="2"/>
  <c r="O1078" i="2"/>
  <c r="N1078" i="2"/>
  <c r="M1078" i="2"/>
  <c r="L1078" i="2"/>
  <c r="K1078" i="2"/>
  <c r="J1078" i="2"/>
  <c r="I1078" i="2"/>
  <c r="H1078" i="2"/>
  <c r="G1078" i="2"/>
  <c r="F1078" i="2"/>
  <c r="E1078" i="2"/>
  <c r="D1078" i="2"/>
  <c r="C1078" i="2"/>
  <c r="B1078" i="2"/>
  <c r="A1078" i="2"/>
  <c r="AE1077" i="2"/>
  <c r="AD1077" i="2"/>
  <c r="AC1077" i="2"/>
  <c r="AB1077" i="2"/>
  <c r="AA1077" i="2"/>
  <c r="Z1077" i="2"/>
  <c r="Y1077" i="2"/>
  <c r="X1077" i="2"/>
  <c r="W1077" i="2"/>
  <c r="V1077" i="2"/>
  <c r="U1077" i="2"/>
  <c r="T1077" i="2"/>
  <c r="S1077" i="2"/>
  <c r="R1077" i="2"/>
  <c r="Q1077" i="2"/>
  <c r="P1077" i="2"/>
  <c r="O1077" i="2"/>
  <c r="N1077" i="2"/>
  <c r="M1077" i="2"/>
  <c r="L1077" i="2"/>
  <c r="K1077" i="2"/>
  <c r="J1077" i="2"/>
  <c r="I1077" i="2"/>
  <c r="H1077" i="2"/>
  <c r="G1077" i="2"/>
  <c r="F1077" i="2"/>
  <c r="E1077" i="2"/>
  <c r="D1077" i="2"/>
  <c r="C1077" i="2"/>
  <c r="B1077" i="2"/>
  <c r="A1077" i="2"/>
  <c r="AE1076" i="2"/>
  <c r="AD1076" i="2"/>
  <c r="AC1076" i="2"/>
  <c r="AB1076" i="2"/>
  <c r="AA1076" i="2"/>
  <c r="Z1076" i="2"/>
  <c r="Y1076" i="2"/>
  <c r="X1076" i="2"/>
  <c r="W1076" i="2"/>
  <c r="V1076" i="2"/>
  <c r="U1076" i="2"/>
  <c r="T1076" i="2"/>
  <c r="S1076" i="2"/>
  <c r="R1076" i="2"/>
  <c r="Q1076" i="2"/>
  <c r="P1076" i="2"/>
  <c r="O1076" i="2"/>
  <c r="N1076" i="2"/>
  <c r="M1076" i="2"/>
  <c r="L1076" i="2"/>
  <c r="K1076" i="2"/>
  <c r="J1076" i="2"/>
  <c r="I1076" i="2"/>
  <c r="H1076" i="2"/>
  <c r="G1076" i="2"/>
  <c r="F1076" i="2"/>
  <c r="E1076" i="2"/>
  <c r="D1076" i="2"/>
  <c r="C1076" i="2"/>
  <c r="B1076" i="2"/>
  <c r="A1076" i="2"/>
  <c r="AE1075" i="2"/>
  <c r="AD1075" i="2"/>
  <c r="AC1075" i="2"/>
  <c r="AB1075" i="2"/>
  <c r="AA1075" i="2"/>
  <c r="Z1075" i="2"/>
  <c r="Y1075" i="2"/>
  <c r="X1075" i="2"/>
  <c r="W1075" i="2"/>
  <c r="V1075" i="2"/>
  <c r="U1075" i="2"/>
  <c r="T1075" i="2"/>
  <c r="S1075" i="2"/>
  <c r="R1075" i="2"/>
  <c r="Q1075" i="2"/>
  <c r="P1075" i="2"/>
  <c r="O1075" i="2"/>
  <c r="N1075" i="2"/>
  <c r="M1075" i="2"/>
  <c r="L1075" i="2"/>
  <c r="K1075" i="2"/>
  <c r="J1075" i="2"/>
  <c r="I1075" i="2"/>
  <c r="H1075" i="2"/>
  <c r="G1075" i="2"/>
  <c r="F1075" i="2"/>
  <c r="E1075" i="2"/>
  <c r="D1075" i="2"/>
  <c r="C1075" i="2"/>
  <c r="B1075" i="2"/>
  <c r="A1075" i="2"/>
  <c r="AE1074" i="2"/>
  <c r="AD1074" i="2"/>
  <c r="AC1074" i="2"/>
  <c r="AB1074" i="2"/>
  <c r="AA1074" i="2"/>
  <c r="Z1074" i="2"/>
  <c r="Y1074" i="2"/>
  <c r="X1074" i="2"/>
  <c r="W1074" i="2"/>
  <c r="V1074" i="2"/>
  <c r="U1074" i="2"/>
  <c r="T1074" i="2"/>
  <c r="S1074" i="2"/>
  <c r="R1074" i="2"/>
  <c r="Q1074" i="2"/>
  <c r="P1074" i="2"/>
  <c r="O1074" i="2"/>
  <c r="N1074" i="2"/>
  <c r="M1074" i="2"/>
  <c r="L1074" i="2"/>
  <c r="K1074" i="2"/>
  <c r="J1074" i="2"/>
  <c r="I1074" i="2"/>
  <c r="H1074" i="2"/>
  <c r="G1074" i="2"/>
  <c r="F1074" i="2"/>
  <c r="E1074" i="2"/>
  <c r="D1074" i="2"/>
  <c r="C1074" i="2"/>
  <c r="B1074" i="2"/>
  <c r="A1074" i="2"/>
  <c r="AE1073" i="2"/>
  <c r="AD1073" i="2"/>
  <c r="AC1073" i="2"/>
  <c r="AB1073" i="2"/>
  <c r="AA1073" i="2"/>
  <c r="Z1073" i="2"/>
  <c r="Y1073" i="2"/>
  <c r="X1073" i="2"/>
  <c r="W1073" i="2"/>
  <c r="V1073" i="2"/>
  <c r="U1073" i="2"/>
  <c r="T1073" i="2"/>
  <c r="S1073" i="2"/>
  <c r="R1073" i="2"/>
  <c r="Q1073" i="2"/>
  <c r="P1073" i="2"/>
  <c r="O1073" i="2"/>
  <c r="N1073" i="2"/>
  <c r="M1073" i="2"/>
  <c r="L1073" i="2"/>
  <c r="K1073" i="2"/>
  <c r="J1073" i="2"/>
  <c r="I1073" i="2"/>
  <c r="H1073" i="2"/>
  <c r="G1073" i="2"/>
  <c r="F1073" i="2"/>
  <c r="E1073" i="2"/>
  <c r="D1073" i="2"/>
  <c r="C1073" i="2"/>
  <c r="B1073" i="2"/>
  <c r="A1073" i="2"/>
  <c r="AE1072" i="2"/>
  <c r="AD1072" i="2"/>
  <c r="AC1072" i="2"/>
  <c r="AB1072" i="2"/>
  <c r="AA1072" i="2"/>
  <c r="Z1072" i="2"/>
  <c r="Y1072" i="2"/>
  <c r="X1072" i="2"/>
  <c r="W1072" i="2"/>
  <c r="V1072" i="2"/>
  <c r="U1072" i="2"/>
  <c r="T1072" i="2"/>
  <c r="S1072" i="2"/>
  <c r="R1072" i="2"/>
  <c r="Q1072" i="2"/>
  <c r="P1072" i="2"/>
  <c r="O1072" i="2"/>
  <c r="N1072" i="2"/>
  <c r="M1072" i="2"/>
  <c r="L1072" i="2"/>
  <c r="K1072" i="2"/>
  <c r="J1072" i="2"/>
  <c r="I1072" i="2"/>
  <c r="H1072" i="2"/>
  <c r="G1072" i="2"/>
  <c r="F1072" i="2"/>
  <c r="E1072" i="2"/>
  <c r="D1072" i="2"/>
  <c r="C1072" i="2"/>
  <c r="B1072" i="2"/>
  <c r="A1072" i="2"/>
  <c r="AE1071" i="2"/>
  <c r="AD1071" i="2"/>
  <c r="AC1071" i="2"/>
  <c r="AB1071" i="2"/>
  <c r="AA1071" i="2"/>
  <c r="Z1071" i="2"/>
  <c r="Y1071" i="2"/>
  <c r="X1071" i="2"/>
  <c r="W1071" i="2"/>
  <c r="V1071" i="2"/>
  <c r="U1071" i="2"/>
  <c r="T1071" i="2"/>
  <c r="S1071" i="2"/>
  <c r="R1071" i="2"/>
  <c r="Q1071" i="2"/>
  <c r="P1071" i="2"/>
  <c r="O1071" i="2"/>
  <c r="N1071" i="2"/>
  <c r="M1071" i="2"/>
  <c r="L1071" i="2"/>
  <c r="K1071" i="2"/>
  <c r="J1071" i="2"/>
  <c r="I1071" i="2"/>
  <c r="H1071" i="2"/>
  <c r="G1071" i="2"/>
  <c r="F1071" i="2"/>
  <c r="E1071" i="2"/>
  <c r="D1071" i="2"/>
  <c r="C1071" i="2"/>
  <c r="B1071" i="2"/>
  <c r="A1071" i="2"/>
  <c r="AE1070" i="2"/>
  <c r="AD1070" i="2"/>
  <c r="AC1070" i="2"/>
  <c r="AB1070" i="2"/>
  <c r="AA1070" i="2"/>
  <c r="Z1070" i="2"/>
  <c r="Y1070" i="2"/>
  <c r="X1070" i="2"/>
  <c r="W1070" i="2"/>
  <c r="V1070" i="2"/>
  <c r="U1070" i="2"/>
  <c r="T1070" i="2"/>
  <c r="S1070" i="2"/>
  <c r="R1070" i="2"/>
  <c r="Q1070" i="2"/>
  <c r="P1070" i="2"/>
  <c r="O1070" i="2"/>
  <c r="N1070" i="2"/>
  <c r="M1070" i="2"/>
  <c r="L1070" i="2"/>
  <c r="K1070" i="2"/>
  <c r="J1070" i="2"/>
  <c r="I1070" i="2"/>
  <c r="H1070" i="2"/>
  <c r="G1070" i="2"/>
  <c r="F1070" i="2"/>
  <c r="E1070" i="2"/>
  <c r="D1070" i="2"/>
  <c r="C1070" i="2"/>
  <c r="B1070" i="2"/>
  <c r="A1070" i="2"/>
  <c r="AE1069" i="2"/>
  <c r="AD1069" i="2"/>
  <c r="AC1069" i="2"/>
  <c r="AB1069" i="2"/>
  <c r="AA1069" i="2"/>
  <c r="Z1069" i="2"/>
  <c r="Y1069" i="2"/>
  <c r="X1069" i="2"/>
  <c r="W1069" i="2"/>
  <c r="V1069" i="2"/>
  <c r="U1069" i="2"/>
  <c r="T1069" i="2"/>
  <c r="S1069" i="2"/>
  <c r="R1069" i="2"/>
  <c r="Q1069" i="2"/>
  <c r="P1069" i="2"/>
  <c r="O1069" i="2"/>
  <c r="N1069" i="2"/>
  <c r="M1069" i="2"/>
  <c r="L1069" i="2"/>
  <c r="K1069" i="2"/>
  <c r="J1069" i="2"/>
  <c r="I1069" i="2"/>
  <c r="H1069" i="2"/>
  <c r="G1069" i="2"/>
  <c r="F1069" i="2"/>
  <c r="E1069" i="2"/>
  <c r="D1069" i="2"/>
  <c r="C1069" i="2"/>
  <c r="B1069" i="2"/>
  <c r="A1069" i="2"/>
  <c r="AE1068" i="2"/>
  <c r="AD1068" i="2"/>
  <c r="AC1068" i="2"/>
  <c r="AB1068" i="2"/>
  <c r="AA1068" i="2"/>
  <c r="Z1068" i="2"/>
  <c r="Y1068" i="2"/>
  <c r="X1068" i="2"/>
  <c r="W1068" i="2"/>
  <c r="V1068" i="2"/>
  <c r="U1068" i="2"/>
  <c r="T1068" i="2"/>
  <c r="S1068" i="2"/>
  <c r="R1068" i="2"/>
  <c r="Q1068" i="2"/>
  <c r="P1068" i="2"/>
  <c r="O1068" i="2"/>
  <c r="N1068" i="2"/>
  <c r="M1068" i="2"/>
  <c r="L1068" i="2"/>
  <c r="K1068" i="2"/>
  <c r="J1068" i="2"/>
  <c r="I1068" i="2"/>
  <c r="H1068" i="2"/>
  <c r="G1068" i="2"/>
  <c r="F1068" i="2"/>
  <c r="E1068" i="2"/>
  <c r="D1068" i="2"/>
  <c r="C1068" i="2"/>
  <c r="B1068" i="2"/>
  <c r="A1068" i="2"/>
  <c r="AE1067" i="2"/>
  <c r="AD1067" i="2"/>
  <c r="AC1067" i="2"/>
  <c r="AB1067" i="2"/>
  <c r="AA1067" i="2"/>
  <c r="Z1067" i="2"/>
  <c r="Y1067" i="2"/>
  <c r="X1067" i="2"/>
  <c r="W1067" i="2"/>
  <c r="V1067" i="2"/>
  <c r="U1067" i="2"/>
  <c r="T1067" i="2"/>
  <c r="S1067" i="2"/>
  <c r="R1067" i="2"/>
  <c r="Q1067" i="2"/>
  <c r="P1067" i="2"/>
  <c r="O1067" i="2"/>
  <c r="N1067" i="2"/>
  <c r="M1067" i="2"/>
  <c r="L1067" i="2"/>
  <c r="K1067" i="2"/>
  <c r="J1067" i="2"/>
  <c r="I1067" i="2"/>
  <c r="H1067" i="2"/>
  <c r="G1067" i="2"/>
  <c r="F1067" i="2"/>
  <c r="E1067" i="2"/>
  <c r="D1067" i="2"/>
  <c r="C1067" i="2"/>
  <c r="B1067" i="2"/>
  <c r="A1067" i="2"/>
  <c r="AE1066" i="2"/>
  <c r="AD1066" i="2"/>
  <c r="AC1066" i="2"/>
  <c r="AB1066" i="2"/>
  <c r="AA1066" i="2"/>
  <c r="Z1066" i="2"/>
  <c r="Y1066" i="2"/>
  <c r="X1066" i="2"/>
  <c r="W1066" i="2"/>
  <c r="V1066" i="2"/>
  <c r="U1066" i="2"/>
  <c r="T1066" i="2"/>
  <c r="S1066" i="2"/>
  <c r="R1066" i="2"/>
  <c r="Q1066" i="2"/>
  <c r="P1066" i="2"/>
  <c r="O1066" i="2"/>
  <c r="N1066" i="2"/>
  <c r="M1066" i="2"/>
  <c r="L1066" i="2"/>
  <c r="K1066" i="2"/>
  <c r="J1066" i="2"/>
  <c r="I1066" i="2"/>
  <c r="H1066" i="2"/>
  <c r="G1066" i="2"/>
  <c r="F1066" i="2"/>
  <c r="E1066" i="2"/>
  <c r="D1066" i="2"/>
  <c r="C1066" i="2"/>
  <c r="B1066" i="2"/>
  <c r="A1066" i="2"/>
  <c r="AE1065" i="2"/>
  <c r="AD1065" i="2"/>
  <c r="AC1065" i="2"/>
  <c r="AB1065" i="2"/>
  <c r="AA1065" i="2"/>
  <c r="Z1065" i="2"/>
  <c r="Y1065" i="2"/>
  <c r="X1065" i="2"/>
  <c r="W1065" i="2"/>
  <c r="V1065" i="2"/>
  <c r="U1065" i="2"/>
  <c r="T1065" i="2"/>
  <c r="S1065" i="2"/>
  <c r="R1065" i="2"/>
  <c r="Q1065" i="2"/>
  <c r="P1065" i="2"/>
  <c r="O1065" i="2"/>
  <c r="N1065" i="2"/>
  <c r="M1065" i="2"/>
  <c r="L1065" i="2"/>
  <c r="K1065" i="2"/>
  <c r="J1065" i="2"/>
  <c r="I1065" i="2"/>
  <c r="H1065" i="2"/>
  <c r="G1065" i="2"/>
  <c r="F1065" i="2"/>
  <c r="E1065" i="2"/>
  <c r="D1065" i="2"/>
  <c r="C1065" i="2"/>
  <c r="B1065" i="2"/>
  <c r="A1065" i="2"/>
  <c r="AE1064" i="2"/>
  <c r="AD1064" i="2"/>
  <c r="AC1064" i="2"/>
  <c r="AB1064" i="2"/>
  <c r="AA1064" i="2"/>
  <c r="Z1064" i="2"/>
  <c r="Y1064" i="2"/>
  <c r="X1064" i="2"/>
  <c r="W1064" i="2"/>
  <c r="V1064" i="2"/>
  <c r="U1064" i="2"/>
  <c r="T1064" i="2"/>
  <c r="S1064" i="2"/>
  <c r="R1064" i="2"/>
  <c r="Q1064" i="2"/>
  <c r="P1064" i="2"/>
  <c r="O1064" i="2"/>
  <c r="N1064" i="2"/>
  <c r="M1064" i="2"/>
  <c r="L1064" i="2"/>
  <c r="K1064" i="2"/>
  <c r="J1064" i="2"/>
  <c r="I1064" i="2"/>
  <c r="H1064" i="2"/>
  <c r="G1064" i="2"/>
  <c r="F1064" i="2"/>
  <c r="E1064" i="2"/>
  <c r="D1064" i="2"/>
  <c r="C1064" i="2"/>
  <c r="B1064" i="2"/>
  <c r="A1064" i="2"/>
  <c r="AE1063" i="2"/>
  <c r="AD1063" i="2"/>
  <c r="AC1063" i="2"/>
  <c r="AB1063" i="2"/>
  <c r="AA1063" i="2"/>
  <c r="Z1063" i="2"/>
  <c r="Y1063" i="2"/>
  <c r="X1063" i="2"/>
  <c r="W1063" i="2"/>
  <c r="V1063" i="2"/>
  <c r="U1063" i="2"/>
  <c r="T1063" i="2"/>
  <c r="S1063" i="2"/>
  <c r="R1063" i="2"/>
  <c r="Q1063" i="2"/>
  <c r="P1063" i="2"/>
  <c r="O1063" i="2"/>
  <c r="N1063" i="2"/>
  <c r="M1063" i="2"/>
  <c r="L1063" i="2"/>
  <c r="K1063" i="2"/>
  <c r="J1063" i="2"/>
  <c r="I1063" i="2"/>
  <c r="H1063" i="2"/>
  <c r="G1063" i="2"/>
  <c r="F1063" i="2"/>
  <c r="E1063" i="2"/>
  <c r="D1063" i="2"/>
  <c r="C1063" i="2"/>
  <c r="B1063" i="2"/>
  <c r="A1063" i="2"/>
  <c r="AE1062" i="2"/>
  <c r="AD1062" i="2"/>
  <c r="AC1062" i="2"/>
  <c r="AB1062" i="2"/>
  <c r="AA1062" i="2"/>
  <c r="Z1062" i="2"/>
  <c r="Y1062" i="2"/>
  <c r="X1062" i="2"/>
  <c r="W1062" i="2"/>
  <c r="V1062" i="2"/>
  <c r="U1062" i="2"/>
  <c r="T1062" i="2"/>
  <c r="S1062" i="2"/>
  <c r="R1062" i="2"/>
  <c r="Q1062" i="2"/>
  <c r="P1062" i="2"/>
  <c r="O1062" i="2"/>
  <c r="N1062" i="2"/>
  <c r="M1062" i="2"/>
  <c r="L1062" i="2"/>
  <c r="K1062" i="2"/>
  <c r="J1062" i="2"/>
  <c r="I1062" i="2"/>
  <c r="H1062" i="2"/>
  <c r="G1062" i="2"/>
  <c r="F1062" i="2"/>
  <c r="E1062" i="2"/>
  <c r="D1062" i="2"/>
  <c r="C1062" i="2"/>
  <c r="B1062" i="2"/>
  <c r="A1062" i="2"/>
  <c r="AE1061" i="2"/>
  <c r="AD1061" i="2"/>
  <c r="AC1061" i="2"/>
  <c r="AB1061" i="2"/>
  <c r="AA1061" i="2"/>
  <c r="Z1061" i="2"/>
  <c r="Y1061" i="2"/>
  <c r="X1061" i="2"/>
  <c r="W1061" i="2"/>
  <c r="V1061" i="2"/>
  <c r="U1061" i="2"/>
  <c r="T1061" i="2"/>
  <c r="S1061" i="2"/>
  <c r="R1061" i="2"/>
  <c r="Q1061" i="2"/>
  <c r="P1061" i="2"/>
  <c r="O1061" i="2"/>
  <c r="N1061" i="2"/>
  <c r="M1061" i="2"/>
  <c r="L1061" i="2"/>
  <c r="K1061" i="2"/>
  <c r="J1061" i="2"/>
  <c r="I1061" i="2"/>
  <c r="H1061" i="2"/>
  <c r="G1061" i="2"/>
  <c r="F1061" i="2"/>
  <c r="E1061" i="2"/>
  <c r="D1061" i="2"/>
  <c r="C1061" i="2"/>
  <c r="B1061" i="2"/>
  <c r="A1061" i="2"/>
  <c r="AE1060" i="2"/>
  <c r="AD1060" i="2"/>
  <c r="AC1060" i="2"/>
  <c r="AB1060" i="2"/>
  <c r="AA1060" i="2"/>
  <c r="Z1060" i="2"/>
  <c r="Y1060" i="2"/>
  <c r="X1060" i="2"/>
  <c r="W1060" i="2"/>
  <c r="V1060" i="2"/>
  <c r="U1060" i="2"/>
  <c r="T1060" i="2"/>
  <c r="S1060" i="2"/>
  <c r="R1060" i="2"/>
  <c r="Q1060" i="2"/>
  <c r="P1060" i="2"/>
  <c r="O1060" i="2"/>
  <c r="N1060" i="2"/>
  <c r="M1060" i="2"/>
  <c r="L1060" i="2"/>
  <c r="K1060" i="2"/>
  <c r="J1060" i="2"/>
  <c r="I1060" i="2"/>
  <c r="H1060" i="2"/>
  <c r="G1060" i="2"/>
  <c r="F1060" i="2"/>
  <c r="E1060" i="2"/>
  <c r="D1060" i="2"/>
  <c r="C1060" i="2"/>
  <c r="B1060" i="2"/>
  <c r="A1060" i="2"/>
  <c r="AE1059" i="2"/>
  <c r="AD1059" i="2"/>
  <c r="AC1059" i="2"/>
  <c r="AB1059" i="2"/>
  <c r="AA1059" i="2"/>
  <c r="Z1059" i="2"/>
  <c r="Y1059" i="2"/>
  <c r="X1059" i="2"/>
  <c r="W1059" i="2"/>
  <c r="V1059" i="2"/>
  <c r="U1059" i="2"/>
  <c r="T1059" i="2"/>
  <c r="S1059" i="2"/>
  <c r="R1059" i="2"/>
  <c r="Q1059" i="2"/>
  <c r="P1059" i="2"/>
  <c r="O1059" i="2"/>
  <c r="N1059" i="2"/>
  <c r="M1059" i="2"/>
  <c r="L1059" i="2"/>
  <c r="K1059" i="2"/>
  <c r="J1059" i="2"/>
  <c r="I1059" i="2"/>
  <c r="H1059" i="2"/>
  <c r="G1059" i="2"/>
  <c r="F1059" i="2"/>
  <c r="E1059" i="2"/>
  <c r="D1059" i="2"/>
  <c r="C1059" i="2"/>
  <c r="B1059" i="2"/>
  <c r="A1059" i="2"/>
  <c r="AE1058" i="2"/>
  <c r="AD1058" i="2"/>
  <c r="AC1058" i="2"/>
  <c r="AB1058" i="2"/>
  <c r="AA1058" i="2"/>
  <c r="Z1058" i="2"/>
  <c r="Y1058" i="2"/>
  <c r="X1058" i="2"/>
  <c r="W1058" i="2"/>
  <c r="V1058" i="2"/>
  <c r="U1058" i="2"/>
  <c r="T1058" i="2"/>
  <c r="S1058" i="2"/>
  <c r="R1058" i="2"/>
  <c r="Q1058" i="2"/>
  <c r="P1058" i="2"/>
  <c r="O1058" i="2"/>
  <c r="N1058" i="2"/>
  <c r="M1058" i="2"/>
  <c r="L1058" i="2"/>
  <c r="K1058" i="2"/>
  <c r="J1058" i="2"/>
  <c r="I1058" i="2"/>
  <c r="H1058" i="2"/>
  <c r="G1058" i="2"/>
  <c r="F1058" i="2"/>
  <c r="E1058" i="2"/>
  <c r="D1058" i="2"/>
  <c r="C1058" i="2"/>
  <c r="B1058" i="2"/>
  <c r="A1058" i="2"/>
  <c r="AE1057" i="2"/>
  <c r="AD1057" i="2"/>
  <c r="AC1057" i="2"/>
  <c r="AB1057" i="2"/>
  <c r="AA1057" i="2"/>
  <c r="Z1057" i="2"/>
  <c r="Y1057" i="2"/>
  <c r="X1057" i="2"/>
  <c r="W1057" i="2"/>
  <c r="V1057" i="2"/>
  <c r="U1057" i="2"/>
  <c r="T1057" i="2"/>
  <c r="S1057" i="2"/>
  <c r="R1057" i="2"/>
  <c r="Q1057" i="2"/>
  <c r="P1057" i="2"/>
  <c r="O1057" i="2"/>
  <c r="N1057" i="2"/>
  <c r="M1057" i="2"/>
  <c r="L1057" i="2"/>
  <c r="K1057" i="2"/>
  <c r="J1057" i="2"/>
  <c r="I1057" i="2"/>
  <c r="H1057" i="2"/>
  <c r="G1057" i="2"/>
  <c r="F1057" i="2"/>
  <c r="E1057" i="2"/>
  <c r="D1057" i="2"/>
  <c r="C1057" i="2"/>
  <c r="B1057" i="2"/>
  <c r="A1057" i="2"/>
  <c r="AE1056" i="2"/>
  <c r="AD1056" i="2"/>
  <c r="AC1056" i="2"/>
  <c r="AB1056" i="2"/>
  <c r="AA1056" i="2"/>
  <c r="Z1056" i="2"/>
  <c r="Y1056" i="2"/>
  <c r="X1056" i="2"/>
  <c r="W1056" i="2"/>
  <c r="V1056" i="2"/>
  <c r="U1056" i="2"/>
  <c r="T1056" i="2"/>
  <c r="S1056" i="2"/>
  <c r="R1056" i="2"/>
  <c r="Q1056" i="2"/>
  <c r="P1056" i="2"/>
  <c r="O1056" i="2"/>
  <c r="N1056" i="2"/>
  <c r="M1056" i="2"/>
  <c r="L1056" i="2"/>
  <c r="K1056" i="2"/>
  <c r="J1056" i="2"/>
  <c r="I1056" i="2"/>
  <c r="H1056" i="2"/>
  <c r="G1056" i="2"/>
  <c r="F1056" i="2"/>
  <c r="E1056" i="2"/>
  <c r="D1056" i="2"/>
  <c r="C1056" i="2"/>
  <c r="B1056" i="2"/>
  <c r="A1056" i="2"/>
  <c r="AE1055" i="2"/>
  <c r="AD1055" i="2"/>
  <c r="AC1055" i="2"/>
  <c r="AB1055" i="2"/>
  <c r="AA1055" i="2"/>
  <c r="Z1055" i="2"/>
  <c r="Y1055" i="2"/>
  <c r="X1055" i="2"/>
  <c r="W1055" i="2"/>
  <c r="V1055" i="2"/>
  <c r="U1055" i="2"/>
  <c r="T1055" i="2"/>
  <c r="S1055" i="2"/>
  <c r="R1055" i="2"/>
  <c r="Q1055" i="2"/>
  <c r="P1055" i="2"/>
  <c r="O1055" i="2"/>
  <c r="N1055" i="2"/>
  <c r="M1055" i="2"/>
  <c r="L1055" i="2"/>
  <c r="K1055" i="2"/>
  <c r="J1055" i="2"/>
  <c r="I1055" i="2"/>
  <c r="H1055" i="2"/>
  <c r="G1055" i="2"/>
  <c r="F1055" i="2"/>
  <c r="E1055" i="2"/>
  <c r="D1055" i="2"/>
  <c r="C1055" i="2"/>
  <c r="B1055" i="2"/>
  <c r="A1055" i="2"/>
  <c r="AE1054" i="2"/>
  <c r="AD1054" i="2"/>
  <c r="AC1054" i="2"/>
  <c r="AB1054" i="2"/>
  <c r="AA1054" i="2"/>
  <c r="Z1054" i="2"/>
  <c r="Y1054" i="2"/>
  <c r="X1054" i="2"/>
  <c r="W1054" i="2"/>
  <c r="V1054" i="2"/>
  <c r="U1054" i="2"/>
  <c r="T1054" i="2"/>
  <c r="S1054" i="2"/>
  <c r="R1054" i="2"/>
  <c r="Q1054" i="2"/>
  <c r="P1054" i="2"/>
  <c r="O1054" i="2"/>
  <c r="N1054" i="2"/>
  <c r="M1054" i="2"/>
  <c r="L1054" i="2"/>
  <c r="K1054" i="2"/>
  <c r="J1054" i="2"/>
  <c r="I1054" i="2"/>
  <c r="H1054" i="2"/>
  <c r="G1054" i="2"/>
  <c r="F1054" i="2"/>
  <c r="E1054" i="2"/>
  <c r="D1054" i="2"/>
  <c r="C1054" i="2"/>
  <c r="B1054" i="2"/>
  <c r="A1054" i="2"/>
  <c r="AE1053" i="2"/>
  <c r="AD1053" i="2"/>
  <c r="AC1053" i="2"/>
  <c r="AB1053" i="2"/>
  <c r="AA1053" i="2"/>
  <c r="Z1053" i="2"/>
  <c r="Y1053" i="2"/>
  <c r="X1053" i="2"/>
  <c r="W1053" i="2"/>
  <c r="V1053" i="2"/>
  <c r="U1053" i="2"/>
  <c r="T1053" i="2"/>
  <c r="S1053" i="2"/>
  <c r="R1053" i="2"/>
  <c r="Q1053" i="2"/>
  <c r="P1053" i="2"/>
  <c r="O1053" i="2"/>
  <c r="N1053" i="2"/>
  <c r="M1053" i="2"/>
  <c r="L1053" i="2"/>
  <c r="K1053" i="2"/>
  <c r="J1053" i="2"/>
  <c r="I1053" i="2"/>
  <c r="H1053" i="2"/>
  <c r="G1053" i="2"/>
  <c r="F1053" i="2"/>
  <c r="E1053" i="2"/>
  <c r="D1053" i="2"/>
  <c r="C1053" i="2"/>
  <c r="B1053" i="2"/>
  <c r="A1053" i="2"/>
  <c r="AE1052" i="2"/>
  <c r="AD1052" i="2"/>
  <c r="AC1052" i="2"/>
  <c r="AB1052" i="2"/>
  <c r="AA1052" i="2"/>
  <c r="Z1052" i="2"/>
  <c r="Y1052" i="2"/>
  <c r="X1052" i="2"/>
  <c r="W1052" i="2"/>
  <c r="V1052" i="2"/>
  <c r="U1052" i="2"/>
  <c r="T1052" i="2"/>
  <c r="S1052" i="2"/>
  <c r="R1052" i="2"/>
  <c r="Q1052" i="2"/>
  <c r="P1052" i="2"/>
  <c r="O1052" i="2"/>
  <c r="N1052" i="2"/>
  <c r="M1052" i="2"/>
  <c r="L1052" i="2"/>
  <c r="K1052" i="2"/>
  <c r="J1052" i="2"/>
  <c r="I1052" i="2"/>
  <c r="H1052" i="2"/>
  <c r="G1052" i="2"/>
  <c r="F1052" i="2"/>
  <c r="E1052" i="2"/>
  <c r="D1052" i="2"/>
  <c r="C1052" i="2"/>
  <c r="B1052" i="2"/>
  <c r="A1052" i="2"/>
  <c r="AE1051" i="2"/>
  <c r="AD1051" i="2"/>
  <c r="AC1051" i="2"/>
  <c r="AB1051" i="2"/>
  <c r="AA1051" i="2"/>
  <c r="Z1051" i="2"/>
  <c r="Y1051" i="2"/>
  <c r="X1051" i="2"/>
  <c r="W1051" i="2"/>
  <c r="V1051" i="2"/>
  <c r="U1051" i="2"/>
  <c r="T1051" i="2"/>
  <c r="S1051" i="2"/>
  <c r="R1051" i="2"/>
  <c r="Q1051" i="2"/>
  <c r="P1051" i="2"/>
  <c r="O1051" i="2"/>
  <c r="N1051" i="2"/>
  <c r="M1051" i="2"/>
  <c r="L1051" i="2"/>
  <c r="K1051" i="2"/>
  <c r="J1051" i="2"/>
  <c r="I1051" i="2"/>
  <c r="H1051" i="2"/>
  <c r="G1051" i="2"/>
  <c r="F1051" i="2"/>
  <c r="E1051" i="2"/>
  <c r="D1051" i="2"/>
  <c r="C1051" i="2"/>
  <c r="B1051" i="2"/>
  <c r="A1051" i="2"/>
  <c r="AE1050" i="2"/>
  <c r="AD1050" i="2"/>
  <c r="AC1050" i="2"/>
  <c r="AB1050" i="2"/>
  <c r="AA1050" i="2"/>
  <c r="Z1050" i="2"/>
  <c r="Y1050" i="2"/>
  <c r="X1050" i="2"/>
  <c r="W1050" i="2"/>
  <c r="V1050" i="2"/>
  <c r="U1050" i="2"/>
  <c r="T1050" i="2"/>
  <c r="S1050" i="2"/>
  <c r="R1050" i="2"/>
  <c r="Q1050" i="2"/>
  <c r="P1050" i="2"/>
  <c r="O1050" i="2"/>
  <c r="N1050" i="2"/>
  <c r="M1050" i="2"/>
  <c r="L1050" i="2"/>
  <c r="K1050" i="2"/>
  <c r="J1050" i="2"/>
  <c r="I1050" i="2"/>
  <c r="H1050" i="2"/>
  <c r="G1050" i="2"/>
  <c r="F1050" i="2"/>
  <c r="E1050" i="2"/>
  <c r="D1050" i="2"/>
  <c r="C1050" i="2"/>
  <c r="B1050" i="2"/>
  <c r="A1050" i="2"/>
  <c r="AE1049" i="2"/>
  <c r="AD1049" i="2"/>
  <c r="AC1049" i="2"/>
  <c r="AB1049" i="2"/>
  <c r="AA1049" i="2"/>
  <c r="Z1049" i="2"/>
  <c r="Y1049" i="2"/>
  <c r="X1049" i="2"/>
  <c r="W1049" i="2"/>
  <c r="V1049" i="2"/>
  <c r="U1049" i="2"/>
  <c r="T1049" i="2"/>
  <c r="S1049" i="2"/>
  <c r="R1049" i="2"/>
  <c r="Q1049" i="2"/>
  <c r="P1049" i="2"/>
  <c r="O1049" i="2"/>
  <c r="N1049" i="2"/>
  <c r="M1049" i="2"/>
  <c r="L1049" i="2"/>
  <c r="K1049" i="2"/>
  <c r="J1049" i="2"/>
  <c r="I1049" i="2"/>
  <c r="H1049" i="2"/>
  <c r="G1049" i="2"/>
  <c r="F1049" i="2"/>
  <c r="E1049" i="2"/>
  <c r="D1049" i="2"/>
  <c r="C1049" i="2"/>
  <c r="B1049" i="2"/>
  <c r="A1049" i="2"/>
  <c r="AE1048" i="2"/>
  <c r="AD1048" i="2"/>
  <c r="AC1048" i="2"/>
  <c r="AB1048" i="2"/>
  <c r="AA1048" i="2"/>
  <c r="Z1048" i="2"/>
  <c r="Y1048" i="2"/>
  <c r="X1048" i="2"/>
  <c r="W1048" i="2"/>
  <c r="V1048" i="2"/>
  <c r="U1048" i="2"/>
  <c r="T1048" i="2"/>
  <c r="S1048" i="2"/>
  <c r="R1048" i="2"/>
  <c r="Q1048" i="2"/>
  <c r="P1048" i="2"/>
  <c r="O1048" i="2"/>
  <c r="N1048" i="2"/>
  <c r="M1048" i="2"/>
  <c r="L1048" i="2"/>
  <c r="K1048" i="2"/>
  <c r="J1048" i="2"/>
  <c r="I1048" i="2"/>
  <c r="H1048" i="2"/>
  <c r="G1048" i="2"/>
  <c r="F1048" i="2"/>
  <c r="E1048" i="2"/>
  <c r="D1048" i="2"/>
  <c r="C1048" i="2"/>
  <c r="B1048" i="2"/>
  <c r="A1048" i="2"/>
  <c r="AE1047" i="2"/>
  <c r="AD1047" i="2"/>
  <c r="AC1047" i="2"/>
  <c r="AB1047" i="2"/>
  <c r="AA1047" i="2"/>
  <c r="Z1047" i="2"/>
  <c r="Y1047" i="2"/>
  <c r="X1047" i="2"/>
  <c r="W1047" i="2"/>
  <c r="V1047" i="2"/>
  <c r="U1047" i="2"/>
  <c r="T1047" i="2"/>
  <c r="S1047" i="2"/>
  <c r="R1047" i="2"/>
  <c r="Q1047" i="2"/>
  <c r="P1047" i="2"/>
  <c r="O1047" i="2"/>
  <c r="N1047" i="2"/>
  <c r="M1047" i="2"/>
  <c r="L1047" i="2"/>
  <c r="K1047" i="2"/>
  <c r="J1047" i="2"/>
  <c r="I1047" i="2"/>
  <c r="H1047" i="2"/>
  <c r="G1047" i="2"/>
  <c r="F1047" i="2"/>
  <c r="E1047" i="2"/>
  <c r="D1047" i="2"/>
  <c r="C1047" i="2"/>
  <c r="B1047" i="2"/>
  <c r="A1047" i="2"/>
  <c r="AE1046" i="2"/>
  <c r="AD1046" i="2"/>
  <c r="AC1046" i="2"/>
  <c r="AB1046" i="2"/>
  <c r="AA1046" i="2"/>
  <c r="Z1046" i="2"/>
  <c r="Y1046" i="2"/>
  <c r="X1046" i="2"/>
  <c r="W1046" i="2"/>
  <c r="V1046" i="2"/>
  <c r="U1046" i="2"/>
  <c r="T1046" i="2"/>
  <c r="S1046" i="2"/>
  <c r="R1046" i="2"/>
  <c r="Q1046" i="2"/>
  <c r="P1046" i="2"/>
  <c r="O1046" i="2"/>
  <c r="N1046" i="2"/>
  <c r="M1046" i="2"/>
  <c r="L1046" i="2"/>
  <c r="K1046" i="2"/>
  <c r="J1046" i="2"/>
  <c r="I1046" i="2"/>
  <c r="H1046" i="2"/>
  <c r="G1046" i="2"/>
  <c r="F1046" i="2"/>
  <c r="E1046" i="2"/>
  <c r="D1046" i="2"/>
  <c r="C1046" i="2"/>
  <c r="B1046" i="2"/>
  <c r="A1046" i="2"/>
  <c r="AE1045" i="2"/>
  <c r="AD1045" i="2"/>
  <c r="AC1045" i="2"/>
  <c r="AB1045" i="2"/>
  <c r="AA1045" i="2"/>
  <c r="Z1045" i="2"/>
  <c r="Y1045" i="2"/>
  <c r="X1045" i="2"/>
  <c r="W1045" i="2"/>
  <c r="V1045" i="2"/>
  <c r="U1045" i="2"/>
  <c r="T1045" i="2"/>
  <c r="S1045" i="2"/>
  <c r="R1045" i="2"/>
  <c r="Q1045" i="2"/>
  <c r="P1045" i="2"/>
  <c r="O1045" i="2"/>
  <c r="N1045" i="2"/>
  <c r="M1045" i="2"/>
  <c r="L1045" i="2"/>
  <c r="K1045" i="2"/>
  <c r="J1045" i="2"/>
  <c r="I1045" i="2"/>
  <c r="H1045" i="2"/>
  <c r="G1045" i="2"/>
  <c r="F1045" i="2"/>
  <c r="E1045" i="2"/>
  <c r="D1045" i="2"/>
  <c r="C1045" i="2"/>
  <c r="B1045" i="2"/>
  <c r="A1045" i="2"/>
  <c r="AE1044" i="2"/>
  <c r="AD1044" i="2"/>
  <c r="AC1044" i="2"/>
  <c r="AB1044" i="2"/>
  <c r="AA1044" i="2"/>
  <c r="Z1044" i="2"/>
  <c r="Y1044" i="2"/>
  <c r="X1044" i="2"/>
  <c r="W1044" i="2"/>
  <c r="V1044" i="2"/>
  <c r="U1044" i="2"/>
  <c r="T1044" i="2"/>
  <c r="S1044" i="2"/>
  <c r="R1044" i="2"/>
  <c r="Q1044" i="2"/>
  <c r="P1044" i="2"/>
  <c r="O1044" i="2"/>
  <c r="N1044" i="2"/>
  <c r="M1044" i="2"/>
  <c r="L1044" i="2"/>
  <c r="K1044" i="2"/>
  <c r="J1044" i="2"/>
  <c r="I1044" i="2"/>
  <c r="H1044" i="2"/>
  <c r="G1044" i="2"/>
  <c r="F1044" i="2"/>
  <c r="E1044" i="2"/>
  <c r="D1044" i="2"/>
  <c r="C1044" i="2"/>
  <c r="B1044" i="2"/>
  <c r="A1044" i="2"/>
  <c r="AE1043" i="2"/>
  <c r="AD1043" i="2"/>
  <c r="AC1043" i="2"/>
  <c r="AB1043" i="2"/>
  <c r="AA1043" i="2"/>
  <c r="Z1043" i="2"/>
  <c r="Y1043" i="2"/>
  <c r="X1043" i="2"/>
  <c r="W1043" i="2"/>
  <c r="V1043" i="2"/>
  <c r="U1043" i="2"/>
  <c r="T1043" i="2"/>
  <c r="S1043" i="2"/>
  <c r="R1043" i="2"/>
  <c r="Q1043" i="2"/>
  <c r="P1043" i="2"/>
  <c r="O1043" i="2"/>
  <c r="N1043" i="2"/>
  <c r="M1043" i="2"/>
  <c r="L1043" i="2"/>
  <c r="K1043" i="2"/>
  <c r="J1043" i="2"/>
  <c r="I1043" i="2"/>
  <c r="H1043" i="2"/>
  <c r="G1043" i="2"/>
  <c r="F1043" i="2"/>
  <c r="E1043" i="2"/>
  <c r="D1043" i="2"/>
  <c r="C1043" i="2"/>
  <c r="B1043" i="2"/>
  <c r="A1043" i="2"/>
  <c r="AE1042" i="2"/>
  <c r="AD1042" i="2"/>
  <c r="AC1042" i="2"/>
  <c r="AB1042" i="2"/>
  <c r="AA1042" i="2"/>
  <c r="Z1042" i="2"/>
  <c r="Y1042" i="2"/>
  <c r="X1042" i="2"/>
  <c r="W1042" i="2"/>
  <c r="V1042" i="2"/>
  <c r="U1042" i="2"/>
  <c r="T1042" i="2"/>
  <c r="S1042" i="2"/>
  <c r="R1042" i="2"/>
  <c r="Q1042" i="2"/>
  <c r="P1042" i="2"/>
  <c r="O1042" i="2"/>
  <c r="N1042" i="2"/>
  <c r="M1042" i="2"/>
  <c r="L1042" i="2"/>
  <c r="K1042" i="2"/>
  <c r="J1042" i="2"/>
  <c r="I1042" i="2"/>
  <c r="H1042" i="2"/>
  <c r="G1042" i="2"/>
  <c r="F1042" i="2"/>
  <c r="E1042" i="2"/>
  <c r="D1042" i="2"/>
  <c r="C1042" i="2"/>
  <c r="B1042" i="2"/>
  <c r="A1042" i="2"/>
  <c r="AE1041" i="2"/>
  <c r="AD1041" i="2"/>
  <c r="AC1041" i="2"/>
  <c r="AB1041" i="2"/>
  <c r="AA1041" i="2"/>
  <c r="Z1041" i="2"/>
  <c r="Y1041" i="2"/>
  <c r="X1041" i="2"/>
  <c r="W1041" i="2"/>
  <c r="V1041" i="2"/>
  <c r="U1041" i="2"/>
  <c r="T1041" i="2"/>
  <c r="S1041" i="2"/>
  <c r="R1041" i="2"/>
  <c r="Q1041" i="2"/>
  <c r="P1041" i="2"/>
  <c r="O1041" i="2"/>
  <c r="N1041" i="2"/>
  <c r="M1041" i="2"/>
  <c r="L1041" i="2"/>
  <c r="K1041" i="2"/>
  <c r="J1041" i="2"/>
  <c r="I1041" i="2"/>
  <c r="H1041" i="2"/>
  <c r="G1041" i="2"/>
  <c r="F1041" i="2"/>
  <c r="E1041" i="2"/>
  <c r="D1041" i="2"/>
  <c r="C1041" i="2"/>
  <c r="B1041" i="2"/>
  <c r="A1041" i="2"/>
  <c r="AE1040" i="2"/>
  <c r="AD1040" i="2"/>
  <c r="AC1040" i="2"/>
  <c r="AB1040" i="2"/>
  <c r="AA1040" i="2"/>
  <c r="Z1040" i="2"/>
  <c r="Y1040" i="2"/>
  <c r="X1040" i="2"/>
  <c r="W1040" i="2"/>
  <c r="V1040" i="2"/>
  <c r="U1040" i="2"/>
  <c r="T1040" i="2"/>
  <c r="S1040" i="2"/>
  <c r="R1040" i="2"/>
  <c r="Q1040" i="2"/>
  <c r="P1040" i="2"/>
  <c r="O1040" i="2"/>
  <c r="N1040" i="2"/>
  <c r="M1040" i="2"/>
  <c r="L1040" i="2"/>
  <c r="K1040" i="2"/>
  <c r="J1040" i="2"/>
  <c r="I1040" i="2"/>
  <c r="H1040" i="2"/>
  <c r="G1040" i="2"/>
  <c r="F1040" i="2"/>
  <c r="E1040" i="2"/>
  <c r="D1040" i="2"/>
  <c r="C1040" i="2"/>
  <c r="B1040" i="2"/>
  <c r="A1040" i="2"/>
  <c r="AE1039" i="2"/>
  <c r="AD1039" i="2"/>
  <c r="AC1039" i="2"/>
  <c r="AB1039" i="2"/>
  <c r="AA1039" i="2"/>
  <c r="Z1039" i="2"/>
  <c r="Y1039" i="2"/>
  <c r="X1039" i="2"/>
  <c r="W1039" i="2"/>
  <c r="V1039" i="2"/>
  <c r="U1039" i="2"/>
  <c r="T1039" i="2"/>
  <c r="S1039" i="2"/>
  <c r="R1039" i="2"/>
  <c r="Q1039" i="2"/>
  <c r="P1039" i="2"/>
  <c r="O1039" i="2"/>
  <c r="N1039" i="2"/>
  <c r="M1039" i="2"/>
  <c r="L1039" i="2"/>
  <c r="K1039" i="2"/>
  <c r="J1039" i="2"/>
  <c r="I1039" i="2"/>
  <c r="H1039" i="2"/>
  <c r="G1039" i="2"/>
  <c r="F1039" i="2"/>
  <c r="E1039" i="2"/>
  <c r="D1039" i="2"/>
  <c r="C1039" i="2"/>
  <c r="B1039" i="2"/>
  <c r="A1039" i="2"/>
  <c r="AE1038" i="2"/>
  <c r="AD1038" i="2"/>
  <c r="AC1038" i="2"/>
  <c r="AB1038" i="2"/>
  <c r="AA1038" i="2"/>
  <c r="Z1038" i="2"/>
  <c r="Y1038" i="2"/>
  <c r="X1038" i="2"/>
  <c r="W1038" i="2"/>
  <c r="V1038" i="2"/>
  <c r="U1038" i="2"/>
  <c r="T1038" i="2"/>
  <c r="S1038" i="2"/>
  <c r="R1038" i="2"/>
  <c r="Q1038" i="2"/>
  <c r="P1038" i="2"/>
  <c r="O1038" i="2"/>
  <c r="N1038" i="2"/>
  <c r="M1038" i="2"/>
  <c r="L1038" i="2"/>
  <c r="K1038" i="2"/>
  <c r="J1038" i="2"/>
  <c r="I1038" i="2"/>
  <c r="H1038" i="2"/>
  <c r="G1038" i="2"/>
  <c r="F1038" i="2"/>
  <c r="E1038" i="2"/>
  <c r="D1038" i="2"/>
  <c r="C1038" i="2"/>
  <c r="B1038" i="2"/>
  <c r="A1038" i="2"/>
  <c r="AE1037" i="2"/>
  <c r="AD1037" i="2"/>
  <c r="AC1037" i="2"/>
  <c r="AB1037" i="2"/>
  <c r="AA1037" i="2"/>
  <c r="Z1037" i="2"/>
  <c r="Y1037" i="2"/>
  <c r="X1037" i="2"/>
  <c r="W1037" i="2"/>
  <c r="V1037" i="2"/>
  <c r="U1037" i="2"/>
  <c r="T1037" i="2"/>
  <c r="S1037" i="2"/>
  <c r="R1037" i="2"/>
  <c r="Q1037" i="2"/>
  <c r="P1037" i="2"/>
  <c r="O1037" i="2"/>
  <c r="N1037" i="2"/>
  <c r="M1037" i="2"/>
  <c r="L1037" i="2"/>
  <c r="K1037" i="2"/>
  <c r="J1037" i="2"/>
  <c r="I1037" i="2"/>
  <c r="H1037" i="2"/>
  <c r="G1037" i="2"/>
  <c r="F1037" i="2"/>
  <c r="E1037" i="2"/>
  <c r="D1037" i="2"/>
  <c r="C1037" i="2"/>
  <c r="B1037" i="2"/>
  <c r="A1037" i="2"/>
  <c r="AE1036" i="2"/>
  <c r="AD1036" i="2"/>
  <c r="AC1036" i="2"/>
  <c r="AB1036" i="2"/>
  <c r="AA1036" i="2"/>
  <c r="Z1036" i="2"/>
  <c r="Y1036" i="2"/>
  <c r="X1036" i="2"/>
  <c r="W1036" i="2"/>
  <c r="V1036" i="2"/>
  <c r="U1036" i="2"/>
  <c r="T1036" i="2"/>
  <c r="S1036" i="2"/>
  <c r="R1036" i="2"/>
  <c r="Q1036" i="2"/>
  <c r="P1036" i="2"/>
  <c r="O1036" i="2"/>
  <c r="N1036" i="2"/>
  <c r="M1036" i="2"/>
  <c r="L1036" i="2"/>
  <c r="K1036" i="2"/>
  <c r="J1036" i="2"/>
  <c r="I1036" i="2"/>
  <c r="H1036" i="2"/>
  <c r="G1036" i="2"/>
  <c r="F1036" i="2"/>
  <c r="E1036" i="2"/>
  <c r="D1036" i="2"/>
  <c r="C1036" i="2"/>
  <c r="B1036" i="2"/>
  <c r="A1036" i="2"/>
  <c r="AE1035" i="2"/>
  <c r="AD1035" i="2"/>
  <c r="AC1035" i="2"/>
  <c r="AB1035" i="2"/>
  <c r="AA1035" i="2"/>
  <c r="Z1035" i="2"/>
  <c r="Y1035" i="2"/>
  <c r="X1035" i="2"/>
  <c r="W1035" i="2"/>
  <c r="V1035" i="2"/>
  <c r="U1035" i="2"/>
  <c r="T1035" i="2"/>
  <c r="S1035" i="2"/>
  <c r="R1035" i="2"/>
  <c r="Q1035" i="2"/>
  <c r="P1035" i="2"/>
  <c r="O1035" i="2"/>
  <c r="N1035" i="2"/>
  <c r="M1035" i="2"/>
  <c r="L1035" i="2"/>
  <c r="K1035" i="2"/>
  <c r="J1035" i="2"/>
  <c r="I1035" i="2"/>
  <c r="H1035" i="2"/>
  <c r="G1035" i="2"/>
  <c r="F1035" i="2"/>
  <c r="E1035" i="2"/>
  <c r="D1035" i="2"/>
  <c r="C1035" i="2"/>
  <c r="B1035" i="2"/>
  <c r="A1035" i="2"/>
  <c r="AE1034" i="2"/>
  <c r="AD1034" i="2"/>
  <c r="AC1034" i="2"/>
  <c r="AB1034" i="2"/>
  <c r="AA1034" i="2"/>
  <c r="Z1034" i="2"/>
  <c r="Y1034" i="2"/>
  <c r="X1034" i="2"/>
  <c r="W1034" i="2"/>
  <c r="V1034" i="2"/>
  <c r="U1034" i="2"/>
  <c r="T1034" i="2"/>
  <c r="S1034" i="2"/>
  <c r="R1034" i="2"/>
  <c r="Q1034" i="2"/>
  <c r="P1034" i="2"/>
  <c r="O1034" i="2"/>
  <c r="N1034" i="2"/>
  <c r="M1034" i="2"/>
  <c r="L1034" i="2"/>
  <c r="K1034" i="2"/>
  <c r="J1034" i="2"/>
  <c r="I1034" i="2"/>
  <c r="H1034" i="2"/>
  <c r="G1034" i="2"/>
  <c r="F1034" i="2"/>
  <c r="E1034" i="2"/>
  <c r="D1034" i="2"/>
  <c r="C1034" i="2"/>
  <c r="B1034" i="2"/>
  <c r="A1034" i="2"/>
  <c r="AE1033" i="2"/>
  <c r="AD1033" i="2"/>
  <c r="AC1033" i="2"/>
  <c r="AB1033" i="2"/>
  <c r="AA1033" i="2"/>
  <c r="Z1033" i="2"/>
  <c r="Y1033" i="2"/>
  <c r="X1033" i="2"/>
  <c r="W1033" i="2"/>
  <c r="V1033" i="2"/>
  <c r="U1033" i="2"/>
  <c r="T1033" i="2"/>
  <c r="S1033" i="2"/>
  <c r="R1033" i="2"/>
  <c r="Q1033" i="2"/>
  <c r="P1033" i="2"/>
  <c r="O1033" i="2"/>
  <c r="N1033" i="2"/>
  <c r="M1033" i="2"/>
  <c r="L1033" i="2"/>
  <c r="K1033" i="2"/>
  <c r="J1033" i="2"/>
  <c r="I1033" i="2"/>
  <c r="H1033" i="2"/>
  <c r="G1033" i="2"/>
  <c r="F1033" i="2"/>
  <c r="E1033" i="2"/>
  <c r="D1033" i="2"/>
  <c r="C1033" i="2"/>
  <c r="B1033" i="2"/>
  <c r="A1033" i="2"/>
  <c r="AE1032" i="2"/>
  <c r="AD1032" i="2"/>
  <c r="AC1032" i="2"/>
  <c r="AB1032" i="2"/>
  <c r="AA1032" i="2"/>
  <c r="Z1032" i="2"/>
  <c r="Y1032" i="2"/>
  <c r="X1032" i="2"/>
  <c r="W1032" i="2"/>
  <c r="V1032" i="2"/>
  <c r="U1032" i="2"/>
  <c r="T1032" i="2"/>
  <c r="S1032" i="2"/>
  <c r="R1032" i="2"/>
  <c r="Q1032" i="2"/>
  <c r="P1032" i="2"/>
  <c r="O1032" i="2"/>
  <c r="N1032" i="2"/>
  <c r="M1032" i="2"/>
  <c r="L1032" i="2"/>
  <c r="K1032" i="2"/>
  <c r="J1032" i="2"/>
  <c r="I1032" i="2"/>
  <c r="H1032" i="2"/>
  <c r="G1032" i="2"/>
  <c r="F1032" i="2"/>
  <c r="E1032" i="2"/>
  <c r="D1032" i="2"/>
  <c r="C1032" i="2"/>
  <c r="B1032" i="2"/>
  <c r="A1032" i="2"/>
  <c r="AE1031" i="2"/>
  <c r="AD1031" i="2"/>
  <c r="AC1031" i="2"/>
  <c r="AB1031" i="2"/>
  <c r="AA1031" i="2"/>
  <c r="Z1031" i="2"/>
  <c r="Y1031" i="2"/>
  <c r="X1031" i="2"/>
  <c r="W1031" i="2"/>
  <c r="V1031" i="2"/>
  <c r="U1031" i="2"/>
  <c r="T1031" i="2"/>
  <c r="S1031" i="2"/>
  <c r="R1031" i="2"/>
  <c r="Q1031" i="2"/>
  <c r="P1031" i="2"/>
  <c r="O1031" i="2"/>
  <c r="N1031" i="2"/>
  <c r="M1031" i="2"/>
  <c r="L1031" i="2"/>
  <c r="K1031" i="2"/>
  <c r="J1031" i="2"/>
  <c r="I1031" i="2"/>
  <c r="H1031" i="2"/>
  <c r="G1031" i="2"/>
  <c r="F1031" i="2"/>
  <c r="E1031" i="2"/>
  <c r="D1031" i="2"/>
  <c r="C1031" i="2"/>
  <c r="B1031" i="2"/>
  <c r="A1031" i="2"/>
  <c r="AE1030" i="2"/>
  <c r="AD1030" i="2"/>
  <c r="AC1030" i="2"/>
  <c r="AB1030" i="2"/>
  <c r="AA1030" i="2"/>
  <c r="Z1030" i="2"/>
  <c r="Y1030" i="2"/>
  <c r="X1030" i="2"/>
  <c r="W1030" i="2"/>
  <c r="V1030" i="2"/>
  <c r="U1030" i="2"/>
  <c r="T1030" i="2"/>
  <c r="S1030" i="2"/>
  <c r="R1030" i="2"/>
  <c r="Q1030" i="2"/>
  <c r="P1030" i="2"/>
  <c r="O1030" i="2"/>
  <c r="N1030" i="2"/>
  <c r="M1030" i="2"/>
  <c r="L1030" i="2"/>
  <c r="K1030" i="2"/>
  <c r="J1030" i="2"/>
  <c r="I1030" i="2"/>
  <c r="H1030" i="2"/>
  <c r="G1030" i="2"/>
  <c r="F1030" i="2"/>
  <c r="E1030" i="2"/>
  <c r="D1030" i="2"/>
  <c r="C1030" i="2"/>
  <c r="B1030" i="2"/>
  <c r="A1030" i="2"/>
  <c r="AE1029" i="2"/>
  <c r="AD1029" i="2"/>
  <c r="AC1029" i="2"/>
  <c r="AB1029" i="2"/>
  <c r="AA1029" i="2"/>
  <c r="Z1029" i="2"/>
  <c r="Y1029" i="2"/>
  <c r="X1029" i="2"/>
  <c r="W1029" i="2"/>
  <c r="V1029" i="2"/>
  <c r="U1029" i="2"/>
  <c r="T1029" i="2"/>
  <c r="S1029" i="2"/>
  <c r="R1029" i="2"/>
  <c r="Q1029" i="2"/>
  <c r="P1029" i="2"/>
  <c r="O1029" i="2"/>
  <c r="N1029" i="2"/>
  <c r="M1029" i="2"/>
  <c r="L1029" i="2"/>
  <c r="K1029" i="2"/>
  <c r="J1029" i="2"/>
  <c r="I1029" i="2"/>
  <c r="H1029" i="2"/>
  <c r="G1029" i="2"/>
  <c r="F1029" i="2"/>
  <c r="E1029" i="2"/>
  <c r="D1029" i="2"/>
  <c r="C1029" i="2"/>
  <c r="B1029" i="2"/>
  <c r="A1029" i="2"/>
  <c r="AE1028" i="2"/>
  <c r="AD1028" i="2"/>
  <c r="AC1028" i="2"/>
  <c r="AB1028" i="2"/>
  <c r="AA1028" i="2"/>
  <c r="Z1028" i="2"/>
  <c r="Y1028" i="2"/>
  <c r="X1028" i="2"/>
  <c r="W1028" i="2"/>
  <c r="V1028" i="2"/>
  <c r="U1028" i="2"/>
  <c r="T1028" i="2"/>
  <c r="S1028" i="2"/>
  <c r="R1028" i="2"/>
  <c r="Q1028" i="2"/>
  <c r="P1028" i="2"/>
  <c r="O1028" i="2"/>
  <c r="N1028" i="2"/>
  <c r="M1028" i="2"/>
  <c r="L1028" i="2"/>
  <c r="K1028" i="2"/>
  <c r="J1028" i="2"/>
  <c r="I1028" i="2"/>
  <c r="H1028" i="2"/>
  <c r="G1028" i="2"/>
  <c r="F1028" i="2"/>
  <c r="E1028" i="2"/>
  <c r="D1028" i="2"/>
  <c r="C1028" i="2"/>
  <c r="B1028" i="2"/>
  <c r="A1028" i="2"/>
  <c r="AE1027" i="2"/>
  <c r="AD1027" i="2"/>
  <c r="AC1027" i="2"/>
  <c r="AB1027" i="2"/>
  <c r="AA1027" i="2"/>
  <c r="Z1027" i="2"/>
  <c r="Y1027" i="2"/>
  <c r="X1027" i="2"/>
  <c r="W1027" i="2"/>
  <c r="V1027" i="2"/>
  <c r="U1027" i="2"/>
  <c r="T1027" i="2"/>
  <c r="S1027" i="2"/>
  <c r="R1027" i="2"/>
  <c r="Q1027" i="2"/>
  <c r="P1027" i="2"/>
  <c r="O1027" i="2"/>
  <c r="N1027" i="2"/>
  <c r="M1027" i="2"/>
  <c r="L1027" i="2"/>
  <c r="K1027" i="2"/>
  <c r="J1027" i="2"/>
  <c r="I1027" i="2"/>
  <c r="H1027" i="2"/>
  <c r="G1027" i="2"/>
  <c r="F1027" i="2"/>
  <c r="E1027" i="2"/>
  <c r="D1027" i="2"/>
  <c r="C1027" i="2"/>
  <c r="B1027" i="2"/>
  <c r="A1027" i="2"/>
  <c r="AE1026" i="2"/>
  <c r="AD1026" i="2"/>
  <c r="AC1026" i="2"/>
  <c r="AB1026" i="2"/>
  <c r="AA1026" i="2"/>
  <c r="Z1026" i="2"/>
  <c r="Y1026" i="2"/>
  <c r="X1026" i="2"/>
  <c r="W1026" i="2"/>
  <c r="V1026" i="2"/>
  <c r="U1026" i="2"/>
  <c r="T1026" i="2"/>
  <c r="S1026" i="2"/>
  <c r="R1026" i="2"/>
  <c r="Q1026" i="2"/>
  <c r="P1026" i="2"/>
  <c r="O1026" i="2"/>
  <c r="N1026" i="2"/>
  <c r="M1026" i="2"/>
  <c r="L1026" i="2"/>
  <c r="K1026" i="2"/>
  <c r="J1026" i="2"/>
  <c r="I1026" i="2"/>
  <c r="H1026" i="2"/>
  <c r="G1026" i="2"/>
  <c r="F1026" i="2"/>
  <c r="E1026" i="2"/>
  <c r="D1026" i="2"/>
  <c r="C1026" i="2"/>
  <c r="B1026" i="2"/>
  <c r="A1026" i="2"/>
  <c r="AE1025" i="2"/>
  <c r="AD1025" i="2"/>
  <c r="AC1025" i="2"/>
  <c r="AB1025" i="2"/>
  <c r="AA1025" i="2"/>
  <c r="Z1025" i="2"/>
  <c r="Y1025" i="2"/>
  <c r="X1025" i="2"/>
  <c r="W1025" i="2"/>
  <c r="V1025" i="2"/>
  <c r="U1025" i="2"/>
  <c r="T1025" i="2"/>
  <c r="S1025" i="2"/>
  <c r="R1025" i="2"/>
  <c r="Q1025" i="2"/>
  <c r="P1025" i="2"/>
  <c r="O1025" i="2"/>
  <c r="N1025" i="2"/>
  <c r="M1025" i="2"/>
  <c r="L1025" i="2"/>
  <c r="K1025" i="2"/>
  <c r="J1025" i="2"/>
  <c r="I1025" i="2"/>
  <c r="H1025" i="2"/>
  <c r="G1025" i="2"/>
  <c r="F1025" i="2"/>
  <c r="E1025" i="2"/>
  <c r="D1025" i="2"/>
  <c r="C1025" i="2"/>
  <c r="B1025" i="2"/>
  <c r="A1025" i="2"/>
  <c r="AE1024" i="2"/>
  <c r="AD1024" i="2"/>
  <c r="AC1024" i="2"/>
  <c r="AB1024" i="2"/>
  <c r="AA1024" i="2"/>
  <c r="Z1024" i="2"/>
  <c r="Y1024" i="2"/>
  <c r="X1024" i="2"/>
  <c r="W1024" i="2"/>
  <c r="V1024" i="2"/>
  <c r="U1024" i="2"/>
  <c r="T1024" i="2"/>
  <c r="S1024" i="2"/>
  <c r="R1024" i="2"/>
  <c r="Q1024" i="2"/>
  <c r="P1024" i="2"/>
  <c r="O1024" i="2"/>
  <c r="N1024" i="2"/>
  <c r="M1024" i="2"/>
  <c r="L1024" i="2"/>
  <c r="K1024" i="2"/>
  <c r="J1024" i="2"/>
  <c r="I1024" i="2"/>
  <c r="H1024" i="2"/>
  <c r="G1024" i="2"/>
  <c r="F1024" i="2"/>
  <c r="E1024" i="2"/>
  <c r="D1024" i="2"/>
  <c r="C1024" i="2"/>
  <c r="B1024" i="2"/>
  <c r="A1024" i="2"/>
  <c r="AE1023" i="2"/>
  <c r="AD1023" i="2"/>
  <c r="AC1023" i="2"/>
  <c r="AB1023" i="2"/>
  <c r="AA1023" i="2"/>
  <c r="Z1023" i="2"/>
  <c r="Y1023" i="2"/>
  <c r="X1023" i="2"/>
  <c r="W1023" i="2"/>
  <c r="V1023" i="2"/>
  <c r="U1023" i="2"/>
  <c r="T1023" i="2"/>
  <c r="S1023" i="2"/>
  <c r="R1023" i="2"/>
  <c r="Q1023" i="2"/>
  <c r="P1023" i="2"/>
  <c r="O1023" i="2"/>
  <c r="N1023" i="2"/>
  <c r="M1023" i="2"/>
  <c r="L1023" i="2"/>
  <c r="K1023" i="2"/>
  <c r="J1023" i="2"/>
  <c r="I1023" i="2"/>
  <c r="H1023" i="2"/>
  <c r="G1023" i="2"/>
  <c r="F1023" i="2"/>
  <c r="E1023" i="2"/>
  <c r="D1023" i="2"/>
  <c r="C1023" i="2"/>
  <c r="B1023" i="2"/>
  <c r="A1023" i="2"/>
  <c r="AE1022" i="2"/>
  <c r="AD1022" i="2"/>
  <c r="AC1022" i="2"/>
  <c r="AB1022" i="2"/>
  <c r="AA1022" i="2"/>
  <c r="Z1022" i="2"/>
  <c r="Y1022" i="2"/>
  <c r="X1022" i="2"/>
  <c r="W1022" i="2"/>
  <c r="V1022" i="2"/>
  <c r="U1022" i="2"/>
  <c r="T1022" i="2"/>
  <c r="S1022" i="2"/>
  <c r="R1022" i="2"/>
  <c r="Q1022" i="2"/>
  <c r="P1022" i="2"/>
  <c r="O1022" i="2"/>
  <c r="N1022" i="2"/>
  <c r="M1022" i="2"/>
  <c r="L1022" i="2"/>
  <c r="K1022" i="2"/>
  <c r="J1022" i="2"/>
  <c r="I1022" i="2"/>
  <c r="H1022" i="2"/>
  <c r="G1022" i="2"/>
  <c r="F1022" i="2"/>
  <c r="E1022" i="2"/>
  <c r="D1022" i="2"/>
  <c r="C1022" i="2"/>
  <c r="B1022" i="2"/>
  <c r="A1022" i="2"/>
  <c r="AE1021" i="2"/>
  <c r="AD1021" i="2"/>
  <c r="AC1021" i="2"/>
  <c r="AB1021" i="2"/>
  <c r="AA1021" i="2"/>
  <c r="Z1021" i="2"/>
  <c r="Y1021" i="2"/>
  <c r="X1021" i="2"/>
  <c r="W1021" i="2"/>
  <c r="V1021" i="2"/>
  <c r="U1021" i="2"/>
  <c r="T1021" i="2"/>
  <c r="S1021" i="2"/>
  <c r="R1021" i="2"/>
  <c r="Q1021" i="2"/>
  <c r="P1021" i="2"/>
  <c r="O1021" i="2"/>
  <c r="N1021" i="2"/>
  <c r="M1021" i="2"/>
  <c r="L1021" i="2"/>
  <c r="K1021" i="2"/>
  <c r="J1021" i="2"/>
  <c r="I1021" i="2"/>
  <c r="H1021" i="2"/>
  <c r="G1021" i="2"/>
  <c r="F1021" i="2"/>
  <c r="E1021" i="2"/>
  <c r="D1021" i="2"/>
  <c r="C1021" i="2"/>
  <c r="B1021" i="2"/>
  <c r="A1021" i="2"/>
  <c r="AE1020" i="2"/>
  <c r="AD1020" i="2"/>
  <c r="AC1020" i="2"/>
  <c r="AB1020" i="2"/>
  <c r="AA1020" i="2"/>
  <c r="Z1020" i="2"/>
  <c r="Y1020" i="2"/>
  <c r="X1020" i="2"/>
  <c r="W1020" i="2"/>
  <c r="V1020" i="2"/>
  <c r="U1020" i="2"/>
  <c r="T1020" i="2"/>
  <c r="S1020" i="2"/>
  <c r="R1020" i="2"/>
  <c r="Q1020" i="2"/>
  <c r="P1020" i="2"/>
  <c r="O1020" i="2"/>
  <c r="N1020" i="2"/>
  <c r="M1020" i="2"/>
  <c r="L1020" i="2"/>
  <c r="K1020" i="2"/>
  <c r="J1020" i="2"/>
  <c r="I1020" i="2"/>
  <c r="H1020" i="2"/>
  <c r="G1020" i="2"/>
  <c r="F1020" i="2"/>
  <c r="E1020" i="2"/>
  <c r="D1020" i="2"/>
  <c r="C1020" i="2"/>
  <c r="B1020" i="2"/>
  <c r="A1020" i="2"/>
  <c r="AE1019" i="2"/>
  <c r="AD1019" i="2"/>
  <c r="AC1019" i="2"/>
  <c r="AB1019" i="2"/>
  <c r="AA1019" i="2"/>
  <c r="Z1019" i="2"/>
  <c r="Y1019" i="2"/>
  <c r="X1019" i="2"/>
  <c r="W1019" i="2"/>
  <c r="V1019" i="2"/>
  <c r="U1019" i="2"/>
  <c r="T1019" i="2"/>
  <c r="S1019" i="2"/>
  <c r="R1019" i="2"/>
  <c r="Q1019" i="2"/>
  <c r="P1019" i="2"/>
  <c r="O1019" i="2"/>
  <c r="N1019" i="2"/>
  <c r="M1019" i="2"/>
  <c r="L1019" i="2"/>
  <c r="K1019" i="2"/>
  <c r="J1019" i="2"/>
  <c r="I1019" i="2"/>
  <c r="H1019" i="2"/>
  <c r="G1019" i="2"/>
  <c r="F1019" i="2"/>
  <c r="E1019" i="2"/>
  <c r="D1019" i="2"/>
  <c r="C1019" i="2"/>
  <c r="B1019" i="2"/>
  <c r="A1019" i="2"/>
  <c r="AE1018" i="2"/>
  <c r="AD1018" i="2"/>
  <c r="AC1018" i="2"/>
  <c r="AB1018" i="2"/>
  <c r="AA1018" i="2"/>
  <c r="Z1018" i="2"/>
  <c r="Y1018" i="2"/>
  <c r="X1018" i="2"/>
  <c r="W1018" i="2"/>
  <c r="V1018" i="2"/>
  <c r="U1018" i="2"/>
  <c r="T1018" i="2"/>
  <c r="S1018" i="2"/>
  <c r="R1018" i="2"/>
  <c r="Q1018" i="2"/>
  <c r="P1018" i="2"/>
  <c r="O1018" i="2"/>
  <c r="N1018" i="2"/>
  <c r="M1018" i="2"/>
  <c r="L1018" i="2"/>
  <c r="K1018" i="2"/>
  <c r="J1018" i="2"/>
  <c r="I1018" i="2"/>
  <c r="H1018" i="2"/>
  <c r="G1018" i="2"/>
  <c r="F1018" i="2"/>
  <c r="E1018" i="2"/>
  <c r="D1018" i="2"/>
  <c r="C1018" i="2"/>
  <c r="B1018" i="2"/>
  <c r="A1018" i="2"/>
  <c r="AE1017" i="2"/>
  <c r="AD1017" i="2"/>
  <c r="AC1017" i="2"/>
  <c r="AB1017" i="2"/>
  <c r="AA1017" i="2"/>
  <c r="Z1017" i="2"/>
  <c r="Y1017" i="2"/>
  <c r="X1017" i="2"/>
  <c r="W1017" i="2"/>
  <c r="V1017" i="2"/>
  <c r="U1017" i="2"/>
  <c r="T1017" i="2"/>
  <c r="S1017" i="2"/>
  <c r="R1017" i="2"/>
  <c r="Q1017" i="2"/>
  <c r="P1017" i="2"/>
  <c r="O1017" i="2"/>
  <c r="N1017" i="2"/>
  <c r="M1017" i="2"/>
  <c r="L1017" i="2"/>
  <c r="K1017" i="2"/>
  <c r="J1017" i="2"/>
  <c r="I1017" i="2"/>
  <c r="H1017" i="2"/>
  <c r="G1017" i="2"/>
  <c r="F1017" i="2"/>
  <c r="E1017" i="2"/>
  <c r="D1017" i="2"/>
  <c r="C1017" i="2"/>
  <c r="B1017" i="2"/>
  <c r="A1017" i="2"/>
  <c r="AE1016" i="2"/>
  <c r="AD1016" i="2"/>
  <c r="AC1016" i="2"/>
  <c r="AB1016" i="2"/>
  <c r="AA1016" i="2"/>
  <c r="Z1016" i="2"/>
  <c r="Y1016" i="2"/>
  <c r="X1016" i="2"/>
  <c r="W1016" i="2"/>
  <c r="V1016" i="2"/>
  <c r="U1016" i="2"/>
  <c r="T1016" i="2"/>
  <c r="S1016" i="2"/>
  <c r="R1016" i="2"/>
  <c r="Q1016" i="2"/>
  <c r="P1016" i="2"/>
  <c r="O1016" i="2"/>
  <c r="N1016" i="2"/>
  <c r="M1016" i="2"/>
  <c r="L1016" i="2"/>
  <c r="K1016" i="2"/>
  <c r="J1016" i="2"/>
  <c r="I1016" i="2"/>
  <c r="H1016" i="2"/>
  <c r="G1016" i="2"/>
  <c r="F1016" i="2"/>
  <c r="E1016" i="2"/>
  <c r="D1016" i="2"/>
  <c r="C1016" i="2"/>
  <c r="B1016" i="2"/>
  <c r="A1016" i="2"/>
  <c r="AE1015" i="2"/>
  <c r="AD1015" i="2"/>
  <c r="AC1015" i="2"/>
  <c r="AB1015" i="2"/>
  <c r="AA1015" i="2"/>
  <c r="Z1015" i="2"/>
  <c r="Y1015" i="2"/>
  <c r="X1015" i="2"/>
  <c r="W1015" i="2"/>
  <c r="V1015" i="2"/>
  <c r="U1015" i="2"/>
  <c r="T1015" i="2"/>
  <c r="S1015" i="2"/>
  <c r="R1015" i="2"/>
  <c r="Q1015" i="2"/>
  <c r="P1015" i="2"/>
  <c r="O1015" i="2"/>
  <c r="N1015" i="2"/>
  <c r="M1015" i="2"/>
  <c r="L1015" i="2"/>
  <c r="K1015" i="2"/>
  <c r="J1015" i="2"/>
  <c r="I1015" i="2"/>
  <c r="H1015" i="2"/>
  <c r="G1015" i="2"/>
  <c r="F1015" i="2"/>
  <c r="E1015" i="2"/>
  <c r="D1015" i="2"/>
  <c r="C1015" i="2"/>
  <c r="B1015" i="2"/>
  <c r="A1015" i="2"/>
  <c r="AE1014" i="2"/>
  <c r="AD1014" i="2"/>
  <c r="AC1014" i="2"/>
  <c r="AB1014" i="2"/>
  <c r="AA1014" i="2"/>
  <c r="Z1014" i="2"/>
  <c r="Y1014" i="2"/>
  <c r="X1014" i="2"/>
  <c r="W1014" i="2"/>
  <c r="V1014" i="2"/>
  <c r="U1014" i="2"/>
  <c r="T1014" i="2"/>
  <c r="S1014" i="2"/>
  <c r="R1014" i="2"/>
  <c r="Q1014" i="2"/>
  <c r="P1014" i="2"/>
  <c r="O1014" i="2"/>
  <c r="N1014" i="2"/>
  <c r="M1014" i="2"/>
  <c r="L1014" i="2"/>
  <c r="K1014" i="2"/>
  <c r="J1014" i="2"/>
  <c r="I1014" i="2"/>
  <c r="H1014" i="2"/>
  <c r="G1014" i="2"/>
  <c r="F1014" i="2"/>
  <c r="E1014" i="2"/>
  <c r="D1014" i="2"/>
  <c r="C1014" i="2"/>
  <c r="B1014" i="2"/>
  <c r="A1014" i="2"/>
  <c r="AE1013" i="2"/>
  <c r="AD1013" i="2"/>
  <c r="AC1013" i="2"/>
  <c r="AB1013" i="2"/>
  <c r="AA1013" i="2"/>
  <c r="Z1013" i="2"/>
  <c r="Y1013" i="2"/>
  <c r="X1013" i="2"/>
  <c r="W1013" i="2"/>
  <c r="V1013" i="2"/>
  <c r="U1013" i="2"/>
  <c r="T1013" i="2"/>
  <c r="S1013" i="2"/>
  <c r="R1013" i="2"/>
  <c r="Q1013" i="2"/>
  <c r="P1013" i="2"/>
  <c r="O1013" i="2"/>
  <c r="N1013" i="2"/>
  <c r="M1013" i="2"/>
  <c r="L1013" i="2"/>
  <c r="K1013" i="2"/>
  <c r="J1013" i="2"/>
  <c r="I1013" i="2"/>
  <c r="H1013" i="2"/>
  <c r="G1013" i="2"/>
  <c r="F1013" i="2"/>
  <c r="E1013" i="2"/>
  <c r="D1013" i="2"/>
  <c r="C1013" i="2"/>
  <c r="B1013" i="2"/>
  <c r="A1013" i="2"/>
  <c r="AE1012" i="2"/>
  <c r="AD1012" i="2"/>
  <c r="AC1012" i="2"/>
  <c r="AB1012" i="2"/>
  <c r="AA1012" i="2"/>
  <c r="Z1012" i="2"/>
  <c r="Y1012" i="2"/>
  <c r="X1012" i="2"/>
  <c r="W1012" i="2"/>
  <c r="V1012" i="2"/>
  <c r="U1012" i="2"/>
  <c r="T1012" i="2"/>
  <c r="S1012" i="2"/>
  <c r="R1012" i="2"/>
  <c r="Q1012" i="2"/>
  <c r="P1012" i="2"/>
  <c r="O1012" i="2"/>
  <c r="N1012" i="2"/>
  <c r="M1012" i="2"/>
  <c r="L1012" i="2"/>
  <c r="K1012" i="2"/>
  <c r="J1012" i="2"/>
  <c r="I1012" i="2"/>
  <c r="H1012" i="2"/>
  <c r="G1012" i="2"/>
  <c r="F1012" i="2"/>
  <c r="E1012" i="2"/>
  <c r="D1012" i="2"/>
  <c r="C1012" i="2"/>
  <c r="B1012" i="2"/>
  <c r="A1012" i="2"/>
  <c r="AE1011" i="2"/>
  <c r="AD1011" i="2"/>
  <c r="AC1011" i="2"/>
  <c r="AB1011" i="2"/>
  <c r="AA1011" i="2"/>
  <c r="Z1011" i="2"/>
  <c r="Y1011" i="2"/>
  <c r="X1011" i="2"/>
  <c r="W1011" i="2"/>
  <c r="V1011" i="2"/>
  <c r="U1011" i="2"/>
  <c r="T1011" i="2"/>
  <c r="S1011" i="2"/>
  <c r="R1011" i="2"/>
  <c r="Q1011" i="2"/>
  <c r="P1011" i="2"/>
  <c r="O1011" i="2"/>
  <c r="N1011" i="2"/>
  <c r="M1011" i="2"/>
  <c r="L1011" i="2"/>
  <c r="K1011" i="2"/>
  <c r="J1011" i="2"/>
  <c r="I1011" i="2"/>
  <c r="H1011" i="2"/>
  <c r="G1011" i="2"/>
  <c r="F1011" i="2"/>
  <c r="E1011" i="2"/>
  <c r="D1011" i="2"/>
  <c r="C1011" i="2"/>
  <c r="B1011" i="2"/>
  <c r="A1011" i="2"/>
  <c r="AE1010" i="2"/>
  <c r="AD1010" i="2"/>
  <c r="AC1010" i="2"/>
  <c r="AB1010" i="2"/>
  <c r="AA1010" i="2"/>
  <c r="Z1010" i="2"/>
  <c r="Y1010" i="2"/>
  <c r="X1010" i="2"/>
  <c r="W1010" i="2"/>
  <c r="V1010" i="2"/>
  <c r="U1010" i="2"/>
  <c r="T1010" i="2"/>
  <c r="S1010" i="2"/>
  <c r="R1010" i="2"/>
  <c r="Q1010" i="2"/>
  <c r="P1010" i="2"/>
  <c r="O1010" i="2"/>
  <c r="N1010" i="2"/>
  <c r="M1010" i="2"/>
  <c r="L1010" i="2"/>
  <c r="K1010" i="2"/>
  <c r="J1010" i="2"/>
  <c r="I1010" i="2"/>
  <c r="H1010" i="2"/>
  <c r="G1010" i="2"/>
  <c r="F1010" i="2"/>
  <c r="E1010" i="2"/>
  <c r="D1010" i="2"/>
  <c r="C1010" i="2"/>
  <c r="B1010" i="2"/>
  <c r="A1010" i="2"/>
  <c r="AE1009" i="2"/>
  <c r="AD1009" i="2"/>
  <c r="AC1009" i="2"/>
  <c r="AB1009" i="2"/>
  <c r="AA1009" i="2"/>
  <c r="Z1009" i="2"/>
  <c r="Y1009" i="2"/>
  <c r="X1009" i="2"/>
  <c r="W1009" i="2"/>
  <c r="V1009" i="2"/>
  <c r="U1009" i="2"/>
  <c r="T1009" i="2"/>
  <c r="S1009" i="2"/>
  <c r="R1009" i="2"/>
  <c r="Q1009" i="2"/>
  <c r="P1009" i="2"/>
  <c r="O1009" i="2"/>
  <c r="N1009" i="2"/>
  <c r="M1009" i="2"/>
  <c r="L1009" i="2"/>
  <c r="K1009" i="2"/>
  <c r="J1009" i="2"/>
  <c r="I1009" i="2"/>
  <c r="H1009" i="2"/>
  <c r="G1009" i="2"/>
  <c r="F1009" i="2"/>
  <c r="E1009" i="2"/>
  <c r="D1009" i="2"/>
  <c r="C1009" i="2"/>
  <c r="B1009" i="2"/>
  <c r="A1009" i="2"/>
  <c r="AE1008" i="2"/>
  <c r="AD1008" i="2"/>
  <c r="AC1008" i="2"/>
  <c r="AB1008" i="2"/>
  <c r="AA1008" i="2"/>
  <c r="Z1008" i="2"/>
  <c r="Y1008" i="2"/>
  <c r="X1008" i="2"/>
  <c r="W1008" i="2"/>
  <c r="V1008" i="2"/>
  <c r="U1008" i="2"/>
  <c r="T1008" i="2"/>
  <c r="S1008" i="2"/>
  <c r="R1008" i="2"/>
  <c r="Q1008" i="2"/>
  <c r="P1008" i="2"/>
  <c r="O1008" i="2"/>
  <c r="N1008" i="2"/>
  <c r="M1008" i="2"/>
  <c r="L1008" i="2"/>
  <c r="K1008" i="2"/>
  <c r="J1008" i="2"/>
  <c r="I1008" i="2"/>
  <c r="H1008" i="2"/>
  <c r="G1008" i="2"/>
  <c r="F1008" i="2"/>
  <c r="E1008" i="2"/>
  <c r="D1008" i="2"/>
  <c r="C1008" i="2"/>
  <c r="B1008" i="2"/>
  <c r="A1008" i="2"/>
  <c r="AE1007" i="2"/>
  <c r="AD1007" i="2"/>
  <c r="AC1007" i="2"/>
  <c r="AB1007" i="2"/>
  <c r="AA1007" i="2"/>
  <c r="Z1007" i="2"/>
  <c r="Y1007" i="2"/>
  <c r="X1007" i="2"/>
  <c r="W1007" i="2"/>
  <c r="V1007" i="2"/>
  <c r="U1007" i="2"/>
  <c r="T1007" i="2"/>
  <c r="S1007" i="2"/>
  <c r="R1007" i="2"/>
  <c r="Q1007" i="2"/>
  <c r="P1007" i="2"/>
  <c r="O1007" i="2"/>
  <c r="N1007" i="2"/>
  <c r="M1007" i="2"/>
  <c r="L1007" i="2"/>
  <c r="K1007" i="2"/>
  <c r="J1007" i="2"/>
  <c r="I1007" i="2"/>
  <c r="H1007" i="2"/>
  <c r="G1007" i="2"/>
  <c r="F1007" i="2"/>
  <c r="E1007" i="2"/>
  <c r="D1007" i="2"/>
  <c r="C1007" i="2"/>
  <c r="B1007" i="2"/>
  <c r="A1007" i="2"/>
  <c r="AE1006" i="2"/>
  <c r="AD1006" i="2"/>
  <c r="AC1006" i="2"/>
  <c r="AB1006" i="2"/>
  <c r="AA1006" i="2"/>
  <c r="Z1006" i="2"/>
  <c r="Y1006" i="2"/>
  <c r="X1006" i="2"/>
  <c r="W1006" i="2"/>
  <c r="V1006" i="2"/>
  <c r="U1006" i="2"/>
  <c r="T1006" i="2"/>
  <c r="S1006" i="2"/>
  <c r="R1006" i="2"/>
  <c r="Q1006" i="2"/>
  <c r="P1006" i="2"/>
  <c r="O1006" i="2"/>
  <c r="N1006" i="2"/>
  <c r="M1006" i="2"/>
  <c r="L1006" i="2"/>
  <c r="K1006" i="2"/>
  <c r="J1006" i="2"/>
  <c r="I1006" i="2"/>
  <c r="H1006" i="2"/>
  <c r="G1006" i="2"/>
  <c r="F1006" i="2"/>
  <c r="E1006" i="2"/>
  <c r="D1006" i="2"/>
  <c r="C1006" i="2"/>
  <c r="B1006" i="2"/>
  <c r="A1006" i="2"/>
  <c r="AE1005" i="2"/>
  <c r="AD1005" i="2"/>
  <c r="AC1005" i="2"/>
  <c r="AB1005" i="2"/>
  <c r="AA1005" i="2"/>
  <c r="Z1005" i="2"/>
  <c r="Y1005" i="2"/>
  <c r="X1005" i="2"/>
  <c r="W1005" i="2"/>
  <c r="V1005" i="2"/>
  <c r="U1005" i="2"/>
  <c r="T1005" i="2"/>
  <c r="S1005" i="2"/>
  <c r="R1005" i="2"/>
  <c r="Q1005" i="2"/>
  <c r="P1005" i="2"/>
  <c r="O1005" i="2"/>
  <c r="N1005" i="2"/>
  <c r="M1005" i="2"/>
  <c r="L1005" i="2"/>
  <c r="K1005" i="2"/>
  <c r="J1005" i="2"/>
  <c r="I1005" i="2"/>
  <c r="H1005" i="2"/>
  <c r="G1005" i="2"/>
  <c r="F1005" i="2"/>
  <c r="E1005" i="2"/>
  <c r="D1005" i="2"/>
  <c r="C1005" i="2"/>
  <c r="B1005" i="2"/>
  <c r="A1005" i="2"/>
  <c r="AE1004" i="2"/>
  <c r="AD1004" i="2"/>
  <c r="AC1004" i="2"/>
  <c r="AB1004" i="2"/>
  <c r="AA1004" i="2"/>
  <c r="Z1004" i="2"/>
  <c r="Y1004" i="2"/>
  <c r="X1004" i="2"/>
  <c r="W1004" i="2"/>
  <c r="V1004" i="2"/>
  <c r="U1004" i="2"/>
  <c r="T1004" i="2"/>
  <c r="S1004" i="2"/>
  <c r="R1004" i="2"/>
  <c r="Q1004" i="2"/>
  <c r="P1004" i="2"/>
  <c r="O1004" i="2"/>
  <c r="N1004" i="2"/>
  <c r="M1004" i="2"/>
  <c r="L1004" i="2"/>
  <c r="K1004" i="2"/>
  <c r="J1004" i="2"/>
  <c r="I1004" i="2"/>
  <c r="H1004" i="2"/>
  <c r="G1004" i="2"/>
  <c r="F1004" i="2"/>
  <c r="E1004" i="2"/>
  <c r="D1004" i="2"/>
  <c r="C1004" i="2"/>
  <c r="B1004" i="2"/>
  <c r="A1004" i="2"/>
  <c r="AE1003" i="2"/>
  <c r="AD1003" i="2"/>
  <c r="AC1003" i="2"/>
  <c r="AB1003" i="2"/>
  <c r="AA1003" i="2"/>
  <c r="Z1003" i="2"/>
  <c r="Y1003" i="2"/>
  <c r="X1003" i="2"/>
  <c r="W1003" i="2"/>
  <c r="V1003" i="2"/>
  <c r="U1003" i="2"/>
  <c r="T1003" i="2"/>
  <c r="S1003" i="2"/>
  <c r="R1003" i="2"/>
  <c r="Q1003" i="2"/>
  <c r="P1003" i="2"/>
  <c r="O1003" i="2"/>
  <c r="N1003" i="2"/>
  <c r="M1003" i="2"/>
  <c r="L1003" i="2"/>
  <c r="K1003" i="2"/>
  <c r="J1003" i="2"/>
  <c r="I1003" i="2"/>
  <c r="H1003" i="2"/>
  <c r="G1003" i="2"/>
  <c r="F1003" i="2"/>
  <c r="E1003" i="2"/>
  <c r="D1003" i="2"/>
  <c r="C1003" i="2"/>
  <c r="B1003" i="2"/>
  <c r="A1003" i="2"/>
  <c r="AE1002" i="2"/>
  <c r="AD1002" i="2"/>
  <c r="AC1002" i="2"/>
  <c r="AB1002" i="2"/>
  <c r="AA1002" i="2"/>
  <c r="Z1002" i="2"/>
  <c r="Y1002" i="2"/>
  <c r="X1002" i="2"/>
  <c r="W1002" i="2"/>
  <c r="V1002" i="2"/>
  <c r="U1002" i="2"/>
  <c r="T1002" i="2"/>
  <c r="S1002" i="2"/>
  <c r="R1002" i="2"/>
  <c r="Q1002" i="2"/>
  <c r="P1002" i="2"/>
  <c r="O1002" i="2"/>
  <c r="N1002" i="2"/>
  <c r="M1002" i="2"/>
  <c r="L1002" i="2"/>
  <c r="K1002" i="2"/>
  <c r="J1002" i="2"/>
  <c r="I1002" i="2"/>
  <c r="H1002" i="2"/>
  <c r="G1002" i="2"/>
  <c r="F1002" i="2"/>
  <c r="E1002" i="2"/>
  <c r="D1002" i="2"/>
  <c r="C1002" i="2"/>
  <c r="B1002" i="2"/>
  <c r="A1002" i="2"/>
  <c r="AE1001" i="2"/>
  <c r="AD1001" i="2"/>
  <c r="AC1001" i="2"/>
  <c r="AB1001" i="2"/>
  <c r="AA1001" i="2"/>
  <c r="Z1001" i="2"/>
  <c r="Y1001" i="2"/>
  <c r="X1001" i="2"/>
  <c r="W1001" i="2"/>
  <c r="V1001" i="2"/>
  <c r="U1001" i="2"/>
  <c r="T1001" i="2"/>
  <c r="S1001" i="2"/>
  <c r="R1001" i="2"/>
  <c r="Q1001" i="2"/>
  <c r="P1001" i="2"/>
  <c r="O1001" i="2"/>
  <c r="N1001" i="2"/>
  <c r="M1001" i="2"/>
  <c r="L1001" i="2"/>
  <c r="K1001" i="2"/>
  <c r="J1001" i="2"/>
  <c r="I1001" i="2"/>
  <c r="H1001" i="2"/>
  <c r="G1001" i="2"/>
  <c r="F1001" i="2"/>
  <c r="E1001" i="2"/>
  <c r="D1001" i="2"/>
  <c r="C1001" i="2"/>
  <c r="B1001" i="2"/>
  <c r="A1001" i="2"/>
  <c r="AE1000" i="2"/>
  <c r="AD1000" i="2"/>
  <c r="AC1000" i="2"/>
  <c r="AB1000" i="2"/>
  <c r="AA1000" i="2"/>
  <c r="Z1000" i="2"/>
  <c r="Y1000" i="2"/>
  <c r="X1000" i="2"/>
  <c r="W1000" i="2"/>
  <c r="V1000" i="2"/>
  <c r="U1000" i="2"/>
  <c r="T1000" i="2"/>
  <c r="S1000" i="2"/>
  <c r="R1000" i="2"/>
  <c r="Q1000" i="2"/>
  <c r="P1000" i="2"/>
  <c r="O1000" i="2"/>
  <c r="N1000" i="2"/>
  <c r="M1000" i="2"/>
  <c r="L1000" i="2"/>
  <c r="K1000" i="2"/>
  <c r="J1000" i="2"/>
  <c r="I1000" i="2"/>
  <c r="H1000" i="2"/>
  <c r="G1000" i="2"/>
  <c r="F1000" i="2"/>
  <c r="E1000" i="2"/>
  <c r="D1000" i="2"/>
  <c r="C1000" i="2"/>
  <c r="B1000" i="2"/>
  <c r="A1000" i="2"/>
  <c r="AE999" i="2"/>
  <c r="AD999" i="2"/>
  <c r="AC999" i="2"/>
  <c r="AB999" i="2"/>
  <c r="AA999" i="2"/>
  <c r="Z999" i="2"/>
  <c r="Y999" i="2"/>
  <c r="X999" i="2"/>
  <c r="W999" i="2"/>
  <c r="V999" i="2"/>
  <c r="U999" i="2"/>
  <c r="T999" i="2"/>
  <c r="S999" i="2"/>
  <c r="R999" i="2"/>
  <c r="Q999" i="2"/>
  <c r="P999" i="2"/>
  <c r="O999" i="2"/>
  <c r="N999" i="2"/>
  <c r="M999" i="2"/>
  <c r="L999" i="2"/>
  <c r="K999" i="2"/>
  <c r="J999" i="2"/>
  <c r="I999" i="2"/>
  <c r="H999" i="2"/>
  <c r="G999" i="2"/>
  <c r="F999" i="2"/>
  <c r="E999" i="2"/>
  <c r="D999" i="2"/>
  <c r="C999" i="2"/>
  <c r="B999" i="2"/>
  <c r="A999" i="2"/>
  <c r="AE998" i="2"/>
  <c r="AD998" i="2"/>
  <c r="AC998" i="2"/>
  <c r="AB998" i="2"/>
  <c r="AA998" i="2"/>
  <c r="Z998" i="2"/>
  <c r="Y998" i="2"/>
  <c r="X998" i="2"/>
  <c r="W998" i="2"/>
  <c r="V998" i="2"/>
  <c r="U998" i="2"/>
  <c r="T998" i="2"/>
  <c r="S998" i="2"/>
  <c r="R998" i="2"/>
  <c r="Q998" i="2"/>
  <c r="P998" i="2"/>
  <c r="O998" i="2"/>
  <c r="N998" i="2"/>
  <c r="M998" i="2"/>
  <c r="L998" i="2"/>
  <c r="K998" i="2"/>
  <c r="J998" i="2"/>
  <c r="I998" i="2"/>
  <c r="H998" i="2"/>
  <c r="G998" i="2"/>
  <c r="F998" i="2"/>
  <c r="E998" i="2"/>
  <c r="D998" i="2"/>
  <c r="C998" i="2"/>
  <c r="B998" i="2"/>
  <c r="A998" i="2"/>
  <c r="AE997" i="2"/>
  <c r="AD997" i="2"/>
  <c r="AC997" i="2"/>
  <c r="AB997" i="2"/>
  <c r="AA997" i="2"/>
  <c r="Z997" i="2"/>
  <c r="Y997" i="2"/>
  <c r="X997" i="2"/>
  <c r="W997" i="2"/>
  <c r="V997" i="2"/>
  <c r="U997" i="2"/>
  <c r="T997" i="2"/>
  <c r="S997" i="2"/>
  <c r="R997" i="2"/>
  <c r="Q997" i="2"/>
  <c r="P997" i="2"/>
  <c r="O997" i="2"/>
  <c r="N997" i="2"/>
  <c r="M997" i="2"/>
  <c r="L997" i="2"/>
  <c r="K997" i="2"/>
  <c r="J997" i="2"/>
  <c r="I997" i="2"/>
  <c r="H997" i="2"/>
  <c r="G997" i="2"/>
  <c r="F997" i="2"/>
  <c r="E997" i="2"/>
  <c r="D997" i="2"/>
  <c r="C997" i="2"/>
  <c r="B997" i="2"/>
  <c r="A997" i="2"/>
  <c r="AE996" i="2"/>
  <c r="AD996" i="2"/>
  <c r="AC996" i="2"/>
  <c r="AB996" i="2"/>
  <c r="AA996" i="2"/>
  <c r="Z996" i="2"/>
  <c r="Y996" i="2"/>
  <c r="X996" i="2"/>
  <c r="W996" i="2"/>
  <c r="V996" i="2"/>
  <c r="U996" i="2"/>
  <c r="T996" i="2"/>
  <c r="S996" i="2"/>
  <c r="R996" i="2"/>
  <c r="Q996" i="2"/>
  <c r="P996" i="2"/>
  <c r="O996" i="2"/>
  <c r="N996" i="2"/>
  <c r="M996" i="2"/>
  <c r="L996" i="2"/>
  <c r="K996" i="2"/>
  <c r="J996" i="2"/>
  <c r="I996" i="2"/>
  <c r="H996" i="2"/>
  <c r="G996" i="2"/>
  <c r="F996" i="2"/>
  <c r="E996" i="2"/>
  <c r="D996" i="2"/>
  <c r="C996" i="2"/>
  <c r="B996" i="2"/>
  <c r="A996" i="2"/>
  <c r="AE995" i="2"/>
  <c r="AD995" i="2"/>
  <c r="AC995" i="2"/>
  <c r="AB995" i="2"/>
  <c r="AA995" i="2"/>
  <c r="Z995" i="2"/>
  <c r="Y995" i="2"/>
  <c r="X995" i="2"/>
  <c r="W995" i="2"/>
  <c r="V995" i="2"/>
  <c r="U995" i="2"/>
  <c r="T995" i="2"/>
  <c r="S995" i="2"/>
  <c r="R995" i="2"/>
  <c r="Q995" i="2"/>
  <c r="P995" i="2"/>
  <c r="O995" i="2"/>
  <c r="N995" i="2"/>
  <c r="M995" i="2"/>
  <c r="L995" i="2"/>
  <c r="K995" i="2"/>
  <c r="J995" i="2"/>
  <c r="I995" i="2"/>
  <c r="H995" i="2"/>
  <c r="G995" i="2"/>
  <c r="F995" i="2"/>
  <c r="E995" i="2"/>
  <c r="D995" i="2"/>
  <c r="C995" i="2"/>
  <c r="B995" i="2"/>
  <c r="A995" i="2"/>
  <c r="AE994" i="2"/>
  <c r="AD994" i="2"/>
  <c r="AC994" i="2"/>
  <c r="AB994" i="2"/>
  <c r="AA994" i="2"/>
  <c r="Z994" i="2"/>
  <c r="Y994" i="2"/>
  <c r="X994" i="2"/>
  <c r="W994" i="2"/>
  <c r="V994" i="2"/>
  <c r="U994" i="2"/>
  <c r="T994" i="2"/>
  <c r="S994" i="2"/>
  <c r="R994" i="2"/>
  <c r="Q994" i="2"/>
  <c r="P994" i="2"/>
  <c r="O994" i="2"/>
  <c r="N994" i="2"/>
  <c r="M994" i="2"/>
  <c r="L994" i="2"/>
  <c r="K994" i="2"/>
  <c r="J994" i="2"/>
  <c r="I994" i="2"/>
  <c r="H994" i="2"/>
  <c r="G994" i="2"/>
  <c r="F994" i="2"/>
  <c r="E994" i="2"/>
  <c r="D994" i="2"/>
  <c r="C994" i="2"/>
  <c r="B994" i="2"/>
  <c r="A994" i="2"/>
  <c r="AE993" i="2"/>
  <c r="AD993" i="2"/>
  <c r="AC993" i="2"/>
  <c r="AB993" i="2"/>
  <c r="AA993" i="2"/>
  <c r="Z993" i="2"/>
  <c r="Y993" i="2"/>
  <c r="X993" i="2"/>
  <c r="W993" i="2"/>
  <c r="V993" i="2"/>
  <c r="U993" i="2"/>
  <c r="T993" i="2"/>
  <c r="S993" i="2"/>
  <c r="R993" i="2"/>
  <c r="Q993" i="2"/>
  <c r="P993" i="2"/>
  <c r="O993" i="2"/>
  <c r="N993" i="2"/>
  <c r="M993" i="2"/>
  <c r="L993" i="2"/>
  <c r="K993" i="2"/>
  <c r="J993" i="2"/>
  <c r="I993" i="2"/>
  <c r="H993" i="2"/>
  <c r="G993" i="2"/>
  <c r="F993" i="2"/>
  <c r="E993" i="2"/>
  <c r="D993" i="2"/>
  <c r="C993" i="2"/>
  <c r="B993" i="2"/>
  <c r="A993" i="2"/>
  <c r="AE992" i="2"/>
  <c r="AD992" i="2"/>
  <c r="AC992" i="2"/>
  <c r="AB992" i="2"/>
  <c r="AA992" i="2"/>
  <c r="Z992" i="2"/>
  <c r="Y992" i="2"/>
  <c r="X992" i="2"/>
  <c r="W992" i="2"/>
  <c r="V992" i="2"/>
  <c r="U992" i="2"/>
  <c r="T992" i="2"/>
  <c r="S992" i="2"/>
  <c r="R992" i="2"/>
  <c r="Q992" i="2"/>
  <c r="P992" i="2"/>
  <c r="O992" i="2"/>
  <c r="N992" i="2"/>
  <c r="M992" i="2"/>
  <c r="L992" i="2"/>
  <c r="K992" i="2"/>
  <c r="J992" i="2"/>
  <c r="I992" i="2"/>
  <c r="H992" i="2"/>
  <c r="G992" i="2"/>
  <c r="F992" i="2"/>
  <c r="E992" i="2"/>
  <c r="D992" i="2"/>
  <c r="C992" i="2"/>
  <c r="B992" i="2"/>
  <c r="A992" i="2"/>
  <c r="AE991" i="2"/>
  <c r="AD991" i="2"/>
  <c r="AC991" i="2"/>
  <c r="AB991" i="2"/>
  <c r="AA991" i="2"/>
  <c r="Z991" i="2"/>
  <c r="Y991" i="2"/>
  <c r="X991" i="2"/>
  <c r="W991" i="2"/>
  <c r="V991" i="2"/>
  <c r="U991" i="2"/>
  <c r="T991" i="2"/>
  <c r="S991" i="2"/>
  <c r="R991" i="2"/>
  <c r="Q991" i="2"/>
  <c r="P991" i="2"/>
  <c r="O991" i="2"/>
  <c r="N991" i="2"/>
  <c r="M991" i="2"/>
  <c r="L991" i="2"/>
  <c r="K991" i="2"/>
  <c r="J991" i="2"/>
  <c r="I991" i="2"/>
  <c r="H991" i="2"/>
  <c r="G991" i="2"/>
  <c r="F991" i="2"/>
  <c r="E991" i="2"/>
  <c r="D991" i="2"/>
  <c r="C991" i="2"/>
  <c r="B991" i="2"/>
  <c r="A991" i="2"/>
  <c r="AE990" i="2"/>
  <c r="AD990" i="2"/>
  <c r="AC990" i="2"/>
  <c r="AB990" i="2"/>
  <c r="AA990" i="2"/>
  <c r="Z990" i="2"/>
  <c r="Y990" i="2"/>
  <c r="X990" i="2"/>
  <c r="W990" i="2"/>
  <c r="V990" i="2"/>
  <c r="U990" i="2"/>
  <c r="T990" i="2"/>
  <c r="S990" i="2"/>
  <c r="R990" i="2"/>
  <c r="Q990" i="2"/>
  <c r="P990" i="2"/>
  <c r="O990" i="2"/>
  <c r="N990" i="2"/>
  <c r="M990" i="2"/>
  <c r="L990" i="2"/>
  <c r="K990" i="2"/>
  <c r="J990" i="2"/>
  <c r="I990" i="2"/>
  <c r="H990" i="2"/>
  <c r="G990" i="2"/>
  <c r="F990" i="2"/>
  <c r="E990" i="2"/>
  <c r="D990" i="2"/>
  <c r="C990" i="2"/>
  <c r="B990" i="2"/>
  <c r="A990" i="2"/>
  <c r="AE989" i="2"/>
  <c r="AD989" i="2"/>
  <c r="AC989" i="2"/>
  <c r="AB989" i="2"/>
  <c r="AA989" i="2"/>
  <c r="Z989" i="2"/>
  <c r="Y989" i="2"/>
  <c r="X989" i="2"/>
  <c r="W989" i="2"/>
  <c r="V989" i="2"/>
  <c r="U989" i="2"/>
  <c r="T989" i="2"/>
  <c r="S989" i="2"/>
  <c r="R989" i="2"/>
  <c r="Q989" i="2"/>
  <c r="P989" i="2"/>
  <c r="O989" i="2"/>
  <c r="N989" i="2"/>
  <c r="M989" i="2"/>
  <c r="L989" i="2"/>
  <c r="K989" i="2"/>
  <c r="J989" i="2"/>
  <c r="I989" i="2"/>
  <c r="H989" i="2"/>
  <c r="G989" i="2"/>
  <c r="F989" i="2"/>
  <c r="E989" i="2"/>
  <c r="D989" i="2"/>
  <c r="C989" i="2"/>
  <c r="B989" i="2"/>
  <c r="A989" i="2"/>
  <c r="AE988" i="2"/>
  <c r="AD988" i="2"/>
  <c r="AC988" i="2"/>
  <c r="AB988" i="2"/>
  <c r="AA988" i="2"/>
  <c r="Z988" i="2"/>
  <c r="Y988" i="2"/>
  <c r="X988" i="2"/>
  <c r="W988" i="2"/>
  <c r="V988" i="2"/>
  <c r="U988" i="2"/>
  <c r="T988" i="2"/>
  <c r="S988" i="2"/>
  <c r="R988" i="2"/>
  <c r="Q988" i="2"/>
  <c r="P988" i="2"/>
  <c r="O988" i="2"/>
  <c r="N988" i="2"/>
  <c r="M988" i="2"/>
  <c r="L988" i="2"/>
  <c r="K988" i="2"/>
  <c r="J988" i="2"/>
  <c r="I988" i="2"/>
  <c r="H988" i="2"/>
  <c r="G988" i="2"/>
  <c r="F988" i="2"/>
  <c r="E988" i="2"/>
  <c r="D988" i="2"/>
  <c r="C988" i="2"/>
  <c r="B988" i="2"/>
  <c r="A988" i="2"/>
  <c r="AE987" i="2"/>
  <c r="AD987" i="2"/>
  <c r="AC987" i="2"/>
  <c r="AB987" i="2"/>
  <c r="AA987" i="2"/>
  <c r="Z987" i="2"/>
  <c r="Y987" i="2"/>
  <c r="X987" i="2"/>
  <c r="W987" i="2"/>
  <c r="V987" i="2"/>
  <c r="U987" i="2"/>
  <c r="T987" i="2"/>
  <c r="S987" i="2"/>
  <c r="R987" i="2"/>
  <c r="Q987" i="2"/>
  <c r="P987" i="2"/>
  <c r="O987" i="2"/>
  <c r="N987" i="2"/>
  <c r="M987" i="2"/>
  <c r="L987" i="2"/>
  <c r="K987" i="2"/>
  <c r="J987" i="2"/>
  <c r="I987" i="2"/>
  <c r="H987" i="2"/>
  <c r="G987" i="2"/>
  <c r="F987" i="2"/>
  <c r="E987" i="2"/>
  <c r="D987" i="2"/>
  <c r="C987" i="2"/>
  <c r="B987" i="2"/>
  <c r="A987" i="2"/>
  <c r="AE986" i="2"/>
  <c r="AD986" i="2"/>
  <c r="AC986" i="2"/>
  <c r="AB986" i="2"/>
  <c r="AA986" i="2"/>
  <c r="Z986" i="2"/>
  <c r="Y986" i="2"/>
  <c r="X986" i="2"/>
  <c r="W986" i="2"/>
  <c r="V986" i="2"/>
  <c r="U986" i="2"/>
  <c r="T986" i="2"/>
  <c r="S986" i="2"/>
  <c r="R986" i="2"/>
  <c r="Q986" i="2"/>
  <c r="P986" i="2"/>
  <c r="O986" i="2"/>
  <c r="N986" i="2"/>
  <c r="M986" i="2"/>
  <c r="L986" i="2"/>
  <c r="K986" i="2"/>
  <c r="J986" i="2"/>
  <c r="I986" i="2"/>
  <c r="H986" i="2"/>
  <c r="G986" i="2"/>
  <c r="F986" i="2"/>
  <c r="E986" i="2"/>
  <c r="D986" i="2"/>
  <c r="C986" i="2"/>
  <c r="B986" i="2"/>
  <c r="A986" i="2"/>
  <c r="AE985" i="2"/>
  <c r="AD985" i="2"/>
  <c r="AC985" i="2"/>
  <c r="AB985" i="2"/>
  <c r="AA985" i="2"/>
  <c r="Z985" i="2"/>
  <c r="Y985" i="2"/>
  <c r="X985" i="2"/>
  <c r="W985" i="2"/>
  <c r="V985" i="2"/>
  <c r="U985" i="2"/>
  <c r="T985" i="2"/>
  <c r="S985" i="2"/>
  <c r="R985" i="2"/>
  <c r="Q985" i="2"/>
  <c r="P985" i="2"/>
  <c r="O985" i="2"/>
  <c r="N985" i="2"/>
  <c r="M985" i="2"/>
  <c r="L985" i="2"/>
  <c r="K985" i="2"/>
  <c r="J985" i="2"/>
  <c r="I985" i="2"/>
  <c r="H985" i="2"/>
  <c r="G985" i="2"/>
  <c r="F985" i="2"/>
  <c r="E985" i="2"/>
  <c r="D985" i="2"/>
  <c r="C985" i="2"/>
  <c r="B985" i="2"/>
  <c r="A985" i="2"/>
  <c r="AE984" i="2"/>
  <c r="AD984" i="2"/>
  <c r="AC984" i="2"/>
  <c r="AB984" i="2"/>
  <c r="AA984" i="2"/>
  <c r="Z984" i="2"/>
  <c r="Y984" i="2"/>
  <c r="X984" i="2"/>
  <c r="W984" i="2"/>
  <c r="V984" i="2"/>
  <c r="U984" i="2"/>
  <c r="T984" i="2"/>
  <c r="S984" i="2"/>
  <c r="R984" i="2"/>
  <c r="Q984" i="2"/>
  <c r="P984" i="2"/>
  <c r="O984" i="2"/>
  <c r="N984" i="2"/>
  <c r="M984" i="2"/>
  <c r="L984" i="2"/>
  <c r="K984" i="2"/>
  <c r="J984" i="2"/>
  <c r="I984" i="2"/>
  <c r="H984" i="2"/>
  <c r="G984" i="2"/>
  <c r="F984" i="2"/>
  <c r="E984" i="2"/>
  <c r="D984" i="2"/>
  <c r="C984" i="2"/>
  <c r="B984" i="2"/>
  <c r="A984" i="2"/>
  <c r="AE983" i="2"/>
  <c r="AD983" i="2"/>
  <c r="AC983" i="2"/>
  <c r="AB983" i="2"/>
  <c r="AA983" i="2"/>
  <c r="Z983" i="2"/>
  <c r="Y983" i="2"/>
  <c r="X983" i="2"/>
  <c r="W983" i="2"/>
  <c r="V983" i="2"/>
  <c r="U983" i="2"/>
  <c r="T983" i="2"/>
  <c r="S983" i="2"/>
  <c r="R983" i="2"/>
  <c r="Q983" i="2"/>
  <c r="P983" i="2"/>
  <c r="O983" i="2"/>
  <c r="N983" i="2"/>
  <c r="M983" i="2"/>
  <c r="L983" i="2"/>
  <c r="K983" i="2"/>
  <c r="J983" i="2"/>
  <c r="I983" i="2"/>
  <c r="H983" i="2"/>
  <c r="G983" i="2"/>
  <c r="F983" i="2"/>
  <c r="E983" i="2"/>
  <c r="D983" i="2"/>
  <c r="C983" i="2"/>
  <c r="B983" i="2"/>
  <c r="A983" i="2"/>
  <c r="AE982" i="2"/>
  <c r="AD982" i="2"/>
  <c r="AC982" i="2"/>
  <c r="AB982" i="2"/>
  <c r="AA982" i="2"/>
  <c r="Z982" i="2"/>
  <c r="Y982" i="2"/>
  <c r="X982" i="2"/>
  <c r="W982" i="2"/>
  <c r="V982" i="2"/>
  <c r="U982" i="2"/>
  <c r="T982" i="2"/>
  <c r="S982" i="2"/>
  <c r="R982" i="2"/>
  <c r="Q982" i="2"/>
  <c r="P982" i="2"/>
  <c r="O982" i="2"/>
  <c r="N982" i="2"/>
  <c r="M982" i="2"/>
  <c r="L982" i="2"/>
  <c r="K982" i="2"/>
  <c r="J982" i="2"/>
  <c r="I982" i="2"/>
  <c r="H982" i="2"/>
  <c r="G982" i="2"/>
  <c r="F982" i="2"/>
  <c r="E982" i="2"/>
  <c r="D982" i="2"/>
  <c r="C982" i="2"/>
  <c r="B982" i="2"/>
  <c r="A982" i="2"/>
  <c r="AE981" i="2"/>
  <c r="AD981" i="2"/>
  <c r="AC981" i="2"/>
  <c r="AB981" i="2"/>
  <c r="AA981" i="2"/>
  <c r="Z981" i="2"/>
  <c r="Y981" i="2"/>
  <c r="X981" i="2"/>
  <c r="W981" i="2"/>
  <c r="V981" i="2"/>
  <c r="U981" i="2"/>
  <c r="T981" i="2"/>
  <c r="S981" i="2"/>
  <c r="R981" i="2"/>
  <c r="Q981" i="2"/>
  <c r="P981" i="2"/>
  <c r="O981" i="2"/>
  <c r="N981" i="2"/>
  <c r="M981" i="2"/>
  <c r="L981" i="2"/>
  <c r="K981" i="2"/>
  <c r="J981" i="2"/>
  <c r="I981" i="2"/>
  <c r="H981" i="2"/>
  <c r="G981" i="2"/>
  <c r="F981" i="2"/>
  <c r="E981" i="2"/>
  <c r="D981" i="2"/>
  <c r="C981" i="2"/>
  <c r="B981" i="2"/>
  <c r="A981" i="2"/>
  <c r="AE980" i="2"/>
  <c r="AD980" i="2"/>
  <c r="AC980" i="2"/>
  <c r="AB980" i="2"/>
  <c r="AA980" i="2"/>
  <c r="Z980" i="2"/>
  <c r="Y980" i="2"/>
  <c r="X980" i="2"/>
  <c r="W980" i="2"/>
  <c r="V980" i="2"/>
  <c r="U980" i="2"/>
  <c r="T980" i="2"/>
  <c r="S980" i="2"/>
  <c r="R980" i="2"/>
  <c r="Q980" i="2"/>
  <c r="P980" i="2"/>
  <c r="O980" i="2"/>
  <c r="N980" i="2"/>
  <c r="M980" i="2"/>
  <c r="L980" i="2"/>
  <c r="K980" i="2"/>
  <c r="J980" i="2"/>
  <c r="I980" i="2"/>
  <c r="H980" i="2"/>
  <c r="G980" i="2"/>
  <c r="F980" i="2"/>
  <c r="E980" i="2"/>
  <c r="D980" i="2"/>
  <c r="C980" i="2"/>
  <c r="B980" i="2"/>
  <c r="A980" i="2"/>
  <c r="AE979" i="2"/>
  <c r="AD979" i="2"/>
  <c r="AC979" i="2"/>
  <c r="AB979" i="2"/>
  <c r="AA979" i="2"/>
  <c r="Z979" i="2"/>
  <c r="Y979" i="2"/>
  <c r="X979" i="2"/>
  <c r="W979" i="2"/>
  <c r="V979" i="2"/>
  <c r="U979" i="2"/>
  <c r="T979" i="2"/>
  <c r="S979" i="2"/>
  <c r="R979" i="2"/>
  <c r="Q979" i="2"/>
  <c r="P979" i="2"/>
  <c r="O979" i="2"/>
  <c r="N979" i="2"/>
  <c r="M979" i="2"/>
  <c r="L979" i="2"/>
  <c r="K979" i="2"/>
  <c r="J979" i="2"/>
  <c r="I979" i="2"/>
  <c r="H979" i="2"/>
  <c r="G979" i="2"/>
  <c r="F979" i="2"/>
  <c r="E979" i="2"/>
  <c r="D979" i="2"/>
  <c r="C979" i="2"/>
  <c r="B979" i="2"/>
  <c r="A979" i="2"/>
  <c r="AE978" i="2"/>
  <c r="AD978" i="2"/>
  <c r="AC978" i="2"/>
  <c r="AB978" i="2"/>
  <c r="AA978" i="2"/>
  <c r="Z978" i="2"/>
  <c r="Y978" i="2"/>
  <c r="X978" i="2"/>
  <c r="W978" i="2"/>
  <c r="V978" i="2"/>
  <c r="U978" i="2"/>
  <c r="T978" i="2"/>
  <c r="S978" i="2"/>
  <c r="R978" i="2"/>
  <c r="Q978" i="2"/>
  <c r="P978" i="2"/>
  <c r="O978" i="2"/>
  <c r="N978" i="2"/>
  <c r="M978" i="2"/>
  <c r="L978" i="2"/>
  <c r="K978" i="2"/>
  <c r="J978" i="2"/>
  <c r="I978" i="2"/>
  <c r="H978" i="2"/>
  <c r="G978" i="2"/>
  <c r="F978" i="2"/>
  <c r="E978" i="2"/>
  <c r="D978" i="2"/>
  <c r="C978" i="2"/>
  <c r="B978" i="2"/>
  <c r="A978" i="2"/>
  <c r="AE977" i="2"/>
  <c r="AD977" i="2"/>
  <c r="AC977" i="2"/>
  <c r="AB977" i="2"/>
  <c r="AA977" i="2"/>
  <c r="Z977" i="2"/>
  <c r="Y977" i="2"/>
  <c r="X977" i="2"/>
  <c r="W977" i="2"/>
  <c r="V977" i="2"/>
  <c r="U977" i="2"/>
  <c r="T977" i="2"/>
  <c r="S977" i="2"/>
  <c r="R977" i="2"/>
  <c r="Q977" i="2"/>
  <c r="P977" i="2"/>
  <c r="O977" i="2"/>
  <c r="N977" i="2"/>
  <c r="M977" i="2"/>
  <c r="L977" i="2"/>
  <c r="K977" i="2"/>
  <c r="J977" i="2"/>
  <c r="I977" i="2"/>
  <c r="H977" i="2"/>
  <c r="G977" i="2"/>
  <c r="F977" i="2"/>
  <c r="E977" i="2"/>
  <c r="D977" i="2"/>
  <c r="C977" i="2"/>
  <c r="B977" i="2"/>
  <c r="A977" i="2"/>
  <c r="AE976" i="2"/>
  <c r="AD976" i="2"/>
  <c r="AC976" i="2"/>
  <c r="AB976" i="2"/>
  <c r="AA976" i="2"/>
  <c r="Z976" i="2"/>
  <c r="Y976" i="2"/>
  <c r="X976" i="2"/>
  <c r="W976" i="2"/>
  <c r="V976" i="2"/>
  <c r="U976" i="2"/>
  <c r="T976" i="2"/>
  <c r="S976" i="2"/>
  <c r="R976" i="2"/>
  <c r="Q976" i="2"/>
  <c r="P976" i="2"/>
  <c r="O976" i="2"/>
  <c r="N976" i="2"/>
  <c r="M976" i="2"/>
  <c r="L976" i="2"/>
  <c r="K976" i="2"/>
  <c r="J976" i="2"/>
  <c r="I976" i="2"/>
  <c r="H976" i="2"/>
  <c r="G976" i="2"/>
  <c r="F976" i="2"/>
  <c r="E976" i="2"/>
  <c r="D976" i="2"/>
  <c r="C976" i="2"/>
  <c r="B976" i="2"/>
  <c r="A976" i="2"/>
  <c r="AE975" i="2"/>
  <c r="AD975" i="2"/>
  <c r="AC975" i="2"/>
  <c r="AB975" i="2"/>
  <c r="AA975" i="2"/>
  <c r="Z975" i="2"/>
  <c r="Y975" i="2"/>
  <c r="X975" i="2"/>
  <c r="W975" i="2"/>
  <c r="V975" i="2"/>
  <c r="U975" i="2"/>
  <c r="T975" i="2"/>
  <c r="S975" i="2"/>
  <c r="R975" i="2"/>
  <c r="Q975" i="2"/>
  <c r="P975" i="2"/>
  <c r="O975" i="2"/>
  <c r="N975" i="2"/>
  <c r="M975" i="2"/>
  <c r="L975" i="2"/>
  <c r="K975" i="2"/>
  <c r="J975" i="2"/>
  <c r="I975" i="2"/>
  <c r="H975" i="2"/>
  <c r="G975" i="2"/>
  <c r="F975" i="2"/>
  <c r="E975" i="2"/>
  <c r="D975" i="2"/>
  <c r="C975" i="2"/>
  <c r="B975" i="2"/>
  <c r="A975" i="2"/>
  <c r="AE974" i="2"/>
  <c r="AD974" i="2"/>
  <c r="AC974" i="2"/>
  <c r="AB974" i="2"/>
  <c r="AA974" i="2"/>
  <c r="Z974" i="2"/>
  <c r="Y974" i="2"/>
  <c r="X974" i="2"/>
  <c r="W974" i="2"/>
  <c r="V974" i="2"/>
  <c r="U974" i="2"/>
  <c r="T974" i="2"/>
  <c r="S974" i="2"/>
  <c r="R974" i="2"/>
  <c r="Q974" i="2"/>
  <c r="P974" i="2"/>
  <c r="O974" i="2"/>
  <c r="N974" i="2"/>
  <c r="M974" i="2"/>
  <c r="L974" i="2"/>
  <c r="K974" i="2"/>
  <c r="J974" i="2"/>
  <c r="I974" i="2"/>
  <c r="H974" i="2"/>
  <c r="G974" i="2"/>
  <c r="F974" i="2"/>
  <c r="E974" i="2"/>
  <c r="D974" i="2"/>
  <c r="C974" i="2"/>
  <c r="B974" i="2"/>
  <c r="A974" i="2"/>
  <c r="AE973" i="2"/>
  <c r="AD973" i="2"/>
  <c r="AC973" i="2"/>
  <c r="AB973" i="2"/>
  <c r="AA973" i="2"/>
  <c r="Z973" i="2"/>
  <c r="Y973" i="2"/>
  <c r="X973" i="2"/>
  <c r="W973" i="2"/>
  <c r="V973" i="2"/>
  <c r="U973" i="2"/>
  <c r="T973" i="2"/>
  <c r="S973" i="2"/>
  <c r="R973" i="2"/>
  <c r="Q973" i="2"/>
  <c r="P973" i="2"/>
  <c r="O973" i="2"/>
  <c r="N973" i="2"/>
  <c r="M973" i="2"/>
  <c r="L973" i="2"/>
  <c r="K973" i="2"/>
  <c r="J973" i="2"/>
  <c r="I973" i="2"/>
  <c r="H973" i="2"/>
  <c r="G973" i="2"/>
  <c r="F973" i="2"/>
  <c r="E973" i="2"/>
  <c r="D973" i="2"/>
  <c r="C973" i="2"/>
  <c r="B973" i="2"/>
  <c r="A973" i="2"/>
  <c r="AE972" i="2"/>
  <c r="AD972" i="2"/>
  <c r="AC972" i="2"/>
  <c r="AB972" i="2"/>
  <c r="AA972" i="2"/>
  <c r="Z972" i="2"/>
  <c r="Y972" i="2"/>
  <c r="X972" i="2"/>
  <c r="W972" i="2"/>
  <c r="V972" i="2"/>
  <c r="U972" i="2"/>
  <c r="T972" i="2"/>
  <c r="S972" i="2"/>
  <c r="R972" i="2"/>
  <c r="Q972" i="2"/>
  <c r="P972" i="2"/>
  <c r="O972" i="2"/>
  <c r="N972" i="2"/>
  <c r="M972" i="2"/>
  <c r="L972" i="2"/>
  <c r="K972" i="2"/>
  <c r="J972" i="2"/>
  <c r="I972" i="2"/>
  <c r="H972" i="2"/>
  <c r="G972" i="2"/>
  <c r="F972" i="2"/>
  <c r="E972" i="2"/>
  <c r="D972" i="2"/>
  <c r="C972" i="2"/>
  <c r="B972" i="2"/>
  <c r="A972" i="2"/>
  <c r="AE971" i="2"/>
  <c r="AD971" i="2"/>
  <c r="AC971" i="2"/>
  <c r="AB971" i="2"/>
  <c r="AA971" i="2"/>
  <c r="Z971" i="2"/>
  <c r="Y971" i="2"/>
  <c r="X971" i="2"/>
  <c r="W971" i="2"/>
  <c r="V971" i="2"/>
  <c r="U971" i="2"/>
  <c r="T971" i="2"/>
  <c r="S971" i="2"/>
  <c r="R971" i="2"/>
  <c r="Q971" i="2"/>
  <c r="P971" i="2"/>
  <c r="O971" i="2"/>
  <c r="N971" i="2"/>
  <c r="M971" i="2"/>
  <c r="L971" i="2"/>
  <c r="K971" i="2"/>
  <c r="J971" i="2"/>
  <c r="I971" i="2"/>
  <c r="H971" i="2"/>
  <c r="G971" i="2"/>
  <c r="F971" i="2"/>
  <c r="E971" i="2"/>
  <c r="D971" i="2"/>
  <c r="C971" i="2"/>
  <c r="B971" i="2"/>
  <c r="A971" i="2"/>
  <c r="AE970" i="2"/>
  <c r="AD970" i="2"/>
  <c r="AC970" i="2"/>
  <c r="AB970" i="2"/>
  <c r="AA970" i="2"/>
  <c r="Z970" i="2"/>
  <c r="Y970" i="2"/>
  <c r="X970" i="2"/>
  <c r="W970" i="2"/>
  <c r="V970" i="2"/>
  <c r="U970" i="2"/>
  <c r="T970" i="2"/>
  <c r="S970" i="2"/>
  <c r="R970" i="2"/>
  <c r="Q970" i="2"/>
  <c r="P970" i="2"/>
  <c r="O970" i="2"/>
  <c r="N970" i="2"/>
  <c r="M970" i="2"/>
  <c r="L970" i="2"/>
  <c r="K970" i="2"/>
  <c r="J970" i="2"/>
  <c r="I970" i="2"/>
  <c r="H970" i="2"/>
  <c r="G970" i="2"/>
  <c r="F970" i="2"/>
  <c r="E970" i="2"/>
  <c r="D970" i="2"/>
  <c r="C970" i="2"/>
  <c r="B970" i="2"/>
  <c r="A970" i="2"/>
  <c r="AE969" i="2"/>
  <c r="AD969" i="2"/>
  <c r="AC969" i="2"/>
  <c r="AB969" i="2"/>
  <c r="AA969" i="2"/>
  <c r="Z969" i="2"/>
  <c r="Y969" i="2"/>
  <c r="X969" i="2"/>
  <c r="W969" i="2"/>
  <c r="V969" i="2"/>
  <c r="U969" i="2"/>
  <c r="T969" i="2"/>
  <c r="S969" i="2"/>
  <c r="R969" i="2"/>
  <c r="Q969" i="2"/>
  <c r="P969" i="2"/>
  <c r="O969" i="2"/>
  <c r="N969" i="2"/>
  <c r="M969" i="2"/>
  <c r="L969" i="2"/>
  <c r="K969" i="2"/>
  <c r="J969" i="2"/>
  <c r="I969" i="2"/>
  <c r="H969" i="2"/>
  <c r="G969" i="2"/>
  <c r="F969" i="2"/>
  <c r="E969" i="2"/>
  <c r="D969" i="2"/>
  <c r="C969" i="2"/>
  <c r="B969" i="2"/>
  <c r="A969" i="2"/>
  <c r="AE968" i="2"/>
  <c r="AD968" i="2"/>
  <c r="AC968" i="2"/>
  <c r="AB968" i="2"/>
  <c r="AA968" i="2"/>
  <c r="Z968" i="2"/>
  <c r="Y968" i="2"/>
  <c r="X968" i="2"/>
  <c r="W968" i="2"/>
  <c r="V968" i="2"/>
  <c r="U968" i="2"/>
  <c r="T968" i="2"/>
  <c r="S968" i="2"/>
  <c r="R968" i="2"/>
  <c r="Q968" i="2"/>
  <c r="P968" i="2"/>
  <c r="O968" i="2"/>
  <c r="N968" i="2"/>
  <c r="M968" i="2"/>
  <c r="L968" i="2"/>
  <c r="K968" i="2"/>
  <c r="J968" i="2"/>
  <c r="I968" i="2"/>
  <c r="H968" i="2"/>
  <c r="G968" i="2"/>
  <c r="F968" i="2"/>
  <c r="E968" i="2"/>
  <c r="D968" i="2"/>
  <c r="C968" i="2"/>
  <c r="B968" i="2"/>
  <c r="A968" i="2"/>
  <c r="AE967" i="2"/>
  <c r="AD967" i="2"/>
  <c r="AC967" i="2"/>
  <c r="AB967" i="2"/>
  <c r="AA967" i="2"/>
  <c r="Z967" i="2"/>
  <c r="Y967" i="2"/>
  <c r="X967" i="2"/>
  <c r="W967" i="2"/>
  <c r="V967" i="2"/>
  <c r="U967" i="2"/>
  <c r="T967" i="2"/>
  <c r="S967" i="2"/>
  <c r="R967" i="2"/>
  <c r="Q967" i="2"/>
  <c r="P967" i="2"/>
  <c r="O967" i="2"/>
  <c r="N967" i="2"/>
  <c r="M967" i="2"/>
  <c r="L967" i="2"/>
  <c r="K967" i="2"/>
  <c r="J967" i="2"/>
  <c r="I967" i="2"/>
  <c r="H967" i="2"/>
  <c r="G967" i="2"/>
  <c r="F967" i="2"/>
  <c r="E967" i="2"/>
  <c r="D967" i="2"/>
  <c r="C967" i="2"/>
  <c r="B967" i="2"/>
  <c r="A967" i="2"/>
  <c r="AE966" i="2"/>
  <c r="AD966" i="2"/>
  <c r="AC966" i="2"/>
  <c r="AB966" i="2"/>
  <c r="AA966" i="2"/>
  <c r="Z966" i="2"/>
  <c r="Y966" i="2"/>
  <c r="X966" i="2"/>
  <c r="W966" i="2"/>
  <c r="V966" i="2"/>
  <c r="U966" i="2"/>
  <c r="T966" i="2"/>
  <c r="S966" i="2"/>
  <c r="R966" i="2"/>
  <c r="Q966" i="2"/>
  <c r="P966" i="2"/>
  <c r="O966" i="2"/>
  <c r="N966" i="2"/>
  <c r="M966" i="2"/>
  <c r="L966" i="2"/>
  <c r="K966" i="2"/>
  <c r="J966" i="2"/>
  <c r="I966" i="2"/>
  <c r="H966" i="2"/>
  <c r="G966" i="2"/>
  <c r="F966" i="2"/>
  <c r="E966" i="2"/>
  <c r="D966" i="2"/>
  <c r="C966" i="2"/>
  <c r="B966" i="2"/>
  <c r="A966" i="2"/>
  <c r="AE965" i="2"/>
  <c r="AD965" i="2"/>
  <c r="AC965" i="2"/>
  <c r="AB965" i="2"/>
  <c r="AA965" i="2"/>
  <c r="Z965" i="2"/>
  <c r="Y965" i="2"/>
  <c r="X965" i="2"/>
  <c r="W965" i="2"/>
  <c r="V965" i="2"/>
  <c r="U965" i="2"/>
  <c r="T965" i="2"/>
  <c r="S965" i="2"/>
  <c r="R965" i="2"/>
  <c r="Q965" i="2"/>
  <c r="P965" i="2"/>
  <c r="O965" i="2"/>
  <c r="N965" i="2"/>
  <c r="M965" i="2"/>
  <c r="L965" i="2"/>
  <c r="K965" i="2"/>
  <c r="J965" i="2"/>
  <c r="I965" i="2"/>
  <c r="H965" i="2"/>
  <c r="G965" i="2"/>
  <c r="F965" i="2"/>
  <c r="E965" i="2"/>
  <c r="D965" i="2"/>
  <c r="C965" i="2"/>
  <c r="B965" i="2"/>
  <c r="A965" i="2"/>
  <c r="AE964" i="2"/>
  <c r="AD964" i="2"/>
  <c r="AC964" i="2"/>
  <c r="AB964" i="2"/>
  <c r="AA964" i="2"/>
  <c r="Z964" i="2"/>
  <c r="Y964" i="2"/>
  <c r="X964" i="2"/>
  <c r="W964" i="2"/>
  <c r="V964" i="2"/>
  <c r="U964" i="2"/>
  <c r="T964" i="2"/>
  <c r="S964" i="2"/>
  <c r="R964" i="2"/>
  <c r="Q964" i="2"/>
  <c r="P964" i="2"/>
  <c r="O964" i="2"/>
  <c r="N964" i="2"/>
  <c r="M964" i="2"/>
  <c r="L964" i="2"/>
  <c r="K964" i="2"/>
  <c r="J964" i="2"/>
  <c r="I964" i="2"/>
  <c r="H964" i="2"/>
  <c r="G964" i="2"/>
  <c r="F964" i="2"/>
  <c r="E964" i="2"/>
  <c r="D964" i="2"/>
  <c r="C964" i="2"/>
  <c r="B964" i="2"/>
  <c r="A964" i="2"/>
  <c r="AE963" i="2"/>
  <c r="AD963" i="2"/>
  <c r="AC963" i="2"/>
  <c r="AB963" i="2"/>
  <c r="AA963" i="2"/>
  <c r="Z963" i="2"/>
  <c r="Y963" i="2"/>
  <c r="X963" i="2"/>
  <c r="W963" i="2"/>
  <c r="V963" i="2"/>
  <c r="U963" i="2"/>
  <c r="T963" i="2"/>
  <c r="S963" i="2"/>
  <c r="R963" i="2"/>
  <c r="Q963" i="2"/>
  <c r="P963" i="2"/>
  <c r="O963" i="2"/>
  <c r="N963" i="2"/>
  <c r="M963" i="2"/>
  <c r="L963" i="2"/>
  <c r="K963" i="2"/>
  <c r="J963" i="2"/>
  <c r="I963" i="2"/>
  <c r="H963" i="2"/>
  <c r="G963" i="2"/>
  <c r="F963" i="2"/>
  <c r="E963" i="2"/>
  <c r="D963" i="2"/>
  <c r="C963" i="2"/>
  <c r="B963" i="2"/>
  <c r="A963" i="2"/>
  <c r="AE962" i="2"/>
  <c r="AD962" i="2"/>
  <c r="AC962" i="2"/>
  <c r="AB962" i="2"/>
  <c r="AA962" i="2"/>
  <c r="Z962" i="2"/>
  <c r="Y962" i="2"/>
  <c r="X962" i="2"/>
  <c r="W962" i="2"/>
  <c r="V962" i="2"/>
  <c r="U962" i="2"/>
  <c r="T962" i="2"/>
  <c r="S962" i="2"/>
  <c r="R962" i="2"/>
  <c r="Q962" i="2"/>
  <c r="P962" i="2"/>
  <c r="O962" i="2"/>
  <c r="N962" i="2"/>
  <c r="M962" i="2"/>
  <c r="L962" i="2"/>
  <c r="K962" i="2"/>
  <c r="J962" i="2"/>
  <c r="I962" i="2"/>
  <c r="H962" i="2"/>
  <c r="G962" i="2"/>
  <c r="F962" i="2"/>
  <c r="E962" i="2"/>
  <c r="D962" i="2"/>
  <c r="C962" i="2"/>
  <c r="B962" i="2"/>
  <c r="A962" i="2"/>
  <c r="AE961" i="2"/>
  <c r="AD961" i="2"/>
  <c r="AC961" i="2"/>
  <c r="AB961" i="2"/>
  <c r="AA961" i="2"/>
  <c r="Z961" i="2"/>
  <c r="Y961" i="2"/>
  <c r="X961" i="2"/>
  <c r="W961" i="2"/>
  <c r="V961" i="2"/>
  <c r="U961" i="2"/>
  <c r="T961" i="2"/>
  <c r="S961" i="2"/>
  <c r="R961" i="2"/>
  <c r="Q961" i="2"/>
  <c r="P961" i="2"/>
  <c r="O961" i="2"/>
  <c r="N961" i="2"/>
  <c r="M961" i="2"/>
  <c r="L961" i="2"/>
  <c r="K961" i="2"/>
  <c r="J961" i="2"/>
  <c r="I961" i="2"/>
  <c r="H961" i="2"/>
  <c r="G961" i="2"/>
  <c r="F961" i="2"/>
  <c r="E961" i="2"/>
  <c r="D961" i="2"/>
  <c r="C961" i="2"/>
  <c r="B961" i="2"/>
  <c r="A961" i="2"/>
  <c r="AE960" i="2"/>
  <c r="AD960" i="2"/>
  <c r="AC960" i="2"/>
  <c r="AB960" i="2"/>
  <c r="AA960" i="2"/>
  <c r="Z960" i="2"/>
  <c r="Y960" i="2"/>
  <c r="X960" i="2"/>
  <c r="W960" i="2"/>
  <c r="V960" i="2"/>
  <c r="U960" i="2"/>
  <c r="T960" i="2"/>
  <c r="S960" i="2"/>
  <c r="R960" i="2"/>
  <c r="Q960" i="2"/>
  <c r="P960" i="2"/>
  <c r="O960" i="2"/>
  <c r="N960" i="2"/>
  <c r="M960" i="2"/>
  <c r="L960" i="2"/>
  <c r="K960" i="2"/>
  <c r="J960" i="2"/>
  <c r="I960" i="2"/>
  <c r="H960" i="2"/>
  <c r="G960" i="2"/>
  <c r="F960" i="2"/>
  <c r="E960" i="2"/>
  <c r="D960" i="2"/>
  <c r="C960" i="2"/>
  <c r="B960" i="2"/>
  <c r="A960" i="2"/>
  <c r="AE959" i="2"/>
  <c r="AD959" i="2"/>
  <c r="AC959" i="2"/>
  <c r="AB959" i="2"/>
  <c r="AA959" i="2"/>
  <c r="Z959" i="2"/>
  <c r="Y959" i="2"/>
  <c r="X959" i="2"/>
  <c r="W959" i="2"/>
  <c r="V959" i="2"/>
  <c r="U959" i="2"/>
  <c r="T959" i="2"/>
  <c r="S959" i="2"/>
  <c r="R959" i="2"/>
  <c r="Q959" i="2"/>
  <c r="P959" i="2"/>
  <c r="O959" i="2"/>
  <c r="N959" i="2"/>
  <c r="M959" i="2"/>
  <c r="L959" i="2"/>
  <c r="K959" i="2"/>
  <c r="J959" i="2"/>
  <c r="I959" i="2"/>
  <c r="H959" i="2"/>
  <c r="G959" i="2"/>
  <c r="F959" i="2"/>
  <c r="E959" i="2"/>
  <c r="D959" i="2"/>
  <c r="C959" i="2"/>
  <c r="B959" i="2"/>
  <c r="A959" i="2"/>
  <c r="AE958" i="2"/>
  <c r="AD958" i="2"/>
  <c r="AC958" i="2"/>
  <c r="AB958" i="2"/>
  <c r="AA958" i="2"/>
  <c r="Z958" i="2"/>
  <c r="Y958" i="2"/>
  <c r="X958" i="2"/>
  <c r="W958" i="2"/>
  <c r="V958" i="2"/>
  <c r="U958" i="2"/>
  <c r="T958" i="2"/>
  <c r="S958" i="2"/>
  <c r="R958" i="2"/>
  <c r="Q958" i="2"/>
  <c r="P958" i="2"/>
  <c r="O958" i="2"/>
  <c r="N958" i="2"/>
  <c r="M958" i="2"/>
  <c r="L958" i="2"/>
  <c r="K958" i="2"/>
  <c r="J958" i="2"/>
  <c r="I958" i="2"/>
  <c r="H958" i="2"/>
  <c r="G958" i="2"/>
  <c r="F958" i="2"/>
  <c r="E958" i="2"/>
  <c r="D958" i="2"/>
  <c r="C958" i="2"/>
  <c r="B958" i="2"/>
  <c r="A958" i="2"/>
  <c r="AE957" i="2"/>
  <c r="AD957" i="2"/>
  <c r="AC957" i="2"/>
  <c r="AB957" i="2"/>
  <c r="AA957" i="2"/>
  <c r="Z957" i="2"/>
  <c r="Y957" i="2"/>
  <c r="X957" i="2"/>
  <c r="W957" i="2"/>
  <c r="V957" i="2"/>
  <c r="U957" i="2"/>
  <c r="T957" i="2"/>
  <c r="S957" i="2"/>
  <c r="R957" i="2"/>
  <c r="Q957" i="2"/>
  <c r="P957" i="2"/>
  <c r="O957" i="2"/>
  <c r="N957" i="2"/>
  <c r="M957" i="2"/>
  <c r="L957" i="2"/>
  <c r="K957" i="2"/>
  <c r="J957" i="2"/>
  <c r="I957" i="2"/>
  <c r="H957" i="2"/>
  <c r="G957" i="2"/>
  <c r="F957" i="2"/>
  <c r="E957" i="2"/>
  <c r="D957" i="2"/>
  <c r="C957" i="2"/>
  <c r="B957" i="2"/>
  <c r="A957" i="2"/>
  <c r="AE956" i="2"/>
  <c r="AD956" i="2"/>
  <c r="AC956" i="2"/>
  <c r="AB956" i="2"/>
  <c r="AA956" i="2"/>
  <c r="Z956" i="2"/>
  <c r="Y956" i="2"/>
  <c r="X956" i="2"/>
  <c r="W956" i="2"/>
  <c r="V956" i="2"/>
  <c r="U956" i="2"/>
  <c r="T956" i="2"/>
  <c r="S956" i="2"/>
  <c r="R956" i="2"/>
  <c r="Q956" i="2"/>
  <c r="P956" i="2"/>
  <c r="O956" i="2"/>
  <c r="N956" i="2"/>
  <c r="M956" i="2"/>
  <c r="L956" i="2"/>
  <c r="K956" i="2"/>
  <c r="J956" i="2"/>
  <c r="I956" i="2"/>
  <c r="H956" i="2"/>
  <c r="G956" i="2"/>
  <c r="F956" i="2"/>
  <c r="E956" i="2"/>
  <c r="D956" i="2"/>
  <c r="C956" i="2"/>
  <c r="B956" i="2"/>
  <c r="A956" i="2"/>
  <c r="AE955" i="2"/>
  <c r="AD955" i="2"/>
  <c r="AC955" i="2"/>
  <c r="AB955" i="2"/>
  <c r="AA955" i="2"/>
  <c r="Z955" i="2"/>
  <c r="Y955" i="2"/>
  <c r="X955" i="2"/>
  <c r="W955" i="2"/>
  <c r="V955" i="2"/>
  <c r="U955" i="2"/>
  <c r="T955" i="2"/>
  <c r="S955" i="2"/>
  <c r="R955" i="2"/>
  <c r="Q955" i="2"/>
  <c r="P955" i="2"/>
  <c r="O955" i="2"/>
  <c r="N955" i="2"/>
  <c r="M955" i="2"/>
  <c r="L955" i="2"/>
  <c r="K955" i="2"/>
  <c r="J955" i="2"/>
  <c r="I955" i="2"/>
  <c r="H955" i="2"/>
  <c r="G955" i="2"/>
  <c r="F955" i="2"/>
  <c r="E955" i="2"/>
  <c r="D955" i="2"/>
  <c r="C955" i="2"/>
  <c r="B955" i="2"/>
  <c r="A955" i="2"/>
  <c r="AE954" i="2"/>
  <c r="AD954" i="2"/>
  <c r="AC954" i="2"/>
  <c r="AB954" i="2"/>
  <c r="AA954" i="2"/>
  <c r="Z954" i="2"/>
  <c r="Y954" i="2"/>
  <c r="X954" i="2"/>
  <c r="W954" i="2"/>
  <c r="V954" i="2"/>
  <c r="U954" i="2"/>
  <c r="T954" i="2"/>
  <c r="S954" i="2"/>
  <c r="R954" i="2"/>
  <c r="Q954" i="2"/>
  <c r="P954" i="2"/>
  <c r="O954" i="2"/>
  <c r="N954" i="2"/>
  <c r="M954" i="2"/>
  <c r="L954" i="2"/>
  <c r="K954" i="2"/>
  <c r="J954" i="2"/>
  <c r="I954" i="2"/>
  <c r="H954" i="2"/>
  <c r="G954" i="2"/>
  <c r="F954" i="2"/>
  <c r="E954" i="2"/>
  <c r="D954" i="2"/>
  <c r="C954" i="2"/>
  <c r="B954" i="2"/>
  <c r="A954" i="2"/>
  <c r="AE953" i="2"/>
  <c r="AD953" i="2"/>
  <c r="AC953" i="2"/>
  <c r="AB953" i="2"/>
  <c r="AA953" i="2"/>
  <c r="Z953" i="2"/>
  <c r="Y953" i="2"/>
  <c r="X953" i="2"/>
  <c r="W953" i="2"/>
  <c r="V953" i="2"/>
  <c r="U953" i="2"/>
  <c r="T953" i="2"/>
  <c r="S953" i="2"/>
  <c r="R953" i="2"/>
  <c r="Q953" i="2"/>
  <c r="P953" i="2"/>
  <c r="O953" i="2"/>
  <c r="N953" i="2"/>
  <c r="M953" i="2"/>
  <c r="L953" i="2"/>
  <c r="K953" i="2"/>
  <c r="J953" i="2"/>
  <c r="I953" i="2"/>
  <c r="H953" i="2"/>
  <c r="G953" i="2"/>
  <c r="F953" i="2"/>
  <c r="E953" i="2"/>
  <c r="D953" i="2"/>
  <c r="C953" i="2"/>
  <c r="B953" i="2"/>
  <c r="A953" i="2"/>
  <c r="AE952" i="2"/>
  <c r="AD952" i="2"/>
  <c r="AC952" i="2"/>
  <c r="AB952" i="2"/>
  <c r="AA952" i="2"/>
  <c r="Z952" i="2"/>
  <c r="Y952" i="2"/>
  <c r="X952" i="2"/>
  <c r="W952" i="2"/>
  <c r="V952" i="2"/>
  <c r="U952" i="2"/>
  <c r="T952" i="2"/>
  <c r="S952" i="2"/>
  <c r="R952" i="2"/>
  <c r="Q952" i="2"/>
  <c r="P952" i="2"/>
  <c r="O952" i="2"/>
  <c r="N952" i="2"/>
  <c r="M952" i="2"/>
  <c r="L952" i="2"/>
  <c r="K952" i="2"/>
  <c r="J952" i="2"/>
  <c r="I952" i="2"/>
  <c r="H952" i="2"/>
  <c r="G952" i="2"/>
  <c r="F952" i="2"/>
  <c r="E952" i="2"/>
  <c r="D952" i="2"/>
  <c r="C952" i="2"/>
  <c r="B952" i="2"/>
  <c r="A952" i="2"/>
  <c r="AE951" i="2"/>
  <c r="AD951" i="2"/>
  <c r="AC951" i="2"/>
  <c r="AB951" i="2"/>
  <c r="AA951" i="2"/>
  <c r="Z951" i="2"/>
  <c r="Y951" i="2"/>
  <c r="X951" i="2"/>
  <c r="W951" i="2"/>
  <c r="V951" i="2"/>
  <c r="U951" i="2"/>
  <c r="T951" i="2"/>
  <c r="S951" i="2"/>
  <c r="R951" i="2"/>
  <c r="Q951" i="2"/>
  <c r="P951" i="2"/>
  <c r="O951" i="2"/>
  <c r="N951" i="2"/>
  <c r="M951" i="2"/>
  <c r="L951" i="2"/>
  <c r="K951" i="2"/>
  <c r="J951" i="2"/>
  <c r="I951" i="2"/>
  <c r="H951" i="2"/>
  <c r="G951" i="2"/>
  <c r="F951" i="2"/>
  <c r="E951" i="2"/>
  <c r="D951" i="2"/>
  <c r="C951" i="2"/>
  <c r="B951" i="2"/>
  <c r="A951" i="2"/>
  <c r="AE950" i="2"/>
  <c r="AD950" i="2"/>
  <c r="AC950" i="2"/>
  <c r="AB950" i="2"/>
  <c r="AA950" i="2"/>
  <c r="Z950" i="2"/>
  <c r="Y950" i="2"/>
  <c r="X950" i="2"/>
  <c r="W950" i="2"/>
  <c r="V950" i="2"/>
  <c r="U950" i="2"/>
  <c r="T950" i="2"/>
  <c r="S950" i="2"/>
  <c r="R950" i="2"/>
  <c r="Q950" i="2"/>
  <c r="P950" i="2"/>
  <c r="O950" i="2"/>
  <c r="N950" i="2"/>
  <c r="M950" i="2"/>
  <c r="L950" i="2"/>
  <c r="K950" i="2"/>
  <c r="J950" i="2"/>
  <c r="I950" i="2"/>
  <c r="H950" i="2"/>
  <c r="G950" i="2"/>
  <c r="F950" i="2"/>
  <c r="E950" i="2"/>
  <c r="D950" i="2"/>
  <c r="C950" i="2"/>
  <c r="B950" i="2"/>
  <c r="A950" i="2"/>
  <c r="AE949" i="2"/>
  <c r="AD949" i="2"/>
  <c r="AC949" i="2"/>
  <c r="AB949" i="2"/>
  <c r="AA949" i="2"/>
  <c r="Z949" i="2"/>
  <c r="Y949" i="2"/>
  <c r="X949" i="2"/>
  <c r="W949" i="2"/>
  <c r="V949" i="2"/>
  <c r="U949" i="2"/>
  <c r="T949" i="2"/>
  <c r="S949" i="2"/>
  <c r="R949" i="2"/>
  <c r="Q949" i="2"/>
  <c r="P949" i="2"/>
  <c r="O949" i="2"/>
  <c r="N949" i="2"/>
  <c r="M949" i="2"/>
  <c r="L949" i="2"/>
  <c r="K949" i="2"/>
  <c r="J949" i="2"/>
  <c r="I949" i="2"/>
  <c r="H949" i="2"/>
  <c r="G949" i="2"/>
  <c r="F949" i="2"/>
  <c r="E949" i="2"/>
  <c r="D949" i="2"/>
  <c r="C949" i="2"/>
  <c r="B949" i="2"/>
  <c r="A949" i="2"/>
  <c r="AE948" i="2"/>
  <c r="AD948" i="2"/>
  <c r="AC948" i="2"/>
  <c r="AB948" i="2"/>
  <c r="AA948" i="2"/>
  <c r="Z948" i="2"/>
  <c r="Y948" i="2"/>
  <c r="X948" i="2"/>
  <c r="W948" i="2"/>
  <c r="V948" i="2"/>
  <c r="U948" i="2"/>
  <c r="T948" i="2"/>
  <c r="S948" i="2"/>
  <c r="R948" i="2"/>
  <c r="Q948" i="2"/>
  <c r="P948" i="2"/>
  <c r="O948" i="2"/>
  <c r="N948" i="2"/>
  <c r="M948" i="2"/>
  <c r="L948" i="2"/>
  <c r="K948" i="2"/>
  <c r="J948" i="2"/>
  <c r="I948" i="2"/>
  <c r="H948" i="2"/>
  <c r="G948" i="2"/>
  <c r="F948" i="2"/>
  <c r="E948" i="2"/>
  <c r="D948" i="2"/>
  <c r="C948" i="2"/>
  <c r="B948" i="2"/>
  <c r="A948" i="2"/>
  <c r="AE947" i="2"/>
  <c r="AD947" i="2"/>
  <c r="AC947" i="2"/>
  <c r="AB947" i="2"/>
  <c r="AA947" i="2"/>
  <c r="Z947" i="2"/>
  <c r="Y947" i="2"/>
  <c r="X947" i="2"/>
  <c r="W947" i="2"/>
  <c r="V947" i="2"/>
  <c r="U947" i="2"/>
  <c r="T947" i="2"/>
  <c r="S947" i="2"/>
  <c r="R947" i="2"/>
  <c r="Q947" i="2"/>
  <c r="P947" i="2"/>
  <c r="O947" i="2"/>
  <c r="N947" i="2"/>
  <c r="M947" i="2"/>
  <c r="L947" i="2"/>
  <c r="K947" i="2"/>
  <c r="J947" i="2"/>
  <c r="I947" i="2"/>
  <c r="H947" i="2"/>
  <c r="G947" i="2"/>
  <c r="F947" i="2"/>
  <c r="E947" i="2"/>
  <c r="D947" i="2"/>
  <c r="C947" i="2"/>
  <c r="B947" i="2"/>
  <c r="A947" i="2"/>
  <c r="AE946" i="2"/>
  <c r="AD946" i="2"/>
  <c r="AC946" i="2"/>
  <c r="AB946" i="2"/>
  <c r="AA946" i="2"/>
  <c r="Z946" i="2"/>
  <c r="Y946" i="2"/>
  <c r="X946" i="2"/>
  <c r="W946" i="2"/>
  <c r="V946" i="2"/>
  <c r="U946" i="2"/>
  <c r="T946" i="2"/>
  <c r="S946" i="2"/>
  <c r="R946" i="2"/>
  <c r="Q946" i="2"/>
  <c r="P946" i="2"/>
  <c r="O946" i="2"/>
  <c r="N946" i="2"/>
  <c r="M946" i="2"/>
  <c r="L946" i="2"/>
  <c r="K946" i="2"/>
  <c r="J946" i="2"/>
  <c r="I946" i="2"/>
  <c r="H946" i="2"/>
  <c r="G946" i="2"/>
  <c r="F946" i="2"/>
  <c r="E946" i="2"/>
  <c r="D946" i="2"/>
  <c r="C946" i="2"/>
  <c r="B946" i="2"/>
  <c r="A946" i="2"/>
  <c r="AE945" i="2"/>
  <c r="AD945" i="2"/>
  <c r="AC945" i="2"/>
  <c r="AB945" i="2"/>
  <c r="AA945" i="2"/>
  <c r="Z945" i="2"/>
  <c r="Y945" i="2"/>
  <c r="X945" i="2"/>
  <c r="W945" i="2"/>
  <c r="V945" i="2"/>
  <c r="U945" i="2"/>
  <c r="T945" i="2"/>
  <c r="S945" i="2"/>
  <c r="R945" i="2"/>
  <c r="Q945" i="2"/>
  <c r="P945" i="2"/>
  <c r="O945" i="2"/>
  <c r="N945" i="2"/>
  <c r="M945" i="2"/>
  <c r="L945" i="2"/>
  <c r="K945" i="2"/>
  <c r="J945" i="2"/>
  <c r="I945" i="2"/>
  <c r="H945" i="2"/>
  <c r="G945" i="2"/>
  <c r="F945" i="2"/>
  <c r="E945" i="2"/>
  <c r="D945" i="2"/>
  <c r="C945" i="2"/>
  <c r="B945" i="2"/>
  <c r="A945" i="2"/>
  <c r="AE944" i="2"/>
  <c r="AD944" i="2"/>
  <c r="AC944" i="2"/>
  <c r="AB944" i="2"/>
  <c r="AA944" i="2"/>
  <c r="Z944" i="2"/>
  <c r="Y944" i="2"/>
  <c r="X944" i="2"/>
  <c r="W944" i="2"/>
  <c r="V944" i="2"/>
  <c r="U944" i="2"/>
  <c r="T944" i="2"/>
  <c r="S944" i="2"/>
  <c r="R944" i="2"/>
  <c r="Q944" i="2"/>
  <c r="P944" i="2"/>
  <c r="O944" i="2"/>
  <c r="N944" i="2"/>
  <c r="M944" i="2"/>
  <c r="L944" i="2"/>
  <c r="K944" i="2"/>
  <c r="J944" i="2"/>
  <c r="I944" i="2"/>
  <c r="H944" i="2"/>
  <c r="G944" i="2"/>
  <c r="F944" i="2"/>
  <c r="E944" i="2"/>
  <c r="D944" i="2"/>
  <c r="C944" i="2"/>
  <c r="B944" i="2"/>
  <c r="A944" i="2"/>
  <c r="AE943" i="2"/>
  <c r="AD943" i="2"/>
  <c r="AC943" i="2"/>
  <c r="AB943" i="2"/>
  <c r="AA943" i="2"/>
  <c r="Z943" i="2"/>
  <c r="Y943" i="2"/>
  <c r="X943" i="2"/>
  <c r="W943" i="2"/>
  <c r="V943" i="2"/>
  <c r="U943" i="2"/>
  <c r="T943" i="2"/>
  <c r="S943" i="2"/>
  <c r="R943" i="2"/>
  <c r="Q943" i="2"/>
  <c r="P943" i="2"/>
  <c r="O943" i="2"/>
  <c r="N943" i="2"/>
  <c r="M943" i="2"/>
  <c r="L943" i="2"/>
  <c r="K943" i="2"/>
  <c r="J943" i="2"/>
  <c r="I943" i="2"/>
  <c r="H943" i="2"/>
  <c r="G943" i="2"/>
  <c r="F943" i="2"/>
  <c r="E943" i="2"/>
  <c r="D943" i="2"/>
  <c r="C943" i="2"/>
  <c r="B943" i="2"/>
  <c r="A943" i="2"/>
  <c r="AE942" i="2"/>
  <c r="AD942" i="2"/>
  <c r="AC942" i="2"/>
  <c r="AB942" i="2"/>
  <c r="AA942" i="2"/>
  <c r="Z942" i="2"/>
  <c r="Y942" i="2"/>
  <c r="X942" i="2"/>
  <c r="W942" i="2"/>
  <c r="V942" i="2"/>
  <c r="U942" i="2"/>
  <c r="T942" i="2"/>
  <c r="S942" i="2"/>
  <c r="R942" i="2"/>
  <c r="Q942" i="2"/>
  <c r="P942" i="2"/>
  <c r="O942" i="2"/>
  <c r="N942" i="2"/>
  <c r="M942" i="2"/>
  <c r="L942" i="2"/>
  <c r="K942" i="2"/>
  <c r="J942" i="2"/>
  <c r="I942" i="2"/>
  <c r="H942" i="2"/>
  <c r="G942" i="2"/>
  <c r="F942" i="2"/>
  <c r="E942" i="2"/>
  <c r="D942" i="2"/>
  <c r="C942" i="2"/>
  <c r="B942" i="2"/>
  <c r="A942" i="2"/>
  <c r="AE941" i="2"/>
  <c r="AD941" i="2"/>
  <c r="AC941" i="2"/>
  <c r="AB941" i="2"/>
  <c r="AA941" i="2"/>
  <c r="Z941" i="2"/>
  <c r="Y941" i="2"/>
  <c r="X941" i="2"/>
  <c r="W941" i="2"/>
  <c r="V941" i="2"/>
  <c r="U941" i="2"/>
  <c r="T941" i="2"/>
  <c r="S941" i="2"/>
  <c r="R941" i="2"/>
  <c r="Q941" i="2"/>
  <c r="P941" i="2"/>
  <c r="O941" i="2"/>
  <c r="N941" i="2"/>
  <c r="M941" i="2"/>
  <c r="L941" i="2"/>
  <c r="K941" i="2"/>
  <c r="J941" i="2"/>
  <c r="I941" i="2"/>
  <c r="H941" i="2"/>
  <c r="G941" i="2"/>
  <c r="F941" i="2"/>
  <c r="E941" i="2"/>
  <c r="D941" i="2"/>
  <c r="C941" i="2"/>
  <c r="B941" i="2"/>
  <c r="A941" i="2"/>
  <c r="AE940" i="2"/>
  <c r="AD940" i="2"/>
  <c r="AC940" i="2"/>
  <c r="AB940" i="2"/>
  <c r="AA940" i="2"/>
  <c r="Z940" i="2"/>
  <c r="Y940" i="2"/>
  <c r="X940" i="2"/>
  <c r="W940" i="2"/>
  <c r="V940" i="2"/>
  <c r="U940" i="2"/>
  <c r="T940" i="2"/>
  <c r="S940" i="2"/>
  <c r="R940" i="2"/>
  <c r="Q940" i="2"/>
  <c r="P940" i="2"/>
  <c r="O940" i="2"/>
  <c r="N940" i="2"/>
  <c r="M940" i="2"/>
  <c r="L940" i="2"/>
  <c r="K940" i="2"/>
  <c r="J940" i="2"/>
  <c r="I940" i="2"/>
  <c r="H940" i="2"/>
  <c r="G940" i="2"/>
  <c r="F940" i="2"/>
  <c r="E940" i="2"/>
  <c r="D940" i="2"/>
  <c r="C940" i="2"/>
  <c r="B940" i="2"/>
  <c r="A940" i="2"/>
  <c r="AE939" i="2"/>
  <c r="AD939" i="2"/>
  <c r="AC939" i="2"/>
  <c r="AB939" i="2"/>
  <c r="AA939" i="2"/>
  <c r="Z939" i="2"/>
  <c r="Y939" i="2"/>
  <c r="X939" i="2"/>
  <c r="W939" i="2"/>
  <c r="V939" i="2"/>
  <c r="U939" i="2"/>
  <c r="T939" i="2"/>
  <c r="S939" i="2"/>
  <c r="R939" i="2"/>
  <c r="Q939" i="2"/>
  <c r="P939" i="2"/>
  <c r="O939" i="2"/>
  <c r="N939" i="2"/>
  <c r="M939" i="2"/>
  <c r="L939" i="2"/>
  <c r="K939" i="2"/>
  <c r="J939" i="2"/>
  <c r="I939" i="2"/>
  <c r="H939" i="2"/>
  <c r="G939" i="2"/>
  <c r="F939" i="2"/>
  <c r="E939" i="2"/>
  <c r="D939" i="2"/>
  <c r="C939" i="2"/>
  <c r="B939" i="2"/>
  <c r="A939" i="2"/>
  <c r="AE938" i="2"/>
  <c r="AD938" i="2"/>
  <c r="AC938" i="2"/>
  <c r="AB938" i="2"/>
  <c r="AA938" i="2"/>
  <c r="Z938" i="2"/>
  <c r="Y938" i="2"/>
  <c r="X938" i="2"/>
  <c r="W938" i="2"/>
  <c r="V938" i="2"/>
  <c r="U938" i="2"/>
  <c r="T938" i="2"/>
  <c r="S938" i="2"/>
  <c r="R938" i="2"/>
  <c r="Q938" i="2"/>
  <c r="P938" i="2"/>
  <c r="O938" i="2"/>
  <c r="N938" i="2"/>
  <c r="M938" i="2"/>
  <c r="L938" i="2"/>
  <c r="K938" i="2"/>
  <c r="J938" i="2"/>
  <c r="I938" i="2"/>
  <c r="H938" i="2"/>
  <c r="G938" i="2"/>
  <c r="F938" i="2"/>
  <c r="E938" i="2"/>
  <c r="D938" i="2"/>
  <c r="C938" i="2"/>
  <c r="B938" i="2"/>
  <c r="A938" i="2"/>
  <c r="AE937" i="2"/>
  <c r="AD937" i="2"/>
  <c r="AC937" i="2"/>
  <c r="AB937" i="2"/>
  <c r="AA937" i="2"/>
  <c r="Z937" i="2"/>
  <c r="Y937" i="2"/>
  <c r="X937" i="2"/>
  <c r="W937" i="2"/>
  <c r="V937" i="2"/>
  <c r="U937" i="2"/>
  <c r="T937" i="2"/>
  <c r="S937" i="2"/>
  <c r="R937" i="2"/>
  <c r="Q937" i="2"/>
  <c r="P937" i="2"/>
  <c r="O937" i="2"/>
  <c r="N937" i="2"/>
  <c r="M937" i="2"/>
  <c r="L937" i="2"/>
  <c r="K937" i="2"/>
  <c r="J937" i="2"/>
  <c r="I937" i="2"/>
  <c r="H937" i="2"/>
  <c r="G937" i="2"/>
  <c r="F937" i="2"/>
  <c r="E937" i="2"/>
  <c r="D937" i="2"/>
  <c r="C937" i="2"/>
  <c r="B937" i="2"/>
  <c r="A937" i="2"/>
  <c r="AE936" i="2"/>
  <c r="AD936" i="2"/>
  <c r="AC936" i="2"/>
  <c r="AB936" i="2"/>
  <c r="AA936" i="2"/>
  <c r="Z936" i="2"/>
  <c r="Y936" i="2"/>
  <c r="X936" i="2"/>
  <c r="W936" i="2"/>
  <c r="V936" i="2"/>
  <c r="U936" i="2"/>
  <c r="T936" i="2"/>
  <c r="S936" i="2"/>
  <c r="R936" i="2"/>
  <c r="Q936" i="2"/>
  <c r="P936" i="2"/>
  <c r="O936" i="2"/>
  <c r="N936" i="2"/>
  <c r="M936" i="2"/>
  <c r="L936" i="2"/>
  <c r="K936" i="2"/>
  <c r="J936" i="2"/>
  <c r="I936" i="2"/>
  <c r="H936" i="2"/>
  <c r="G936" i="2"/>
  <c r="F936" i="2"/>
  <c r="E936" i="2"/>
  <c r="D936" i="2"/>
  <c r="C936" i="2"/>
  <c r="B936" i="2"/>
  <c r="A936" i="2"/>
  <c r="AE935" i="2"/>
  <c r="AD935" i="2"/>
  <c r="AC935" i="2"/>
  <c r="AB935" i="2"/>
  <c r="AA935" i="2"/>
  <c r="Z935" i="2"/>
  <c r="Y935" i="2"/>
  <c r="X935" i="2"/>
  <c r="W935" i="2"/>
  <c r="V935" i="2"/>
  <c r="U935" i="2"/>
  <c r="T935" i="2"/>
  <c r="S935" i="2"/>
  <c r="R935" i="2"/>
  <c r="Q935" i="2"/>
  <c r="P935" i="2"/>
  <c r="O935" i="2"/>
  <c r="N935" i="2"/>
  <c r="M935" i="2"/>
  <c r="L935" i="2"/>
  <c r="K935" i="2"/>
  <c r="J935" i="2"/>
  <c r="I935" i="2"/>
  <c r="H935" i="2"/>
  <c r="G935" i="2"/>
  <c r="F935" i="2"/>
  <c r="E935" i="2"/>
  <c r="D935" i="2"/>
  <c r="C935" i="2"/>
  <c r="B935" i="2"/>
  <c r="A935" i="2"/>
  <c r="AE934" i="2"/>
  <c r="AD934" i="2"/>
  <c r="AC934" i="2"/>
  <c r="AB934" i="2"/>
  <c r="AA934" i="2"/>
  <c r="Z934" i="2"/>
  <c r="Y934" i="2"/>
  <c r="X934" i="2"/>
  <c r="W934" i="2"/>
  <c r="V934" i="2"/>
  <c r="U934" i="2"/>
  <c r="T934" i="2"/>
  <c r="S934" i="2"/>
  <c r="R934" i="2"/>
  <c r="Q934" i="2"/>
  <c r="P934" i="2"/>
  <c r="O934" i="2"/>
  <c r="N934" i="2"/>
  <c r="M934" i="2"/>
  <c r="L934" i="2"/>
  <c r="K934" i="2"/>
  <c r="J934" i="2"/>
  <c r="I934" i="2"/>
  <c r="H934" i="2"/>
  <c r="G934" i="2"/>
  <c r="F934" i="2"/>
  <c r="E934" i="2"/>
  <c r="D934" i="2"/>
  <c r="C934" i="2"/>
  <c r="B934" i="2"/>
  <c r="A934" i="2"/>
  <c r="AE933" i="2"/>
  <c r="AD933" i="2"/>
  <c r="AC933" i="2"/>
  <c r="AB933" i="2"/>
  <c r="AA933" i="2"/>
  <c r="Z933" i="2"/>
  <c r="Y933" i="2"/>
  <c r="X933" i="2"/>
  <c r="W933" i="2"/>
  <c r="V933" i="2"/>
  <c r="U933" i="2"/>
  <c r="T933" i="2"/>
  <c r="S933" i="2"/>
  <c r="R933" i="2"/>
  <c r="Q933" i="2"/>
  <c r="P933" i="2"/>
  <c r="O933" i="2"/>
  <c r="N933" i="2"/>
  <c r="M933" i="2"/>
  <c r="L933" i="2"/>
  <c r="K933" i="2"/>
  <c r="J933" i="2"/>
  <c r="I933" i="2"/>
  <c r="H933" i="2"/>
  <c r="G933" i="2"/>
  <c r="F933" i="2"/>
  <c r="E933" i="2"/>
  <c r="D933" i="2"/>
  <c r="C933" i="2"/>
  <c r="B933" i="2"/>
  <c r="A933" i="2"/>
  <c r="AE932" i="2"/>
  <c r="AD932" i="2"/>
  <c r="AC932" i="2"/>
  <c r="AB932" i="2"/>
  <c r="AA932" i="2"/>
  <c r="Z932" i="2"/>
  <c r="Y932" i="2"/>
  <c r="X932" i="2"/>
  <c r="W932" i="2"/>
  <c r="V932" i="2"/>
  <c r="U932" i="2"/>
  <c r="T932" i="2"/>
  <c r="S932" i="2"/>
  <c r="R932" i="2"/>
  <c r="Q932" i="2"/>
  <c r="P932" i="2"/>
  <c r="O932" i="2"/>
  <c r="N932" i="2"/>
  <c r="M932" i="2"/>
  <c r="L932" i="2"/>
  <c r="K932" i="2"/>
  <c r="J932" i="2"/>
  <c r="I932" i="2"/>
  <c r="H932" i="2"/>
  <c r="G932" i="2"/>
  <c r="F932" i="2"/>
  <c r="E932" i="2"/>
  <c r="D932" i="2"/>
  <c r="C932" i="2"/>
  <c r="B932" i="2"/>
  <c r="A932" i="2"/>
  <c r="AE931" i="2"/>
  <c r="AD931" i="2"/>
  <c r="AC931" i="2"/>
  <c r="AB931" i="2"/>
  <c r="AA931" i="2"/>
  <c r="Z931" i="2"/>
  <c r="Y931" i="2"/>
  <c r="X931" i="2"/>
  <c r="W931" i="2"/>
  <c r="V931" i="2"/>
  <c r="U931" i="2"/>
  <c r="T931" i="2"/>
  <c r="S931" i="2"/>
  <c r="R931" i="2"/>
  <c r="Q931" i="2"/>
  <c r="P931" i="2"/>
  <c r="O931" i="2"/>
  <c r="N931" i="2"/>
  <c r="M931" i="2"/>
  <c r="L931" i="2"/>
  <c r="K931" i="2"/>
  <c r="J931" i="2"/>
  <c r="I931" i="2"/>
  <c r="H931" i="2"/>
  <c r="G931" i="2"/>
  <c r="F931" i="2"/>
  <c r="E931" i="2"/>
  <c r="D931" i="2"/>
  <c r="C931" i="2"/>
  <c r="B931" i="2"/>
  <c r="A931" i="2"/>
  <c r="AE930" i="2"/>
  <c r="AD930" i="2"/>
  <c r="AC930" i="2"/>
  <c r="AB930" i="2"/>
  <c r="AA930" i="2"/>
  <c r="Z930" i="2"/>
  <c r="Y930" i="2"/>
  <c r="X930" i="2"/>
  <c r="W930" i="2"/>
  <c r="V930" i="2"/>
  <c r="U930" i="2"/>
  <c r="T930" i="2"/>
  <c r="S930" i="2"/>
  <c r="R930" i="2"/>
  <c r="Q930" i="2"/>
  <c r="P930" i="2"/>
  <c r="O930" i="2"/>
  <c r="N930" i="2"/>
  <c r="M930" i="2"/>
  <c r="L930" i="2"/>
  <c r="K930" i="2"/>
  <c r="J930" i="2"/>
  <c r="I930" i="2"/>
  <c r="H930" i="2"/>
  <c r="G930" i="2"/>
  <c r="F930" i="2"/>
  <c r="E930" i="2"/>
  <c r="D930" i="2"/>
  <c r="C930" i="2"/>
  <c r="B930" i="2"/>
  <c r="A930" i="2"/>
  <c r="AE929" i="2"/>
  <c r="AD929" i="2"/>
  <c r="AC929" i="2"/>
  <c r="AB929" i="2"/>
  <c r="AA929" i="2"/>
  <c r="Z929" i="2"/>
  <c r="Y929" i="2"/>
  <c r="X929" i="2"/>
  <c r="W929" i="2"/>
  <c r="V929" i="2"/>
  <c r="U929" i="2"/>
  <c r="T929" i="2"/>
  <c r="S929" i="2"/>
  <c r="R929" i="2"/>
  <c r="Q929" i="2"/>
  <c r="P929" i="2"/>
  <c r="O929" i="2"/>
  <c r="N929" i="2"/>
  <c r="M929" i="2"/>
  <c r="L929" i="2"/>
  <c r="K929" i="2"/>
  <c r="J929" i="2"/>
  <c r="I929" i="2"/>
  <c r="H929" i="2"/>
  <c r="G929" i="2"/>
  <c r="F929" i="2"/>
  <c r="E929" i="2"/>
  <c r="D929" i="2"/>
  <c r="C929" i="2"/>
  <c r="B929" i="2"/>
  <c r="A929" i="2"/>
  <c r="AE928" i="2"/>
  <c r="AD928" i="2"/>
  <c r="AC928" i="2"/>
  <c r="AB928" i="2"/>
  <c r="AA928" i="2"/>
  <c r="Z928" i="2"/>
  <c r="Y928" i="2"/>
  <c r="X928" i="2"/>
  <c r="W928" i="2"/>
  <c r="V928" i="2"/>
  <c r="U928" i="2"/>
  <c r="T928" i="2"/>
  <c r="S928" i="2"/>
  <c r="R928" i="2"/>
  <c r="Q928" i="2"/>
  <c r="P928" i="2"/>
  <c r="O928" i="2"/>
  <c r="N928" i="2"/>
  <c r="M928" i="2"/>
  <c r="L928" i="2"/>
  <c r="K928" i="2"/>
  <c r="J928" i="2"/>
  <c r="I928" i="2"/>
  <c r="H928" i="2"/>
  <c r="G928" i="2"/>
  <c r="F928" i="2"/>
  <c r="E928" i="2"/>
  <c r="D928" i="2"/>
  <c r="C928" i="2"/>
  <c r="B928" i="2"/>
  <c r="A928" i="2"/>
  <c r="AE927" i="2"/>
  <c r="AD927" i="2"/>
  <c r="AC927" i="2"/>
  <c r="AB927" i="2"/>
  <c r="AA927" i="2"/>
  <c r="Z927" i="2"/>
  <c r="Y927" i="2"/>
  <c r="X927" i="2"/>
  <c r="W927" i="2"/>
  <c r="V927" i="2"/>
  <c r="U927" i="2"/>
  <c r="T927" i="2"/>
  <c r="S927" i="2"/>
  <c r="R927" i="2"/>
  <c r="Q927" i="2"/>
  <c r="P927" i="2"/>
  <c r="O927" i="2"/>
  <c r="N927" i="2"/>
  <c r="M927" i="2"/>
  <c r="L927" i="2"/>
  <c r="K927" i="2"/>
  <c r="J927" i="2"/>
  <c r="I927" i="2"/>
  <c r="H927" i="2"/>
  <c r="G927" i="2"/>
  <c r="F927" i="2"/>
  <c r="E927" i="2"/>
  <c r="D927" i="2"/>
  <c r="C927" i="2"/>
  <c r="B927" i="2"/>
  <c r="A927" i="2"/>
  <c r="AE926" i="2"/>
  <c r="AD926" i="2"/>
  <c r="AC926" i="2"/>
  <c r="AB926" i="2"/>
  <c r="AA926" i="2"/>
  <c r="Z926" i="2"/>
  <c r="Y926" i="2"/>
  <c r="X926" i="2"/>
  <c r="W926" i="2"/>
  <c r="V926" i="2"/>
  <c r="U926" i="2"/>
  <c r="T926" i="2"/>
  <c r="S926" i="2"/>
  <c r="R926" i="2"/>
  <c r="Q926" i="2"/>
  <c r="P926" i="2"/>
  <c r="O926" i="2"/>
  <c r="N926" i="2"/>
  <c r="M926" i="2"/>
  <c r="L926" i="2"/>
  <c r="K926" i="2"/>
  <c r="J926" i="2"/>
  <c r="I926" i="2"/>
  <c r="H926" i="2"/>
  <c r="G926" i="2"/>
  <c r="F926" i="2"/>
  <c r="E926" i="2"/>
  <c r="D926" i="2"/>
  <c r="C926" i="2"/>
  <c r="B926" i="2"/>
  <c r="A926" i="2"/>
  <c r="AE925" i="2"/>
  <c r="AD925" i="2"/>
  <c r="AC925" i="2"/>
  <c r="AB925" i="2"/>
  <c r="AA925" i="2"/>
  <c r="Z925" i="2"/>
  <c r="Y925" i="2"/>
  <c r="X925" i="2"/>
  <c r="W925" i="2"/>
  <c r="V925" i="2"/>
  <c r="U925" i="2"/>
  <c r="T925" i="2"/>
  <c r="S925" i="2"/>
  <c r="R925" i="2"/>
  <c r="Q925" i="2"/>
  <c r="P925" i="2"/>
  <c r="O925" i="2"/>
  <c r="N925" i="2"/>
  <c r="M925" i="2"/>
  <c r="L925" i="2"/>
  <c r="K925" i="2"/>
  <c r="J925" i="2"/>
  <c r="I925" i="2"/>
  <c r="H925" i="2"/>
  <c r="G925" i="2"/>
  <c r="F925" i="2"/>
  <c r="E925" i="2"/>
  <c r="D925" i="2"/>
  <c r="C925" i="2"/>
  <c r="B925" i="2"/>
  <c r="A925" i="2"/>
  <c r="AE924" i="2"/>
  <c r="AD924" i="2"/>
  <c r="AC924" i="2"/>
  <c r="AB924" i="2"/>
  <c r="AA924" i="2"/>
  <c r="Z924" i="2"/>
  <c r="Y924" i="2"/>
  <c r="X924" i="2"/>
  <c r="W924" i="2"/>
  <c r="V924" i="2"/>
  <c r="U924" i="2"/>
  <c r="T924" i="2"/>
  <c r="S924" i="2"/>
  <c r="R924" i="2"/>
  <c r="Q924" i="2"/>
  <c r="P924" i="2"/>
  <c r="O924" i="2"/>
  <c r="N924" i="2"/>
  <c r="M924" i="2"/>
  <c r="L924" i="2"/>
  <c r="K924" i="2"/>
  <c r="J924" i="2"/>
  <c r="I924" i="2"/>
  <c r="H924" i="2"/>
  <c r="G924" i="2"/>
  <c r="F924" i="2"/>
  <c r="E924" i="2"/>
  <c r="D924" i="2"/>
  <c r="C924" i="2"/>
  <c r="B924" i="2"/>
  <c r="A924" i="2"/>
  <c r="AE923" i="2"/>
  <c r="AD923" i="2"/>
  <c r="AC923" i="2"/>
  <c r="AB923" i="2"/>
  <c r="AA923" i="2"/>
  <c r="Z923" i="2"/>
  <c r="Y923" i="2"/>
  <c r="X923" i="2"/>
  <c r="W923" i="2"/>
  <c r="V923" i="2"/>
  <c r="U923" i="2"/>
  <c r="T923" i="2"/>
  <c r="S923" i="2"/>
  <c r="R923" i="2"/>
  <c r="Q923" i="2"/>
  <c r="P923" i="2"/>
  <c r="O923" i="2"/>
  <c r="N923" i="2"/>
  <c r="M923" i="2"/>
  <c r="L923" i="2"/>
  <c r="K923" i="2"/>
  <c r="J923" i="2"/>
  <c r="I923" i="2"/>
  <c r="H923" i="2"/>
  <c r="G923" i="2"/>
  <c r="F923" i="2"/>
  <c r="E923" i="2"/>
  <c r="D923" i="2"/>
  <c r="C923" i="2"/>
  <c r="B923" i="2"/>
  <c r="A923" i="2"/>
  <c r="AE922" i="2"/>
  <c r="AD922" i="2"/>
  <c r="AC922" i="2"/>
  <c r="AB922" i="2"/>
  <c r="AA922" i="2"/>
  <c r="Z922" i="2"/>
  <c r="Y922" i="2"/>
  <c r="X922" i="2"/>
  <c r="W922" i="2"/>
  <c r="V922" i="2"/>
  <c r="U922" i="2"/>
  <c r="T922" i="2"/>
  <c r="S922" i="2"/>
  <c r="R922" i="2"/>
  <c r="Q922" i="2"/>
  <c r="P922" i="2"/>
  <c r="O922" i="2"/>
  <c r="N922" i="2"/>
  <c r="M922" i="2"/>
  <c r="L922" i="2"/>
  <c r="K922" i="2"/>
  <c r="J922" i="2"/>
  <c r="I922" i="2"/>
  <c r="H922" i="2"/>
  <c r="G922" i="2"/>
  <c r="F922" i="2"/>
  <c r="E922" i="2"/>
  <c r="D922" i="2"/>
  <c r="C922" i="2"/>
  <c r="B922" i="2"/>
  <c r="A922" i="2"/>
  <c r="AE921" i="2"/>
  <c r="AD921" i="2"/>
  <c r="AC921" i="2"/>
  <c r="AB921" i="2"/>
  <c r="AA921" i="2"/>
  <c r="Z921" i="2"/>
  <c r="Y921" i="2"/>
  <c r="X921" i="2"/>
  <c r="W921" i="2"/>
  <c r="V921" i="2"/>
  <c r="U921" i="2"/>
  <c r="T921" i="2"/>
  <c r="S921" i="2"/>
  <c r="R921" i="2"/>
  <c r="Q921" i="2"/>
  <c r="P921" i="2"/>
  <c r="O921" i="2"/>
  <c r="N921" i="2"/>
  <c r="M921" i="2"/>
  <c r="L921" i="2"/>
  <c r="K921" i="2"/>
  <c r="J921" i="2"/>
  <c r="I921" i="2"/>
  <c r="H921" i="2"/>
  <c r="G921" i="2"/>
  <c r="F921" i="2"/>
  <c r="E921" i="2"/>
  <c r="D921" i="2"/>
  <c r="C921" i="2"/>
  <c r="B921" i="2"/>
  <c r="A921" i="2"/>
  <c r="AE920" i="2"/>
  <c r="AD920" i="2"/>
  <c r="AC920" i="2"/>
  <c r="AB920" i="2"/>
  <c r="AA920" i="2"/>
  <c r="Z920" i="2"/>
  <c r="Y920" i="2"/>
  <c r="X920" i="2"/>
  <c r="W920" i="2"/>
  <c r="V920" i="2"/>
  <c r="U920" i="2"/>
  <c r="T920" i="2"/>
  <c r="S920" i="2"/>
  <c r="R920" i="2"/>
  <c r="Q920" i="2"/>
  <c r="P920" i="2"/>
  <c r="O920" i="2"/>
  <c r="N920" i="2"/>
  <c r="M920" i="2"/>
  <c r="L920" i="2"/>
  <c r="K920" i="2"/>
  <c r="J920" i="2"/>
  <c r="I920" i="2"/>
  <c r="H920" i="2"/>
  <c r="G920" i="2"/>
  <c r="F920" i="2"/>
  <c r="E920" i="2"/>
  <c r="D920" i="2"/>
  <c r="C920" i="2"/>
  <c r="B920" i="2"/>
  <c r="A920" i="2"/>
  <c r="AE919" i="2"/>
  <c r="AD919" i="2"/>
  <c r="AC919" i="2"/>
  <c r="AB919" i="2"/>
  <c r="AA919" i="2"/>
  <c r="Z919" i="2"/>
  <c r="Y919" i="2"/>
  <c r="X919" i="2"/>
  <c r="W919" i="2"/>
  <c r="V919" i="2"/>
  <c r="U919" i="2"/>
  <c r="T919" i="2"/>
  <c r="S919" i="2"/>
  <c r="R919" i="2"/>
  <c r="Q919" i="2"/>
  <c r="P919" i="2"/>
  <c r="O919" i="2"/>
  <c r="N919" i="2"/>
  <c r="M919" i="2"/>
  <c r="L919" i="2"/>
  <c r="K919" i="2"/>
  <c r="J919" i="2"/>
  <c r="I919" i="2"/>
  <c r="H919" i="2"/>
  <c r="G919" i="2"/>
  <c r="F919" i="2"/>
  <c r="E919" i="2"/>
  <c r="D919" i="2"/>
  <c r="C919" i="2"/>
  <c r="B919" i="2"/>
  <c r="A919" i="2"/>
  <c r="AE918" i="2"/>
  <c r="AD918" i="2"/>
  <c r="AC918" i="2"/>
  <c r="AB918" i="2"/>
  <c r="AA918" i="2"/>
  <c r="Z918" i="2"/>
  <c r="Y918" i="2"/>
  <c r="X918" i="2"/>
  <c r="W918" i="2"/>
  <c r="V918" i="2"/>
  <c r="U918" i="2"/>
  <c r="T918" i="2"/>
  <c r="S918" i="2"/>
  <c r="R918" i="2"/>
  <c r="Q918" i="2"/>
  <c r="P918" i="2"/>
  <c r="O918" i="2"/>
  <c r="N918" i="2"/>
  <c r="M918" i="2"/>
  <c r="L918" i="2"/>
  <c r="K918" i="2"/>
  <c r="J918" i="2"/>
  <c r="I918" i="2"/>
  <c r="H918" i="2"/>
  <c r="G918" i="2"/>
  <c r="F918" i="2"/>
  <c r="E918" i="2"/>
  <c r="D918" i="2"/>
  <c r="C918" i="2"/>
  <c r="B918" i="2"/>
  <c r="A918" i="2"/>
  <c r="AE917" i="2"/>
  <c r="AD917" i="2"/>
  <c r="AC917" i="2"/>
  <c r="AB917" i="2"/>
  <c r="AA917" i="2"/>
  <c r="Z917" i="2"/>
  <c r="Y917" i="2"/>
  <c r="X917" i="2"/>
  <c r="W917" i="2"/>
  <c r="V917" i="2"/>
  <c r="U917" i="2"/>
  <c r="T917" i="2"/>
  <c r="S917" i="2"/>
  <c r="R917" i="2"/>
  <c r="Q917" i="2"/>
  <c r="P917" i="2"/>
  <c r="O917" i="2"/>
  <c r="N917" i="2"/>
  <c r="M917" i="2"/>
  <c r="L917" i="2"/>
  <c r="K917" i="2"/>
  <c r="J917" i="2"/>
  <c r="I917" i="2"/>
  <c r="H917" i="2"/>
  <c r="G917" i="2"/>
  <c r="F917" i="2"/>
  <c r="E917" i="2"/>
  <c r="D917" i="2"/>
  <c r="C917" i="2"/>
  <c r="B917" i="2"/>
  <c r="A917" i="2"/>
  <c r="AE916" i="2"/>
  <c r="AD916" i="2"/>
  <c r="AC916" i="2"/>
  <c r="AB916" i="2"/>
  <c r="AA916" i="2"/>
  <c r="Z916" i="2"/>
  <c r="Y916" i="2"/>
  <c r="X916" i="2"/>
  <c r="W916" i="2"/>
  <c r="V916" i="2"/>
  <c r="U916" i="2"/>
  <c r="T916" i="2"/>
  <c r="S916" i="2"/>
  <c r="R916" i="2"/>
  <c r="Q916" i="2"/>
  <c r="P916" i="2"/>
  <c r="O916" i="2"/>
  <c r="N916" i="2"/>
  <c r="M916" i="2"/>
  <c r="L916" i="2"/>
  <c r="K916" i="2"/>
  <c r="J916" i="2"/>
  <c r="I916" i="2"/>
  <c r="H916" i="2"/>
  <c r="G916" i="2"/>
  <c r="F916" i="2"/>
  <c r="E916" i="2"/>
  <c r="D916" i="2"/>
  <c r="C916" i="2"/>
  <c r="B916" i="2"/>
  <c r="A916" i="2"/>
  <c r="AE915" i="2"/>
  <c r="AD915" i="2"/>
  <c r="AC915" i="2"/>
  <c r="AB915" i="2"/>
  <c r="AA915" i="2"/>
  <c r="Z915" i="2"/>
  <c r="Y915" i="2"/>
  <c r="X915" i="2"/>
  <c r="W915" i="2"/>
  <c r="V915" i="2"/>
  <c r="U915" i="2"/>
  <c r="T915" i="2"/>
  <c r="S915" i="2"/>
  <c r="R915" i="2"/>
  <c r="Q915" i="2"/>
  <c r="P915" i="2"/>
  <c r="O915" i="2"/>
  <c r="N915" i="2"/>
  <c r="M915" i="2"/>
  <c r="L915" i="2"/>
  <c r="K915" i="2"/>
  <c r="J915" i="2"/>
  <c r="I915" i="2"/>
  <c r="H915" i="2"/>
  <c r="G915" i="2"/>
  <c r="F915" i="2"/>
  <c r="E915" i="2"/>
  <c r="D915" i="2"/>
  <c r="C915" i="2"/>
  <c r="B915" i="2"/>
  <c r="A915" i="2"/>
  <c r="AE914" i="2"/>
  <c r="AD914" i="2"/>
  <c r="AC914" i="2"/>
  <c r="AB914" i="2"/>
  <c r="AA914" i="2"/>
  <c r="Z914" i="2"/>
  <c r="Y914" i="2"/>
  <c r="X914" i="2"/>
  <c r="W914" i="2"/>
  <c r="V914" i="2"/>
  <c r="U914" i="2"/>
  <c r="T914" i="2"/>
  <c r="S914" i="2"/>
  <c r="R914" i="2"/>
  <c r="Q914" i="2"/>
  <c r="P914" i="2"/>
  <c r="O914" i="2"/>
  <c r="N914" i="2"/>
  <c r="M914" i="2"/>
  <c r="L914" i="2"/>
  <c r="K914" i="2"/>
  <c r="J914" i="2"/>
  <c r="I914" i="2"/>
  <c r="H914" i="2"/>
  <c r="G914" i="2"/>
  <c r="F914" i="2"/>
  <c r="E914" i="2"/>
  <c r="D914" i="2"/>
  <c r="C914" i="2"/>
  <c r="B914" i="2"/>
  <c r="A914" i="2"/>
  <c r="AE913" i="2"/>
  <c r="AD913" i="2"/>
  <c r="AC913" i="2"/>
  <c r="AB913" i="2"/>
  <c r="AA913" i="2"/>
  <c r="Z913" i="2"/>
  <c r="Y913" i="2"/>
  <c r="X913" i="2"/>
  <c r="W913" i="2"/>
  <c r="V913" i="2"/>
  <c r="U913" i="2"/>
  <c r="T913" i="2"/>
  <c r="S913" i="2"/>
  <c r="R913" i="2"/>
  <c r="Q913" i="2"/>
  <c r="P913" i="2"/>
  <c r="O913" i="2"/>
  <c r="N913" i="2"/>
  <c r="M913" i="2"/>
  <c r="L913" i="2"/>
  <c r="K913" i="2"/>
  <c r="J913" i="2"/>
  <c r="I913" i="2"/>
  <c r="H913" i="2"/>
  <c r="G913" i="2"/>
  <c r="F913" i="2"/>
  <c r="E913" i="2"/>
  <c r="D913" i="2"/>
  <c r="C913" i="2"/>
  <c r="B913" i="2"/>
  <c r="A913" i="2"/>
  <c r="AE912" i="2"/>
  <c r="AD912" i="2"/>
  <c r="AC912" i="2"/>
  <c r="AB912" i="2"/>
  <c r="AA912" i="2"/>
  <c r="Z912" i="2"/>
  <c r="Y912" i="2"/>
  <c r="X912" i="2"/>
  <c r="W912" i="2"/>
  <c r="V912" i="2"/>
  <c r="U912" i="2"/>
  <c r="T912" i="2"/>
  <c r="S912" i="2"/>
  <c r="R912" i="2"/>
  <c r="Q912" i="2"/>
  <c r="P912" i="2"/>
  <c r="O912" i="2"/>
  <c r="N912" i="2"/>
  <c r="M912" i="2"/>
  <c r="L912" i="2"/>
  <c r="K912" i="2"/>
  <c r="J912" i="2"/>
  <c r="I912" i="2"/>
  <c r="H912" i="2"/>
  <c r="G912" i="2"/>
  <c r="F912" i="2"/>
  <c r="E912" i="2"/>
  <c r="D912" i="2"/>
  <c r="C912" i="2"/>
  <c r="B912" i="2"/>
  <c r="A912" i="2"/>
  <c r="AE911" i="2"/>
  <c r="AD911" i="2"/>
  <c r="AC911" i="2"/>
  <c r="AB911" i="2"/>
  <c r="AA911" i="2"/>
  <c r="Z911" i="2"/>
  <c r="Y911" i="2"/>
  <c r="X911" i="2"/>
  <c r="W911" i="2"/>
  <c r="V911" i="2"/>
  <c r="U911" i="2"/>
  <c r="T911" i="2"/>
  <c r="S911" i="2"/>
  <c r="R911" i="2"/>
  <c r="Q911" i="2"/>
  <c r="P911" i="2"/>
  <c r="O911" i="2"/>
  <c r="N911" i="2"/>
  <c r="M911" i="2"/>
  <c r="L911" i="2"/>
  <c r="K911" i="2"/>
  <c r="J911" i="2"/>
  <c r="I911" i="2"/>
  <c r="H911" i="2"/>
  <c r="G911" i="2"/>
  <c r="F911" i="2"/>
  <c r="E911" i="2"/>
  <c r="D911" i="2"/>
  <c r="C911" i="2"/>
  <c r="B911" i="2"/>
  <c r="A911" i="2"/>
  <c r="AE910" i="2"/>
  <c r="AD910" i="2"/>
  <c r="AC910" i="2"/>
  <c r="AB910" i="2"/>
  <c r="AA910" i="2"/>
  <c r="Z910" i="2"/>
  <c r="Y910" i="2"/>
  <c r="X910" i="2"/>
  <c r="W910" i="2"/>
  <c r="V910" i="2"/>
  <c r="U910" i="2"/>
  <c r="T910" i="2"/>
  <c r="S910" i="2"/>
  <c r="R910" i="2"/>
  <c r="Q910" i="2"/>
  <c r="P910" i="2"/>
  <c r="O910" i="2"/>
  <c r="N910" i="2"/>
  <c r="M910" i="2"/>
  <c r="L910" i="2"/>
  <c r="K910" i="2"/>
  <c r="J910" i="2"/>
  <c r="I910" i="2"/>
  <c r="H910" i="2"/>
  <c r="G910" i="2"/>
  <c r="F910" i="2"/>
  <c r="E910" i="2"/>
  <c r="D910" i="2"/>
  <c r="C910" i="2"/>
  <c r="B910" i="2"/>
  <c r="A910" i="2"/>
  <c r="AE909" i="2"/>
  <c r="AD909" i="2"/>
  <c r="AC909" i="2"/>
  <c r="AB909" i="2"/>
  <c r="AA909" i="2"/>
  <c r="Z909" i="2"/>
  <c r="Y909" i="2"/>
  <c r="X909" i="2"/>
  <c r="W909" i="2"/>
  <c r="V909" i="2"/>
  <c r="U909" i="2"/>
  <c r="T909" i="2"/>
  <c r="S909" i="2"/>
  <c r="R909" i="2"/>
  <c r="Q909" i="2"/>
  <c r="P909" i="2"/>
  <c r="O909" i="2"/>
  <c r="N909" i="2"/>
  <c r="M909" i="2"/>
  <c r="L909" i="2"/>
  <c r="K909" i="2"/>
  <c r="J909" i="2"/>
  <c r="I909" i="2"/>
  <c r="H909" i="2"/>
  <c r="G909" i="2"/>
  <c r="F909" i="2"/>
  <c r="E909" i="2"/>
  <c r="D909" i="2"/>
  <c r="C909" i="2"/>
  <c r="B909" i="2"/>
  <c r="A909" i="2"/>
  <c r="AE908" i="2"/>
  <c r="AD908" i="2"/>
  <c r="AC908" i="2"/>
  <c r="AB908" i="2"/>
  <c r="AA908" i="2"/>
  <c r="Z908" i="2"/>
  <c r="Y908" i="2"/>
  <c r="X908" i="2"/>
  <c r="W908" i="2"/>
  <c r="V908" i="2"/>
  <c r="U908" i="2"/>
  <c r="T908" i="2"/>
  <c r="S908" i="2"/>
  <c r="R908" i="2"/>
  <c r="Q908" i="2"/>
  <c r="P908" i="2"/>
  <c r="O908" i="2"/>
  <c r="N908" i="2"/>
  <c r="M908" i="2"/>
  <c r="L908" i="2"/>
  <c r="K908" i="2"/>
  <c r="J908" i="2"/>
  <c r="I908" i="2"/>
  <c r="H908" i="2"/>
  <c r="G908" i="2"/>
  <c r="F908" i="2"/>
  <c r="E908" i="2"/>
  <c r="D908" i="2"/>
  <c r="C908" i="2"/>
  <c r="B908" i="2"/>
  <c r="A908" i="2"/>
  <c r="AE907" i="2"/>
  <c r="AD907" i="2"/>
  <c r="AC907" i="2"/>
  <c r="AB907" i="2"/>
  <c r="AA907" i="2"/>
  <c r="Z907" i="2"/>
  <c r="Y907" i="2"/>
  <c r="X907" i="2"/>
  <c r="W907" i="2"/>
  <c r="V907" i="2"/>
  <c r="U907" i="2"/>
  <c r="T907" i="2"/>
  <c r="S907" i="2"/>
  <c r="R907" i="2"/>
  <c r="Q907" i="2"/>
  <c r="P907" i="2"/>
  <c r="O907" i="2"/>
  <c r="N907" i="2"/>
  <c r="M907" i="2"/>
  <c r="L907" i="2"/>
  <c r="K907" i="2"/>
  <c r="J907" i="2"/>
  <c r="I907" i="2"/>
  <c r="H907" i="2"/>
  <c r="G907" i="2"/>
  <c r="F907" i="2"/>
  <c r="E907" i="2"/>
  <c r="D907" i="2"/>
  <c r="C907" i="2"/>
  <c r="B907" i="2"/>
  <c r="A907" i="2"/>
  <c r="AE906" i="2"/>
  <c r="AD906" i="2"/>
  <c r="AC906" i="2"/>
  <c r="AB906" i="2"/>
  <c r="AA906" i="2"/>
  <c r="Z906" i="2"/>
  <c r="Y906" i="2"/>
  <c r="X906" i="2"/>
  <c r="W906" i="2"/>
  <c r="V906" i="2"/>
  <c r="U906" i="2"/>
  <c r="T906" i="2"/>
  <c r="S906" i="2"/>
  <c r="R906" i="2"/>
  <c r="Q906" i="2"/>
  <c r="P906" i="2"/>
  <c r="O906" i="2"/>
  <c r="N906" i="2"/>
  <c r="M906" i="2"/>
  <c r="L906" i="2"/>
  <c r="K906" i="2"/>
  <c r="J906" i="2"/>
  <c r="I906" i="2"/>
  <c r="H906" i="2"/>
  <c r="G906" i="2"/>
  <c r="F906" i="2"/>
  <c r="E906" i="2"/>
  <c r="D906" i="2"/>
  <c r="C906" i="2"/>
  <c r="B906" i="2"/>
  <c r="A906" i="2"/>
  <c r="AE905" i="2"/>
  <c r="AD905" i="2"/>
  <c r="AC905" i="2"/>
  <c r="AB905" i="2"/>
  <c r="AA905" i="2"/>
  <c r="Z905" i="2"/>
  <c r="Y905" i="2"/>
  <c r="X905" i="2"/>
  <c r="W905" i="2"/>
  <c r="V905" i="2"/>
  <c r="U905" i="2"/>
  <c r="T905" i="2"/>
  <c r="S905" i="2"/>
  <c r="R905" i="2"/>
  <c r="Q905" i="2"/>
  <c r="P905" i="2"/>
  <c r="O905" i="2"/>
  <c r="N905" i="2"/>
  <c r="M905" i="2"/>
  <c r="L905" i="2"/>
  <c r="K905" i="2"/>
  <c r="J905" i="2"/>
  <c r="I905" i="2"/>
  <c r="H905" i="2"/>
  <c r="G905" i="2"/>
  <c r="F905" i="2"/>
  <c r="E905" i="2"/>
  <c r="D905" i="2"/>
  <c r="C905" i="2"/>
  <c r="B905" i="2"/>
  <c r="A905" i="2"/>
  <c r="AE904" i="2"/>
  <c r="AD904" i="2"/>
  <c r="AC904" i="2"/>
  <c r="AB904" i="2"/>
  <c r="AA904" i="2"/>
  <c r="Z904" i="2"/>
  <c r="Y904" i="2"/>
  <c r="X904" i="2"/>
  <c r="W904" i="2"/>
  <c r="V904" i="2"/>
  <c r="U904" i="2"/>
  <c r="T904" i="2"/>
  <c r="S904" i="2"/>
  <c r="R904" i="2"/>
  <c r="Q904" i="2"/>
  <c r="P904" i="2"/>
  <c r="O904" i="2"/>
  <c r="N904" i="2"/>
  <c r="M904" i="2"/>
  <c r="L904" i="2"/>
  <c r="K904" i="2"/>
  <c r="J904" i="2"/>
  <c r="I904" i="2"/>
  <c r="H904" i="2"/>
  <c r="G904" i="2"/>
  <c r="F904" i="2"/>
  <c r="E904" i="2"/>
  <c r="D904" i="2"/>
  <c r="C904" i="2"/>
  <c r="B904" i="2"/>
  <c r="A904" i="2"/>
  <c r="AE903" i="2"/>
  <c r="AD903" i="2"/>
  <c r="AC903" i="2"/>
  <c r="AB903" i="2"/>
  <c r="AA903" i="2"/>
  <c r="Z903" i="2"/>
  <c r="Y903" i="2"/>
  <c r="X903" i="2"/>
  <c r="W903" i="2"/>
  <c r="V903" i="2"/>
  <c r="U903" i="2"/>
  <c r="T903" i="2"/>
  <c r="S903" i="2"/>
  <c r="R903" i="2"/>
  <c r="Q903" i="2"/>
  <c r="P903" i="2"/>
  <c r="O903" i="2"/>
  <c r="N903" i="2"/>
  <c r="M903" i="2"/>
  <c r="L903" i="2"/>
  <c r="K903" i="2"/>
  <c r="J903" i="2"/>
  <c r="I903" i="2"/>
  <c r="H903" i="2"/>
  <c r="G903" i="2"/>
  <c r="F903" i="2"/>
  <c r="E903" i="2"/>
  <c r="D903" i="2"/>
  <c r="C903" i="2"/>
  <c r="B903" i="2"/>
  <c r="A903" i="2"/>
  <c r="AE902" i="2"/>
  <c r="AD902" i="2"/>
  <c r="AC902" i="2"/>
  <c r="AB902" i="2"/>
  <c r="AA902" i="2"/>
  <c r="Z902" i="2"/>
  <c r="Y902" i="2"/>
  <c r="X902" i="2"/>
  <c r="W902" i="2"/>
  <c r="V902" i="2"/>
  <c r="U902" i="2"/>
  <c r="T902" i="2"/>
  <c r="S902" i="2"/>
  <c r="R902" i="2"/>
  <c r="Q902" i="2"/>
  <c r="P902" i="2"/>
  <c r="O902" i="2"/>
  <c r="N902" i="2"/>
  <c r="M902" i="2"/>
  <c r="L902" i="2"/>
  <c r="K902" i="2"/>
  <c r="J902" i="2"/>
  <c r="I902" i="2"/>
  <c r="H902" i="2"/>
  <c r="G902" i="2"/>
  <c r="F902" i="2"/>
  <c r="E902" i="2"/>
  <c r="D902" i="2"/>
  <c r="C902" i="2"/>
  <c r="B902" i="2"/>
  <c r="A902" i="2"/>
  <c r="AE901" i="2"/>
  <c r="AD901" i="2"/>
  <c r="AC901" i="2"/>
  <c r="AB901" i="2"/>
  <c r="AA901" i="2"/>
  <c r="Z901" i="2"/>
  <c r="Y901" i="2"/>
  <c r="X901" i="2"/>
  <c r="W901" i="2"/>
  <c r="V901" i="2"/>
  <c r="U901" i="2"/>
  <c r="T901" i="2"/>
  <c r="S901" i="2"/>
  <c r="R901" i="2"/>
  <c r="Q901" i="2"/>
  <c r="P901" i="2"/>
  <c r="O901" i="2"/>
  <c r="N901" i="2"/>
  <c r="M901" i="2"/>
  <c r="L901" i="2"/>
  <c r="K901" i="2"/>
  <c r="J901" i="2"/>
  <c r="I901" i="2"/>
  <c r="H901" i="2"/>
  <c r="G901" i="2"/>
  <c r="F901" i="2"/>
  <c r="E901" i="2"/>
  <c r="D901" i="2"/>
  <c r="C901" i="2"/>
  <c r="B901" i="2"/>
  <c r="A901" i="2"/>
  <c r="AE900" i="2"/>
  <c r="AD900" i="2"/>
  <c r="AC900" i="2"/>
  <c r="AB900" i="2"/>
  <c r="AA900" i="2"/>
  <c r="Z900" i="2"/>
  <c r="Y900" i="2"/>
  <c r="X900" i="2"/>
  <c r="W900" i="2"/>
  <c r="V900" i="2"/>
  <c r="U900" i="2"/>
  <c r="T900" i="2"/>
  <c r="S900" i="2"/>
  <c r="R900" i="2"/>
  <c r="Q900" i="2"/>
  <c r="P900" i="2"/>
  <c r="O900" i="2"/>
  <c r="N900" i="2"/>
  <c r="M900" i="2"/>
  <c r="L900" i="2"/>
  <c r="K900" i="2"/>
  <c r="J900" i="2"/>
  <c r="I900" i="2"/>
  <c r="H900" i="2"/>
  <c r="G900" i="2"/>
  <c r="F900" i="2"/>
  <c r="E900" i="2"/>
  <c r="D900" i="2"/>
  <c r="C900" i="2"/>
  <c r="B900" i="2"/>
  <c r="A900" i="2"/>
  <c r="AE899" i="2"/>
  <c r="AD899" i="2"/>
  <c r="AC899" i="2"/>
  <c r="AB899" i="2"/>
  <c r="AA899" i="2"/>
  <c r="Z899" i="2"/>
  <c r="Y899" i="2"/>
  <c r="X899" i="2"/>
  <c r="W899" i="2"/>
  <c r="V899" i="2"/>
  <c r="U899" i="2"/>
  <c r="T899" i="2"/>
  <c r="S899" i="2"/>
  <c r="R899" i="2"/>
  <c r="Q899" i="2"/>
  <c r="P899" i="2"/>
  <c r="O899" i="2"/>
  <c r="N899" i="2"/>
  <c r="M899" i="2"/>
  <c r="L899" i="2"/>
  <c r="K899" i="2"/>
  <c r="J899" i="2"/>
  <c r="I899" i="2"/>
  <c r="H899" i="2"/>
  <c r="G899" i="2"/>
  <c r="F899" i="2"/>
  <c r="E899" i="2"/>
  <c r="D899" i="2"/>
  <c r="C899" i="2"/>
  <c r="B899" i="2"/>
  <c r="A899" i="2"/>
  <c r="AE898" i="2"/>
  <c r="AD898" i="2"/>
  <c r="AC898" i="2"/>
  <c r="AB898" i="2"/>
  <c r="AA898" i="2"/>
  <c r="Z898" i="2"/>
  <c r="Y898" i="2"/>
  <c r="X898" i="2"/>
  <c r="W898" i="2"/>
  <c r="V898" i="2"/>
  <c r="U898" i="2"/>
  <c r="T898" i="2"/>
  <c r="S898" i="2"/>
  <c r="R898" i="2"/>
  <c r="Q898" i="2"/>
  <c r="P898" i="2"/>
  <c r="O898" i="2"/>
  <c r="N898" i="2"/>
  <c r="M898" i="2"/>
  <c r="L898" i="2"/>
  <c r="K898" i="2"/>
  <c r="J898" i="2"/>
  <c r="I898" i="2"/>
  <c r="H898" i="2"/>
  <c r="G898" i="2"/>
  <c r="F898" i="2"/>
  <c r="E898" i="2"/>
  <c r="D898" i="2"/>
  <c r="C898" i="2"/>
  <c r="B898" i="2"/>
  <c r="A898" i="2"/>
  <c r="AE897" i="2"/>
  <c r="AD897" i="2"/>
  <c r="AC897" i="2"/>
  <c r="AB897" i="2"/>
  <c r="AA897" i="2"/>
  <c r="Z897" i="2"/>
  <c r="Y897" i="2"/>
  <c r="X897" i="2"/>
  <c r="W897" i="2"/>
  <c r="V897" i="2"/>
  <c r="U897" i="2"/>
  <c r="T897" i="2"/>
  <c r="S897" i="2"/>
  <c r="R897" i="2"/>
  <c r="Q897" i="2"/>
  <c r="P897" i="2"/>
  <c r="O897" i="2"/>
  <c r="N897" i="2"/>
  <c r="M897" i="2"/>
  <c r="L897" i="2"/>
  <c r="K897" i="2"/>
  <c r="J897" i="2"/>
  <c r="I897" i="2"/>
  <c r="H897" i="2"/>
  <c r="G897" i="2"/>
  <c r="F897" i="2"/>
  <c r="E897" i="2"/>
  <c r="D897" i="2"/>
  <c r="C897" i="2"/>
  <c r="B897" i="2"/>
  <c r="A897" i="2"/>
  <c r="AE896" i="2"/>
  <c r="AD896" i="2"/>
  <c r="AC896" i="2"/>
  <c r="AB896" i="2"/>
  <c r="AA896" i="2"/>
  <c r="Z896" i="2"/>
  <c r="Y896" i="2"/>
  <c r="X896" i="2"/>
  <c r="W896" i="2"/>
  <c r="V896" i="2"/>
  <c r="U896" i="2"/>
  <c r="T896" i="2"/>
  <c r="S896" i="2"/>
  <c r="R896" i="2"/>
  <c r="Q896" i="2"/>
  <c r="P896" i="2"/>
  <c r="O896" i="2"/>
  <c r="N896" i="2"/>
  <c r="M896" i="2"/>
  <c r="L896" i="2"/>
  <c r="K896" i="2"/>
  <c r="J896" i="2"/>
  <c r="I896" i="2"/>
  <c r="H896" i="2"/>
  <c r="G896" i="2"/>
  <c r="F896" i="2"/>
  <c r="E896" i="2"/>
  <c r="D896" i="2"/>
  <c r="C896" i="2"/>
  <c r="B896" i="2"/>
  <c r="A896" i="2"/>
  <c r="AE895" i="2"/>
  <c r="AD895" i="2"/>
  <c r="AC895" i="2"/>
  <c r="AB895" i="2"/>
  <c r="AA895" i="2"/>
  <c r="Z895" i="2"/>
  <c r="Y895" i="2"/>
  <c r="X895" i="2"/>
  <c r="W895" i="2"/>
  <c r="V895" i="2"/>
  <c r="U895" i="2"/>
  <c r="T895" i="2"/>
  <c r="S895" i="2"/>
  <c r="R895" i="2"/>
  <c r="Q895" i="2"/>
  <c r="P895" i="2"/>
  <c r="O895" i="2"/>
  <c r="N895" i="2"/>
  <c r="M895" i="2"/>
  <c r="L895" i="2"/>
  <c r="K895" i="2"/>
  <c r="J895" i="2"/>
  <c r="I895" i="2"/>
  <c r="H895" i="2"/>
  <c r="G895" i="2"/>
  <c r="F895" i="2"/>
  <c r="E895" i="2"/>
  <c r="D895" i="2"/>
  <c r="C895" i="2"/>
  <c r="B895" i="2"/>
  <c r="A895" i="2"/>
  <c r="AE894" i="2"/>
  <c r="AD894" i="2"/>
  <c r="AC894" i="2"/>
  <c r="AB894" i="2"/>
  <c r="AA894" i="2"/>
  <c r="Z894" i="2"/>
  <c r="Y894" i="2"/>
  <c r="X894" i="2"/>
  <c r="W894" i="2"/>
  <c r="V894" i="2"/>
  <c r="U894" i="2"/>
  <c r="T894" i="2"/>
  <c r="S894" i="2"/>
  <c r="R894" i="2"/>
  <c r="Q894" i="2"/>
  <c r="P894" i="2"/>
  <c r="O894" i="2"/>
  <c r="N894" i="2"/>
  <c r="M894" i="2"/>
  <c r="L894" i="2"/>
  <c r="K894" i="2"/>
  <c r="J894" i="2"/>
  <c r="I894" i="2"/>
  <c r="H894" i="2"/>
  <c r="G894" i="2"/>
  <c r="F894" i="2"/>
  <c r="E894" i="2"/>
  <c r="D894" i="2"/>
  <c r="C894" i="2"/>
  <c r="B894" i="2"/>
  <c r="A894" i="2"/>
  <c r="AE893" i="2"/>
  <c r="AD893" i="2"/>
  <c r="AC893" i="2"/>
  <c r="AB893" i="2"/>
  <c r="AA893" i="2"/>
  <c r="Z893" i="2"/>
  <c r="Y893" i="2"/>
  <c r="X893" i="2"/>
  <c r="W893" i="2"/>
  <c r="V893" i="2"/>
  <c r="U893" i="2"/>
  <c r="T893" i="2"/>
  <c r="S893" i="2"/>
  <c r="R893" i="2"/>
  <c r="Q893" i="2"/>
  <c r="P893" i="2"/>
  <c r="O893" i="2"/>
  <c r="N893" i="2"/>
  <c r="M893" i="2"/>
  <c r="L893" i="2"/>
  <c r="K893" i="2"/>
  <c r="J893" i="2"/>
  <c r="I893" i="2"/>
  <c r="H893" i="2"/>
  <c r="G893" i="2"/>
  <c r="F893" i="2"/>
  <c r="E893" i="2"/>
  <c r="D893" i="2"/>
  <c r="C893" i="2"/>
  <c r="B893" i="2"/>
  <c r="A893" i="2"/>
  <c r="AE892" i="2"/>
  <c r="AD892" i="2"/>
  <c r="AC892" i="2"/>
  <c r="AB892" i="2"/>
  <c r="AA892" i="2"/>
  <c r="Z892" i="2"/>
  <c r="Y892" i="2"/>
  <c r="X892" i="2"/>
  <c r="W892" i="2"/>
  <c r="V892" i="2"/>
  <c r="U892" i="2"/>
  <c r="T892" i="2"/>
  <c r="S892" i="2"/>
  <c r="R892" i="2"/>
  <c r="Q892" i="2"/>
  <c r="P892" i="2"/>
  <c r="O892" i="2"/>
  <c r="N892" i="2"/>
  <c r="M892" i="2"/>
  <c r="L892" i="2"/>
  <c r="K892" i="2"/>
  <c r="J892" i="2"/>
  <c r="I892" i="2"/>
  <c r="H892" i="2"/>
  <c r="G892" i="2"/>
  <c r="F892" i="2"/>
  <c r="E892" i="2"/>
  <c r="D892" i="2"/>
  <c r="C892" i="2"/>
  <c r="B892" i="2"/>
  <c r="A892" i="2"/>
  <c r="AE891" i="2"/>
  <c r="AD891" i="2"/>
  <c r="AC891" i="2"/>
  <c r="AB891" i="2"/>
  <c r="AA891" i="2"/>
  <c r="Z891" i="2"/>
  <c r="Y891" i="2"/>
  <c r="X891" i="2"/>
  <c r="W891" i="2"/>
  <c r="V891" i="2"/>
  <c r="U891" i="2"/>
  <c r="T891" i="2"/>
  <c r="S891" i="2"/>
  <c r="R891" i="2"/>
  <c r="Q891" i="2"/>
  <c r="P891" i="2"/>
  <c r="O891" i="2"/>
  <c r="N891" i="2"/>
  <c r="M891" i="2"/>
  <c r="L891" i="2"/>
  <c r="K891" i="2"/>
  <c r="J891" i="2"/>
  <c r="I891" i="2"/>
  <c r="H891" i="2"/>
  <c r="G891" i="2"/>
  <c r="F891" i="2"/>
  <c r="E891" i="2"/>
  <c r="D891" i="2"/>
  <c r="C891" i="2"/>
  <c r="B891" i="2"/>
  <c r="A891" i="2"/>
  <c r="AE890" i="2"/>
  <c r="AD890" i="2"/>
  <c r="AC890" i="2"/>
  <c r="AB890" i="2"/>
  <c r="AA890" i="2"/>
  <c r="Z890" i="2"/>
  <c r="Y890" i="2"/>
  <c r="X890" i="2"/>
  <c r="W890" i="2"/>
  <c r="V890" i="2"/>
  <c r="U890" i="2"/>
  <c r="T890" i="2"/>
  <c r="S890" i="2"/>
  <c r="R890" i="2"/>
  <c r="Q890" i="2"/>
  <c r="P890" i="2"/>
  <c r="O890" i="2"/>
  <c r="N890" i="2"/>
  <c r="M890" i="2"/>
  <c r="L890" i="2"/>
  <c r="K890" i="2"/>
  <c r="J890" i="2"/>
  <c r="I890" i="2"/>
  <c r="H890" i="2"/>
  <c r="G890" i="2"/>
  <c r="F890" i="2"/>
  <c r="E890" i="2"/>
  <c r="D890" i="2"/>
  <c r="C890" i="2"/>
  <c r="B890" i="2"/>
  <c r="A890" i="2"/>
  <c r="AE889" i="2"/>
  <c r="AD889" i="2"/>
  <c r="AC889" i="2"/>
  <c r="AB889" i="2"/>
  <c r="AA889" i="2"/>
  <c r="Z889" i="2"/>
  <c r="Y889" i="2"/>
  <c r="X889" i="2"/>
  <c r="W889" i="2"/>
  <c r="V889" i="2"/>
  <c r="U889" i="2"/>
  <c r="T889" i="2"/>
  <c r="S889" i="2"/>
  <c r="R889" i="2"/>
  <c r="Q889" i="2"/>
  <c r="P889" i="2"/>
  <c r="O889" i="2"/>
  <c r="N889" i="2"/>
  <c r="M889" i="2"/>
  <c r="L889" i="2"/>
  <c r="K889" i="2"/>
  <c r="J889" i="2"/>
  <c r="I889" i="2"/>
  <c r="H889" i="2"/>
  <c r="G889" i="2"/>
  <c r="F889" i="2"/>
  <c r="E889" i="2"/>
  <c r="D889" i="2"/>
  <c r="C889" i="2"/>
  <c r="B889" i="2"/>
  <c r="A889" i="2"/>
  <c r="AE888" i="2"/>
  <c r="AD888" i="2"/>
  <c r="AC888" i="2"/>
  <c r="AB888" i="2"/>
  <c r="AA888" i="2"/>
  <c r="Z888" i="2"/>
  <c r="Y888" i="2"/>
  <c r="X888" i="2"/>
  <c r="W888" i="2"/>
  <c r="V888" i="2"/>
  <c r="U888" i="2"/>
  <c r="T888" i="2"/>
  <c r="S888" i="2"/>
  <c r="R888" i="2"/>
  <c r="Q888" i="2"/>
  <c r="P888" i="2"/>
  <c r="O888" i="2"/>
  <c r="N888" i="2"/>
  <c r="M888" i="2"/>
  <c r="L888" i="2"/>
  <c r="K888" i="2"/>
  <c r="J888" i="2"/>
  <c r="I888" i="2"/>
  <c r="H888" i="2"/>
  <c r="G888" i="2"/>
  <c r="F888" i="2"/>
  <c r="E888" i="2"/>
  <c r="D888" i="2"/>
  <c r="C888" i="2"/>
  <c r="B888" i="2"/>
  <c r="A888" i="2"/>
  <c r="AE887" i="2"/>
  <c r="AD887" i="2"/>
  <c r="AC887" i="2"/>
  <c r="AB887" i="2"/>
  <c r="AA887" i="2"/>
  <c r="Z887" i="2"/>
  <c r="Y887" i="2"/>
  <c r="X887" i="2"/>
  <c r="W887" i="2"/>
  <c r="V887" i="2"/>
  <c r="U887" i="2"/>
  <c r="T887" i="2"/>
  <c r="S887" i="2"/>
  <c r="R887" i="2"/>
  <c r="Q887" i="2"/>
  <c r="P887" i="2"/>
  <c r="O887" i="2"/>
  <c r="N887" i="2"/>
  <c r="M887" i="2"/>
  <c r="L887" i="2"/>
  <c r="K887" i="2"/>
  <c r="J887" i="2"/>
  <c r="I887" i="2"/>
  <c r="H887" i="2"/>
  <c r="G887" i="2"/>
  <c r="F887" i="2"/>
  <c r="E887" i="2"/>
  <c r="D887" i="2"/>
  <c r="C887" i="2"/>
  <c r="B887" i="2"/>
  <c r="A887" i="2"/>
  <c r="AE886" i="2"/>
  <c r="AD886" i="2"/>
  <c r="AC886" i="2"/>
  <c r="AB886" i="2"/>
  <c r="AA886" i="2"/>
  <c r="Z886" i="2"/>
  <c r="Y886" i="2"/>
  <c r="X886" i="2"/>
  <c r="W886" i="2"/>
  <c r="V886" i="2"/>
  <c r="U886" i="2"/>
  <c r="T886" i="2"/>
  <c r="S886" i="2"/>
  <c r="R886" i="2"/>
  <c r="Q886" i="2"/>
  <c r="P886" i="2"/>
  <c r="O886" i="2"/>
  <c r="N886" i="2"/>
  <c r="M886" i="2"/>
  <c r="L886" i="2"/>
  <c r="K886" i="2"/>
  <c r="J886" i="2"/>
  <c r="I886" i="2"/>
  <c r="H886" i="2"/>
  <c r="G886" i="2"/>
  <c r="F886" i="2"/>
  <c r="E886" i="2"/>
  <c r="D886" i="2"/>
  <c r="C886" i="2"/>
  <c r="B886" i="2"/>
  <c r="A886" i="2"/>
  <c r="AE885" i="2"/>
  <c r="AD885" i="2"/>
  <c r="AC885" i="2"/>
  <c r="AB885" i="2"/>
  <c r="AA885" i="2"/>
  <c r="Z885" i="2"/>
  <c r="Y885" i="2"/>
  <c r="X885" i="2"/>
  <c r="W885" i="2"/>
  <c r="V885" i="2"/>
  <c r="U885" i="2"/>
  <c r="T885" i="2"/>
  <c r="S885" i="2"/>
  <c r="R885" i="2"/>
  <c r="Q885" i="2"/>
  <c r="P885" i="2"/>
  <c r="O885" i="2"/>
  <c r="N885" i="2"/>
  <c r="M885" i="2"/>
  <c r="L885" i="2"/>
  <c r="K885" i="2"/>
  <c r="J885" i="2"/>
  <c r="I885" i="2"/>
  <c r="H885" i="2"/>
  <c r="G885" i="2"/>
  <c r="F885" i="2"/>
  <c r="E885" i="2"/>
  <c r="D885" i="2"/>
  <c r="C885" i="2"/>
  <c r="B885" i="2"/>
  <c r="A885" i="2"/>
  <c r="AE884" i="2"/>
  <c r="AD884" i="2"/>
  <c r="AC884" i="2"/>
  <c r="AB884" i="2"/>
  <c r="AA884" i="2"/>
  <c r="Z884" i="2"/>
  <c r="Y884" i="2"/>
  <c r="X884" i="2"/>
  <c r="W884" i="2"/>
  <c r="V884" i="2"/>
  <c r="U884" i="2"/>
  <c r="T884" i="2"/>
  <c r="S884" i="2"/>
  <c r="R884" i="2"/>
  <c r="Q884" i="2"/>
  <c r="P884" i="2"/>
  <c r="O884" i="2"/>
  <c r="N884" i="2"/>
  <c r="M884" i="2"/>
  <c r="L884" i="2"/>
  <c r="K884" i="2"/>
  <c r="J884" i="2"/>
  <c r="I884" i="2"/>
  <c r="H884" i="2"/>
  <c r="G884" i="2"/>
  <c r="F884" i="2"/>
  <c r="E884" i="2"/>
  <c r="D884" i="2"/>
  <c r="C884" i="2"/>
  <c r="B884" i="2"/>
  <c r="A884" i="2"/>
  <c r="AE883" i="2"/>
  <c r="AD883" i="2"/>
  <c r="AC883" i="2"/>
  <c r="AB883" i="2"/>
  <c r="AA883" i="2"/>
  <c r="Z883" i="2"/>
  <c r="Y883" i="2"/>
  <c r="X883" i="2"/>
  <c r="W883" i="2"/>
  <c r="V883" i="2"/>
  <c r="U883" i="2"/>
  <c r="T883" i="2"/>
  <c r="S883" i="2"/>
  <c r="R883" i="2"/>
  <c r="Q883" i="2"/>
  <c r="P883" i="2"/>
  <c r="O883" i="2"/>
  <c r="N883" i="2"/>
  <c r="M883" i="2"/>
  <c r="L883" i="2"/>
  <c r="K883" i="2"/>
  <c r="J883" i="2"/>
  <c r="I883" i="2"/>
  <c r="H883" i="2"/>
  <c r="G883" i="2"/>
  <c r="F883" i="2"/>
  <c r="E883" i="2"/>
  <c r="D883" i="2"/>
  <c r="C883" i="2"/>
  <c r="B883" i="2"/>
  <c r="A883" i="2"/>
  <c r="AE882" i="2"/>
  <c r="AD882" i="2"/>
  <c r="AC882" i="2"/>
  <c r="AB882" i="2"/>
  <c r="AA882" i="2"/>
  <c r="Z882" i="2"/>
  <c r="Y882" i="2"/>
  <c r="X882" i="2"/>
  <c r="W882" i="2"/>
  <c r="V882" i="2"/>
  <c r="U882" i="2"/>
  <c r="T882" i="2"/>
  <c r="S882" i="2"/>
  <c r="R882" i="2"/>
  <c r="Q882" i="2"/>
  <c r="P882" i="2"/>
  <c r="O882" i="2"/>
  <c r="N882" i="2"/>
  <c r="M882" i="2"/>
  <c r="L882" i="2"/>
  <c r="K882" i="2"/>
  <c r="J882" i="2"/>
  <c r="I882" i="2"/>
  <c r="H882" i="2"/>
  <c r="G882" i="2"/>
  <c r="F882" i="2"/>
  <c r="E882" i="2"/>
  <c r="D882" i="2"/>
  <c r="C882" i="2"/>
  <c r="B882" i="2"/>
  <c r="A882" i="2"/>
  <c r="AE881" i="2"/>
  <c r="AD881" i="2"/>
  <c r="AC881" i="2"/>
  <c r="AB881" i="2"/>
  <c r="AA881" i="2"/>
  <c r="Z881" i="2"/>
  <c r="Y881" i="2"/>
  <c r="X881" i="2"/>
  <c r="W881" i="2"/>
  <c r="V881" i="2"/>
  <c r="U881" i="2"/>
  <c r="T881" i="2"/>
  <c r="S881" i="2"/>
  <c r="R881" i="2"/>
  <c r="Q881" i="2"/>
  <c r="P881" i="2"/>
  <c r="O881" i="2"/>
  <c r="N881" i="2"/>
  <c r="M881" i="2"/>
  <c r="L881" i="2"/>
  <c r="K881" i="2"/>
  <c r="J881" i="2"/>
  <c r="I881" i="2"/>
  <c r="H881" i="2"/>
  <c r="G881" i="2"/>
  <c r="F881" i="2"/>
  <c r="E881" i="2"/>
  <c r="D881" i="2"/>
  <c r="C881" i="2"/>
  <c r="B881" i="2"/>
  <c r="A881" i="2"/>
  <c r="AE880" i="2"/>
  <c r="AD880" i="2"/>
  <c r="AC880" i="2"/>
  <c r="AB880" i="2"/>
  <c r="AA880" i="2"/>
  <c r="Z880" i="2"/>
  <c r="Y880" i="2"/>
  <c r="X880" i="2"/>
  <c r="W880" i="2"/>
  <c r="V880" i="2"/>
  <c r="U880" i="2"/>
  <c r="T880" i="2"/>
  <c r="S880" i="2"/>
  <c r="R880" i="2"/>
  <c r="Q880" i="2"/>
  <c r="P880" i="2"/>
  <c r="O880" i="2"/>
  <c r="N880" i="2"/>
  <c r="M880" i="2"/>
  <c r="L880" i="2"/>
  <c r="K880" i="2"/>
  <c r="J880" i="2"/>
  <c r="I880" i="2"/>
  <c r="H880" i="2"/>
  <c r="G880" i="2"/>
  <c r="F880" i="2"/>
  <c r="E880" i="2"/>
  <c r="D880" i="2"/>
  <c r="C880" i="2"/>
  <c r="B880" i="2"/>
  <c r="A880" i="2"/>
  <c r="AE879" i="2"/>
  <c r="AD879" i="2"/>
  <c r="AC879" i="2"/>
  <c r="AB879" i="2"/>
  <c r="AA879" i="2"/>
  <c r="Z879" i="2"/>
  <c r="Y879" i="2"/>
  <c r="X879" i="2"/>
  <c r="W879" i="2"/>
  <c r="V879" i="2"/>
  <c r="U879" i="2"/>
  <c r="T879" i="2"/>
  <c r="S879" i="2"/>
  <c r="R879" i="2"/>
  <c r="Q879" i="2"/>
  <c r="P879" i="2"/>
  <c r="O879" i="2"/>
  <c r="N879" i="2"/>
  <c r="M879" i="2"/>
  <c r="L879" i="2"/>
  <c r="K879" i="2"/>
  <c r="J879" i="2"/>
  <c r="I879" i="2"/>
  <c r="H879" i="2"/>
  <c r="G879" i="2"/>
  <c r="F879" i="2"/>
  <c r="E879" i="2"/>
  <c r="D879" i="2"/>
  <c r="C879" i="2"/>
  <c r="B879" i="2"/>
  <c r="A879" i="2"/>
  <c r="AE878" i="2"/>
  <c r="AD878" i="2"/>
  <c r="AC878" i="2"/>
  <c r="AB878" i="2"/>
  <c r="AA878" i="2"/>
  <c r="Z878" i="2"/>
  <c r="Y878" i="2"/>
  <c r="X878" i="2"/>
  <c r="W878" i="2"/>
  <c r="V878" i="2"/>
  <c r="U878" i="2"/>
  <c r="T878" i="2"/>
  <c r="S878" i="2"/>
  <c r="R878" i="2"/>
  <c r="Q878" i="2"/>
  <c r="P878" i="2"/>
  <c r="O878" i="2"/>
  <c r="N878" i="2"/>
  <c r="M878" i="2"/>
  <c r="L878" i="2"/>
  <c r="K878" i="2"/>
  <c r="J878" i="2"/>
  <c r="I878" i="2"/>
  <c r="H878" i="2"/>
  <c r="G878" i="2"/>
  <c r="F878" i="2"/>
  <c r="E878" i="2"/>
  <c r="D878" i="2"/>
  <c r="C878" i="2"/>
  <c r="B878" i="2"/>
  <c r="A878" i="2"/>
  <c r="AE877" i="2"/>
  <c r="AD877" i="2"/>
  <c r="AC877" i="2"/>
  <c r="AB877" i="2"/>
  <c r="AA877" i="2"/>
  <c r="Z877" i="2"/>
  <c r="Y877" i="2"/>
  <c r="X877" i="2"/>
  <c r="W877" i="2"/>
  <c r="V877" i="2"/>
  <c r="U877" i="2"/>
  <c r="T877" i="2"/>
  <c r="S877" i="2"/>
  <c r="R877" i="2"/>
  <c r="Q877" i="2"/>
  <c r="P877" i="2"/>
  <c r="O877" i="2"/>
  <c r="N877" i="2"/>
  <c r="M877" i="2"/>
  <c r="L877" i="2"/>
  <c r="K877" i="2"/>
  <c r="J877" i="2"/>
  <c r="I877" i="2"/>
  <c r="H877" i="2"/>
  <c r="G877" i="2"/>
  <c r="F877" i="2"/>
  <c r="E877" i="2"/>
  <c r="D877" i="2"/>
  <c r="C877" i="2"/>
  <c r="B877" i="2"/>
  <c r="A877" i="2"/>
  <c r="AE876" i="2"/>
  <c r="AD876" i="2"/>
  <c r="AC876" i="2"/>
  <c r="AB876" i="2"/>
  <c r="AA876" i="2"/>
  <c r="Z876" i="2"/>
  <c r="Y876" i="2"/>
  <c r="X876" i="2"/>
  <c r="W876" i="2"/>
  <c r="V876" i="2"/>
  <c r="U876" i="2"/>
  <c r="T876" i="2"/>
  <c r="S876" i="2"/>
  <c r="R876" i="2"/>
  <c r="Q876" i="2"/>
  <c r="P876" i="2"/>
  <c r="O876" i="2"/>
  <c r="N876" i="2"/>
  <c r="M876" i="2"/>
  <c r="L876" i="2"/>
  <c r="K876" i="2"/>
  <c r="J876" i="2"/>
  <c r="I876" i="2"/>
  <c r="H876" i="2"/>
  <c r="G876" i="2"/>
  <c r="F876" i="2"/>
  <c r="E876" i="2"/>
  <c r="D876" i="2"/>
  <c r="C876" i="2"/>
  <c r="B876" i="2"/>
  <c r="A876" i="2"/>
  <c r="AE875" i="2"/>
  <c r="AD875" i="2"/>
  <c r="AC875" i="2"/>
  <c r="AB875" i="2"/>
  <c r="AA875" i="2"/>
  <c r="Z875" i="2"/>
  <c r="Y875" i="2"/>
  <c r="X875" i="2"/>
  <c r="W875" i="2"/>
  <c r="V875" i="2"/>
  <c r="U875" i="2"/>
  <c r="T875" i="2"/>
  <c r="S875" i="2"/>
  <c r="R875" i="2"/>
  <c r="Q875" i="2"/>
  <c r="P875" i="2"/>
  <c r="O875" i="2"/>
  <c r="N875" i="2"/>
  <c r="M875" i="2"/>
  <c r="L875" i="2"/>
  <c r="K875" i="2"/>
  <c r="J875" i="2"/>
  <c r="I875" i="2"/>
  <c r="H875" i="2"/>
  <c r="G875" i="2"/>
  <c r="F875" i="2"/>
  <c r="E875" i="2"/>
  <c r="D875" i="2"/>
  <c r="C875" i="2"/>
  <c r="B875" i="2"/>
  <c r="A875" i="2"/>
  <c r="AE874" i="2"/>
  <c r="AD874" i="2"/>
  <c r="AC874" i="2"/>
  <c r="AB874" i="2"/>
  <c r="AA874" i="2"/>
  <c r="Z874" i="2"/>
  <c r="Y874" i="2"/>
  <c r="X874" i="2"/>
  <c r="W874" i="2"/>
  <c r="V874" i="2"/>
  <c r="U874" i="2"/>
  <c r="T874" i="2"/>
  <c r="S874" i="2"/>
  <c r="R874" i="2"/>
  <c r="Q874" i="2"/>
  <c r="P874" i="2"/>
  <c r="O874" i="2"/>
  <c r="N874" i="2"/>
  <c r="M874" i="2"/>
  <c r="L874" i="2"/>
  <c r="K874" i="2"/>
  <c r="J874" i="2"/>
  <c r="I874" i="2"/>
  <c r="H874" i="2"/>
  <c r="G874" i="2"/>
  <c r="F874" i="2"/>
  <c r="E874" i="2"/>
  <c r="D874" i="2"/>
  <c r="C874" i="2"/>
  <c r="B874" i="2"/>
  <c r="A874" i="2"/>
  <c r="AE873" i="2"/>
  <c r="AD873" i="2"/>
  <c r="AC873" i="2"/>
  <c r="AB873" i="2"/>
  <c r="AA873" i="2"/>
  <c r="Z873" i="2"/>
  <c r="Y873" i="2"/>
  <c r="X873" i="2"/>
  <c r="W873" i="2"/>
  <c r="V873" i="2"/>
  <c r="U873" i="2"/>
  <c r="T873" i="2"/>
  <c r="S873" i="2"/>
  <c r="R873" i="2"/>
  <c r="Q873" i="2"/>
  <c r="P873" i="2"/>
  <c r="O873" i="2"/>
  <c r="N873" i="2"/>
  <c r="M873" i="2"/>
  <c r="L873" i="2"/>
  <c r="K873" i="2"/>
  <c r="J873" i="2"/>
  <c r="I873" i="2"/>
  <c r="H873" i="2"/>
  <c r="G873" i="2"/>
  <c r="F873" i="2"/>
  <c r="E873" i="2"/>
  <c r="D873" i="2"/>
  <c r="C873" i="2"/>
  <c r="B873" i="2"/>
  <c r="A873" i="2"/>
  <c r="AE872" i="2"/>
  <c r="AD872" i="2"/>
  <c r="AC872" i="2"/>
  <c r="AB872" i="2"/>
  <c r="AA872" i="2"/>
  <c r="Z872" i="2"/>
  <c r="Y872" i="2"/>
  <c r="X872" i="2"/>
  <c r="W872" i="2"/>
  <c r="V872" i="2"/>
  <c r="U872" i="2"/>
  <c r="T872" i="2"/>
  <c r="S872" i="2"/>
  <c r="R872" i="2"/>
  <c r="Q872" i="2"/>
  <c r="P872" i="2"/>
  <c r="O872" i="2"/>
  <c r="N872" i="2"/>
  <c r="M872" i="2"/>
  <c r="L872" i="2"/>
  <c r="K872" i="2"/>
  <c r="J872" i="2"/>
  <c r="I872" i="2"/>
  <c r="H872" i="2"/>
  <c r="G872" i="2"/>
  <c r="F872" i="2"/>
  <c r="E872" i="2"/>
  <c r="D872" i="2"/>
  <c r="C872" i="2"/>
  <c r="B872" i="2"/>
  <c r="A872" i="2"/>
  <c r="AE871" i="2"/>
  <c r="AD871" i="2"/>
  <c r="AC871" i="2"/>
  <c r="AB871" i="2"/>
  <c r="AA871" i="2"/>
  <c r="Z871" i="2"/>
  <c r="Y871" i="2"/>
  <c r="X871" i="2"/>
  <c r="W871" i="2"/>
  <c r="V871" i="2"/>
  <c r="U871" i="2"/>
  <c r="T871" i="2"/>
  <c r="S871" i="2"/>
  <c r="R871" i="2"/>
  <c r="Q871" i="2"/>
  <c r="P871" i="2"/>
  <c r="O871" i="2"/>
  <c r="N871" i="2"/>
  <c r="M871" i="2"/>
  <c r="L871" i="2"/>
  <c r="K871" i="2"/>
  <c r="J871" i="2"/>
  <c r="I871" i="2"/>
  <c r="H871" i="2"/>
  <c r="G871" i="2"/>
  <c r="F871" i="2"/>
  <c r="E871" i="2"/>
  <c r="D871" i="2"/>
  <c r="C871" i="2"/>
  <c r="B871" i="2"/>
  <c r="A871" i="2"/>
  <c r="AE870" i="2"/>
  <c r="AD870" i="2"/>
  <c r="AC870" i="2"/>
  <c r="AB870" i="2"/>
  <c r="AA870" i="2"/>
  <c r="Z870" i="2"/>
  <c r="Y870" i="2"/>
  <c r="X870" i="2"/>
  <c r="W870" i="2"/>
  <c r="V870" i="2"/>
  <c r="U870" i="2"/>
  <c r="T870" i="2"/>
  <c r="S870" i="2"/>
  <c r="R870" i="2"/>
  <c r="Q870" i="2"/>
  <c r="P870" i="2"/>
  <c r="O870" i="2"/>
  <c r="N870" i="2"/>
  <c r="M870" i="2"/>
  <c r="L870" i="2"/>
  <c r="K870" i="2"/>
  <c r="J870" i="2"/>
  <c r="I870" i="2"/>
  <c r="H870" i="2"/>
  <c r="G870" i="2"/>
  <c r="F870" i="2"/>
  <c r="E870" i="2"/>
  <c r="D870" i="2"/>
  <c r="C870" i="2"/>
  <c r="B870" i="2"/>
  <c r="A870" i="2"/>
  <c r="AE869" i="2"/>
  <c r="AD869" i="2"/>
  <c r="AC869" i="2"/>
  <c r="AB869" i="2"/>
  <c r="AA869" i="2"/>
  <c r="Z869" i="2"/>
  <c r="Y869" i="2"/>
  <c r="X869" i="2"/>
  <c r="W869" i="2"/>
  <c r="V869" i="2"/>
  <c r="U869" i="2"/>
  <c r="T869" i="2"/>
  <c r="S869" i="2"/>
  <c r="R869" i="2"/>
  <c r="Q869" i="2"/>
  <c r="P869" i="2"/>
  <c r="O869" i="2"/>
  <c r="N869" i="2"/>
  <c r="M869" i="2"/>
  <c r="L869" i="2"/>
  <c r="K869" i="2"/>
  <c r="J869" i="2"/>
  <c r="I869" i="2"/>
  <c r="H869" i="2"/>
  <c r="G869" i="2"/>
  <c r="F869" i="2"/>
  <c r="E869" i="2"/>
  <c r="D869" i="2"/>
  <c r="C869" i="2"/>
  <c r="B869" i="2"/>
  <c r="A869" i="2"/>
  <c r="AE868" i="2"/>
  <c r="AD868" i="2"/>
  <c r="AC868" i="2"/>
  <c r="AB868" i="2"/>
  <c r="AA868" i="2"/>
  <c r="Z868" i="2"/>
  <c r="Y868" i="2"/>
  <c r="X868" i="2"/>
  <c r="W868" i="2"/>
  <c r="V868" i="2"/>
  <c r="U868" i="2"/>
  <c r="T868" i="2"/>
  <c r="S868" i="2"/>
  <c r="R868" i="2"/>
  <c r="Q868" i="2"/>
  <c r="P868" i="2"/>
  <c r="O868" i="2"/>
  <c r="N868" i="2"/>
  <c r="M868" i="2"/>
  <c r="L868" i="2"/>
  <c r="K868" i="2"/>
  <c r="J868" i="2"/>
  <c r="I868" i="2"/>
  <c r="H868" i="2"/>
  <c r="G868" i="2"/>
  <c r="F868" i="2"/>
  <c r="E868" i="2"/>
  <c r="D868" i="2"/>
  <c r="C868" i="2"/>
  <c r="B868" i="2"/>
  <c r="A868" i="2"/>
  <c r="AE867" i="2"/>
  <c r="AD867" i="2"/>
  <c r="AC867" i="2"/>
  <c r="AB867" i="2"/>
  <c r="AA867" i="2"/>
  <c r="Z867" i="2"/>
  <c r="Y867" i="2"/>
  <c r="X867" i="2"/>
  <c r="W867" i="2"/>
  <c r="V867" i="2"/>
  <c r="U867" i="2"/>
  <c r="T867" i="2"/>
  <c r="S867" i="2"/>
  <c r="R867" i="2"/>
  <c r="Q867" i="2"/>
  <c r="P867" i="2"/>
  <c r="O867" i="2"/>
  <c r="N867" i="2"/>
  <c r="M867" i="2"/>
  <c r="L867" i="2"/>
  <c r="K867" i="2"/>
  <c r="J867" i="2"/>
  <c r="I867" i="2"/>
  <c r="H867" i="2"/>
  <c r="G867" i="2"/>
  <c r="F867" i="2"/>
  <c r="E867" i="2"/>
  <c r="D867" i="2"/>
  <c r="C867" i="2"/>
  <c r="B867" i="2"/>
  <c r="A867" i="2"/>
  <c r="AE866" i="2"/>
  <c r="AD866" i="2"/>
  <c r="AC866" i="2"/>
  <c r="AB866" i="2"/>
  <c r="AA866" i="2"/>
  <c r="Z866" i="2"/>
  <c r="Y866" i="2"/>
  <c r="X866" i="2"/>
  <c r="W866" i="2"/>
  <c r="V866" i="2"/>
  <c r="U866" i="2"/>
  <c r="T866" i="2"/>
  <c r="S866" i="2"/>
  <c r="R866" i="2"/>
  <c r="Q866" i="2"/>
  <c r="P866" i="2"/>
  <c r="O866" i="2"/>
  <c r="N866" i="2"/>
  <c r="M866" i="2"/>
  <c r="L866" i="2"/>
  <c r="K866" i="2"/>
  <c r="J866" i="2"/>
  <c r="I866" i="2"/>
  <c r="H866" i="2"/>
  <c r="G866" i="2"/>
  <c r="F866" i="2"/>
  <c r="E866" i="2"/>
  <c r="D866" i="2"/>
  <c r="C866" i="2"/>
  <c r="B866" i="2"/>
  <c r="A866" i="2"/>
  <c r="AE865" i="2"/>
  <c r="AD865" i="2"/>
  <c r="AC865" i="2"/>
  <c r="AB865" i="2"/>
  <c r="AA865" i="2"/>
  <c r="Z865" i="2"/>
  <c r="Y865" i="2"/>
  <c r="X865" i="2"/>
  <c r="W865" i="2"/>
  <c r="V865" i="2"/>
  <c r="U865" i="2"/>
  <c r="T865" i="2"/>
  <c r="S865" i="2"/>
  <c r="R865" i="2"/>
  <c r="Q865" i="2"/>
  <c r="P865" i="2"/>
  <c r="O865" i="2"/>
  <c r="N865" i="2"/>
  <c r="M865" i="2"/>
  <c r="L865" i="2"/>
  <c r="K865" i="2"/>
  <c r="J865" i="2"/>
  <c r="I865" i="2"/>
  <c r="H865" i="2"/>
  <c r="G865" i="2"/>
  <c r="F865" i="2"/>
  <c r="E865" i="2"/>
  <c r="D865" i="2"/>
  <c r="C865" i="2"/>
  <c r="B865" i="2"/>
  <c r="A865" i="2"/>
  <c r="AE864" i="2"/>
  <c r="AD864" i="2"/>
  <c r="AC864" i="2"/>
  <c r="AB864" i="2"/>
  <c r="AA864" i="2"/>
  <c r="Z864" i="2"/>
  <c r="Y864" i="2"/>
  <c r="X864" i="2"/>
  <c r="W864" i="2"/>
  <c r="V864" i="2"/>
  <c r="U864" i="2"/>
  <c r="T864" i="2"/>
  <c r="S864" i="2"/>
  <c r="R864" i="2"/>
  <c r="Q864" i="2"/>
  <c r="P864" i="2"/>
  <c r="O864" i="2"/>
  <c r="N864" i="2"/>
  <c r="M864" i="2"/>
  <c r="L864" i="2"/>
  <c r="K864" i="2"/>
  <c r="J864" i="2"/>
  <c r="I864" i="2"/>
  <c r="H864" i="2"/>
  <c r="G864" i="2"/>
  <c r="F864" i="2"/>
  <c r="E864" i="2"/>
  <c r="D864" i="2"/>
  <c r="C864" i="2"/>
  <c r="B864" i="2"/>
  <c r="A864" i="2"/>
  <c r="AE863" i="2"/>
  <c r="AD863" i="2"/>
  <c r="AC863" i="2"/>
  <c r="AB863" i="2"/>
  <c r="AA863" i="2"/>
  <c r="Z863" i="2"/>
  <c r="Y863" i="2"/>
  <c r="X863" i="2"/>
  <c r="W863" i="2"/>
  <c r="V863" i="2"/>
  <c r="U863" i="2"/>
  <c r="T863" i="2"/>
  <c r="S863" i="2"/>
  <c r="R863" i="2"/>
  <c r="Q863" i="2"/>
  <c r="P863" i="2"/>
  <c r="O863" i="2"/>
  <c r="N863" i="2"/>
  <c r="M863" i="2"/>
  <c r="L863" i="2"/>
  <c r="K863" i="2"/>
  <c r="J863" i="2"/>
  <c r="I863" i="2"/>
  <c r="H863" i="2"/>
  <c r="G863" i="2"/>
  <c r="F863" i="2"/>
  <c r="E863" i="2"/>
  <c r="D863" i="2"/>
  <c r="C863" i="2"/>
  <c r="B863" i="2"/>
  <c r="A863" i="2"/>
  <c r="AE862" i="2"/>
  <c r="AD862" i="2"/>
  <c r="AC862" i="2"/>
  <c r="AB862" i="2"/>
  <c r="AA862" i="2"/>
  <c r="Z862" i="2"/>
  <c r="Y862" i="2"/>
  <c r="X862" i="2"/>
  <c r="W862" i="2"/>
  <c r="V862" i="2"/>
  <c r="U862" i="2"/>
  <c r="T862" i="2"/>
  <c r="S862" i="2"/>
  <c r="R862" i="2"/>
  <c r="Q862" i="2"/>
  <c r="P862" i="2"/>
  <c r="O862" i="2"/>
  <c r="N862" i="2"/>
  <c r="M862" i="2"/>
  <c r="L862" i="2"/>
  <c r="K862" i="2"/>
  <c r="J862" i="2"/>
  <c r="I862" i="2"/>
  <c r="H862" i="2"/>
  <c r="G862" i="2"/>
  <c r="F862" i="2"/>
  <c r="E862" i="2"/>
  <c r="D862" i="2"/>
  <c r="C862" i="2"/>
  <c r="B862" i="2"/>
  <c r="A862" i="2"/>
  <c r="AE861" i="2"/>
  <c r="AD861" i="2"/>
  <c r="AC861" i="2"/>
  <c r="AB861" i="2"/>
  <c r="AA861" i="2"/>
  <c r="Z861" i="2"/>
  <c r="Y861" i="2"/>
  <c r="X861" i="2"/>
  <c r="W861" i="2"/>
  <c r="V861" i="2"/>
  <c r="U861" i="2"/>
  <c r="T861" i="2"/>
  <c r="S861" i="2"/>
  <c r="R861" i="2"/>
  <c r="Q861" i="2"/>
  <c r="P861" i="2"/>
  <c r="O861" i="2"/>
  <c r="N861" i="2"/>
  <c r="M861" i="2"/>
  <c r="L861" i="2"/>
  <c r="K861" i="2"/>
  <c r="J861" i="2"/>
  <c r="I861" i="2"/>
  <c r="H861" i="2"/>
  <c r="G861" i="2"/>
  <c r="F861" i="2"/>
  <c r="E861" i="2"/>
  <c r="D861" i="2"/>
  <c r="C861" i="2"/>
  <c r="B861" i="2"/>
  <c r="A861" i="2"/>
  <c r="AE860" i="2"/>
  <c r="AD860" i="2"/>
  <c r="AC860" i="2"/>
  <c r="AB860" i="2"/>
  <c r="AA860" i="2"/>
  <c r="Z860" i="2"/>
  <c r="Y860" i="2"/>
  <c r="X860" i="2"/>
  <c r="W860" i="2"/>
  <c r="V860" i="2"/>
  <c r="U860" i="2"/>
  <c r="T860" i="2"/>
  <c r="S860" i="2"/>
  <c r="R860" i="2"/>
  <c r="Q860" i="2"/>
  <c r="P860" i="2"/>
  <c r="O860" i="2"/>
  <c r="N860" i="2"/>
  <c r="M860" i="2"/>
  <c r="L860" i="2"/>
  <c r="K860" i="2"/>
  <c r="J860" i="2"/>
  <c r="I860" i="2"/>
  <c r="H860" i="2"/>
  <c r="G860" i="2"/>
  <c r="F860" i="2"/>
  <c r="E860" i="2"/>
  <c r="D860" i="2"/>
  <c r="C860" i="2"/>
  <c r="B860" i="2"/>
  <c r="A860" i="2"/>
  <c r="AE859" i="2"/>
  <c r="AD859" i="2"/>
  <c r="AC859" i="2"/>
  <c r="AB859" i="2"/>
  <c r="AA859" i="2"/>
  <c r="Z859" i="2"/>
  <c r="Y859" i="2"/>
  <c r="X859" i="2"/>
  <c r="W859" i="2"/>
  <c r="V859" i="2"/>
  <c r="U859" i="2"/>
  <c r="T859" i="2"/>
  <c r="S859" i="2"/>
  <c r="R859" i="2"/>
  <c r="Q859" i="2"/>
  <c r="P859" i="2"/>
  <c r="O859" i="2"/>
  <c r="N859" i="2"/>
  <c r="M859" i="2"/>
  <c r="L859" i="2"/>
  <c r="K859" i="2"/>
  <c r="J859" i="2"/>
  <c r="I859" i="2"/>
  <c r="H859" i="2"/>
  <c r="G859" i="2"/>
  <c r="F859" i="2"/>
  <c r="E859" i="2"/>
  <c r="D859" i="2"/>
  <c r="C859" i="2"/>
  <c r="B859" i="2"/>
  <c r="A859" i="2"/>
  <c r="AE858" i="2"/>
  <c r="AD858" i="2"/>
  <c r="AC858" i="2"/>
  <c r="AB858" i="2"/>
  <c r="AA858" i="2"/>
  <c r="Z858" i="2"/>
  <c r="Y858" i="2"/>
  <c r="X858" i="2"/>
  <c r="W858" i="2"/>
  <c r="V858" i="2"/>
  <c r="U858" i="2"/>
  <c r="T858" i="2"/>
  <c r="S858" i="2"/>
  <c r="R858" i="2"/>
  <c r="Q858" i="2"/>
  <c r="P858" i="2"/>
  <c r="O858" i="2"/>
  <c r="N858" i="2"/>
  <c r="M858" i="2"/>
  <c r="L858" i="2"/>
  <c r="K858" i="2"/>
  <c r="J858" i="2"/>
  <c r="I858" i="2"/>
  <c r="H858" i="2"/>
  <c r="G858" i="2"/>
  <c r="F858" i="2"/>
  <c r="E858" i="2"/>
  <c r="D858" i="2"/>
  <c r="C858" i="2"/>
  <c r="B858" i="2"/>
  <c r="A858" i="2"/>
  <c r="AE857" i="2"/>
  <c r="AD857" i="2"/>
  <c r="AC857" i="2"/>
  <c r="AB857" i="2"/>
  <c r="AA857" i="2"/>
  <c r="Z857" i="2"/>
  <c r="Y857" i="2"/>
  <c r="X857" i="2"/>
  <c r="W857" i="2"/>
  <c r="V857" i="2"/>
  <c r="U857" i="2"/>
  <c r="T857" i="2"/>
  <c r="S857" i="2"/>
  <c r="R857" i="2"/>
  <c r="Q857" i="2"/>
  <c r="P857" i="2"/>
  <c r="O857" i="2"/>
  <c r="N857" i="2"/>
  <c r="M857" i="2"/>
  <c r="L857" i="2"/>
  <c r="K857" i="2"/>
  <c r="J857" i="2"/>
  <c r="I857" i="2"/>
  <c r="H857" i="2"/>
  <c r="G857" i="2"/>
  <c r="F857" i="2"/>
  <c r="E857" i="2"/>
  <c r="D857" i="2"/>
  <c r="C857" i="2"/>
  <c r="B857" i="2"/>
  <c r="A857" i="2"/>
  <c r="AE856" i="2"/>
  <c r="AD856" i="2"/>
  <c r="AC856" i="2"/>
  <c r="AB856" i="2"/>
  <c r="AA856" i="2"/>
  <c r="Z856" i="2"/>
  <c r="Y856" i="2"/>
  <c r="X856" i="2"/>
  <c r="W856" i="2"/>
  <c r="V856" i="2"/>
  <c r="U856" i="2"/>
  <c r="T856" i="2"/>
  <c r="S856" i="2"/>
  <c r="R856" i="2"/>
  <c r="Q856" i="2"/>
  <c r="P856" i="2"/>
  <c r="O856" i="2"/>
  <c r="N856" i="2"/>
  <c r="M856" i="2"/>
  <c r="L856" i="2"/>
  <c r="K856" i="2"/>
  <c r="J856" i="2"/>
  <c r="I856" i="2"/>
  <c r="H856" i="2"/>
  <c r="G856" i="2"/>
  <c r="F856" i="2"/>
  <c r="E856" i="2"/>
  <c r="D856" i="2"/>
  <c r="C856" i="2"/>
  <c r="B856" i="2"/>
  <c r="A856" i="2"/>
  <c r="AE855" i="2"/>
  <c r="AD855" i="2"/>
  <c r="AC855" i="2"/>
  <c r="AB855" i="2"/>
  <c r="AA855" i="2"/>
  <c r="Z855" i="2"/>
  <c r="Y855" i="2"/>
  <c r="X855" i="2"/>
  <c r="W855" i="2"/>
  <c r="V855" i="2"/>
  <c r="U855" i="2"/>
  <c r="T855" i="2"/>
  <c r="S855" i="2"/>
  <c r="R855" i="2"/>
  <c r="Q855" i="2"/>
  <c r="P855" i="2"/>
  <c r="O855" i="2"/>
  <c r="N855" i="2"/>
  <c r="M855" i="2"/>
  <c r="L855" i="2"/>
  <c r="K855" i="2"/>
  <c r="J855" i="2"/>
  <c r="I855" i="2"/>
  <c r="H855" i="2"/>
  <c r="G855" i="2"/>
  <c r="F855" i="2"/>
  <c r="E855" i="2"/>
  <c r="D855" i="2"/>
  <c r="C855" i="2"/>
  <c r="B855" i="2"/>
  <c r="A855" i="2"/>
  <c r="AE854" i="2"/>
  <c r="AD854" i="2"/>
  <c r="AC854" i="2"/>
  <c r="AB854" i="2"/>
  <c r="AA854" i="2"/>
  <c r="Z854" i="2"/>
  <c r="Y854" i="2"/>
  <c r="X854" i="2"/>
  <c r="W854" i="2"/>
  <c r="V854" i="2"/>
  <c r="U854" i="2"/>
  <c r="T854" i="2"/>
  <c r="S854" i="2"/>
  <c r="R854" i="2"/>
  <c r="Q854" i="2"/>
  <c r="P854" i="2"/>
  <c r="O854" i="2"/>
  <c r="N854" i="2"/>
  <c r="M854" i="2"/>
  <c r="L854" i="2"/>
  <c r="K854" i="2"/>
  <c r="J854" i="2"/>
  <c r="I854" i="2"/>
  <c r="H854" i="2"/>
  <c r="G854" i="2"/>
  <c r="F854" i="2"/>
  <c r="E854" i="2"/>
  <c r="D854" i="2"/>
  <c r="C854" i="2"/>
  <c r="B854" i="2"/>
  <c r="A854" i="2"/>
  <c r="AE853" i="2"/>
  <c r="AD853" i="2"/>
  <c r="AC853" i="2"/>
  <c r="AB853" i="2"/>
  <c r="AA853" i="2"/>
  <c r="Z853" i="2"/>
  <c r="Y853" i="2"/>
  <c r="X853" i="2"/>
  <c r="W853" i="2"/>
  <c r="V853" i="2"/>
  <c r="U853" i="2"/>
  <c r="T853" i="2"/>
  <c r="S853" i="2"/>
  <c r="R853" i="2"/>
  <c r="Q853" i="2"/>
  <c r="P853" i="2"/>
  <c r="O853" i="2"/>
  <c r="N853" i="2"/>
  <c r="M853" i="2"/>
  <c r="L853" i="2"/>
  <c r="K853" i="2"/>
  <c r="J853" i="2"/>
  <c r="I853" i="2"/>
  <c r="H853" i="2"/>
  <c r="G853" i="2"/>
  <c r="F853" i="2"/>
  <c r="E853" i="2"/>
  <c r="D853" i="2"/>
  <c r="C853" i="2"/>
  <c r="B853" i="2"/>
  <c r="A853" i="2"/>
  <c r="AE852" i="2"/>
  <c r="AD852" i="2"/>
  <c r="AC852" i="2"/>
  <c r="AB852" i="2"/>
  <c r="AA852" i="2"/>
  <c r="Z852" i="2"/>
  <c r="Y852" i="2"/>
  <c r="X852" i="2"/>
  <c r="W852" i="2"/>
  <c r="V852" i="2"/>
  <c r="U852" i="2"/>
  <c r="T852" i="2"/>
  <c r="S852" i="2"/>
  <c r="R852" i="2"/>
  <c r="Q852" i="2"/>
  <c r="P852" i="2"/>
  <c r="O852" i="2"/>
  <c r="N852" i="2"/>
  <c r="M852" i="2"/>
  <c r="L852" i="2"/>
  <c r="K852" i="2"/>
  <c r="J852" i="2"/>
  <c r="I852" i="2"/>
  <c r="H852" i="2"/>
  <c r="G852" i="2"/>
  <c r="F852" i="2"/>
  <c r="E852" i="2"/>
  <c r="D852" i="2"/>
  <c r="C852" i="2"/>
  <c r="B852" i="2"/>
  <c r="A852" i="2"/>
  <c r="AE851" i="2"/>
  <c r="AD851" i="2"/>
  <c r="AC851" i="2"/>
  <c r="AB851" i="2"/>
  <c r="AA851" i="2"/>
  <c r="Z851" i="2"/>
  <c r="Y851" i="2"/>
  <c r="X851" i="2"/>
  <c r="W851" i="2"/>
  <c r="V851" i="2"/>
  <c r="U851" i="2"/>
  <c r="T851" i="2"/>
  <c r="S851" i="2"/>
  <c r="R851" i="2"/>
  <c r="Q851" i="2"/>
  <c r="P851" i="2"/>
  <c r="O851" i="2"/>
  <c r="N851" i="2"/>
  <c r="M851" i="2"/>
  <c r="L851" i="2"/>
  <c r="K851" i="2"/>
  <c r="J851" i="2"/>
  <c r="I851" i="2"/>
  <c r="H851" i="2"/>
  <c r="G851" i="2"/>
  <c r="F851" i="2"/>
  <c r="E851" i="2"/>
  <c r="D851" i="2"/>
  <c r="C851" i="2"/>
  <c r="B851" i="2"/>
  <c r="A851" i="2"/>
  <c r="AE850" i="2"/>
  <c r="AD850" i="2"/>
  <c r="AC850" i="2"/>
  <c r="AB850" i="2"/>
  <c r="AA850" i="2"/>
  <c r="Z850" i="2"/>
  <c r="Y850" i="2"/>
  <c r="X850" i="2"/>
  <c r="W850" i="2"/>
  <c r="V850" i="2"/>
  <c r="U850" i="2"/>
  <c r="T850" i="2"/>
  <c r="S850" i="2"/>
  <c r="R850" i="2"/>
  <c r="Q850" i="2"/>
  <c r="P850" i="2"/>
  <c r="O850" i="2"/>
  <c r="N850" i="2"/>
  <c r="M850" i="2"/>
  <c r="L850" i="2"/>
  <c r="K850" i="2"/>
  <c r="J850" i="2"/>
  <c r="I850" i="2"/>
  <c r="H850" i="2"/>
  <c r="G850" i="2"/>
  <c r="F850" i="2"/>
  <c r="E850" i="2"/>
  <c r="D850" i="2"/>
  <c r="C850" i="2"/>
  <c r="B850" i="2"/>
  <c r="A850" i="2"/>
  <c r="AE849" i="2"/>
  <c r="AD849" i="2"/>
  <c r="AC849" i="2"/>
  <c r="AB849" i="2"/>
  <c r="AA849" i="2"/>
  <c r="Z849" i="2"/>
  <c r="Y849" i="2"/>
  <c r="X849" i="2"/>
  <c r="W849" i="2"/>
  <c r="V849" i="2"/>
  <c r="U849" i="2"/>
  <c r="T849" i="2"/>
  <c r="S849" i="2"/>
  <c r="R849" i="2"/>
  <c r="Q849" i="2"/>
  <c r="P849" i="2"/>
  <c r="O849" i="2"/>
  <c r="N849" i="2"/>
  <c r="M849" i="2"/>
  <c r="L849" i="2"/>
  <c r="K849" i="2"/>
  <c r="J849" i="2"/>
  <c r="I849" i="2"/>
  <c r="H849" i="2"/>
  <c r="G849" i="2"/>
  <c r="F849" i="2"/>
  <c r="E849" i="2"/>
  <c r="D849" i="2"/>
  <c r="C849" i="2"/>
  <c r="B849" i="2"/>
  <c r="A849" i="2"/>
  <c r="AE848" i="2"/>
  <c r="AD848" i="2"/>
  <c r="AC848" i="2"/>
  <c r="AB848" i="2"/>
  <c r="AA848" i="2"/>
  <c r="Z848" i="2"/>
  <c r="Y848" i="2"/>
  <c r="X848" i="2"/>
  <c r="W848" i="2"/>
  <c r="V848" i="2"/>
  <c r="U848" i="2"/>
  <c r="T848" i="2"/>
  <c r="S848" i="2"/>
  <c r="R848" i="2"/>
  <c r="Q848" i="2"/>
  <c r="P848" i="2"/>
  <c r="O848" i="2"/>
  <c r="N848" i="2"/>
  <c r="M848" i="2"/>
  <c r="L848" i="2"/>
  <c r="K848" i="2"/>
  <c r="J848" i="2"/>
  <c r="I848" i="2"/>
  <c r="H848" i="2"/>
  <c r="G848" i="2"/>
  <c r="F848" i="2"/>
  <c r="E848" i="2"/>
  <c r="D848" i="2"/>
  <c r="C848" i="2"/>
  <c r="B848" i="2"/>
  <c r="A848" i="2"/>
  <c r="AE847" i="2"/>
  <c r="AD847" i="2"/>
  <c r="AC847" i="2"/>
  <c r="AB847" i="2"/>
  <c r="AA847" i="2"/>
  <c r="Z847" i="2"/>
  <c r="Y847" i="2"/>
  <c r="X847" i="2"/>
  <c r="W847" i="2"/>
  <c r="V847" i="2"/>
  <c r="U847" i="2"/>
  <c r="T847" i="2"/>
  <c r="S847" i="2"/>
  <c r="R847" i="2"/>
  <c r="Q847" i="2"/>
  <c r="P847" i="2"/>
  <c r="O847" i="2"/>
  <c r="N847" i="2"/>
  <c r="M847" i="2"/>
  <c r="L847" i="2"/>
  <c r="K847" i="2"/>
  <c r="J847" i="2"/>
  <c r="I847" i="2"/>
  <c r="H847" i="2"/>
  <c r="G847" i="2"/>
  <c r="F847" i="2"/>
  <c r="E847" i="2"/>
  <c r="D847" i="2"/>
  <c r="C847" i="2"/>
  <c r="B847" i="2"/>
  <c r="A847" i="2"/>
  <c r="AE846" i="2"/>
  <c r="AD846" i="2"/>
  <c r="AC846" i="2"/>
  <c r="AB846" i="2"/>
  <c r="AA846" i="2"/>
  <c r="Z846" i="2"/>
  <c r="Y846" i="2"/>
  <c r="X846" i="2"/>
  <c r="W846" i="2"/>
  <c r="V846" i="2"/>
  <c r="U846" i="2"/>
  <c r="T846" i="2"/>
  <c r="S846" i="2"/>
  <c r="R846" i="2"/>
  <c r="Q846" i="2"/>
  <c r="P846" i="2"/>
  <c r="O846" i="2"/>
  <c r="N846" i="2"/>
  <c r="M846" i="2"/>
  <c r="L846" i="2"/>
  <c r="K846" i="2"/>
  <c r="J846" i="2"/>
  <c r="I846" i="2"/>
  <c r="H846" i="2"/>
  <c r="G846" i="2"/>
  <c r="F846" i="2"/>
  <c r="E846" i="2"/>
  <c r="D846" i="2"/>
  <c r="C846" i="2"/>
  <c r="B846" i="2"/>
  <c r="A846" i="2"/>
  <c r="AE845" i="2"/>
  <c r="AD845" i="2"/>
  <c r="AC845" i="2"/>
  <c r="AB845" i="2"/>
  <c r="AA845" i="2"/>
  <c r="Z845" i="2"/>
  <c r="Y845" i="2"/>
  <c r="X845" i="2"/>
  <c r="W845" i="2"/>
  <c r="V845" i="2"/>
  <c r="U845" i="2"/>
  <c r="T845" i="2"/>
  <c r="S845" i="2"/>
  <c r="R845" i="2"/>
  <c r="Q845" i="2"/>
  <c r="P845" i="2"/>
  <c r="O845" i="2"/>
  <c r="N845" i="2"/>
  <c r="M845" i="2"/>
  <c r="L845" i="2"/>
  <c r="K845" i="2"/>
  <c r="J845" i="2"/>
  <c r="I845" i="2"/>
  <c r="H845" i="2"/>
  <c r="G845" i="2"/>
  <c r="F845" i="2"/>
  <c r="E845" i="2"/>
  <c r="D845" i="2"/>
  <c r="C845" i="2"/>
  <c r="B845" i="2"/>
  <c r="A845" i="2"/>
  <c r="AE844" i="2"/>
  <c r="AD844" i="2"/>
  <c r="AC844" i="2"/>
  <c r="AB844" i="2"/>
  <c r="AA844" i="2"/>
  <c r="Z844" i="2"/>
  <c r="Y844" i="2"/>
  <c r="X844" i="2"/>
  <c r="W844" i="2"/>
  <c r="V844" i="2"/>
  <c r="U844" i="2"/>
  <c r="T844" i="2"/>
  <c r="S844" i="2"/>
  <c r="R844" i="2"/>
  <c r="Q844" i="2"/>
  <c r="P844" i="2"/>
  <c r="O844" i="2"/>
  <c r="N844" i="2"/>
  <c r="M844" i="2"/>
  <c r="L844" i="2"/>
  <c r="K844" i="2"/>
  <c r="J844" i="2"/>
  <c r="I844" i="2"/>
  <c r="H844" i="2"/>
  <c r="G844" i="2"/>
  <c r="F844" i="2"/>
  <c r="E844" i="2"/>
  <c r="D844" i="2"/>
  <c r="C844" i="2"/>
  <c r="B844" i="2"/>
  <c r="A844" i="2"/>
  <c r="AE843" i="2"/>
  <c r="AD843" i="2"/>
  <c r="AC843" i="2"/>
  <c r="AB843" i="2"/>
  <c r="AA843" i="2"/>
  <c r="Z843" i="2"/>
  <c r="Y843" i="2"/>
  <c r="X843" i="2"/>
  <c r="W843" i="2"/>
  <c r="V843" i="2"/>
  <c r="U843" i="2"/>
  <c r="T843" i="2"/>
  <c r="S843" i="2"/>
  <c r="R843" i="2"/>
  <c r="Q843" i="2"/>
  <c r="P843" i="2"/>
  <c r="O843" i="2"/>
  <c r="N843" i="2"/>
  <c r="M843" i="2"/>
  <c r="L843" i="2"/>
  <c r="K843" i="2"/>
  <c r="J843" i="2"/>
  <c r="I843" i="2"/>
  <c r="H843" i="2"/>
  <c r="G843" i="2"/>
  <c r="F843" i="2"/>
  <c r="E843" i="2"/>
  <c r="D843" i="2"/>
  <c r="C843" i="2"/>
  <c r="B843" i="2"/>
  <c r="A843" i="2"/>
  <c r="AE842" i="2"/>
  <c r="AD842" i="2"/>
  <c r="AC842" i="2"/>
  <c r="AB842" i="2"/>
  <c r="AA842" i="2"/>
  <c r="Z842" i="2"/>
  <c r="Y842" i="2"/>
  <c r="X842" i="2"/>
  <c r="W842" i="2"/>
  <c r="V842" i="2"/>
  <c r="U842" i="2"/>
  <c r="T842" i="2"/>
  <c r="S842" i="2"/>
  <c r="R842" i="2"/>
  <c r="Q842" i="2"/>
  <c r="P842" i="2"/>
  <c r="O842" i="2"/>
  <c r="N842" i="2"/>
  <c r="M842" i="2"/>
  <c r="L842" i="2"/>
  <c r="K842" i="2"/>
  <c r="J842" i="2"/>
  <c r="I842" i="2"/>
  <c r="H842" i="2"/>
  <c r="G842" i="2"/>
  <c r="F842" i="2"/>
  <c r="E842" i="2"/>
  <c r="D842" i="2"/>
  <c r="C842" i="2"/>
  <c r="B842" i="2"/>
  <c r="A842" i="2"/>
  <c r="AE841" i="2"/>
  <c r="AD841" i="2"/>
  <c r="AC841" i="2"/>
  <c r="AB841" i="2"/>
  <c r="AA841" i="2"/>
  <c r="Z841" i="2"/>
  <c r="Y841" i="2"/>
  <c r="X841" i="2"/>
  <c r="W841" i="2"/>
  <c r="V841" i="2"/>
  <c r="U841" i="2"/>
  <c r="T841" i="2"/>
  <c r="S841" i="2"/>
  <c r="R841" i="2"/>
  <c r="Q841" i="2"/>
  <c r="P841" i="2"/>
  <c r="O841" i="2"/>
  <c r="N841" i="2"/>
  <c r="M841" i="2"/>
  <c r="L841" i="2"/>
  <c r="K841" i="2"/>
  <c r="J841" i="2"/>
  <c r="I841" i="2"/>
  <c r="H841" i="2"/>
  <c r="G841" i="2"/>
  <c r="F841" i="2"/>
  <c r="E841" i="2"/>
  <c r="D841" i="2"/>
  <c r="C841" i="2"/>
  <c r="B841" i="2"/>
  <c r="A841" i="2"/>
  <c r="AE840" i="2"/>
  <c r="AD840" i="2"/>
  <c r="AC840" i="2"/>
  <c r="AB840" i="2"/>
  <c r="AA840" i="2"/>
  <c r="Z840" i="2"/>
  <c r="Y840" i="2"/>
  <c r="X840" i="2"/>
  <c r="W840" i="2"/>
  <c r="V840" i="2"/>
  <c r="U840" i="2"/>
  <c r="T840" i="2"/>
  <c r="S840" i="2"/>
  <c r="R840" i="2"/>
  <c r="Q840" i="2"/>
  <c r="P840" i="2"/>
  <c r="O840" i="2"/>
  <c r="N840" i="2"/>
  <c r="M840" i="2"/>
  <c r="L840" i="2"/>
  <c r="K840" i="2"/>
  <c r="J840" i="2"/>
  <c r="I840" i="2"/>
  <c r="H840" i="2"/>
  <c r="G840" i="2"/>
  <c r="F840" i="2"/>
  <c r="E840" i="2"/>
  <c r="D840" i="2"/>
  <c r="C840" i="2"/>
  <c r="B840" i="2"/>
  <c r="A840" i="2"/>
  <c r="AE839" i="2"/>
  <c r="AD839" i="2"/>
  <c r="AC839" i="2"/>
  <c r="AB839" i="2"/>
  <c r="AA839" i="2"/>
  <c r="Z839" i="2"/>
  <c r="Y839" i="2"/>
  <c r="X839" i="2"/>
  <c r="W839" i="2"/>
  <c r="V839" i="2"/>
  <c r="U839" i="2"/>
  <c r="T839" i="2"/>
  <c r="S839" i="2"/>
  <c r="R839" i="2"/>
  <c r="Q839" i="2"/>
  <c r="P839" i="2"/>
  <c r="O839" i="2"/>
  <c r="N839" i="2"/>
  <c r="M839" i="2"/>
  <c r="L839" i="2"/>
  <c r="K839" i="2"/>
  <c r="J839" i="2"/>
  <c r="I839" i="2"/>
  <c r="H839" i="2"/>
  <c r="G839" i="2"/>
  <c r="F839" i="2"/>
  <c r="E839" i="2"/>
  <c r="D839" i="2"/>
  <c r="C839" i="2"/>
  <c r="B839" i="2"/>
  <c r="A839" i="2"/>
  <c r="AE838" i="2"/>
  <c r="AD838" i="2"/>
  <c r="AC838" i="2"/>
  <c r="AB838" i="2"/>
  <c r="AA838" i="2"/>
  <c r="Z838" i="2"/>
  <c r="Y838" i="2"/>
  <c r="X838" i="2"/>
  <c r="W838" i="2"/>
  <c r="V838" i="2"/>
  <c r="U838" i="2"/>
  <c r="T838" i="2"/>
  <c r="S838" i="2"/>
  <c r="R838" i="2"/>
  <c r="Q838" i="2"/>
  <c r="P838" i="2"/>
  <c r="O838" i="2"/>
  <c r="N838" i="2"/>
  <c r="M838" i="2"/>
  <c r="L838" i="2"/>
  <c r="K838" i="2"/>
  <c r="J838" i="2"/>
  <c r="I838" i="2"/>
  <c r="H838" i="2"/>
  <c r="G838" i="2"/>
  <c r="F838" i="2"/>
  <c r="E838" i="2"/>
  <c r="D838" i="2"/>
  <c r="C838" i="2"/>
  <c r="B838" i="2"/>
  <c r="A838" i="2"/>
  <c r="AE837" i="2"/>
  <c r="AD837" i="2"/>
  <c r="AC837" i="2"/>
  <c r="AB837" i="2"/>
  <c r="AA837" i="2"/>
  <c r="Z837" i="2"/>
  <c r="Y837" i="2"/>
  <c r="X837" i="2"/>
  <c r="W837" i="2"/>
  <c r="V837" i="2"/>
  <c r="U837" i="2"/>
  <c r="T837" i="2"/>
  <c r="S837" i="2"/>
  <c r="R837" i="2"/>
  <c r="Q837" i="2"/>
  <c r="P837" i="2"/>
  <c r="O837" i="2"/>
  <c r="N837" i="2"/>
  <c r="M837" i="2"/>
  <c r="L837" i="2"/>
  <c r="K837" i="2"/>
  <c r="J837" i="2"/>
  <c r="I837" i="2"/>
  <c r="H837" i="2"/>
  <c r="G837" i="2"/>
  <c r="F837" i="2"/>
  <c r="E837" i="2"/>
  <c r="D837" i="2"/>
  <c r="C837" i="2"/>
  <c r="B837" i="2"/>
  <c r="A837" i="2"/>
  <c r="AE836" i="2"/>
  <c r="AD836" i="2"/>
  <c r="AC836" i="2"/>
  <c r="AB836" i="2"/>
  <c r="AA836" i="2"/>
  <c r="Z836" i="2"/>
  <c r="Y836" i="2"/>
  <c r="X836" i="2"/>
  <c r="W836" i="2"/>
  <c r="V836" i="2"/>
  <c r="U836" i="2"/>
  <c r="T836" i="2"/>
  <c r="S836" i="2"/>
  <c r="R836" i="2"/>
  <c r="Q836" i="2"/>
  <c r="P836" i="2"/>
  <c r="O836" i="2"/>
  <c r="N836" i="2"/>
  <c r="M836" i="2"/>
  <c r="L836" i="2"/>
  <c r="K836" i="2"/>
  <c r="J836" i="2"/>
  <c r="I836" i="2"/>
  <c r="H836" i="2"/>
  <c r="G836" i="2"/>
  <c r="F836" i="2"/>
  <c r="E836" i="2"/>
  <c r="D836" i="2"/>
  <c r="C836" i="2"/>
  <c r="B836" i="2"/>
  <c r="A836" i="2"/>
  <c r="AE835" i="2"/>
  <c r="AD835" i="2"/>
  <c r="AC835" i="2"/>
  <c r="AB835" i="2"/>
  <c r="AA835" i="2"/>
  <c r="Z835" i="2"/>
  <c r="Y835" i="2"/>
  <c r="X835" i="2"/>
  <c r="W835" i="2"/>
  <c r="V835" i="2"/>
  <c r="U835" i="2"/>
  <c r="T835" i="2"/>
  <c r="S835" i="2"/>
  <c r="R835" i="2"/>
  <c r="Q835" i="2"/>
  <c r="P835" i="2"/>
  <c r="O835" i="2"/>
  <c r="N835" i="2"/>
  <c r="M835" i="2"/>
  <c r="L835" i="2"/>
  <c r="K835" i="2"/>
  <c r="J835" i="2"/>
  <c r="I835" i="2"/>
  <c r="H835" i="2"/>
  <c r="G835" i="2"/>
  <c r="F835" i="2"/>
  <c r="E835" i="2"/>
  <c r="D835" i="2"/>
  <c r="C835" i="2"/>
  <c r="B835" i="2"/>
  <c r="A835" i="2"/>
  <c r="AE834" i="2"/>
  <c r="AD834" i="2"/>
  <c r="AC834" i="2"/>
  <c r="AB834" i="2"/>
  <c r="AA834" i="2"/>
  <c r="Z834" i="2"/>
  <c r="Y834" i="2"/>
  <c r="X834" i="2"/>
  <c r="W834" i="2"/>
  <c r="V834" i="2"/>
  <c r="U834" i="2"/>
  <c r="T834" i="2"/>
  <c r="S834" i="2"/>
  <c r="R834" i="2"/>
  <c r="Q834" i="2"/>
  <c r="P834" i="2"/>
  <c r="O834" i="2"/>
  <c r="N834" i="2"/>
  <c r="M834" i="2"/>
  <c r="L834" i="2"/>
  <c r="K834" i="2"/>
  <c r="J834" i="2"/>
  <c r="I834" i="2"/>
  <c r="H834" i="2"/>
  <c r="G834" i="2"/>
  <c r="F834" i="2"/>
  <c r="E834" i="2"/>
  <c r="D834" i="2"/>
  <c r="C834" i="2"/>
  <c r="B834" i="2"/>
  <c r="A834" i="2"/>
  <c r="AE833" i="2"/>
  <c r="AD833" i="2"/>
  <c r="AC833" i="2"/>
  <c r="AB833" i="2"/>
  <c r="AA833" i="2"/>
  <c r="Z833" i="2"/>
  <c r="Y833" i="2"/>
  <c r="X833" i="2"/>
  <c r="W833" i="2"/>
  <c r="V833" i="2"/>
  <c r="U833" i="2"/>
  <c r="T833" i="2"/>
  <c r="S833" i="2"/>
  <c r="R833" i="2"/>
  <c r="Q833" i="2"/>
  <c r="P833" i="2"/>
  <c r="O833" i="2"/>
  <c r="N833" i="2"/>
  <c r="M833" i="2"/>
  <c r="L833" i="2"/>
  <c r="K833" i="2"/>
  <c r="J833" i="2"/>
  <c r="I833" i="2"/>
  <c r="H833" i="2"/>
  <c r="G833" i="2"/>
  <c r="F833" i="2"/>
  <c r="E833" i="2"/>
  <c r="D833" i="2"/>
  <c r="C833" i="2"/>
  <c r="B833" i="2"/>
  <c r="A833" i="2"/>
  <c r="AE832" i="2"/>
  <c r="AD832" i="2"/>
  <c r="AC832" i="2"/>
  <c r="AB832" i="2"/>
  <c r="AA832" i="2"/>
  <c r="Z832" i="2"/>
  <c r="Y832" i="2"/>
  <c r="X832" i="2"/>
  <c r="W832" i="2"/>
  <c r="V832" i="2"/>
  <c r="U832" i="2"/>
  <c r="T832" i="2"/>
  <c r="S832" i="2"/>
  <c r="R832" i="2"/>
  <c r="Q832" i="2"/>
  <c r="P832" i="2"/>
  <c r="O832" i="2"/>
  <c r="N832" i="2"/>
  <c r="M832" i="2"/>
  <c r="L832" i="2"/>
  <c r="K832" i="2"/>
  <c r="J832" i="2"/>
  <c r="I832" i="2"/>
  <c r="H832" i="2"/>
  <c r="G832" i="2"/>
  <c r="F832" i="2"/>
  <c r="E832" i="2"/>
  <c r="D832" i="2"/>
  <c r="C832" i="2"/>
  <c r="B832" i="2"/>
  <c r="A832" i="2"/>
  <c r="AE831" i="2"/>
  <c r="AD831" i="2"/>
  <c r="AC831" i="2"/>
  <c r="AB831" i="2"/>
  <c r="AA831" i="2"/>
  <c r="Z831" i="2"/>
  <c r="Y831" i="2"/>
  <c r="X831" i="2"/>
  <c r="W831" i="2"/>
  <c r="V831" i="2"/>
  <c r="U831" i="2"/>
  <c r="T831" i="2"/>
  <c r="S831" i="2"/>
  <c r="R831" i="2"/>
  <c r="Q831" i="2"/>
  <c r="P831" i="2"/>
  <c r="O831" i="2"/>
  <c r="N831" i="2"/>
  <c r="M831" i="2"/>
  <c r="L831" i="2"/>
  <c r="K831" i="2"/>
  <c r="J831" i="2"/>
  <c r="I831" i="2"/>
  <c r="H831" i="2"/>
  <c r="G831" i="2"/>
  <c r="F831" i="2"/>
  <c r="E831" i="2"/>
  <c r="D831" i="2"/>
  <c r="C831" i="2"/>
  <c r="B831" i="2"/>
  <c r="A831" i="2"/>
  <c r="AE830" i="2"/>
  <c r="AD830" i="2"/>
  <c r="AC830" i="2"/>
  <c r="AB830" i="2"/>
  <c r="AA830" i="2"/>
  <c r="Z830" i="2"/>
  <c r="Y830" i="2"/>
  <c r="X830" i="2"/>
  <c r="W830" i="2"/>
  <c r="V830" i="2"/>
  <c r="U830" i="2"/>
  <c r="T830" i="2"/>
  <c r="S830" i="2"/>
  <c r="R830" i="2"/>
  <c r="Q830" i="2"/>
  <c r="P830" i="2"/>
  <c r="O830" i="2"/>
  <c r="N830" i="2"/>
  <c r="M830" i="2"/>
  <c r="L830" i="2"/>
  <c r="K830" i="2"/>
  <c r="J830" i="2"/>
  <c r="I830" i="2"/>
  <c r="H830" i="2"/>
  <c r="G830" i="2"/>
  <c r="F830" i="2"/>
  <c r="E830" i="2"/>
  <c r="D830" i="2"/>
  <c r="C830" i="2"/>
  <c r="B830" i="2"/>
  <c r="A830" i="2"/>
  <c r="AE829" i="2"/>
  <c r="AD829" i="2"/>
  <c r="AC829" i="2"/>
  <c r="AB829" i="2"/>
  <c r="AA829" i="2"/>
  <c r="Z829" i="2"/>
  <c r="Y829" i="2"/>
  <c r="X829" i="2"/>
  <c r="W829" i="2"/>
  <c r="V829" i="2"/>
  <c r="U829" i="2"/>
  <c r="T829" i="2"/>
  <c r="S829" i="2"/>
  <c r="R829" i="2"/>
  <c r="Q829" i="2"/>
  <c r="P829" i="2"/>
  <c r="O829" i="2"/>
  <c r="N829" i="2"/>
  <c r="M829" i="2"/>
  <c r="L829" i="2"/>
  <c r="K829" i="2"/>
  <c r="J829" i="2"/>
  <c r="I829" i="2"/>
  <c r="H829" i="2"/>
  <c r="G829" i="2"/>
  <c r="F829" i="2"/>
  <c r="E829" i="2"/>
  <c r="D829" i="2"/>
  <c r="C829" i="2"/>
  <c r="B829" i="2"/>
  <c r="A829" i="2"/>
  <c r="AE828" i="2"/>
  <c r="AD828" i="2"/>
  <c r="AC828" i="2"/>
  <c r="AB828" i="2"/>
  <c r="AA828" i="2"/>
  <c r="Z828" i="2"/>
  <c r="Y828" i="2"/>
  <c r="X828" i="2"/>
  <c r="W828" i="2"/>
  <c r="V828" i="2"/>
  <c r="U828" i="2"/>
  <c r="T828" i="2"/>
  <c r="S828" i="2"/>
  <c r="R828" i="2"/>
  <c r="Q828" i="2"/>
  <c r="P828" i="2"/>
  <c r="O828" i="2"/>
  <c r="N828" i="2"/>
  <c r="M828" i="2"/>
  <c r="L828" i="2"/>
  <c r="K828" i="2"/>
  <c r="J828" i="2"/>
  <c r="I828" i="2"/>
  <c r="H828" i="2"/>
  <c r="G828" i="2"/>
  <c r="F828" i="2"/>
  <c r="E828" i="2"/>
  <c r="D828" i="2"/>
  <c r="C828" i="2"/>
  <c r="B828" i="2"/>
  <c r="A828" i="2"/>
  <c r="AE827" i="2"/>
  <c r="AD827" i="2"/>
  <c r="AC827" i="2"/>
  <c r="AB827" i="2"/>
  <c r="AA827" i="2"/>
  <c r="Z827" i="2"/>
  <c r="Y827" i="2"/>
  <c r="X827" i="2"/>
  <c r="W827" i="2"/>
  <c r="V827" i="2"/>
  <c r="U827" i="2"/>
  <c r="T827" i="2"/>
  <c r="S827" i="2"/>
  <c r="R827" i="2"/>
  <c r="Q827" i="2"/>
  <c r="P827" i="2"/>
  <c r="O827" i="2"/>
  <c r="N827" i="2"/>
  <c r="M827" i="2"/>
  <c r="L827" i="2"/>
  <c r="K827" i="2"/>
  <c r="J827" i="2"/>
  <c r="I827" i="2"/>
  <c r="H827" i="2"/>
  <c r="G827" i="2"/>
  <c r="F827" i="2"/>
  <c r="E827" i="2"/>
  <c r="D827" i="2"/>
  <c r="C827" i="2"/>
  <c r="B827" i="2"/>
  <c r="A827" i="2"/>
  <c r="AE826" i="2"/>
  <c r="AD826" i="2"/>
  <c r="AC826" i="2"/>
  <c r="AB826" i="2"/>
  <c r="AA826" i="2"/>
  <c r="Z826" i="2"/>
  <c r="Y826" i="2"/>
  <c r="X826" i="2"/>
  <c r="W826" i="2"/>
  <c r="V826" i="2"/>
  <c r="U826" i="2"/>
  <c r="T826" i="2"/>
  <c r="S826" i="2"/>
  <c r="R826" i="2"/>
  <c r="Q826" i="2"/>
  <c r="P826" i="2"/>
  <c r="O826" i="2"/>
  <c r="N826" i="2"/>
  <c r="M826" i="2"/>
  <c r="L826" i="2"/>
  <c r="K826" i="2"/>
  <c r="J826" i="2"/>
  <c r="I826" i="2"/>
  <c r="H826" i="2"/>
  <c r="G826" i="2"/>
  <c r="F826" i="2"/>
  <c r="E826" i="2"/>
  <c r="D826" i="2"/>
  <c r="C826" i="2"/>
  <c r="B826" i="2"/>
  <c r="A826" i="2"/>
  <c r="AE825" i="2"/>
  <c r="AD825" i="2"/>
  <c r="AC825" i="2"/>
  <c r="AB825" i="2"/>
  <c r="AA825" i="2"/>
  <c r="Z825" i="2"/>
  <c r="Y825" i="2"/>
  <c r="X825" i="2"/>
  <c r="W825" i="2"/>
  <c r="V825" i="2"/>
  <c r="U825" i="2"/>
  <c r="T825" i="2"/>
  <c r="S825" i="2"/>
  <c r="R825" i="2"/>
  <c r="Q825" i="2"/>
  <c r="P825" i="2"/>
  <c r="O825" i="2"/>
  <c r="N825" i="2"/>
  <c r="M825" i="2"/>
  <c r="L825" i="2"/>
  <c r="K825" i="2"/>
  <c r="J825" i="2"/>
  <c r="I825" i="2"/>
  <c r="H825" i="2"/>
  <c r="G825" i="2"/>
  <c r="F825" i="2"/>
  <c r="E825" i="2"/>
  <c r="D825" i="2"/>
  <c r="C825" i="2"/>
  <c r="B825" i="2"/>
  <c r="A825" i="2"/>
  <c r="AE824" i="2"/>
  <c r="AD824" i="2"/>
  <c r="AC824" i="2"/>
  <c r="AB824" i="2"/>
  <c r="AA824" i="2"/>
  <c r="Z824" i="2"/>
  <c r="Y824" i="2"/>
  <c r="X824" i="2"/>
  <c r="W824" i="2"/>
  <c r="V824" i="2"/>
  <c r="U824" i="2"/>
  <c r="T824" i="2"/>
  <c r="S824" i="2"/>
  <c r="R824" i="2"/>
  <c r="Q824" i="2"/>
  <c r="P824" i="2"/>
  <c r="O824" i="2"/>
  <c r="N824" i="2"/>
  <c r="M824" i="2"/>
  <c r="L824" i="2"/>
  <c r="K824" i="2"/>
  <c r="J824" i="2"/>
  <c r="I824" i="2"/>
  <c r="H824" i="2"/>
  <c r="G824" i="2"/>
  <c r="F824" i="2"/>
  <c r="E824" i="2"/>
  <c r="D824" i="2"/>
  <c r="C824" i="2"/>
  <c r="B824" i="2"/>
  <c r="A824" i="2"/>
  <c r="AE823" i="2"/>
  <c r="AD823" i="2"/>
  <c r="AC823" i="2"/>
  <c r="AB823" i="2"/>
  <c r="AA823" i="2"/>
  <c r="Z823" i="2"/>
  <c r="Y823" i="2"/>
  <c r="X823" i="2"/>
  <c r="W823" i="2"/>
  <c r="V823" i="2"/>
  <c r="U823" i="2"/>
  <c r="T823" i="2"/>
  <c r="S823" i="2"/>
  <c r="R823" i="2"/>
  <c r="Q823" i="2"/>
  <c r="P823" i="2"/>
  <c r="O823" i="2"/>
  <c r="N823" i="2"/>
  <c r="M823" i="2"/>
  <c r="L823" i="2"/>
  <c r="K823" i="2"/>
  <c r="J823" i="2"/>
  <c r="I823" i="2"/>
  <c r="H823" i="2"/>
  <c r="G823" i="2"/>
  <c r="F823" i="2"/>
  <c r="E823" i="2"/>
  <c r="D823" i="2"/>
  <c r="C823" i="2"/>
  <c r="B823" i="2"/>
  <c r="A823" i="2"/>
  <c r="AE822" i="2"/>
  <c r="AD822" i="2"/>
  <c r="AC822" i="2"/>
  <c r="AB822" i="2"/>
  <c r="AA822" i="2"/>
  <c r="Z822" i="2"/>
  <c r="Y822" i="2"/>
  <c r="X822" i="2"/>
  <c r="W822" i="2"/>
  <c r="V822" i="2"/>
  <c r="U822" i="2"/>
  <c r="T822" i="2"/>
  <c r="S822" i="2"/>
  <c r="R822" i="2"/>
  <c r="Q822" i="2"/>
  <c r="P822" i="2"/>
  <c r="O822" i="2"/>
  <c r="N822" i="2"/>
  <c r="M822" i="2"/>
  <c r="L822" i="2"/>
  <c r="K822" i="2"/>
  <c r="J822" i="2"/>
  <c r="I822" i="2"/>
  <c r="H822" i="2"/>
  <c r="G822" i="2"/>
  <c r="F822" i="2"/>
  <c r="E822" i="2"/>
  <c r="D822" i="2"/>
  <c r="C822" i="2"/>
  <c r="B822" i="2"/>
  <c r="A822" i="2"/>
  <c r="AE821" i="2"/>
  <c r="AD821" i="2"/>
  <c r="AC821" i="2"/>
  <c r="AB821" i="2"/>
  <c r="AA821" i="2"/>
  <c r="Z821" i="2"/>
  <c r="Y821" i="2"/>
  <c r="X821" i="2"/>
  <c r="W821" i="2"/>
  <c r="V821" i="2"/>
  <c r="U821" i="2"/>
  <c r="T821" i="2"/>
  <c r="S821" i="2"/>
  <c r="R821" i="2"/>
  <c r="Q821" i="2"/>
  <c r="P821" i="2"/>
  <c r="O821" i="2"/>
  <c r="N821" i="2"/>
  <c r="M821" i="2"/>
  <c r="L821" i="2"/>
  <c r="K821" i="2"/>
  <c r="J821" i="2"/>
  <c r="I821" i="2"/>
  <c r="H821" i="2"/>
  <c r="G821" i="2"/>
  <c r="F821" i="2"/>
  <c r="E821" i="2"/>
  <c r="D821" i="2"/>
  <c r="C821" i="2"/>
  <c r="B821" i="2"/>
  <c r="A821" i="2"/>
  <c r="AE820" i="2"/>
  <c r="AD820" i="2"/>
  <c r="AC820" i="2"/>
  <c r="AB820" i="2"/>
  <c r="AA820" i="2"/>
  <c r="Z820" i="2"/>
  <c r="Y820" i="2"/>
  <c r="X820" i="2"/>
  <c r="W820" i="2"/>
  <c r="V820" i="2"/>
  <c r="U820" i="2"/>
  <c r="T820" i="2"/>
  <c r="S820" i="2"/>
  <c r="R820" i="2"/>
  <c r="Q820" i="2"/>
  <c r="P820" i="2"/>
  <c r="O820" i="2"/>
  <c r="N820" i="2"/>
  <c r="M820" i="2"/>
  <c r="L820" i="2"/>
  <c r="K820" i="2"/>
  <c r="J820" i="2"/>
  <c r="I820" i="2"/>
  <c r="H820" i="2"/>
  <c r="G820" i="2"/>
  <c r="F820" i="2"/>
  <c r="E820" i="2"/>
  <c r="D820" i="2"/>
  <c r="C820" i="2"/>
  <c r="B820" i="2"/>
  <c r="A820" i="2"/>
  <c r="AE819" i="2"/>
  <c r="AD819" i="2"/>
  <c r="AC819" i="2"/>
  <c r="AB819" i="2"/>
  <c r="AA819" i="2"/>
  <c r="Z819" i="2"/>
  <c r="Y819" i="2"/>
  <c r="X819" i="2"/>
  <c r="W819" i="2"/>
  <c r="V819" i="2"/>
  <c r="U819" i="2"/>
  <c r="T819" i="2"/>
  <c r="S819" i="2"/>
  <c r="R819" i="2"/>
  <c r="Q819" i="2"/>
  <c r="P819" i="2"/>
  <c r="O819" i="2"/>
  <c r="N819" i="2"/>
  <c r="M819" i="2"/>
  <c r="L819" i="2"/>
  <c r="K819" i="2"/>
  <c r="J819" i="2"/>
  <c r="I819" i="2"/>
  <c r="H819" i="2"/>
  <c r="G819" i="2"/>
  <c r="F819" i="2"/>
  <c r="E819" i="2"/>
  <c r="D819" i="2"/>
  <c r="C819" i="2"/>
  <c r="B819" i="2"/>
  <c r="A819" i="2"/>
  <c r="AE818" i="2"/>
  <c r="AD818" i="2"/>
  <c r="AC818" i="2"/>
  <c r="AB818" i="2"/>
  <c r="AA818" i="2"/>
  <c r="Z818" i="2"/>
  <c r="Y818" i="2"/>
  <c r="X818" i="2"/>
  <c r="W818" i="2"/>
  <c r="V818" i="2"/>
  <c r="U818" i="2"/>
  <c r="T818" i="2"/>
  <c r="S818" i="2"/>
  <c r="R818" i="2"/>
  <c r="Q818" i="2"/>
  <c r="P818" i="2"/>
  <c r="O818" i="2"/>
  <c r="N818" i="2"/>
  <c r="M818" i="2"/>
  <c r="L818" i="2"/>
  <c r="K818" i="2"/>
  <c r="J818" i="2"/>
  <c r="I818" i="2"/>
  <c r="H818" i="2"/>
  <c r="G818" i="2"/>
  <c r="F818" i="2"/>
  <c r="E818" i="2"/>
  <c r="D818" i="2"/>
  <c r="C818" i="2"/>
  <c r="B818" i="2"/>
  <c r="A818" i="2"/>
  <c r="AE817" i="2"/>
  <c r="AD817" i="2"/>
  <c r="AC817" i="2"/>
  <c r="AB817" i="2"/>
  <c r="AA817" i="2"/>
  <c r="Z817" i="2"/>
  <c r="Y817" i="2"/>
  <c r="X817" i="2"/>
  <c r="W817" i="2"/>
  <c r="V817" i="2"/>
  <c r="U817" i="2"/>
  <c r="T817" i="2"/>
  <c r="S817" i="2"/>
  <c r="R817" i="2"/>
  <c r="Q817" i="2"/>
  <c r="P817" i="2"/>
  <c r="O817" i="2"/>
  <c r="N817" i="2"/>
  <c r="M817" i="2"/>
  <c r="L817" i="2"/>
  <c r="K817" i="2"/>
  <c r="J817" i="2"/>
  <c r="I817" i="2"/>
  <c r="H817" i="2"/>
  <c r="G817" i="2"/>
  <c r="F817" i="2"/>
  <c r="E817" i="2"/>
  <c r="D817" i="2"/>
  <c r="C817" i="2"/>
  <c r="B817" i="2"/>
  <c r="A817" i="2"/>
  <c r="AE816" i="2"/>
  <c r="AD816" i="2"/>
  <c r="AC816" i="2"/>
  <c r="AB816" i="2"/>
  <c r="AA816" i="2"/>
  <c r="Z816" i="2"/>
  <c r="Y816" i="2"/>
  <c r="X816" i="2"/>
  <c r="W816" i="2"/>
  <c r="V816" i="2"/>
  <c r="U816" i="2"/>
  <c r="T816" i="2"/>
  <c r="S816" i="2"/>
  <c r="R816" i="2"/>
  <c r="Q816" i="2"/>
  <c r="P816" i="2"/>
  <c r="O816" i="2"/>
  <c r="N816" i="2"/>
  <c r="M816" i="2"/>
  <c r="L816" i="2"/>
  <c r="K816" i="2"/>
  <c r="J816" i="2"/>
  <c r="I816" i="2"/>
  <c r="H816" i="2"/>
  <c r="G816" i="2"/>
  <c r="F816" i="2"/>
  <c r="E816" i="2"/>
  <c r="D816" i="2"/>
  <c r="C816" i="2"/>
  <c r="B816" i="2"/>
  <c r="A816" i="2"/>
  <c r="AE815" i="2"/>
  <c r="AD815" i="2"/>
  <c r="AC815" i="2"/>
  <c r="AB815" i="2"/>
  <c r="AA815" i="2"/>
  <c r="Z815" i="2"/>
  <c r="Y815" i="2"/>
  <c r="X815" i="2"/>
  <c r="W815" i="2"/>
  <c r="V815" i="2"/>
  <c r="U815" i="2"/>
  <c r="T815" i="2"/>
  <c r="S815" i="2"/>
  <c r="R815" i="2"/>
  <c r="Q815" i="2"/>
  <c r="P815" i="2"/>
  <c r="O815" i="2"/>
  <c r="N815" i="2"/>
  <c r="M815" i="2"/>
  <c r="L815" i="2"/>
  <c r="K815" i="2"/>
  <c r="J815" i="2"/>
  <c r="I815" i="2"/>
  <c r="H815" i="2"/>
  <c r="G815" i="2"/>
  <c r="F815" i="2"/>
  <c r="E815" i="2"/>
  <c r="D815" i="2"/>
  <c r="C815" i="2"/>
  <c r="B815" i="2"/>
  <c r="A815" i="2"/>
  <c r="AE814" i="2"/>
  <c r="AD814" i="2"/>
  <c r="AC814" i="2"/>
  <c r="AB814" i="2"/>
  <c r="AA814" i="2"/>
  <c r="Z814" i="2"/>
  <c r="Y814" i="2"/>
  <c r="X814" i="2"/>
  <c r="W814" i="2"/>
  <c r="V814" i="2"/>
  <c r="U814" i="2"/>
  <c r="T814" i="2"/>
  <c r="S814" i="2"/>
  <c r="R814" i="2"/>
  <c r="Q814" i="2"/>
  <c r="P814" i="2"/>
  <c r="O814" i="2"/>
  <c r="N814" i="2"/>
  <c r="M814" i="2"/>
  <c r="L814" i="2"/>
  <c r="K814" i="2"/>
  <c r="J814" i="2"/>
  <c r="I814" i="2"/>
  <c r="H814" i="2"/>
  <c r="G814" i="2"/>
  <c r="F814" i="2"/>
  <c r="E814" i="2"/>
  <c r="D814" i="2"/>
  <c r="C814" i="2"/>
  <c r="B814" i="2"/>
  <c r="A814" i="2"/>
  <c r="AE813" i="2"/>
  <c r="AD813" i="2"/>
  <c r="AC813" i="2"/>
  <c r="AB813" i="2"/>
  <c r="AA813" i="2"/>
  <c r="Z813" i="2"/>
  <c r="Y813" i="2"/>
  <c r="X813" i="2"/>
  <c r="W813" i="2"/>
  <c r="V813" i="2"/>
  <c r="U813" i="2"/>
  <c r="T813" i="2"/>
  <c r="S813" i="2"/>
  <c r="R813" i="2"/>
  <c r="Q813" i="2"/>
  <c r="P813" i="2"/>
  <c r="O813" i="2"/>
  <c r="N813" i="2"/>
  <c r="M813" i="2"/>
  <c r="L813" i="2"/>
  <c r="K813" i="2"/>
  <c r="J813" i="2"/>
  <c r="I813" i="2"/>
  <c r="H813" i="2"/>
  <c r="G813" i="2"/>
  <c r="F813" i="2"/>
  <c r="E813" i="2"/>
  <c r="D813" i="2"/>
  <c r="C813" i="2"/>
  <c r="B813" i="2"/>
  <c r="A813" i="2"/>
  <c r="AE812" i="2"/>
  <c r="AD812" i="2"/>
  <c r="AC812" i="2"/>
  <c r="AB812" i="2"/>
  <c r="AA812" i="2"/>
  <c r="Z812" i="2"/>
  <c r="Y812" i="2"/>
  <c r="X812" i="2"/>
  <c r="W812" i="2"/>
  <c r="V812" i="2"/>
  <c r="U812" i="2"/>
  <c r="T812" i="2"/>
  <c r="S812" i="2"/>
  <c r="R812" i="2"/>
  <c r="Q812" i="2"/>
  <c r="P812" i="2"/>
  <c r="O812" i="2"/>
  <c r="N812" i="2"/>
  <c r="M812" i="2"/>
  <c r="L812" i="2"/>
  <c r="K812" i="2"/>
  <c r="J812" i="2"/>
  <c r="I812" i="2"/>
  <c r="H812" i="2"/>
  <c r="G812" i="2"/>
  <c r="F812" i="2"/>
  <c r="E812" i="2"/>
  <c r="D812" i="2"/>
  <c r="C812" i="2"/>
  <c r="B812" i="2"/>
  <c r="A812" i="2"/>
  <c r="AE811" i="2"/>
  <c r="AD811" i="2"/>
  <c r="AC811" i="2"/>
  <c r="AB811" i="2"/>
  <c r="AA811" i="2"/>
  <c r="Z811" i="2"/>
  <c r="Y811" i="2"/>
  <c r="X811" i="2"/>
  <c r="W811" i="2"/>
  <c r="V811" i="2"/>
  <c r="U811" i="2"/>
  <c r="T811" i="2"/>
  <c r="S811" i="2"/>
  <c r="R811" i="2"/>
  <c r="Q811" i="2"/>
  <c r="P811" i="2"/>
  <c r="O811" i="2"/>
  <c r="N811" i="2"/>
  <c r="M811" i="2"/>
  <c r="L811" i="2"/>
  <c r="K811" i="2"/>
  <c r="J811" i="2"/>
  <c r="I811" i="2"/>
  <c r="H811" i="2"/>
  <c r="G811" i="2"/>
  <c r="F811" i="2"/>
  <c r="E811" i="2"/>
  <c r="D811" i="2"/>
  <c r="C811" i="2"/>
  <c r="B811" i="2"/>
  <c r="A811" i="2"/>
  <c r="AE810" i="2"/>
  <c r="AD810" i="2"/>
  <c r="AC810" i="2"/>
  <c r="AB810" i="2"/>
  <c r="AA810" i="2"/>
  <c r="Z810" i="2"/>
  <c r="Y810" i="2"/>
  <c r="X810" i="2"/>
  <c r="W810" i="2"/>
  <c r="V810" i="2"/>
  <c r="U810" i="2"/>
  <c r="T810" i="2"/>
  <c r="S810" i="2"/>
  <c r="R810" i="2"/>
  <c r="Q810" i="2"/>
  <c r="P810" i="2"/>
  <c r="O810" i="2"/>
  <c r="N810" i="2"/>
  <c r="M810" i="2"/>
  <c r="L810" i="2"/>
  <c r="K810" i="2"/>
  <c r="J810" i="2"/>
  <c r="I810" i="2"/>
  <c r="H810" i="2"/>
  <c r="G810" i="2"/>
  <c r="F810" i="2"/>
  <c r="E810" i="2"/>
  <c r="D810" i="2"/>
  <c r="C810" i="2"/>
  <c r="B810" i="2"/>
  <c r="A810" i="2"/>
  <c r="AE809" i="2"/>
  <c r="AD809" i="2"/>
  <c r="AC809" i="2"/>
  <c r="AB809" i="2"/>
  <c r="AA809" i="2"/>
  <c r="Z809" i="2"/>
  <c r="Y809" i="2"/>
  <c r="X809" i="2"/>
  <c r="W809" i="2"/>
  <c r="V809" i="2"/>
  <c r="U809" i="2"/>
  <c r="T809" i="2"/>
  <c r="S809" i="2"/>
  <c r="R809" i="2"/>
  <c r="Q809" i="2"/>
  <c r="P809" i="2"/>
  <c r="O809" i="2"/>
  <c r="N809" i="2"/>
  <c r="M809" i="2"/>
  <c r="L809" i="2"/>
  <c r="K809" i="2"/>
  <c r="J809" i="2"/>
  <c r="I809" i="2"/>
  <c r="H809" i="2"/>
  <c r="G809" i="2"/>
  <c r="F809" i="2"/>
  <c r="E809" i="2"/>
  <c r="D809" i="2"/>
  <c r="C809" i="2"/>
  <c r="B809" i="2"/>
  <c r="A809" i="2"/>
  <c r="AE808" i="2"/>
  <c r="AD808" i="2"/>
  <c r="AC808" i="2"/>
  <c r="AB808" i="2"/>
  <c r="AA808" i="2"/>
  <c r="Z808" i="2"/>
  <c r="Y808" i="2"/>
  <c r="X808" i="2"/>
  <c r="W808" i="2"/>
  <c r="V808" i="2"/>
  <c r="U808" i="2"/>
  <c r="T808" i="2"/>
  <c r="S808" i="2"/>
  <c r="R808" i="2"/>
  <c r="Q808" i="2"/>
  <c r="P808" i="2"/>
  <c r="O808" i="2"/>
  <c r="N808" i="2"/>
  <c r="M808" i="2"/>
  <c r="L808" i="2"/>
  <c r="K808" i="2"/>
  <c r="J808" i="2"/>
  <c r="I808" i="2"/>
  <c r="H808" i="2"/>
  <c r="G808" i="2"/>
  <c r="F808" i="2"/>
  <c r="E808" i="2"/>
  <c r="D808" i="2"/>
  <c r="C808" i="2"/>
  <c r="B808" i="2"/>
  <c r="A808" i="2"/>
  <c r="AE807" i="2"/>
  <c r="AD807" i="2"/>
  <c r="AC807" i="2"/>
  <c r="AB807" i="2"/>
  <c r="AA807" i="2"/>
  <c r="Z807" i="2"/>
  <c r="Y807" i="2"/>
  <c r="X807" i="2"/>
  <c r="W807" i="2"/>
  <c r="V807" i="2"/>
  <c r="U807" i="2"/>
  <c r="T807" i="2"/>
  <c r="S807" i="2"/>
  <c r="R807" i="2"/>
  <c r="Q807" i="2"/>
  <c r="P807" i="2"/>
  <c r="O807" i="2"/>
  <c r="N807" i="2"/>
  <c r="M807" i="2"/>
  <c r="L807" i="2"/>
  <c r="K807" i="2"/>
  <c r="J807" i="2"/>
  <c r="I807" i="2"/>
  <c r="H807" i="2"/>
  <c r="G807" i="2"/>
  <c r="F807" i="2"/>
  <c r="E807" i="2"/>
  <c r="D807" i="2"/>
  <c r="C807" i="2"/>
  <c r="B807" i="2"/>
  <c r="A807" i="2"/>
  <c r="AE806" i="2"/>
  <c r="AD806" i="2"/>
  <c r="AC806" i="2"/>
  <c r="AB806" i="2"/>
  <c r="AA806" i="2"/>
  <c r="Z806" i="2"/>
  <c r="Y806" i="2"/>
  <c r="X806" i="2"/>
  <c r="W806" i="2"/>
  <c r="V806" i="2"/>
  <c r="U806" i="2"/>
  <c r="T806" i="2"/>
  <c r="S806" i="2"/>
  <c r="R806" i="2"/>
  <c r="Q806" i="2"/>
  <c r="P806" i="2"/>
  <c r="O806" i="2"/>
  <c r="N806" i="2"/>
  <c r="M806" i="2"/>
  <c r="L806" i="2"/>
  <c r="K806" i="2"/>
  <c r="J806" i="2"/>
  <c r="I806" i="2"/>
  <c r="H806" i="2"/>
  <c r="G806" i="2"/>
  <c r="F806" i="2"/>
  <c r="E806" i="2"/>
  <c r="D806" i="2"/>
  <c r="C806" i="2"/>
  <c r="B806" i="2"/>
  <c r="A806" i="2"/>
  <c r="AE805" i="2"/>
  <c r="AD805" i="2"/>
  <c r="AC805" i="2"/>
  <c r="AB805" i="2"/>
  <c r="AA805" i="2"/>
  <c r="Z805" i="2"/>
  <c r="Y805" i="2"/>
  <c r="X805" i="2"/>
  <c r="W805" i="2"/>
  <c r="V805" i="2"/>
  <c r="U805" i="2"/>
  <c r="T805" i="2"/>
  <c r="S805" i="2"/>
  <c r="R805" i="2"/>
  <c r="Q805" i="2"/>
  <c r="P805" i="2"/>
  <c r="O805" i="2"/>
  <c r="N805" i="2"/>
  <c r="M805" i="2"/>
  <c r="L805" i="2"/>
  <c r="K805" i="2"/>
  <c r="J805" i="2"/>
  <c r="I805" i="2"/>
  <c r="H805" i="2"/>
  <c r="G805" i="2"/>
  <c r="F805" i="2"/>
  <c r="E805" i="2"/>
  <c r="D805" i="2"/>
  <c r="C805" i="2"/>
  <c r="B805" i="2"/>
  <c r="A805" i="2"/>
  <c r="AE804" i="2"/>
  <c r="AD804" i="2"/>
  <c r="AC804" i="2"/>
  <c r="AB804" i="2"/>
  <c r="AA804" i="2"/>
  <c r="Z804" i="2"/>
  <c r="Y804" i="2"/>
  <c r="X804" i="2"/>
  <c r="W804" i="2"/>
  <c r="V804" i="2"/>
  <c r="U804" i="2"/>
  <c r="T804" i="2"/>
  <c r="S804" i="2"/>
  <c r="R804" i="2"/>
  <c r="Q804" i="2"/>
  <c r="P804" i="2"/>
  <c r="O804" i="2"/>
  <c r="N804" i="2"/>
  <c r="M804" i="2"/>
  <c r="L804" i="2"/>
  <c r="K804" i="2"/>
  <c r="J804" i="2"/>
  <c r="I804" i="2"/>
  <c r="H804" i="2"/>
  <c r="G804" i="2"/>
  <c r="F804" i="2"/>
  <c r="E804" i="2"/>
  <c r="D804" i="2"/>
  <c r="C804" i="2"/>
  <c r="B804" i="2"/>
  <c r="A804" i="2"/>
  <c r="AE803" i="2"/>
  <c r="AD803" i="2"/>
  <c r="AC803" i="2"/>
  <c r="AB803" i="2"/>
  <c r="AA803" i="2"/>
  <c r="Z803" i="2"/>
  <c r="Y803" i="2"/>
  <c r="X803" i="2"/>
  <c r="W803" i="2"/>
  <c r="V803" i="2"/>
  <c r="U803" i="2"/>
  <c r="T803" i="2"/>
  <c r="S803" i="2"/>
  <c r="R803" i="2"/>
  <c r="Q803" i="2"/>
  <c r="P803" i="2"/>
  <c r="O803" i="2"/>
  <c r="N803" i="2"/>
  <c r="M803" i="2"/>
  <c r="L803" i="2"/>
  <c r="K803" i="2"/>
  <c r="J803" i="2"/>
  <c r="I803" i="2"/>
  <c r="H803" i="2"/>
  <c r="G803" i="2"/>
  <c r="F803" i="2"/>
  <c r="E803" i="2"/>
  <c r="D803" i="2"/>
  <c r="C803" i="2"/>
  <c r="B803" i="2"/>
  <c r="A803" i="2"/>
  <c r="AE802" i="2"/>
  <c r="AD802" i="2"/>
  <c r="AC802" i="2"/>
  <c r="AB802" i="2"/>
  <c r="AA802" i="2"/>
  <c r="Z802" i="2"/>
  <c r="Y802" i="2"/>
  <c r="X802" i="2"/>
  <c r="W802" i="2"/>
  <c r="V802" i="2"/>
  <c r="U802" i="2"/>
  <c r="T802" i="2"/>
  <c r="S802" i="2"/>
  <c r="R802" i="2"/>
  <c r="Q802" i="2"/>
  <c r="P802" i="2"/>
  <c r="O802" i="2"/>
  <c r="N802" i="2"/>
  <c r="M802" i="2"/>
  <c r="L802" i="2"/>
  <c r="K802" i="2"/>
  <c r="J802" i="2"/>
  <c r="I802" i="2"/>
  <c r="H802" i="2"/>
  <c r="G802" i="2"/>
  <c r="F802" i="2"/>
  <c r="E802" i="2"/>
  <c r="D802" i="2"/>
  <c r="C802" i="2"/>
  <c r="B802" i="2"/>
  <c r="A802" i="2"/>
  <c r="AE801" i="2"/>
  <c r="AD801" i="2"/>
  <c r="AC801" i="2"/>
  <c r="AB801" i="2"/>
  <c r="AA801" i="2"/>
  <c r="Z801" i="2"/>
  <c r="Y801" i="2"/>
  <c r="X801" i="2"/>
  <c r="W801" i="2"/>
  <c r="V801" i="2"/>
  <c r="U801" i="2"/>
  <c r="T801" i="2"/>
  <c r="S801" i="2"/>
  <c r="R801" i="2"/>
  <c r="Q801" i="2"/>
  <c r="P801" i="2"/>
  <c r="O801" i="2"/>
  <c r="N801" i="2"/>
  <c r="M801" i="2"/>
  <c r="L801" i="2"/>
  <c r="K801" i="2"/>
  <c r="J801" i="2"/>
  <c r="I801" i="2"/>
  <c r="H801" i="2"/>
  <c r="G801" i="2"/>
  <c r="F801" i="2"/>
  <c r="E801" i="2"/>
  <c r="D801" i="2"/>
  <c r="C801" i="2"/>
  <c r="B801" i="2"/>
  <c r="A801" i="2"/>
  <c r="AE800" i="2"/>
  <c r="AD800" i="2"/>
  <c r="AC800" i="2"/>
  <c r="AB800" i="2"/>
  <c r="AA800" i="2"/>
  <c r="Z800" i="2"/>
  <c r="Y800" i="2"/>
  <c r="X800" i="2"/>
  <c r="W800" i="2"/>
  <c r="V800" i="2"/>
  <c r="U800" i="2"/>
  <c r="T800" i="2"/>
  <c r="S800" i="2"/>
  <c r="R800" i="2"/>
  <c r="Q800" i="2"/>
  <c r="P800" i="2"/>
  <c r="O800" i="2"/>
  <c r="N800" i="2"/>
  <c r="M800" i="2"/>
  <c r="L800" i="2"/>
  <c r="K800" i="2"/>
  <c r="J800" i="2"/>
  <c r="I800" i="2"/>
  <c r="H800" i="2"/>
  <c r="G800" i="2"/>
  <c r="F800" i="2"/>
  <c r="E800" i="2"/>
  <c r="D800" i="2"/>
  <c r="C800" i="2"/>
  <c r="B800" i="2"/>
  <c r="A800" i="2"/>
  <c r="AE799" i="2"/>
  <c r="AD799" i="2"/>
  <c r="AC799" i="2"/>
  <c r="AB799" i="2"/>
  <c r="AA799" i="2"/>
  <c r="Z799" i="2"/>
  <c r="Y799" i="2"/>
  <c r="X799" i="2"/>
  <c r="W799" i="2"/>
  <c r="V799" i="2"/>
  <c r="U799" i="2"/>
  <c r="T799" i="2"/>
  <c r="S799" i="2"/>
  <c r="R799" i="2"/>
  <c r="Q799" i="2"/>
  <c r="P799" i="2"/>
  <c r="O799" i="2"/>
  <c r="N799" i="2"/>
  <c r="M799" i="2"/>
  <c r="L799" i="2"/>
  <c r="K799" i="2"/>
  <c r="J799" i="2"/>
  <c r="I799" i="2"/>
  <c r="H799" i="2"/>
  <c r="G799" i="2"/>
  <c r="F799" i="2"/>
  <c r="E799" i="2"/>
  <c r="D799" i="2"/>
  <c r="C799" i="2"/>
  <c r="B799" i="2"/>
  <c r="A799" i="2"/>
  <c r="AE798" i="2"/>
  <c r="AD798" i="2"/>
  <c r="AC798" i="2"/>
  <c r="AB798" i="2"/>
  <c r="AA798" i="2"/>
  <c r="Z798" i="2"/>
  <c r="Y798" i="2"/>
  <c r="X798" i="2"/>
  <c r="W798" i="2"/>
  <c r="V798" i="2"/>
  <c r="U798" i="2"/>
  <c r="T798" i="2"/>
  <c r="S798" i="2"/>
  <c r="R798" i="2"/>
  <c r="Q798" i="2"/>
  <c r="P798" i="2"/>
  <c r="O798" i="2"/>
  <c r="N798" i="2"/>
  <c r="M798" i="2"/>
  <c r="L798" i="2"/>
  <c r="K798" i="2"/>
  <c r="J798" i="2"/>
  <c r="I798" i="2"/>
  <c r="H798" i="2"/>
  <c r="G798" i="2"/>
  <c r="F798" i="2"/>
  <c r="E798" i="2"/>
  <c r="D798" i="2"/>
  <c r="C798" i="2"/>
  <c r="B798" i="2"/>
  <c r="A798" i="2"/>
  <c r="AE797" i="2"/>
  <c r="AD797" i="2"/>
  <c r="AC797" i="2"/>
  <c r="AB797" i="2"/>
  <c r="AA797" i="2"/>
  <c r="Z797" i="2"/>
  <c r="Y797" i="2"/>
  <c r="X797" i="2"/>
  <c r="W797" i="2"/>
  <c r="V797" i="2"/>
  <c r="U797" i="2"/>
  <c r="T797" i="2"/>
  <c r="S797" i="2"/>
  <c r="R797" i="2"/>
  <c r="Q797" i="2"/>
  <c r="P797" i="2"/>
  <c r="O797" i="2"/>
  <c r="N797" i="2"/>
  <c r="M797" i="2"/>
  <c r="L797" i="2"/>
  <c r="K797" i="2"/>
  <c r="J797" i="2"/>
  <c r="I797" i="2"/>
  <c r="H797" i="2"/>
  <c r="G797" i="2"/>
  <c r="F797" i="2"/>
  <c r="E797" i="2"/>
  <c r="D797" i="2"/>
  <c r="C797" i="2"/>
  <c r="B797" i="2"/>
  <c r="A797" i="2"/>
  <c r="AE796" i="2"/>
  <c r="AD796" i="2"/>
  <c r="AC796" i="2"/>
  <c r="AB796" i="2"/>
  <c r="AA796" i="2"/>
  <c r="Z796" i="2"/>
  <c r="Y796" i="2"/>
  <c r="X796" i="2"/>
  <c r="W796" i="2"/>
  <c r="V796" i="2"/>
  <c r="U796" i="2"/>
  <c r="T796" i="2"/>
  <c r="S796" i="2"/>
  <c r="R796" i="2"/>
  <c r="Q796" i="2"/>
  <c r="P796" i="2"/>
  <c r="O796" i="2"/>
  <c r="N796" i="2"/>
  <c r="M796" i="2"/>
  <c r="L796" i="2"/>
  <c r="K796" i="2"/>
  <c r="J796" i="2"/>
  <c r="I796" i="2"/>
  <c r="H796" i="2"/>
  <c r="G796" i="2"/>
  <c r="F796" i="2"/>
  <c r="E796" i="2"/>
  <c r="D796" i="2"/>
  <c r="C796" i="2"/>
  <c r="B796" i="2"/>
  <c r="A796" i="2"/>
  <c r="AE795" i="2"/>
  <c r="AD795" i="2"/>
  <c r="AC795" i="2"/>
  <c r="AB795" i="2"/>
  <c r="AA795" i="2"/>
  <c r="Z795" i="2"/>
  <c r="Y795" i="2"/>
  <c r="X795" i="2"/>
  <c r="W795" i="2"/>
  <c r="V795" i="2"/>
  <c r="U795" i="2"/>
  <c r="T795" i="2"/>
  <c r="S795" i="2"/>
  <c r="R795" i="2"/>
  <c r="Q795" i="2"/>
  <c r="P795" i="2"/>
  <c r="O795" i="2"/>
  <c r="N795" i="2"/>
  <c r="M795" i="2"/>
  <c r="L795" i="2"/>
  <c r="K795" i="2"/>
  <c r="J795" i="2"/>
  <c r="I795" i="2"/>
  <c r="H795" i="2"/>
  <c r="G795" i="2"/>
  <c r="F795" i="2"/>
  <c r="E795" i="2"/>
  <c r="D795" i="2"/>
  <c r="C795" i="2"/>
  <c r="B795" i="2"/>
  <c r="A795" i="2"/>
  <c r="AE794" i="2"/>
  <c r="AD794" i="2"/>
  <c r="AC794" i="2"/>
  <c r="AB794" i="2"/>
  <c r="AA794" i="2"/>
  <c r="Z794" i="2"/>
  <c r="Y794" i="2"/>
  <c r="X794" i="2"/>
  <c r="W794" i="2"/>
  <c r="V794" i="2"/>
  <c r="U794" i="2"/>
  <c r="T794" i="2"/>
  <c r="S794" i="2"/>
  <c r="R794" i="2"/>
  <c r="Q794" i="2"/>
  <c r="P794" i="2"/>
  <c r="O794" i="2"/>
  <c r="N794" i="2"/>
  <c r="M794" i="2"/>
  <c r="L794" i="2"/>
  <c r="K794" i="2"/>
  <c r="J794" i="2"/>
  <c r="I794" i="2"/>
  <c r="H794" i="2"/>
  <c r="G794" i="2"/>
  <c r="F794" i="2"/>
  <c r="E794" i="2"/>
  <c r="D794" i="2"/>
  <c r="C794" i="2"/>
  <c r="B794" i="2"/>
  <c r="A794" i="2"/>
  <c r="AE793" i="2"/>
  <c r="AD793" i="2"/>
  <c r="AC793" i="2"/>
  <c r="AB793" i="2"/>
  <c r="AA793" i="2"/>
  <c r="Z793" i="2"/>
  <c r="Y793" i="2"/>
  <c r="X793" i="2"/>
  <c r="W793" i="2"/>
  <c r="V793" i="2"/>
  <c r="U793" i="2"/>
  <c r="T793" i="2"/>
  <c r="S793" i="2"/>
  <c r="R793" i="2"/>
  <c r="Q793" i="2"/>
  <c r="P793" i="2"/>
  <c r="O793" i="2"/>
  <c r="N793" i="2"/>
  <c r="M793" i="2"/>
  <c r="L793" i="2"/>
  <c r="K793" i="2"/>
  <c r="J793" i="2"/>
  <c r="I793" i="2"/>
  <c r="H793" i="2"/>
  <c r="G793" i="2"/>
  <c r="F793" i="2"/>
  <c r="E793" i="2"/>
  <c r="D793" i="2"/>
  <c r="C793" i="2"/>
  <c r="B793" i="2"/>
  <c r="A793" i="2"/>
  <c r="AE792" i="2"/>
  <c r="AD792" i="2"/>
  <c r="AC792" i="2"/>
  <c r="AB792" i="2"/>
  <c r="AA792" i="2"/>
  <c r="Z792" i="2"/>
  <c r="Y792" i="2"/>
  <c r="X792" i="2"/>
  <c r="W792" i="2"/>
  <c r="V792" i="2"/>
  <c r="U792" i="2"/>
  <c r="T792" i="2"/>
  <c r="S792" i="2"/>
  <c r="R792" i="2"/>
  <c r="Q792" i="2"/>
  <c r="P792" i="2"/>
  <c r="O792" i="2"/>
  <c r="N792" i="2"/>
  <c r="M792" i="2"/>
  <c r="L792" i="2"/>
  <c r="K792" i="2"/>
  <c r="J792" i="2"/>
  <c r="I792" i="2"/>
  <c r="H792" i="2"/>
  <c r="G792" i="2"/>
  <c r="F792" i="2"/>
  <c r="E792" i="2"/>
  <c r="D792" i="2"/>
  <c r="C792" i="2"/>
  <c r="B792" i="2"/>
  <c r="A792" i="2"/>
  <c r="AE791" i="2"/>
  <c r="AD791" i="2"/>
  <c r="AC791" i="2"/>
  <c r="AB791" i="2"/>
  <c r="AA791" i="2"/>
  <c r="Z791" i="2"/>
  <c r="Y791" i="2"/>
  <c r="X791" i="2"/>
  <c r="W791" i="2"/>
  <c r="V791" i="2"/>
  <c r="U791" i="2"/>
  <c r="T791" i="2"/>
  <c r="S791" i="2"/>
  <c r="R791" i="2"/>
  <c r="Q791" i="2"/>
  <c r="P791" i="2"/>
  <c r="O791" i="2"/>
  <c r="N791" i="2"/>
  <c r="M791" i="2"/>
  <c r="L791" i="2"/>
  <c r="K791" i="2"/>
  <c r="J791" i="2"/>
  <c r="I791" i="2"/>
  <c r="H791" i="2"/>
  <c r="G791" i="2"/>
  <c r="F791" i="2"/>
  <c r="E791" i="2"/>
  <c r="D791" i="2"/>
  <c r="C791" i="2"/>
  <c r="B791" i="2"/>
  <c r="A791" i="2"/>
  <c r="AE790" i="2"/>
  <c r="AD790" i="2"/>
  <c r="AC790" i="2"/>
  <c r="AB790" i="2"/>
  <c r="AA790" i="2"/>
  <c r="Z790" i="2"/>
  <c r="Y790" i="2"/>
  <c r="X790" i="2"/>
  <c r="W790" i="2"/>
  <c r="V790" i="2"/>
  <c r="U790" i="2"/>
  <c r="T790" i="2"/>
  <c r="S790" i="2"/>
  <c r="R790" i="2"/>
  <c r="Q790" i="2"/>
  <c r="P790" i="2"/>
  <c r="O790" i="2"/>
  <c r="N790" i="2"/>
  <c r="M790" i="2"/>
  <c r="L790" i="2"/>
  <c r="K790" i="2"/>
  <c r="J790" i="2"/>
  <c r="I790" i="2"/>
  <c r="H790" i="2"/>
  <c r="G790" i="2"/>
  <c r="F790" i="2"/>
  <c r="E790" i="2"/>
  <c r="D790" i="2"/>
  <c r="C790" i="2"/>
  <c r="B790" i="2"/>
  <c r="A790" i="2"/>
  <c r="AE789" i="2"/>
  <c r="AD789" i="2"/>
  <c r="AC789" i="2"/>
  <c r="AB789" i="2"/>
  <c r="AA789" i="2"/>
  <c r="Z789" i="2"/>
  <c r="Y789" i="2"/>
  <c r="X789" i="2"/>
  <c r="W789" i="2"/>
  <c r="V789" i="2"/>
  <c r="U789" i="2"/>
  <c r="T789" i="2"/>
  <c r="S789" i="2"/>
  <c r="R789" i="2"/>
  <c r="Q789" i="2"/>
  <c r="P789" i="2"/>
  <c r="O789" i="2"/>
  <c r="N789" i="2"/>
  <c r="M789" i="2"/>
  <c r="L789" i="2"/>
  <c r="K789" i="2"/>
  <c r="J789" i="2"/>
  <c r="I789" i="2"/>
  <c r="H789" i="2"/>
  <c r="G789" i="2"/>
  <c r="F789" i="2"/>
  <c r="E789" i="2"/>
  <c r="D789" i="2"/>
  <c r="C789" i="2"/>
  <c r="B789" i="2"/>
  <c r="A789" i="2"/>
  <c r="AE788" i="2"/>
  <c r="AD788" i="2"/>
  <c r="AC788" i="2"/>
  <c r="AB788" i="2"/>
  <c r="AA788" i="2"/>
  <c r="Z788" i="2"/>
  <c r="Y788" i="2"/>
  <c r="X788" i="2"/>
  <c r="W788" i="2"/>
  <c r="V788" i="2"/>
  <c r="U788" i="2"/>
  <c r="T788" i="2"/>
  <c r="S788" i="2"/>
  <c r="R788" i="2"/>
  <c r="Q788" i="2"/>
  <c r="P788" i="2"/>
  <c r="O788" i="2"/>
  <c r="N788" i="2"/>
  <c r="M788" i="2"/>
  <c r="L788" i="2"/>
  <c r="K788" i="2"/>
  <c r="J788" i="2"/>
  <c r="I788" i="2"/>
  <c r="H788" i="2"/>
  <c r="G788" i="2"/>
  <c r="F788" i="2"/>
  <c r="E788" i="2"/>
  <c r="D788" i="2"/>
  <c r="C788" i="2"/>
  <c r="B788" i="2"/>
  <c r="A788" i="2"/>
  <c r="AE787" i="2"/>
  <c r="AD787" i="2"/>
  <c r="AC787" i="2"/>
  <c r="AB787" i="2"/>
  <c r="AA787" i="2"/>
  <c r="Z787" i="2"/>
  <c r="Y787" i="2"/>
  <c r="X787" i="2"/>
  <c r="W787" i="2"/>
  <c r="V787" i="2"/>
  <c r="U787" i="2"/>
  <c r="T787" i="2"/>
  <c r="S787" i="2"/>
  <c r="R787" i="2"/>
  <c r="Q787" i="2"/>
  <c r="P787" i="2"/>
  <c r="O787" i="2"/>
  <c r="N787" i="2"/>
  <c r="M787" i="2"/>
  <c r="L787" i="2"/>
  <c r="K787" i="2"/>
  <c r="J787" i="2"/>
  <c r="I787" i="2"/>
  <c r="H787" i="2"/>
  <c r="G787" i="2"/>
  <c r="F787" i="2"/>
  <c r="E787" i="2"/>
  <c r="D787" i="2"/>
  <c r="C787" i="2"/>
  <c r="B787" i="2"/>
  <c r="A787" i="2"/>
  <c r="AE786" i="2"/>
  <c r="AD786" i="2"/>
  <c r="AC786" i="2"/>
  <c r="AB786" i="2"/>
  <c r="AA786" i="2"/>
  <c r="Z786" i="2"/>
  <c r="Y786" i="2"/>
  <c r="X786" i="2"/>
  <c r="W786" i="2"/>
  <c r="V786" i="2"/>
  <c r="U786" i="2"/>
  <c r="T786" i="2"/>
  <c r="S786" i="2"/>
  <c r="R786" i="2"/>
  <c r="Q786" i="2"/>
  <c r="P786" i="2"/>
  <c r="O786" i="2"/>
  <c r="N786" i="2"/>
  <c r="M786" i="2"/>
  <c r="L786" i="2"/>
  <c r="K786" i="2"/>
  <c r="J786" i="2"/>
  <c r="I786" i="2"/>
  <c r="H786" i="2"/>
  <c r="G786" i="2"/>
  <c r="F786" i="2"/>
  <c r="E786" i="2"/>
  <c r="D786" i="2"/>
  <c r="C786" i="2"/>
  <c r="B786" i="2"/>
  <c r="A786" i="2"/>
  <c r="AE785" i="2"/>
  <c r="AD785" i="2"/>
  <c r="AC785" i="2"/>
  <c r="AB785" i="2"/>
  <c r="AA785" i="2"/>
  <c r="Z785" i="2"/>
  <c r="Y785" i="2"/>
  <c r="X785" i="2"/>
  <c r="W785" i="2"/>
  <c r="V785" i="2"/>
  <c r="U785" i="2"/>
  <c r="T785" i="2"/>
  <c r="S785" i="2"/>
  <c r="R785" i="2"/>
  <c r="Q785" i="2"/>
  <c r="P785" i="2"/>
  <c r="O785" i="2"/>
  <c r="N785" i="2"/>
  <c r="M785" i="2"/>
  <c r="L785" i="2"/>
  <c r="K785" i="2"/>
  <c r="J785" i="2"/>
  <c r="I785" i="2"/>
  <c r="H785" i="2"/>
  <c r="G785" i="2"/>
  <c r="F785" i="2"/>
  <c r="E785" i="2"/>
  <c r="D785" i="2"/>
  <c r="C785" i="2"/>
  <c r="B785" i="2"/>
  <c r="A785" i="2"/>
  <c r="AE784" i="2"/>
  <c r="AD784" i="2"/>
  <c r="AC784" i="2"/>
  <c r="AB784" i="2"/>
  <c r="AA784" i="2"/>
  <c r="Z784" i="2"/>
  <c r="Y784" i="2"/>
  <c r="X784" i="2"/>
  <c r="W784" i="2"/>
  <c r="V784" i="2"/>
  <c r="U784" i="2"/>
  <c r="T784" i="2"/>
  <c r="S784" i="2"/>
  <c r="R784" i="2"/>
  <c r="Q784" i="2"/>
  <c r="P784" i="2"/>
  <c r="O784" i="2"/>
  <c r="N784" i="2"/>
  <c r="M784" i="2"/>
  <c r="L784" i="2"/>
  <c r="K784" i="2"/>
  <c r="J784" i="2"/>
  <c r="I784" i="2"/>
  <c r="H784" i="2"/>
  <c r="G784" i="2"/>
  <c r="F784" i="2"/>
  <c r="E784" i="2"/>
  <c r="D784" i="2"/>
  <c r="C784" i="2"/>
  <c r="B784" i="2"/>
  <c r="A784" i="2"/>
  <c r="AE783" i="2"/>
  <c r="AD783" i="2"/>
  <c r="AC783" i="2"/>
  <c r="AB783" i="2"/>
  <c r="AA783" i="2"/>
  <c r="Z783" i="2"/>
  <c r="Y783" i="2"/>
  <c r="X783" i="2"/>
  <c r="W783" i="2"/>
  <c r="V783" i="2"/>
  <c r="U783" i="2"/>
  <c r="T783" i="2"/>
  <c r="S783" i="2"/>
  <c r="R783" i="2"/>
  <c r="Q783" i="2"/>
  <c r="P783" i="2"/>
  <c r="O783" i="2"/>
  <c r="N783" i="2"/>
  <c r="M783" i="2"/>
  <c r="L783" i="2"/>
  <c r="K783" i="2"/>
  <c r="J783" i="2"/>
  <c r="I783" i="2"/>
  <c r="H783" i="2"/>
  <c r="G783" i="2"/>
  <c r="F783" i="2"/>
  <c r="E783" i="2"/>
  <c r="D783" i="2"/>
  <c r="C783" i="2"/>
  <c r="B783" i="2"/>
  <c r="A783" i="2"/>
  <c r="AE782" i="2"/>
  <c r="AD782" i="2"/>
  <c r="AC782" i="2"/>
  <c r="AB782" i="2"/>
  <c r="AA782" i="2"/>
  <c r="Z782" i="2"/>
  <c r="Y782" i="2"/>
  <c r="X782" i="2"/>
  <c r="W782" i="2"/>
  <c r="V782" i="2"/>
  <c r="U782" i="2"/>
  <c r="T782" i="2"/>
  <c r="S782" i="2"/>
  <c r="R782" i="2"/>
  <c r="Q782" i="2"/>
  <c r="P782" i="2"/>
  <c r="O782" i="2"/>
  <c r="N782" i="2"/>
  <c r="M782" i="2"/>
  <c r="L782" i="2"/>
  <c r="K782" i="2"/>
  <c r="J782" i="2"/>
  <c r="I782" i="2"/>
  <c r="H782" i="2"/>
  <c r="G782" i="2"/>
  <c r="F782" i="2"/>
  <c r="E782" i="2"/>
  <c r="D782" i="2"/>
  <c r="C782" i="2"/>
  <c r="B782" i="2"/>
  <c r="A782" i="2"/>
  <c r="AE781" i="2"/>
  <c r="AD781" i="2"/>
  <c r="AC781" i="2"/>
  <c r="AB781" i="2"/>
  <c r="AA781" i="2"/>
  <c r="Z781" i="2"/>
  <c r="Y781" i="2"/>
  <c r="X781" i="2"/>
  <c r="W781" i="2"/>
  <c r="V781" i="2"/>
  <c r="U781" i="2"/>
  <c r="T781" i="2"/>
  <c r="S781" i="2"/>
  <c r="R781" i="2"/>
  <c r="Q781" i="2"/>
  <c r="P781" i="2"/>
  <c r="O781" i="2"/>
  <c r="N781" i="2"/>
  <c r="M781" i="2"/>
  <c r="L781" i="2"/>
  <c r="K781" i="2"/>
  <c r="J781" i="2"/>
  <c r="I781" i="2"/>
  <c r="H781" i="2"/>
  <c r="G781" i="2"/>
  <c r="F781" i="2"/>
  <c r="E781" i="2"/>
  <c r="D781" i="2"/>
  <c r="C781" i="2"/>
  <c r="B781" i="2"/>
  <c r="A781" i="2"/>
  <c r="AE780" i="2"/>
  <c r="AD780" i="2"/>
  <c r="AC780" i="2"/>
  <c r="AB780" i="2"/>
  <c r="AA780" i="2"/>
  <c r="Z780" i="2"/>
  <c r="Y780" i="2"/>
  <c r="X780" i="2"/>
  <c r="W780" i="2"/>
  <c r="V780" i="2"/>
  <c r="U780" i="2"/>
  <c r="T780" i="2"/>
  <c r="S780" i="2"/>
  <c r="R780" i="2"/>
  <c r="Q780" i="2"/>
  <c r="P780" i="2"/>
  <c r="O780" i="2"/>
  <c r="N780" i="2"/>
  <c r="M780" i="2"/>
  <c r="L780" i="2"/>
  <c r="K780" i="2"/>
  <c r="J780" i="2"/>
  <c r="I780" i="2"/>
  <c r="H780" i="2"/>
  <c r="G780" i="2"/>
  <c r="F780" i="2"/>
  <c r="E780" i="2"/>
  <c r="D780" i="2"/>
  <c r="C780" i="2"/>
  <c r="B780" i="2"/>
  <c r="A780" i="2"/>
  <c r="AE779" i="2"/>
  <c r="AD779" i="2"/>
  <c r="AC779" i="2"/>
  <c r="AB779" i="2"/>
  <c r="AA779" i="2"/>
  <c r="Z779" i="2"/>
  <c r="Y779" i="2"/>
  <c r="X779" i="2"/>
  <c r="W779" i="2"/>
  <c r="V779" i="2"/>
  <c r="U779" i="2"/>
  <c r="T779" i="2"/>
  <c r="S779" i="2"/>
  <c r="R779" i="2"/>
  <c r="Q779" i="2"/>
  <c r="P779" i="2"/>
  <c r="O779" i="2"/>
  <c r="N779" i="2"/>
  <c r="M779" i="2"/>
  <c r="L779" i="2"/>
  <c r="K779" i="2"/>
  <c r="J779" i="2"/>
  <c r="I779" i="2"/>
  <c r="H779" i="2"/>
  <c r="G779" i="2"/>
  <c r="F779" i="2"/>
  <c r="E779" i="2"/>
  <c r="D779" i="2"/>
  <c r="C779" i="2"/>
  <c r="B779" i="2"/>
  <c r="A779" i="2"/>
  <c r="AE778" i="2"/>
  <c r="AD778" i="2"/>
  <c r="AC778" i="2"/>
  <c r="AB778" i="2"/>
  <c r="AA778" i="2"/>
  <c r="Z778" i="2"/>
  <c r="Y778" i="2"/>
  <c r="X778" i="2"/>
  <c r="W778" i="2"/>
  <c r="V778" i="2"/>
  <c r="U778" i="2"/>
  <c r="T778" i="2"/>
  <c r="S778" i="2"/>
  <c r="R778" i="2"/>
  <c r="Q778" i="2"/>
  <c r="P778" i="2"/>
  <c r="O778" i="2"/>
  <c r="N778" i="2"/>
  <c r="M778" i="2"/>
  <c r="L778" i="2"/>
  <c r="K778" i="2"/>
  <c r="J778" i="2"/>
  <c r="I778" i="2"/>
  <c r="H778" i="2"/>
  <c r="G778" i="2"/>
  <c r="F778" i="2"/>
  <c r="E778" i="2"/>
  <c r="D778" i="2"/>
  <c r="C778" i="2"/>
  <c r="B778" i="2"/>
  <c r="A778" i="2"/>
  <c r="AE777" i="2"/>
  <c r="AD777" i="2"/>
  <c r="AC777" i="2"/>
  <c r="AB777" i="2"/>
  <c r="AA777" i="2"/>
  <c r="Z777" i="2"/>
  <c r="Y777" i="2"/>
  <c r="X777" i="2"/>
  <c r="W777" i="2"/>
  <c r="V777" i="2"/>
  <c r="U777" i="2"/>
  <c r="T777" i="2"/>
  <c r="S777" i="2"/>
  <c r="R777" i="2"/>
  <c r="Q777" i="2"/>
  <c r="P777" i="2"/>
  <c r="O777" i="2"/>
  <c r="N777" i="2"/>
  <c r="M777" i="2"/>
  <c r="L777" i="2"/>
  <c r="K777" i="2"/>
  <c r="J777" i="2"/>
  <c r="I777" i="2"/>
  <c r="H777" i="2"/>
  <c r="G777" i="2"/>
  <c r="F777" i="2"/>
  <c r="E777" i="2"/>
  <c r="D777" i="2"/>
  <c r="C777" i="2"/>
  <c r="B777" i="2"/>
  <c r="A777" i="2"/>
  <c r="AE776" i="2"/>
  <c r="AD776" i="2"/>
  <c r="AC776" i="2"/>
  <c r="AB776" i="2"/>
  <c r="AA776" i="2"/>
  <c r="Z776" i="2"/>
  <c r="Y776" i="2"/>
  <c r="X776" i="2"/>
  <c r="W776" i="2"/>
  <c r="V776" i="2"/>
  <c r="U776" i="2"/>
  <c r="T776" i="2"/>
  <c r="S776" i="2"/>
  <c r="R776" i="2"/>
  <c r="Q776" i="2"/>
  <c r="P776" i="2"/>
  <c r="O776" i="2"/>
  <c r="N776" i="2"/>
  <c r="M776" i="2"/>
  <c r="L776" i="2"/>
  <c r="K776" i="2"/>
  <c r="J776" i="2"/>
  <c r="I776" i="2"/>
  <c r="H776" i="2"/>
  <c r="G776" i="2"/>
  <c r="F776" i="2"/>
  <c r="E776" i="2"/>
  <c r="D776" i="2"/>
  <c r="C776" i="2"/>
  <c r="B776" i="2"/>
  <c r="A776" i="2"/>
  <c r="AE775" i="2"/>
  <c r="AD775" i="2"/>
  <c r="AC775" i="2"/>
  <c r="AB775" i="2"/>
  <c r="AA775" i="2"/>
  <c r="Z775" i="2"/>
  <c r="Y775" i="2"/>
  <c r="X775" i="2"/>
  <c r="W775" i="2"/>
  <c r="V775" i="2"/>
  <c r="U775" i="2"/>
  <c r="T775" i="2"/>
  <c r="S775" i="2"/>
  <c r="R775" i="2"/>
  <c r="Q775" i="2"/>
  <c r="P775" i="2"/>
  <c r="O775" i="2"/>
  <c r="N775" i="2"/>
  <c r="M775" i="2"/>
  <c r="L775" i="2"/>
  <c r="K775" i="2"/>
  <c r="J775" i="2"/>
  <c r="I775" i="2"/>
  <c r="H775" i="2"/>
  <c r="G775" i="2"/>
  <c r="F775" i="2"/>
  <c r="E775" i="2"/>
  <c r="D775" i="2"/>
  <c r="C775" i="2"/>
  <c r="B775" i="2"/>
  <c r="A775" i="2"/>
  <c r="AE774" i="2"/>
  <c r="AD774" i="2"/>
  <c r="AC774" i="2"/>
  <c r="AB774" i="2"/>
  <c r="AA774" i="2"/>
  <c r="Z774" i="2"/>
  <c r="Y774" i="2"/>
  <c r="X774" i="2"/>
  <c r="W774" i="2"/>
  <c r="V774" i="2"/>
  <c r="U774" i="2"/>
  <c r="T774" i="2"/>
  <c r="S774" i="2"/>
  <c r="R774" i="2"/>
  <c r="Q774" i="2"/>
  <c r="P774" i="2"/>
  <c r="O774" i="2"/>
  <c r="N774" i="2"/>
  <c r="M774" i="2"/>
  <c r="L774" i="2"/>
  <c r="K774" i="2"/>
  <c r="J774" i="2"/>
  <c r="I774" i="2"/>
  <c r="H774" i="2"/>
  <c r="G774" i="2"/>
  <c r="F774" i="2"/>
  <c r="E774" i="2"/>
  <c r="D774" i="2"/>
  <c r="C774" i="2"/>
  <c r="B774" i="2"/>
  <c r="A774" i="2"/>
  <c r="AE773" i="2"/>
  <c r="AD773" i="2"/>
  <c r="AC773" i="2"/>
  <c r="AB773" i="2"/>
  <c r="AA773" i="2"/>
  <c r="Z773" i="2"/>
  <c r="Y773" i="2"/>
  <c r="X773" i="2"/>
  <c r="W773" i="2"/>
  <c r="V773" i="2"/>
  <c r="U773" i="2"/>
  <c r="T773" i="2"/>
  <c r="S773" i="2"/>
  <c r="R773" i="2"/>
  <c r="Q773" i="2"/>
  <c r="P773" i="2"/>
  <c r="O773" i="2"/>
  <c r="N773" i="2"/>
  <c r="M773" i="2"/>
  <c r="L773" i="2"/>
  <c r="K773" i="2"/>
  <c r="J773" i="2"/>
  <c r="I773" i="2"/>
  <c r="H773" i="2"/>
  <c r="G773" i="2"/>
  <c r="F773" i="2"/>
  <c r="E773" i="2"/>
  <c r="D773" i="2"/>
  <c r="C773" i="2"/>
  <c r="B773" i="2"/>
  <c r="A773" i="2"/>
  <c r="AE772" i="2"/>
  <c r="AD772" i="2"/>
  <c r="AC772" i="2"/>
  <c r="AB772" i="2"/>
  <c r="AA772" i="2"/>
  <c r="Z772" i="2"/>
  <c r="Y772" i="2"/>
  <c r="X772" i="2"/>
  <c r="W772" i="2"/>
  <c r="V772" i="2"/>
  <c r="U772" i="2"/>
  <c r="T772" i="2"/>
  <c r="S772" i="2"/>
  <c r="R772" i="2"/>
  <c r="Q772" i="2"/>
  <c r="P772" i="2"/>
  <c r="O772" i="2"/>
  <c r="N772" i="2"/>
  <c r="M772" i="2"/>
  <c r="L772" i="2"/>
  <c r="K772" i="2"/>
  <c r="J772" i="2"/>
  <c r="I772" i="2"/>
  <c r="H772" i="2"/>
  <c r="G772" i="2"/>
  <c r="F772" i="2"/>
  <c r="E772" i="2"/>
  <c r="D772" i="2"/>
  <c r="C772" i="2"/>
  <c r="B772" i="2"/>
  <c r="A772" i="2"/>
  <c r="AE771" i="2"/>
  <c r="AD771" i="2"/>
  <c r="AC771" i="2"/>
  <c r="AB771" i="2"/>
  <c r="AA771" i="2"/>
  <c r="Z771" i="2"/>
  <c r="Y771" i="2"/>
  <c r="X771" i="2"/>
  <c r="W771" i="2"/>
  <c r="V771" i="2"/>
  <c r="U771" i="2"/>
  <c r="T771" i="2"/>
  <c r="S771" i="2"/>
  <c r="R771" i="2"/>
  <c r="Q771" i="2"/>
  <c r="P771" i="2"/>
  <c r="O771" i="2"/>
  <c r="N771" i="2"/>
  <c r="M771" i="2"/>
  <c r="L771" i="2"/>
  <c r="K771" i="2"/>
  <c r="J771" i="2"/>
  <c r="I771" i="2"/>
  <c r="H771" i="2"/>
  <c r="G771" i="2"/>
  <c r="F771" i="2"/>
  <c r="E771" i="2"/>
  <c r="D771" i="2"/>
  <c r="C771" i="2"/>
  <c r="B771" i="2"/>
  <c r="A771" i="2"/>
  <c r="AE770" i="2"/>
  <c r="AD770" i="2"/>
  <c r="AC770" i="2"/>
  <c r="AB770" i="2"/>
  <c r="AA770" i="2"/>
  <c r="Z770" i="2"/>
  <c r="Y770" i="2"/>
  <c r="X770" i="2"/>
  <c r="W770" i="2"/>
  <c r="V770" i="2"/>
  <c r="U770" i="2"/>
  <c r="T770" i="2"/>
  <c r="S770" i="2"/>
  <c r="R770" i="2"/>
  <c r="Q770" i="2"/>
  <c r="P770" i="2"/>
  <c r="O770" i="2"/>
  <c r="N770" i="2"/>
  <c r="M770" i="2"/>
  <c r="L770" i="2"/>
  <c r="K770" i="2"/>
  <c r="J770" i="2"/>
  <c r="I770" i="2"/>
  <c r="H770" i="2"/>
  <c r="G770" i="2"/>
  <c r="F770" i="2"/>
  <c r="E770" i="2"/>
  <c r="D770" i="2"/>
  <c r="C770" i="2"/>
  <c r="B770" i="2"/>
  <c r="A770" i="2"/>
  <c r="AE769" i="2"/>
  <c r="AD769" i="2"/>
  <c r="AC769" i="2"/>
  <c r="AB769" i="2"/>
  <c r="AA769" i="2"/>
  <c r="Z769" i="2"/>
  <c r="Y769" i="2"/>
  <c r="X769" i="2"/>
  <c r="W769" i="2"/>
  <c r="V769" i="2"/>
  <c r="U769" i="2"/>
  <c r="T769" i="2"/>
  <c r="S769" i="2"/>
  <c r="R769" i="2"/>
  <c r="Q769" i="2"/>
  <c r="P769" i="2"/>
  <c r="O769" i="2"/>
  <c r="N769" i="2"/>
  <c r="M769" i="2"/>
  <c r="L769" i="2"/>
  <c r="K769" i="2"/>
  <c r="J769" i="2"/>
  <c r="I769" i="2"/>
  <c r="H769" i="2"/>
  <c r="G769" i="2"/>
  <c r="F769" i="2"/>
  <c r="E769" i="2"/>
  <c r="D769" i="2"/>
  <c r="C769" i="2"/>
  <c r="B769" i="2"/>
  <c r="A769" i="2"/>
  <c r="AE768" i="2"/>
  <c r="AD768" i="2"/>
  <c r="AC768" i="2"/>
  <c r="AB768" i="2"/>
  <c r="AA768" i="2"/>
  <c r="Z768" i="2"/>
  <c r="Y768" i="2"/>
  <c r="X768" i="2"/>
  <c r="W768" i="2"/>
  <c r="V768" i="2"/>
  <c r="U768" i="2"/>
  <c r="T768" i="2"/>
  <c r="S768" i="2"/>
  <c r="R768" i="2"/>
  <c r="Q768" i="2"/>
  <c r="P768" i="2"/>
  <c r="O768" i="2"/>
  <c r="N768" i="2"/>
  <c r="M768" i="2"/>
  <c r="L768" i="2"/>
  <c r="K768" i="2"/>
  <c r="J768" i="2"/>
  <c r="I768" i="2"/>
  <c r="H768" i="2"/>
  <c r="G768" i="2"/>
  <c r="F768" i="2"/>
  <c r="E768" i="2"/>
  <c r="D768" i="2"/>
  <c r="C768" i="2"/>
  <c r="B768" i="2"/>
  <c r="A768" i="2"/>
  <c r="AE767" i="2"/>
  <c r="AD767" i="2"/>
  <c r="AC767" i="2"/>
  <c r="AB767" i="2"/>
  <c r="AA767" i="2"/>
  <c r="Z767" i="2"/>
  <c r="Y767" i="2"/>
  <c r="X767" i="2"/>
  <c r="W767" i="2"/>
  <c r="V767" i="2"/>
  <c r="U767" i="2"/>
  <c r="T767" i="2"/>
  <c r="S767" i="2"/>
  <c r="R767" i="2"/>
  <c r="Q767" i="2"/>
  <c r="P767" i="2"/>
  <c r="O767" i="2"/>
  <c r="N767" i="2"/>
  <c r="M767" i="2"/>
  <c r="L767" i="2"/>
  <c r="K767" i="2"/>
  <c r="J767" i="2"/>
  <c r="I767" i="2"/>
  <c r="H767" i="2"/>
  <c r="G767" i="2"/>
  <c r="F767" i="2"/>
  <c r="E767" i="2"/>
  <c r="D767" i="2"/>
  <c r="C767" i="2"/>
  <c r="B767" i="2"/>
  <c r="A767" i="2"/>
  <c r="AE766" i="2"/>
  <c r="AD766" i="2"/>
  <c r="AC766" i="2"/>
  <c r="AB766" i="2"/>
  <c r="AA766" i="2"/>
  <c r="Z766" i="2"/>
  <c r="Y766" i="2"/>
  <c r="X766" i="2"/>
  <c r="W766" i="2"/>
  <c r="V766" i="2"/>
  <c r="U766" i="2"/>
  <c r="T766" i="2"/>
  <c r="S766" i="2"/>
  <c r="R766" i="2"/>
  <c r="Q766" i="2"/>
  <c r="P766" i="2"/>
  <c r="O766" i="2"/>
  <c r="N766" i="2"/>
  <c r="M766" i="2"/>
  <c r="L766" i="2"/>
  <c r="K766" i="2"/>
  <c r="J766" i="2"/>
  <c r="I766" i="2"/>
  <c r="H766" i="2"/>
  <c r="G766" i="2"/>
  <c r="F766" i="2"/>
  <c r="E766" i="2"/>
  <c r="D766" i="2"/>
  <c r="C766" i="2"/>
  <c r="B766" i="2"/>
  <c r="A766" i="2"/>
  <c r="AE765" i="2"/>
  <c r="AD765" i="2"/>
  <c r="AC765" i="2"/>
  <c r="AB765" i="2"/>
  <c r="AA765" i="2"/>
  <c r="Z765" i="2"/>
  <c r="Y765" i="2"/>
  <c r="X765" i="2"/>
  <c r="W765" i="2"/>
  <c r="V765" i="2"/>
  <c r="U765" i="2"/>
  <c r="T765" i="2"/>
  <c r="S765" i="2"/>
  <c r="R765" i="2"/>
  <c r="Q765" i="2"/>
  <c r="P765" i="2"/>
  <c r="O765" i="2"/>
  <c r="N765" i="2"/>
  <c r="M765" i="2"/>
  <c r="L765" i="2"/>
  <c r="K765" i="2"/>
  <c r="J765" i="2"/>
  <c r="I765" i="2"/>
  <c r="H765" i="2"/>
  <c r="G765" i="2"/>
  <c r="F765" i="2"/>
  <c r="E765" i="2"/>
  <c r="D765" i="2"/>
  <c r="C765" i="2"/>
  <c r="B765" i="2"/>
  <c r="A765" i="2"/>
  <c r="AE764" i="2"/>
  <c r="AD764" i="2"/>
  <c r="AC764" i="2"/>
  <c r="AB764" i="2"/>
  <c r="AA764" i="2"/>
  <c r="Z764" i="2"/>
  <c r="Y764" i="2"/>
  <c r="X764" i="2"/>
  <c r="W764" i="2"/>
  <c r="V764" i="2"/>
  <c r="U764" i="2"/>
  <c r="T764" i="2"/>
  <c r="S764" i="2"/>
  <c r="R764" i="2"/>
  <c r="Q764" i="2"/>
  <c r="P764" i="2"/>
  <c r="O764" i="2"/>
  <c r="N764" i="2"/>
  <c r="M764" i="2"/>
  <c r="L764" i="2"/>
  <c r="K764" i="2"/>
  <c r="J764" i="2"/>
  <c r="I764" i="2"/>
  <c r="H764" i="2"/>
  <c r="G764" i="2"/>
  <c r="F764" i="2"/>
  <c r="E764" i="2"/>
  <c r="D764" i="2"/>
  <c r="C764" i="2"/>
  <c r="B764" i="2"/>
  <c r="A764" i="2"/>
  <c r="AE763" i="2"/>
  <c r="AD763" i="2"/>
  <c r="AC763" i="2"/>
  <c r="AB763" i="2"/>
  <c r="AA763" i="2"/>
  <c r="Z763" i="2"/>
  <c r="Y763" i="2"/>
  <c r="X763" i="2"/>
  <c r="W763" i="2"/>
  <c r="V763" i="2"/>
  <c r="U763" i="2"/>
  <c r="T763" i="2"/>
  <c r="S763" i="2"/>
  <c r="R763" i="2"/>
  <c r="Q763" i="2"/>
  <c r="P763" i="2"/>
  <c r="O763" i="2"/>
  <c r="N763" i="2"/>
  <c r="M763" i="2"/>
  <c r="L763" i="2"/>
  <c r="K763" i="2"/>
  <c r="J763" i="2"/>
  <c r="I763" i="2"/>
  <c r="H763" i="2"/>
  <c r="G763" i="2"/>
  <c r="F763" i="2"/>
  <c r="E763" i="2"/>
  <c r="D763" i="2"/>
  <c r="C763" i="2"/>
  <c r="B763" i="2"/>
  <c r="A763" i="2"/>
  <c r="AE762" i="2"/>
  <c r="AD762" i="2"/>
  <c r="AC762" i="2"/>
  <c r="AB762" i="2"/>
  <c r="AA762" i="2"/>
  <c r="Z762" i="2"/>
  <c r="Y762" i="2"/>
  <c r="X762" i="2"/>
  <c r="W762" i="2"/>
  <c r="V762" i="2"/>
  <c r="U762" i="2"/>
  <c r="T762" i="2"/>
  <c r="S762" i="2"/>
  <c r="R762" i="2"/>
  <c r="Q762" i="2"/>
  <c r="P762" i="2"/>
  <c r="O762" i="2"/>
  <c r="N762" i="2"/>
  <c r="M762" i="2"/>
  <c r="L762" i="2"/>
  <c r="K762" i="2"/>
  <c r="J762" i="2"/>
  <c r="I762" i="2"/>
  <c r="H762" i="2"/>
  <c r="G762" i="2"/>
  <c r="F762" i="2"/>
  <c r="E762" i="2"/>
  <c r="D762" i="2"/>
  <c r="C762" i="2"/>
  <c r="B762" i="2"/>
  <c r="A762" i="2"/>
  <c r="AE761" i="2"/>
  <c r="AD761" i="2"/>
  <c r="AC761" i="2"/>
  <c r="AB761" i="2"/>
  <c r="AA761" i="2"/>
  <c r="Z761" i="2"/>
  <c r="Y761" i="2"/>
  <c r="X761" i="2"/>
  <c r="W761" i="2"/>
  <c r="V761" i="2"/>
  <c r="U761" i="2"/>
  <c r="T761" i="2"/>
  <c r="S761" i="2"/>
  <c r="R761" i="2"/>
  <c r="Q761" i="2"/>
  <c r="P761" i="2"/>
  <c r="O761" i="2"/>
  <c r="N761" i="2"/>
  <c r="M761" i="2"/>
  <c r="L761" i="2"/>
  <c r="K761" i="2"/>
  <c r="J761" i="2"/>
  <c r="I761" i="2"/>
  <c r="H761" i="2"/>
  <c r="G761" i="2"/>
  <c r="F761" i="2"/>
  <c r="E761" i="2"/>
  <c r="D761" i="2"/>
  <c r="C761" i="2"/>
  <c r="B761" i="2"/>
  <c r="A761" i="2"/>
  <c r="AE760" i="2"/>
  <c r="AD760" i="2"/>
  <c r="AC760" i="2"/>
  <c r="AB760" i="2"/>
  <c r="AA760" i="2"/>
  <c r="Z760" i="2"/>
  <c r="Y760" i="2"/>
  <c r="X760" i="2"/>
  <c r="W760" i="2"/>
  <c r="V760" i="2"/>
  <c r="U760" i="2"/>
  <c r="T760" i="2"/>
  <c r="S760" i="2"/>
  <c r="R760" i="2"/>
  <c r="Q760" i="2"/>
  <c r="P760" i="2"/>
  <c r="O760" i="2"/>
  <c r="N760" i="2"/>
  <c r="M760" i="2"/>
  <c r="L760" i="2"/>
  <c r="K760" i="2"/>
  <c r="J760" i="2"/>
  <c r="I760" i="2"/>
  <c r="H760" i="2"/>
  <c r="G760" i="2"/>
  <c r="F760" i="2"/>
  <c r="E760" i="2"/>
  <c r="D760" i="2"/>
  <c r="C760" i="2"/>
  <c r="B760" i="2"/>
  <c r="A760" i="2"/>
  <c r="AE759" i="2"/>
  <c r="AD759" i="2"/>
  <c r="AC759" i="2"/>
  <c r="AB759" i="2"/>
  <c r="AA759" i="2"/>
  <c r="Z759" i="2"/>
  <c r="Y759" i="2"/>
  <c r="X759" i="2"/>
  <c r="W759" i="2"/>
  <c r="V759" i="2"/>
  <c r="U759" i="2"/>
  <c r="T759" i="2"/>
  <c r="S759" i="2"/>
  <c r="R759" i="2"/>
  <c r="Q759" i="2"/>
  <c r="P759" i="2"/>
  <c r="O759" i="2"/>
  <c r="N759" i="2"/>
  <c r="M759" i="2"/>
  <c r="L759" i="2"/>
  <c r="K759" i="2"/>
  <c r="J759" i="2"/>
  <c r="I759" i="2"/>
  <c r="H759" i="2"/>
  <c r="G759" i="2"/>
  <c r="F759" i="2"/>
  <c r="E759" i="2"/>
  <c r="D759" i="2"/>
  <c r="C759" i="2"/>
  <c r="B759" i="2"/>
  <c r="A759" i="2"/>
  <c r="AE758" i="2"/>
  <c r="AD758" i="2"/>
  <c r="AC758" i="2"/>
  <c r="AB758" i="2"/>
  <c r="AA758" i="2"/>
  <c r="Z758" i="2"/>
  <c r="Y758" i="2"/>
  <c r="X758" i="2"/>
  <c r="W758" i="2"/>
  <c r="V758" i="2"/>
  <c r="U758" i="2"/>
  <c r="T758" i="2"/>
  <c r="S758" i="2"/>
  <c r="R758" i="2"/>
  <c r="Q758" i="2"/>
  <c r="P758" i="2"/>
  <c r="O758" i="2"/>
  <c r="N758" i="2"/>
  <c r="M758" i="2"/>
  <c r="L758" i="2"/>
  <c r="K758" i="2"/>
  <c r="J758" i="2"/>
  <c r="I758" i="2"/>
  <c r="H758" i="2"/>
  <c r="G758" i="2"/>
  <c r="F758" i="2"/>
  <c r="E758" i="2"/>
  <c r="D758" i="2"/>
  <c r="C758" i="2"/>
  <c r="B758" i="2"/>
  <c r="A758" i="2"/>
  <c r="AE757" i="2"/>
  <c r="AD757" i="2"/>
  <c r="AC757" i="2"/>
  <c r="AB757" i="2"/>
  <c r="AA757" i="2"/>
  <c r="Z757" i="2"/>
  <c r="Y757" i="2"/>
  <c r="X757" i="2"/>
  <c r="W757" i="2"/>
  <c r="V757" i="2"/>
  <c r="U757" i="2"/>
  <c r="T757" i="2"/>
  <c r="S757" i="2"/>
  <c r="R757" i="2"/>
  <c r="Q757" i="2"/>
  <c r="P757" i="2"/>
  <c r="O757" i="2"/>
  <c r="N757" i="2"/>
  <c r="M757" i="2"/>
  <c r="L757" i="2"/>
  <c r="K757" i="2"/>
  <c r="J757" i="2"/>
  <c r="I757" i="2"/>
  <c r="H757" i="2"/>
  <c r="G757" i="2"/>
  <c r="F757" i="2"/>
  <c r="E757" i="2"/>
  <c r="D757" i="2"/>
  <c r="C757" i="2"/>
  <c r="B757" i="2"/>
  <c r="A757" i="2"/>
  <c r="AE756" i="2"/>
  <c r="AD756" i="2"/>
  <c r="AC756" i="2"/>
  <c r="AB756" i="2"/>
  <c r="AA756" i="2"/>
  <c r="Z756" i="2"/>
  <c r="Y756" i="2"/>
  <c r="X756" i="2"/>
  <c r="W756" i="2"/>
  <c r="V756" i="2"/>
  <c r="U756" i="2"/>
  <c r="T756" i="2"/>
  <c r="S756" i="2"/>
  <c r="R756" i="2"/>
  <c r="Q756" i="2"/>
  <c r="P756" i="2"/>
  <c r="O756" i="2"/>
  <c r="N756" i="2"/>
  <c r="M756" i="2"/>
  <c r="L756" i="2"/>
  <c r="K756" i="2"/>
  <c r="J756" i="2"/>
  <c r="I756" i="2"/>
  <c r="H756" i="2"/>
  <c r="G756" i="2"/>
  <c r="F756" i="2"/>
  <c r="E756" i="2"/>
  <c r="D756" i="2"/>
  <c r="C756" i="2"/>
  <c r="B756" i="2"/>
  <c r="A756" i="2"/>
  <c r="AE755" i="2"/>
  <c r="AD755" i="2"/>
  <c r="AC755" i="2"/>
  <c r="AB755" i="2"/>
  <c r="AA755" i="2"/>
  <c r="Z755" i="2"/>
  <c r="Y755" i="2"/>
  <c r="X755" i="2"/>
  <c r="W755" i="2"/>
  <c r="V755" i="2"/>
  <c r="U755" i="2"/>
  <c r="T755" i="2"/>
  <c r="S755" i="2"/>
  <c r="R755" i="2"/>
  <c r="Q755" i="2"/>
  <c r="P755" i="2"/>
  <c r="O755" i="2"/>
  <c r="N755" i="2"/>
  <c r="M755" i="2"/>
  <c r="L755" i="2"/>
  <c r="K755" i="2"/>
  <c r="J755" i="2"/>
  <c r="I755" i="2"/>
  <c r="H755" i="2"/>
  <c r="G755" i="2"/>
  <c r="F755" i="2"/>
  <c r="E755" i="2"/>
  <c r="D755" i="2"/>
  <c r="C755" i="2"/>
  <c r="B755" i="2"/>
  <c r="A755" i="2"/>
  <c r="AE754" i="2"/>
  <c r="AD754" i="2"/>
  <c r="AC754" i="2"/>
  <c r="AB754" i="2"/>
  <c r="AA754" i="2"/>
  <c r="Z754" i="2"/>
  <c r="Y754" i="2"/>
  <c r="X754" i="2"/>
  <c r="W754" i="2"/>
  <c r="V754" i="2"/>
  <c r="U754" i="2"/>
  <c r="T754" i="2"/>
  <c r="S754" i="2"/>
  <c r="R754" i="2"/>
  <c r="Q754" i="2"/>
  <c r="P754" i="2"/>
  <c r="O754" i="2"/>
  <c r="N754" i="2"/>
  <c r="M754" i="2"/>
  <c r="L754" i="2"/>
  <c r="K754" i="2"/>
  <c r="J754" i="2"/>
  <c r="I754" i="2"/>
  <c r="H754" i="2"/>
  <c r="G754" i="2"/>
  <c r="F754" i="2"/>
  <c r="E754" i="2"/>
  <c r="D754" i="2"/>
  <c r="C754" i="2"/>
  <c r="B754" i="2"/>
  <c r="A754" i="2"/>
  <c r="AE753" i="2"/>
  <c r="AD753" i="2"/>
  <c r="AC753" i="2"/>
  <c r="AB753" i="2"/>
  <c r="AA753" i="2"/>
  <c r="Z753" i="2"/>
  <c r="Y753" i="2"/>
  <c r="X753" i="2"/>
  <c r="W753" i="2"/>
  <c r="V753" i="2"/>
  <c r="U753" i="2"/>
  <c r="T753" i="2"/>
  <c r="S753" i="2"/>
  <c r="R753" i="2"/>
  <c r="Q753" i="2"/>
  <c r="P753" i="2"/>
  <c r="O753" i="2"/>
  <c r="N753" i="2"/>
  <c r="M753" i="2"/>
  <c r="L753" i="2"/>
  <c r="K753" i="2"/>
  <c r="J753" i="2"/>
  <c r="I753" i="2"/>
  <c r="H753" i="2"/>
  <c r="G753" i="2"/>
  <c r="F753" i="2"/>
  <c r="E753" i="2"/>
  <c r="D753" i="2"/>
  <c r="C753" i="2"/>
  <c r="B753" i="2"/>
  <c r="A753" i="2"/>
  <c r="AE752" i="2"/>
  <c r="AD752" i="2"/>
  <c r="AC752" i="2"/>
  <c r="AB752" i="2"/>
  <c r="AA752" i="2"/>
  <c r="Z752" i="2"/>
  <c r="Y752" i="2"/>
  <c r="X752" i="2"/>
  <c r="W752" i="2"/>
  <c r="V752" i="2"/>
  <c r="U752" i="2"/>
  <c r="T752" i="2"/>
  <c r="S752" i="2"/>
  <c r="R752" i="2"/>
  <c r="Q752" i="2"/>
  <c r="P752" i="2"/>
  <c r="O752" i="2"/>
  <c r="N752" i="2"/>
  <c r="M752" i="2"/>
  <c r="L752" i="2"/>
  <c r="K752" i="2"/>
  <c r="J752" i="2"/>
  <c r="I752" i="2"/>
  <c r="H752" i="2"/>
  <c r="G752" i="2"/>
  <c r="F752" i="2"/>
  <c r="E752" i="2"/>
  <c r="D752" i="2"/>
  <c r="C752" i="2"/>
  <c r="B752" i="2"/>
  <c r="A752" i="2"/>
  <c r="AE751" i="2"/>
  <c r="AD751" i="2"/>
  <c r="AC751" i="2"/>
  <c r="AB751" i="2"/>
  <c r="AA751" i="2"/>
  <c r="Z751" i="2"/>
  <c r="Y751" i="2"/>
  <c r="X751" i="2"/>
  <c r="W751" i="2"/>
  <c r="V751" i="2"/>
  <c r="U751" i="2"/>
  <c r="T751" i="2"/>
  <c r="S751" i="2"/>
  <c r="R751" i="2"/>
  <c r="Q751" i="2"/>
  <c r="P751" i="2"/>
  <c r="O751" i="2"/>
  <c r="N751" i="2"/>
  <c r="M751" i="2"/>
  <c r="L751" i="2"/>
  <c r="K751" i="2"/>
  <c r="J751" i="2"/>
  <c r="I751" i="2"/>
  <c r="H751" i="2"/>
  <c r="G751" i="2"/>
  <c r="F751" i="2"/>
  <c r="E751" i="2"/>
  <c r="D751" i="2"/>
  <c r="C751" i="2"/>
  <c r="B751" i="2"/>
  <c r="A751" i="2"/>
  <c r="AE750" i="2"/>
  <c r="AD750" i="2"/>
  <c r="AC750" i="2"/>
  <c r="AB750" i="2"/>
  <c r="AA750" i="2"/>
  <c r="Z750" i="2"/>
  <c r="Y750" i="2"/>
  <c r="X750" i="2"/>
  <c r="W750" i="2"/>
  <c r="V750" i="2"/>
  <c r="U750" i="2"/>
  <c r="T750" i="2"/>
  <c r="S750" i="2"/>
  <c r="R750" i="2"/>
  <c r="Q750" i="2"/>
  <c r="P750" i="2"/>
  <c r="O750" i="2"/>
  <c r="N750" i="2"/>
  <c r="M750" i="2"/>
  <c r="L750" i="2"/>
  <c r="K750" i="2"/>
  <c r="J750" i="2"/>
  <c r="I750" i="2"/>
  <c r="H750" i="2"/>
  <c r="G750" i="2"/>
  <c r="F750" i="2"/>
  <c r="E750" i="2"/>
  <c r="D750" i="2"/>
  <c r="C750" i="2"/>
  <c r="B750" i="2"/>
  <c r="A750" i="2"/>
  <c r="AE749" i="2"/>
  <c r="AD749" i="2"/>
  <c r="AC749" i="2"/>
  <c r="AB749" i="2"/>
  <c r="AA749" i="2"/>
  <c r="Z749" i="2"/>
  <c r="Y749" i="2"/>
  <c r="X749" i="2"/>
  <c r="W749" i="2"/>
  <c r="V749" i="2"/>
  <c r="U749" i="2"/>
  <c r="T749" i="2"/>
  <c r="S749" i="2"/>
  <c r="R749" i="2"/>
  <c r="Q749" i="2"/>
  <c r="P749" i="2"/>
  <c r="O749" i="2"/>
  <c r="N749" i="2"/>
  <c r="M749" i="2"/>
  <c r="L749" i="2"/>
  <c r="K749" i="2"/>
  <c r="J749" i="2"/>
  <c r="I749" i="2"/>
  <c r="H749" i="2"/>
  <c r="G749" i="2"/>
  <c r="F749" i="2"/>
  <c r="E749" i="2"/>
  <c r="D749" i="2"/>
  <c r="C749" i="2"/>
  <c r="B749" i="2"/>
  <c r="A749" i="2"/>
  <c r="AE748" i="2"/>
  <c r="AD748" i="2"/>
  <c r="AC748" i="2"/>
  <c r="AB748" i="2"/>
  <c r="AA748" i="2"/>
  <c r="Z748" i="2"/>
  <c r="Y748" i="2"/>
  <c r="X748" i="2"/>
  <c r="W748" i="2"/>
  <c r="V748" i="2"/>
  <c r="U748" i="2"/>
  <c r="T748" i="2"/>
  <c r="S748" i="2"/>
  <c r="R748" i="2"/>
  <c r="Q748" i="2"/>
  <c r="P748" i="2"/>
  <c r="O748" i="2"/>
  <c r="N748" i="2"/>
  <c r="M748" i="2"/>
  <c r="L748" i="2"/>
  <c r="K748" i="2"/>
  <c r="J748" i="2"/>
  <c r="I748" i="2"/>
  <c r="H748" i="2"/>
  <c r="G748" i="2"/>
  <c r="F748" i="2"/>
  <c r="E748" i="2"/>
  <c r="D748" i="2"/>
  <c r="C748" i="2"/>
  <c r="B748" i="2"/>
  <c r="A748" i="2"/>
  <c r="AE747" i="2"/>
  <c r="AD747" i="2"/>
  <c r="AC747" i="2"/>
  <c r="AB747" i="2"/>
  <c r="AA747" i="2"/>
  <c r="Z747" i="2"/>
  <c r="Y747" i="2"/>
  <c r="X747" i="2"/>
  <c r="W747" i="2"/>
  <c r="V747" i="2"/>
  <c r="U747" i="2"/>
  <c r="T747" i="2"/>
  <c r="S747" i="2"/>
  <c r="R747" i="2"/>
  <c r="Q747" i="2"/>
  <c r="P747" i="2"/>
  <c r="O747" i="2"/>
  <c r="N747" i="2"/>
  <c r="M747" i="2"/>
  <c r="L747" i="2"/>
  <c r="K747" i="2"/>
  <c r="J747" i="2"/>
  <c r="I747" i="2"/>
  <c r="H747" i="2"/>
  <c r="G747" i="2"/>
  <c r="F747" i="2"/>
  <c r="E747" i="2"/>
  <c r="D747" i="2"/>
  <c r="C747" i="2"/>
  <c r="B747" i="2"/>
  <c r="A747" i="2"/>
  <c r="AE746" i="2"/>
  <c r="AD746" i="2"/>
  <c r="AC746" i="2"/>
  <c r="AB746" i="2"/>
  <c r="AA746" i="2"/>
  <c r="Z746" i="2"/>
  <c r="Y746" i="2"/>
  <c r="X746" i="2"/>
  <c r="W746" i="2"/>
  <c r="V746" i="2"/>
  <c r="U746" i="2"/>
  <c r="T746" i="2"/>
  <c r="S746" i="2"/>
  <c r="R746" i="2"/>
  <c r="Q746" i="2"/>
  <c r="P746" i="2"/>
  <c r="O746" i="2"/>
  <c r="N746" i="2"/>
  <c r="M746" i="2"/>
  <c r="L746" i="2"/>
  <c r="K746" i="2"/>
  <c r="J746" i="2"/>
  <c r="I746" i="2"/>
  <c r="H746" i="2"/>
  <c r="G746" i="2"/>
  <c r="F746" i="2"/>
  <c r="E746" i="2"/>
  <c r="D746" i="2"/>
  <c r="C746" i="2"/>
  <c r="B746" i="2"/>
  <c r="A746" i="2"/>
  <c r="AE745" i="2"/>
  <c r="AD745" i="2"/>
  <c r="AC745" i="2"/>
  <c r="AB745" i="2"/>
  <c r="AA745" i="2"/>
  <c r="Z745" i="2"/>
  <c r="Y745" i="2"/>
  <c r="X745" i="2"/>
  <c r="W745" i="2"/>
  <c r="V745" i="2"/>
  <c r="U745" i="2"/>
  <c r="T745" i="2"/>
  <c r="S745" i="2"/>
  <c r="R745" i="2"/>
  <c r="Q745" i="2"/>
  <c r="P745" i="2"/>
  <c r="O745" i="2"/>
  <c r="N745" i="2"/>
  <c r="M745" i="2"/>
  <c r="L745" i="2"/>
  <c r="K745" i="2"/>
  <c r="J745" i="2"/>
  <c r="I745" i="2"/>
  <c r="H745" i="2"/>
  <c r="G745" i="2"/>
  <c r="F745" i="2"/>
  <c r="E745" i="2"/>
  <c r="D745" i="2"/>
  <c r="C745" i="2"/>
  <c r="B745" i="2"/>
  <c r="A745" i="2"/>
  <c r="AE744" i="2"/>
  <c r="AD744" i="2"/>
  <c r="AC744" i="2"/>
  <c r="AB744" i="2"/>
  <c r="AA744" i="2"/>
  <c r="Z744" i="2"/>
  <c r="Y744" i="2"/>
  <c r="X744" i="2"/>
  <c r="W744" i="2"/>
  <c r="V744" i="2"/>
  <c r="U744" i="2"/>
  <c r="T744" i="2"/>
  <c r="S744" i="2"/>
  <c r="R744" i="2"/>
  <c r="Q744" i="2"/>
  <c r="P744" i="2"/>
  <c r="O744" i="2"/>
  <c r="N744" i="2"/>
  <c r="M744" i="2"/>
  <c r="L744" i="2"/>
  <c r="K744" i="2"/>
  <c r="J744" i="2"/>
  <c r="I744" i="2"/>
  <c r="H744" i="2"/>
  <c r="G744" i="2"/>
  <c r="F744" i="2"/>
  <c r="E744" i="2"/>
  <c r="D744" i="2"/>
  <c r="C744" i="2"/>
  <c r="B744" i="2"/>
  <c r="A744" i="2"/>
  <c r="AE743" i="2"/>
  <c r="AD743" i="2"/>
  <c r="AC743" i="2"/>
  <c r="AB743" i="2"/>
  <c r="AA743" i="2"/>
  <c r="Z743" i="2"/>
  <c r="Y743" i="2"/>
  <c r="X743" i="2"/>
  <c r="W743" i="2"/>
  <c r="V743" i="2"/>
  <c r="U743" i="2"/>
  <c r="T743" i="2"/>
  <c r="S743" i="2"/>
  <c r="R743" i="2"/>
  <c r="Q743" i="2"/>
  <c r="P743" i="2"/>
  <c r="O743" i="2"/>
  <c r="N743" i="2"/>
  <c r="M743" i="2"/>
  <c r="L743" i="2"/>
  <c r="K743" i="2"/>
  <c r="J743" i="2"/>
  <c r="I743" i="2"/>
  <c r="H743" i="2"/>
  <c r="G743" i="2"/>
  <c r="F743" i="2"/>
  <c r="E743" i="2"/>
  <c r="D743" i="2"/>
  <c r="C743" i="2"/>
  <c r="B743" i="2"/>
  <c r="A743" i="2"/>
  <c r="AE742" i="2"/>
  <c r="AD742" i="2"/>
  <c r="AC742" i="2"/>
  <c r="AB742" i="2"/>
  <c r="AA742" i="2"/>
  <c r="Z742" i="2"/>
  <c r="Y742" i="2"/>
  <c r="X742" i="2"/>
  <c r="W742" i="2"/>
  <c r="V742" i="2"/>
  <c r="U742" i="2"/>
  <c r="T742" i="2"/>
  <c r="S742" i="2"/>
  <c r="R742" i="2"/>
  <c r="Q742" i="2"/>
  <c r="P742" i="2"/>
  <c r="O742" i="2"/>
  <c r="N742" i="2"/>
  <c r="M742" i="2"/>
  <c r="L742" i="2"/>
  <c r="K742" i="2"/>
  <c r="J742" i="2"/>
  <c r="I742" i="2"/>
  <c r="H742" i="2"/>
  <c r="G742" i="2"/>
  <c r="F742" i="2"/>
  <c r="E742" i="2"/>
  <c r="D742" i="2"/>
  <c r="C742" i="2"/>
  <c r="B742" i="2"/>
  <c r="A742" i="2"/>
  <c r="AE741" i="2"/>
  <c r="AD741" i="2"/>
  <c r="AC741" i="2"/>
  <c r="AB741" i="2"/>
  <c r="AA741" i="2"/>
  <c r="Z741" i="2"/>
  <c r="Y741" i="2"/>
  <c r="X741" i="2"/>
  <c r="W741" i="2"/>
  <c r="V741" i="2"/>
  <c r="U741" i="2"/>
  <c r="T741" i="2"/>
  <c r="S741" i="2"/>
  <c r="R741" i="2"/>
  <c r="Q741" i="2"/>
  <c r="P741" i="2"/>
  <c r="O741" i="2"/>
  <c r="N741" i="2"/>
  <c r="M741" i="2"/>
  <c r="L741" i="2"/>
  <c r="K741" i="2"/>
  <c r="J741" i="2"/>
  <c r="I741" i="2"/>
  <c r="H741" i="2"/>
  <c r="G741" i="2"/>
  <c r="F741" i="2"/>
  <c r="E741" i="2"/>
  <c r="D741" i="2"/>
  <c r="C741" i="2"/>
  <c r="B741" i="2"/>
  <c r="A741" i="2"/>
  <c r="AE740" i="2"/>
  <c r="AD740" i="2"/>
  <c r="AC740" i="2"/>
  <c r="AB740" i="2"/>
  <c r="AA740" i="2"/>
  <c r="Z740" i="2"/>
  <c r="Y740" i="2"/>
  <c r="X740" i="2"/>
  <c r="W740" i="2"/>
  <c r="V740" i="2"/>
  <c r="U740" i="2"/>
  <c r="T740" i="2"/>
  <c r="S740" i="2"/>
  <c r="R740" i="2"/>
  <c r="Q740" i="2"/>
  <c r="P740" i="2"/>
  <c r="O740" i="2"/>
  <c r="N740" i="2"/>
  <c r="M740" i="2"/>
  <c r="L740" i="2"/>
  <c r="K740" i="2"/>
  <c r="J740" i="2"/>
  <c r="I740" i="2"/>
  <c r="H740" i="2"/>
  <c r="G740" i="2"/>
  <c r="F740" i="2"/>
  <c r="E740" i="2"/>
  <c r="D740" i="2"/>
  <c r="C740" i="2"/>
  <c r="B740" i="2"/>
  <c r="A740" i="2"/>
  <c r="AE739" i="2"/>
  <c r="AD739" i="2"/>
  <c r="AC739" i="2"/>
  <c r="AB739" i="2"/>
  <c r="AA739" i="2"/>
  <c r="Z739" i="2"/>
  <c r="Y739" i="2"/>
  <c r="X739" i="2"/>
  <c r="W739" i="2"/>
  <c r="V739" i="2"/>
  <c r="U739" i="2"/>
  <c r="T739" i="2"/>
  <c r="S739" i="2"/>
  <c r="R739" i="2"/>
  <c r="Q739" i="2"/>
  <c r="P739" i="2"/>
  <c r="O739" i="2"/>
  <c r="N739" i="2"/>
  <c r="M739" i="2"/>
  <c r="L739" i="2"/>
  <c r="K739" i="2"/>
  <c r="J739" i="2"/>
  <c r="I739" i="2"/>
  <c r="H739" i="2"/>
  <c r="G739" i="2"/>
  <c r="F739" i="2"/>
  <c r="E739" i="2"/>
  <c r="D739" i="2"/>
  <c r="C739" i="2"/>
  <c r="B739" i="2"/>
  <c r="A739" i="2"/>
  <c r="AE738" i="2"/>
  <c r="AD738" i="2"/>
  <c r="AC738" i="2"/>
  <c r="AB738" i="2"/>
  <c r="AA738" i="2"/>
  <c r="Z738" i="2"/>
  <c r="Y738" i="2"/>
  <c r="X738" i="2"/>
  <c r="W738" i="2"/>
  <c r="V738" i="2"/>
  <c r="U738" i="2"/>
  <c r="T738" i="2"/>
  <c r="S738" i="2"/>
  <c r="R738" i="2"/>
  <c r="Q738" i="2"/>
  <c r="P738" i="2"/>
  <c r="O738" i="2"/>
  <c r="N738" i="2"/>
  <c r="M738" i="2"/>
  <c r="L738" i="2"/>
  <c r="K738" i="2"/>
  <c r="J738" i="2"/>
  <c r="I738" i="2"/>
  <c r="H738" i="2"/>
  <c r="G738" i="2"/>
  <c r="F738" i="2"/>
  <c r="E738" i="2"/>
  <c r="D738" i="2"/>
  <c r="C738" i="2"/>
  <c r="B738" i="2"/>
  <c r="A738" i="2"/>
  <c r="AE737" i="2"/>
  <c r="AD737" i="2"/>
  <c r="AC737" i="2"/>
  <c r="AB737" i="2"/>
  <c r="AA737" i="2"/>
  <c r="Z737" i="2"/>
  <c r="Y737" i="2"/>
  <c r="X737" i="2"/>
  <c r="W737" i="2"/>
  <c r="V737" i="2"/>
  <c r="U737" i="2"/>
  <c r="T737" i="2"/>
  <c r="S737" i="2"/>
  <c r="R737" i="2"/>
  <c r="Q737" i="2"/>
  <c r="P737" i="2"/>
  <c r="O737" i="2"/>
  <c r="N737" i="2"/>
  <c r="M737" i="2"/>
  <c r="L737" i="2"/>
  <c r="K737" i="2"/>
  <c r="J737" i="2"/>
  <c r="I737" i="2"/>
  <c r="H737" i="2"/>
  <c r="G737" i="2"/>
  <c r="F737" i="2"/>
  <c r="E737" i="2"/>
  <c r="D737" i="2"/>
  <c r="C737" i="2"/>
  <c r="B737" i="2"/>
  <c r="A737" i="2"/>
  <c r="AE736" i="2"/>
  <c r="AD736" i="2"/>
  <c r="AC736" i="2"/>
  <c r="AB736" i="2"/>
  <c r="AA736" i="2"/>
  <c r="Z736" i="2"/>
  <c r="Y736" i="2"/>
  <c r="X736" i="2"/>
  <c r="W736" i="2"/>
  <c r="V736" i="2"/>
  <c r="U736" i="2"/>
  <c r="T736" i="2"/>
  <c r="S736" i="2"/>
  <c r="R736" i="2"/>
  <c r="Q736" i="2"/>
  <c r="P736" i="2"/>
  <c r="O736" i="2"/>
  <c r="N736" i="2"/>
  <c r="M736" i="2"/>
  <c r="L736" i="2"/>
  <c r="K736" i="2"/>
  <c r="J736" i="2"/>
  <c r="I736" i="2"/>
  <c r="H736" i="2"/>
  <c r="G736" i="2"/>
  <c r="F736" i="2"/>
  <c r="E736" i="2"/>
  <c r="D736" i="2"/>
  <c r="C736" i="2"/>
  <c r="B736" i="2"/>
  <c r="A736" i="2"/>
  <c r="AE735" i="2"/>
  <c r="AD735" i="2"/>
  <c r="AC735" i="2"/>
  <c r="AB735" i="2"/>
  <c r="AA735" i="2"/>
  <c r="Z735" i="2"/>
  <c r="Y735" i="2"/>
  <c r="X735" i="2"/>
  <c r="W735" i="2"/>
  <c r="V735" i="2"/>
  <c r="U735" i="2"/>
  <c r="T735" i="2"/>
  <c r="S735" i="2"/>
  <c r="R735" i="2"/>
  <c r="Q735" i="2"/>
  <c r="P735" i="2"/>
  <c r="O735" i="2"/>
  <c r="N735" i="2"/>
  <c r="M735" i="2"/>
  <c r="L735" i="2"/>
  <c r="K735" i="2"/>
  <c r="J735" i="2"/>
  <c r="I735" i="2"/>
  <c r="H735" i="2"/>
  <c r="G735" i="2"/>
  <c r="F735" i="2"/>
  <c r="E735" i="2"/>
  <c r="D735" i="2"/>
  <c r="C735" i="2"/>
  <c r="B735" i="2"/>
  <c r="A735" i="2"/>
  <c r="AE734" i="2"/>
  <c r="AD734" i="2"/>
  <c r="AC734" i="2"/>
  <c r="AB734" i="2"/>
  <c r="AA734" i="2"/>
  <c r="Z734" i="2"/>
  <c r="Y734" i="2"/>
  <c r="X734" i="2"/>
  <c r="W734" i="2"/>
  <c r="V734" i="2"/>
  <c r="U734" i="2"/>
  <c r="T734" i="2"/>
  <c r="S734" i="2"/>
  <c r="R734" i="2"/>
  <c r="Q734" i="2"/>
  <c r="P734" i="2"/>
  <c r="O734" i="2"/>
  <c r="N734" i="2"/>
  <c r="M734" i="2"/>
  <c r="L734" i="2"/>
  <c r="K734" i="2"/>
  <c r="J734" i="2"/>
  <c r="I734" i="2"/>
  <c r="H734" i="2"/>
  <c r="G734" i="2"/>
  <c r="F734" i="2"/>
  <c r="E734" i="2"/>
  <c r="D734" i="2"/>
  <c r="C734" i="2"/>
  <c r="B734" i="2"/>
  <c r="A734" i="2"/>
  <c r="AE733" i="2"/>
  <c r="AD733" i="2"/>
  <c r="AC733" i="2"/>
  <c r="AB733" i="2"/>
  <c r="AA733" i="2"/>
  <c r="Z733" i="2"/>
  <c r="Y733" i="2"/>
  <c r="X733" i="2"/>
  <c r="W733" i="2"/>
  <c r="V733" i="2"/>
  <c r="U733" i="2"/>
  <c r="T733" i="2"/>
  <c r="S733" i="2"/>
  <c r="R733" i="2"/>
  <c r="Q733" i="2"/>
  <c r="P733" i="2"/>
  <c r="O733" i="2"/>
  <c r="N733" i="2"/>
  <c r="M733" i="2"/>
  <c r="L733" i="2"/>
  <c r="K733" i="2"/>
  <c r="J733" i="2"/>
  <c r="I733" i="2"/>
  <c r="H733" i="2"/>
  <c r="G733" i="2"/>
  <c r="F733" i="2"/>
  <c r="E733" i="2"/>
  <c r="D733" i="2"/>
  <c r="C733" i="2"/>
  <c r="B733" i="2"/>
  <c r="A733" i="2"/>
  <c r="AE732" i="2"/>
  <c r="AD732" i="2"/>
  <c r="AC732" i="2"/>
  <c r="AB732" i="2"/>
  <c r="AA732" i="2"/>
  <c r="Z732" i="2"/>
  <c r="Y732" i="2"/>
  <c r="X732" i="2"/>
  <c r="W732" i="2"/>
  <c r="V732" i="2"/>
  <c r="U732" i="2"/>
  <c r="T732" i="2"/>
  <c r="S732" i="2"/>
  <c r="R732" i="2"/>
  <c r="Q732" i="2"/>
  <c r="P732" i="2"/>
  <c r="O732" i="2"/>
  <c r="N732" i="2"/>
  <c r="M732" i="2"/>
  <c r="L732" i="2"/>
  <c r="K732" i="2"/>
  <c r="J732" i="2"/>
  <c r="I732" i="2"/>
  <c r="H732" i="2"/>
  <c r="G732" i="2"/>
  <c r="F732" i="2"/>
  <c r="E732" i="2"/>
  <c r="D732" i="2"/>
  <c r="C732" i="2"/>
  <c r="B732" i="2"/>
  <c r="A732" i="2"/>
  <c r="AE731" i="2"/>
  <c r="AD731" i="2"/>
  <c r="AC731" i="2"/>
  <c r="AB731" i="2"/>
  <c r="AA731" i="2"/>
  <c r="Z731" i="2"/>
  <c r="Y731" i="2"/>
  <c r="X731" i="2"/>
  <c r="W731" i="2"/>
  <c r="V731" i="2"/>
  <c r="U731" i="2"/>
  <c r="T731" i="2"/>
  <c r="S731" i="2"/>
  <c r="R731" i="2"/>
  <c r="Q731" i="2"/>
  <c r="P731" i="2"/>
  <c r="O731" i="2"/>
  <c r="N731" i="2"/>
  <c r="M731" i="2"/>
  <c r="L731" i="2"/>
  <c r="K731" i="2"/>
  <c r="J731" i="2"/>
  <c r="I731" i="2"/>
  <c r="H731" i="2"/>
  <c r="G731" i="2"/>
  <c r="F731" i="2"/>
  <c r="E731" i="2"/>
  <c r="D731" i="2"/>
  <c r="C731" i="2"/>
  <c r="B731" i="2"/>
  <c r="A731" i="2"/>
  <c r="AE730" i="2"/>
  <c r="AD730" i="2"/>
  <c r="AC730" i="2"/>
  <c r="AB730" i="2"/>
  <c r="AA730" i="2"/>
  <c r="Z730" i="2"/>
  <c r="Y730" i="2"/>
  <c r="X730" i="2"/>
  <c r="W730" i="2"/>
  <c r="V730" i="2"/>
  <c r="U730" i="2"/>
  <c r="T730" i="2"/>
  <c r="S730" i="2"/>
  <c r="R730" i="2"/>
  <c r="Q730" i="2"/>
  <c r="P730" i="2"/>
  <c r="O730" i="2"/>
  <c r="N730" i="2"/>
  <c r="M730" i="2"/>
  <c r="L730" i="2"/>
  <c r="K730" i="2"/>
  <c r="J730" i="2"/>
  <c r="I730" i="2"/>
  <c r="H730" i="2"/>
  <c r="G730" i="2"/>
  <c r="F730" i="2"/>
  <c r="E730" i="2"/>
  <c r="D730" i="2"/>
  <c r="C730" i="2"/>
  <c r="B730" i="2"/>
  <c r="A730" i="2"/>
  <c r="AE729" i="2"/>
  <c r="AD729" i="2"/>
  <c r="AC729" i="2"/>
  <c r="AB729" i="2"/>
  <c r="AA729" i="2"/>
  <c r="Z729" i="2"/>
  <c r="Y729" i="2"/>
  <c r="X729" i="2"/>
  <c r="W729" i="2"/>
  <c r="V729" i="2"/>
  <c r="U729" i="2"/>
  <c r="T729" i="2"/>
  <c r="S729" i="2"/>
  <c r="R729" i="2"/>
  <c r="Q729" i="2"/>
  <c r="P729" i="2"/>
  <c r="O729" i="2"/>
  <c r="N729" i="2"/>
  <c r="M729" i="2"/>
  <c r="L729" i="2"/>
  <c r="K729" i="2"/>
  <c r="J729" i="2"/>
  <c r="I729" i="2"/>
  <c r="H729" i="2"/>
  <c r="G729" i="2"/>
  <c r="F729" i="2"/>
  <c r="E729" i="2"/>
  <c r="D729" i="2"/>
  <c r="C729" i="2"/>
  <c r="B729" i="2"/>
  <c r="A729" i="2"/>
  <c r="AE728" i="2"/>
  <c r="AD728" i="2"/>
  <c r="AC728" i="2"/>
  <c r="AB728" i="2"/>
  <c r="AA728" i="2"/>
  <c r="Z728" i="2"/>
  <c r="Y728" i="2"/>
  <c r="X728" i="2"/>
  <c r="W728" i="2"/>
  <c r="V728" i="2"/>
  <c r="U728" i="2"/>
  <c r="T728" i="2"/>
  <c r="S728" i="2"/>
  <c r="R728" i="2"/>
  <c r="Q728" i="2"/>
  <c r="P728" i="2"/>
  <c r="O728" i="2"/>
  <c r="N728" i="2"/>
  <c r="M728" i="2"/>
  <c r="L728" i="2"/>
  <c r="K728" i="2"/>
  <c r="J728" i="2"/>
  <c r="I728" i="2"/>
  <c r="H728" i="2"/>
  <c r="G728" i="2"/>
  <c r="F728" i="2"/>
  <c r="E728" i="2"/>
  <c r="D728" i="2"/>
  <c r="C728" i="2"/>
  <c r="B728" i="2"/>
  <c r="A728" i="2"/>
  <c r="AE727" i="2"/>
  <c r="AD727" i="2"/>
  <c r="AC727" i="2"/>
  <c r="AB727" i="2"/>
  <c r="AA727" i="2"/>
  <c r="Z727" i="2"/>
  <c r="Y727" i="2"/>
  <c r="X727" i="2"/>
  <c r="W727" i="2"/>
  <c r="V727" i="2"/>
  <c r="U727" i="2"/>
  <c r="T727" i="2"/>
  <c r="S727" i="2"/>
  <c r="R727" i="2"/>
  <c r="Q727" i="2"/>
  <c r="P727" i="2"/>
  <c r="O727" i="2"/>
  <c r="N727" i="2"/>
  <c r="M727" i="2"/>
  <c r="L727" i="2"/>
  <c r="K727" i="2"/>
  <c r="J727" i="2"/>
  <c r="I727" i="2"/>
  <c r="H727" i="2"/>
  <c r="G727" i="2"/>
  <c r="F727" i="2"/>
  <c r="E727" i="2"/>
  <c r="D727" i="2"/>
  <c r="C727" i="2"/>
  <c r="B727" i="2"/>
  <c r="A727" i="2"/>
  <c r="AE726" i="2"/>
  <c r="AD726" i="2"/>
  <c r="AC726" i="2"/>
  <c r="AB726" i="2"/>
  <c r="AA726" i="2"/>
  <c r="Z726" i="2"/>
  <c r="Y726" i="2"/>
  <c r="X726" i="2"/>
  <c r="W726" i="2"/>
  <c r="V726" i="2"/>
  <c r="U726" i="2"/>
  <c r="T726" i="2"/>
  <c r="S726" i="2"/>
  <c r="R726" i="2"/>
  <c r="Q726" i="2"/>
  <c r="P726" i="2"/>
  <c r="O726" i="2"/>
  <c r="N726" i="2"/>
  <c r="M726" i="2"/>
  <c r="L726" i="2"/>
  <c r="K726" i="2"/>
  <c r="J726" i="2"/>
  <c r="I726" i="2"/>
  <c r="H726" i="2"/>
  <c r="G726" i="2"/>
  <c r="F726" i="2"/>
  <c r="E726" i="2"/>
  <c r="D726" i="2"/>
  <c r="C726" i="2"/>
  <c r="B726" i="2"/>
  <c r="A726" i="2"/>
  <c r="AE725" i="2"/>
  <c r="AD725" i="2"/>
  <c r="AC725" i="2"/>
  <c r="AB725" i="2"/>
  <c r="AA725" i="2"/>
  <c r="Z725" i="2"/>
  <c r="Y725" i="2"/>
  <c r="X725" i="2"/>
  <c r="W725" i="2"/>
  <c r="V725" i="2"/>
  <c r="U725" i="2"/>
  <c r="T725" i="2"/>
  <c r="S725" i="2"/>
  <c r="R725" i="2"/>
  <c r="Q725" i="2"/>
  <c r="P725" i="2"/>
  <c r="O725" i="2"/>
  <c r="N725" i="2"/>
  <c r="M725" i="2"/>
  <c r="L725" i="2"/>
  <c r="K725" i="2"/>
  <c r="J725" i="2"/>
  <c r="I725" i="2"/>
  <c r="H725" i="2"/>
  <c r="G725" i="2"/>
  <c r="F725" i="2"/>
  <c r="E725" i="2"/>
  <c r="D725" i="2"/>
  <c r="C725" i="2"/>
  <c r="B725" i="2"/>
  <c r="A725" i="2"/>
  <c r="AE724" i="2"/>
  <c r="AD724" i="2"/>
  <c r="AC724" i="2"/>
  <c r="AB724" i="2"/>
  <c r="AA724" i="2"/>
  <c r="Z724" i="2"/>
  <c r="Y724" i="2"/>
  <c r="X724" i="2"/>
  <c r="W724" i="2"/>
  <c r="V724" i="2"/>
  <c r="U724" i="2"/>
  <c r="T724" i="2"/>
  <c r="S724" i="2"/>
  <c r="R724" i="2"/>
  <c r="Q724" i="2"/>
  <c r="P724" i="2"/>
  <c r="O724" i="2"/>
  <c r="N724" i="2"/>
  <c r="M724" i="2"/>
  <c r="L724" i="2"/>
  <c r="K724" i="2"/>
  <c r="J724" i="2"/>
  <c r="I724" i="2"/>
  <c r="H724" i="2"/>
  <c r="G724" i="2"/>
  <c r="F724" i="2"/>
  <c r="E724" i="2"/>
  <c r="D724" i="2"/>
  <c r="C724" i="2"/>
  <c r="B724" i="2"/>
  <c r="A724" i="2"/>
  <c r="AE723" i="2"/>
  <c r="AD723" i="2"/>
  <c r="AC723" i="2"/>
  <c r="AB723" i="2"/>
  <c r="AA723" i="2"/>
  <c r="Z723" i="2"/>
  <c r="Y723" i="2"/>
  <c r="X723" i="2"/>
  <c r="W723" i="2"/>
  <c r="V723" i="2"/>
  <c r="U723" i="2"/>
  <c r="T723" i="2"/>
  <c r="S723" i="2"/>
  <c r="R723" i="2"/>
  <c r="Q723" i="2"/>
  <c r="P723" i="2"/>
  <c r="O723" i="2"/>
  <c r="N723" i="2"/>
  <c r="M723" i="2"/>
  <c r="L723" i="2"/>
  <c r="K723" i="2"/>
  <c r="J723" i="2"/>
  <c r="I723" i="2"/>
  <c r="H723" i="2"/>
  <c r="G723" i="2"/>
  <c r="F723" i="2"/>
  <c r="E723" i="2"/>
  <c r="D723" i="2"/>
  <c r="C723" i="2"/>
  <c r="B723" i="2"/>
  <c r="A723" i="2"/>
  <c r="AE722" i="2"/>
  <c r="AD722" i="2"/>
  <c r="AC722" i="2"/>
  <c r="AB722" i="2"/>
  <c r="AA722" i="2"/>
  <c r="Z722" i="2"/>
  <c r="Y722" i="2"/>
  <c r="X722" i="2"/>
  <c r="W722" i="2"/>
  <c r="V722" i="2"/>
  <c r="U722" i="2"/>
  <c r="T722" i="2"/>
  <c r="S722" i="2"/>
  <c r="R722" i="2"/>
  <c r="Q722" i="2"/>
  <c r="P722" i="2"/>
  <c r="O722" i="2"/>
  <c r="N722" i="2"/>
  <c r="M722" i="2"/>
  <c r="L722" i="2"/>
  <c r="K722" i="2"/>
  <c r="J722" i="2"/>
  <c r="I722" i="2"/>
  <c r="H722" i="2"/>
  <c r="G722" i="2"/>
  <c r="F722" i="2"/>
  <c r="E722" i="2"/>
  <c r="D722" i="2"/>
  <c r="C722" i="2"/>
  <c r="B722" i="2"/>
  <c r="A722" i="2"/>
  <c r="AE721" i="2"/>
  <c r="AD721" i="2"/>
  <c r="AC721" i="2"/>
  <c r="AB721" i="2"/>
  <c r="AA721" i="2"/>
  <c r="Z721" i="2"/>
  <c r="Y721" i="2"/>
  <c r="X721" i="2"/>
  <c r="W721" i="2"/>
  <c r="V721" i="2"/>
  <c r="U721" i="2"/>
  <c r="T721" i="2"/>
  <c r="S721" i="2"/>
  <c r="R721" i="2"/>
  <c r="Q721" i="2"/>
  <c r="P721" i="2"/>
  <c r="O721" i="2"/>
  <c r="N721" i="2"/>
  <c r="M721" i="2"/>
  <c r="L721" i="2"/>
  <c r="K721" i="2"/>
  <c r="J721" i="2"/>
  <c r="I721" i="2"/>
  <c r="H721" i="2"/>
  <c r="G721" i="2"/>
  <c r="F721" i="2"/>
  <c r="E721" i="2"/>
  <c r="D721" i="2"/>
  <c r="C721" i="2"/>
  <c r="B721" i="2"/>
  <c r="A721" i="2"/>
  <c r="AE720" i="2"/>
  <c r="AD720" i="2"/>
  <c r="AC720" i="2"/>
  <c r="AB720" i="2"/>
  <c r="AA720" i="2"/>
  <c r="Z720" i="2"/>
  <c r="Y720" i="2"/>
  <c r="X720" i="2"/>
  <c r="W720" i="2"/>
  <c r="V720" i="2"/>
  <c r="U720" i="2"/>
  <c r="T720" i="2"/>
  <c r="S720" i="2"/>
  <c r="R720" i="2"/>
  <c r="Q720" i="2"/>
  <c r="P720" i="2"/>
  <c r="O720" i="2"/>
  <c r="N720" i="2"/>
  <c r="M720" i="2"/>
  <c r="L720" i="2"/>
  <c r="K720" i="2"/>
  <c r="J720" i="2"/>
  <c r="I720" i="2"/>
  <c r="H720" i="2"/>
  <c r="G720" i="2"/>
  <c r="F720" i="2"/>
  <c r="E720" i="2"/>
  <c r="D720" i="2"/>
  <c r="C720" i="2"/>
  <c r="B720" i="2"/>
  <c r="A720" i="2"/>
  <c r="AE719" i="2"/>
  <c r="AD719" i="2"/>
  <c r="AC719" i="2"/>
  <c r="AB719" i="2"/>
  <c r="AA719" i="2"/>
  <c r="Z719" i="2"/>
  <c r="Y719" i="2"/>
  <c r="X719" i="2"/>
  <c r="W719" i="2"/>
  <c r="V719" i="2"/>
  <c r="U719" i="2"/>
  <c r="T719" i="2"/>
  <c r="S719" i="2"/>
  <c r="R719" i="2"/>
  <c r="Q719" i="2"/>
  <c r="P719" i="2"/>
  <c r="O719" i="2"/>
  <c r="N719" i="2"/>
  <c r="M719" i="2"/>
  <c r="L719" i="2"/>
  <c r="K719" i="2"/>
  <c r="J719" i="2"/>
  <c r="I719" i="2"/>
  <c r="H719" i="2"/>
  <c r="G719" i="2"/>
  <c r="F719" i="2"/>
  <c r="E719" i="2"/>
  <c r="D719" i="2"/>
  <c r="C719" i="2"/>
  <c r="B719" i="2"/>
  <c r="A719" i="2"/>
  <c r="AE718" i="2"/>
  <c r="AD718" i="2"/>
  <c r="AC718" i="2"/>
  <c r="AB718" i="2"/>
  <c r="AA718" i="2"/>
  <c r="Z718" i="2"/>
  <c r="Y718" i="2"/>
  <c r="X718" i="2"/>
  <c r="W718" i="2"/>
  <c r="V718" i="2"/>
  <c r="U718" i="2"/>
  <c r="T718" i="2"/>
  <c r="S718" i="2"/>
  <c r="R718" i="2"/>
  <c r="Q718" i="2"/>
  <c r="P718" i="2"/>
  <c r="O718" i="2"/>
  <c r="N718" i="2"/>
  <c r="M718" i="2"/>
  <c r="L718" i="2"/>
  <c r="K718" i="2"/>
  <c r="J718" i="2"/>
  <c r="I718" i="2"/>
  <c r="H718" i="2"/>
  <c r="G718" i="2"/>
  <c r="F718" i="2"/>
  <c r="E718" i="2"/>
  <c r="D718" i="2"/>
  <c r="C718" i="2"/>
  <c r="B718" i="2"/>
  <c r="A718" i="2"/>
  <c r="AE717" i="2"/>
  <c r="AD717" i="2"/>
  <c r="AC717" i="2"/>
  <c r="AB717" i="2"/>
  <c r="AA717" i="2"/>
  <c r="Z717" i="2"/>
  <c r="Y717" i="2"/>
  <c r="X717" i="2"/>
  <c r="W717" i="2"/>
  <c r="V717" i="2"/>
  <c r="U717" i="2"/>
  <c r="T717" i="2"/>
  <c r="S717" i="2"/>
  <c r="R717" i="2"/>
  <c r="Q717" i="2"/>
  <c r="P717" i="2"/>
  <c r="O717" i="2"/>
  <c r="N717" i="2"/>
  <c r="M717" i="2"/>
  <c r="L717" i="2"/>
  <c r="K717" i="2"/>
  <c r="J717" i="2"/>
  <c r="I717" i="2"/>
  <c r="H717" i="2"/>
  <c r="G717" i="2"/>
  <c r="F717" i="2"/>
  <c r="E717" i="2"/>
  <c r="D717" i="2"/>
  <c r="C717" i="2"/>
  <c r="B717" i="2"/>
  <c r="A717" i="2"/>
  <c r="AE716" i="2"/>
  <c r="AD716" i="2"/>
  <c r="AC716" i="2"/>
  <c r="AB716" i="2"/>
  <c r="AA716" i="2"/>
  <c r="Z716" i="2"/>
  <c r="Y716" i="2"/>
  <c r="X716" i="2"/>
  <c r="W716" i="2"/>
  <c r="V716" i="2"/>
  <c r="U716" i="2"/>
  <c r="T716" i="2"/>
  <c r="S716" i="2"/>
  <c r="R716" i="2"/>
  <c r="Q716" i="2"/>
  <c r="P716" i="2"/>
  <c r="O716" i="2"/>
  <c r="N716" i="2"/>
  <c r="M716" i="2"/>
  <c r="L716" i="2"/>
  <c r="K716" i="2"/>
  <c r="J716" i="2"/>
  <c r="I716" i="2"/>
  <c r="H716" i="2"/>
  <c r="G716" i="2"/>
  <c r="F716" i="2"/>
  <c r="E716" i="2"/>
  <c r="D716" i="2"/>
  <c r="C716" i="2"/>
  <c r="B716" i="2"/>
  <c r="A716" i="2"/>
  <c r="AE715" i="2"/>
  <c r="AD715" i="2"/>
  <c r="AC715" i="2"/>
  <c r="AB715" i="2"/>
  <c r="AA715" i="2"/>
  <c r="Z715" i="2"/>
  <c r="Y715" i="2"/>
  <c r="X715" i="2"/>
  <c r="W715" i="2"/>
  <c r="V715" i="2"/>
  <c r="U715" i="2"/>
  <c r="T715" i="2"/>
  <c r="S715" i="2"/>
  <c r="R715" i="2"/>
  <c r="Q715" i="2"/>
  <c r="P715" i="2"/>
  <c r="O715" i="2"/>
  <c r="N715" i="2"/>
  <c r="M715" i="2"/>
  <c r="L715" i="2"/>
  <c r="K715" i="2"/>
  <c r="J715" i="2"/>
  <c r="I715" i="2"/>
  <c r="H715" i="2"/>
  <c r="G715" i="2"/>
  <c r="F715" i="2"/>
  <c r="E715" i="2"/>
  <c r="D715" i="2"/>
  <c r="C715" i="2"/>
  <c r="B715" i="2"/>
  <c r="A715" i="2"/>
  <c r="AE714" i="2"/>
  <c r="AD714" i="2"/>
  <c r="AC714" i="2"/>
  <c r="AB714" i="2"/>
  <c r="AA714" i="2"/>
  <c r="Z714" i="2"/>
  <c r="Y714" i="2"/>
  <c r="X714" i="2"/>
  <c r="W714" i="2"/>
  <c r="V714" i="2"/>
  <c r="U714" i="2"/>
  <c r="T714" i="2"/>
  <c r="S714" i="2"/>
  <c r="R714" i="2"/>
  <c r="Q714" i="2"/>
  <c r="P714" i="2"/>
  <c r="O714" i="2"/>
  <c r="N714" i="2"/>
  <c r="M714" i="2"/>
  <c r="L714" i="2"/>
  <c r="K714" i="2"/>
  <c r="J714" i="2"/>
  <c r="I714" i="2"/>
  <c r="H714" i="2"/>
  <c r="G714" i="2"/>
  <c r="F714" i="2"/>
  <c r="E714" i="2"/>
  <c r="D714" i="2"/>
  <c r="C714" i="2"/>
  <c r="B714" i="2"/>
  <c r="A714" i="2"/>
  <c r="AE713" i="2"/>
  <c r="AD713" i="2"/>
  <c r="AC713" i="2"/>
  <c r="AB713" i="2"/>
  <c r="AA713" i="2"/>
  <c r="Z713" i="2"/>
  <c r="Y713" i="2"/>
  <c r="X713" i="2"/>
  <c r="W713" i="2"/>
  <c r="V713" i="2"/>
  <c r="U713" i="2"/>
  <c r="T713" i="2"/>
  <c r="S713" i="2"/>
  <c r="R713" i="2"/>
  <c r="Q713" i="2"/>
  <c r="P713" i="2"/>
  <c r="O713" i="2"/>
  <c r="N713" i="2"/>
  <c r="M713" i="2"/>
  <c r="L713" i="2"/>
  <c r="K713" i="2"/>
  <c r="J713" i="2"/>
  <c r="I713" i="2"/>
  <c r="H713" i="2"/>
  <c r="G713" i="2"/>
  <c r="F713" i="2"/>
  <c r="E713" i="2"/>
  <c r="D713" i="2"/>
  <c r="C713" i="2"/>
  <c r="B713" i="2"/>
  <c r="A713" i="2"/>
  <c r="AE712" i="2"/>
  <c r="AD712" i="2"/>
  <c r="AC712" i="2"/>
  <c r="AB712" i="2"/>
  <c r="AA712" i="2"/>
  <c r="Z712" i="2"/>
  <c r="Y712" i="2"/>
  <c r="X712" i="2"/>
  <c r="W712" i="2"/>
  <c r="V712" i="2"/>
  <c r="U712" i="2"/>
  <c r="T712" i="2"/>
  <c r="S712" i="2"/>
  <c r="R712" i="2"/>
  <c r="Q712" i="2"/>
  <c r="P712" i="2"/>
  <c r="O712" i="2"/>
  <c r="N712" i="2"/>
  <c r="M712" i="2"/>
  <c r="L712" i="2"/>
  <c r="K712" i="2"/>
  <c r="J712" i="2"/>
  <c r="I712" i="2"/>
  <c r="H712" i="2"/>
  <c r="G712" i="2"/>
  <c r="F712" i="2"/>
  <c r="E712" i="2"/>
  <c r="D712" i="2"/>
  <c r="C712" i="2"/>
  <c r="B712" i="2"/>
  <c r="A712" i="2"/>
  <c r="AE711" i="2"/>
  <c r="AD711" i="2"/>
  <c r="AC711" i="2"/>
  <c r="AB711" i="2"/>
  <c r="AA711" i="2"/>
  <c r="Z711" i="2"/>
  <c r="Y711" i="2"/>
  <c r="X711" i="2"/>
  <c r="W711" i="2"/>
  <c r="V711" i="2"/>
  <c r="U711" i="2"/>
  <c r="T711" i="2"/>
  <c r="S711" i="2"/>
  <c r="R711" i="2"/>
  <c r="Q711" i="2"/>
  <c r="P711" i="2"/>
  <c r="O711" i="2"/>
  <c r="N711" i="2"/>
  <c r="M711" i="2"/>
  <c r="L711" i="2"/>
  <c r="K711" i="2"/>
  <c r="J711" i="2"/>
  <c r="I711" i="2"/>
  <c r="H711" i="2"/>
  <c r="G711" i="2"/>
  <c r="F711" i="2"/>
  <c r="E711" i="2"/>
  <c r="D711" i="2"/>
  <c r="C711" i="2"/>
  <c r="B711" i="2"/>
  <c r="A711" i="2"/>
  <c r="AE710" i="2"/>
  <c r="AD710" i="2"/>
  <c r="AC710" i="2"/>
  <c r="AB710" i="2"/>
  <c r="AA710" i="2"/>
  <c r="Z710" i="2"/>
  <c r="Y710" i="2"/>
  <c r="X710" i="2"/>
  <c r="W710" i="2"/>
  <c r="V710" i="2"/>
  <c r="U710" i="2"/>
  <c r="T710" i="2"/>
  <c r="S710" i="2"/>
  <c r="R710" i="2"/>
  <c r="Q710" i="2"/>
  <c r="P710" i="2"/>
  <c r="O710" i="2"/>
  <c r="N710" i="2"/>
  <c r="M710" i="2"/>
  <c r="L710" i="2"/>
  <c r="K710" i="2"/>
  <c r="J710" i="2"/>
  <c r="I710" i="2"/>
  <c r="H710" i="2"/>
  <c r="G710" i="2"/>
  <c r="F710" i="2"/>
  <c r="E710" i="2"/>
  <c r="D710" i="2"/>
  <c r="C710" i="2"/>
  <c r="B710" i="2"/>
  <c r="A710" i="2"/>
  <c r="AE709" i="2"/>
  <c r="AD709" i="2"/>
  <c r="AC709" i="2"/>
  <c r="AB709" i="2"/>
  <c r="AA709" i="2"/>
  <c r="Z709" i="2"/>
  <c r="Y709" i="2"/>
  <c r="X709" i="2"/>
  <c r="W709" i="2"/>
  <c r="V709" i="2"/>
  <c r="U709" i="2"/>
  <c r="T709" i="2"/>
  <c r="S709" i="2"/>
  <c r="R709" i="2"/>
  <c r="Q709" i="2"/>
  <c r="P709" i="2"/>
  <c r="O709" i="2"/>
  <c r="N709" i="2"/>
  <c r="M709" i="2"/>
  <c r="L709" i="2"/>
  <c r="K709" i="2"/>
  <c r="J709" i="2"/>
  <c r="I709" i="2"/>
  <c r="H709" i="2"/>
  <c r="G709" i="2"/>
  <c r="F709" i="2"/>
  <c r="E709" i="2"/>
  <c r="D709" i="2"/>
  <c r="C709" i="2"/>
  <c r="B709" i="2"/>
  <c r="A709" i="2"/>
  <c r="AE708" i="2"/>
  <c r="AD708" i="2"/>
  <c r="AC708" i="2"/>
  <c r="AB708" i="2"/>
  <c r="AA708" i="2"/>
  <c r="Z708" i="2"/>
  <c r="Y708" i="2"/>
  <c r="X708" i="2"/>
  <c r="W708" i="2"/>
  <c r="V708" i="2"/>
  <c r="U708" i="2"/>
  <c r="T708" i="2"/>
  <c r="S708" i="2"/>
  <c r="R708" i="2"/>
  <c r="Q708" i="2"/>
  <c r="P708" i="2"/>
  <c r="O708" i="2"/>
  <c r="N708" i="2"/>
  <c r="M708" i="2"/>
  <c r="L708" i="2"/>
  <c r="K708" i="2"/>
  <c r="J708" i="2"/>
  <c r="I708" i="2"/>
  <c r="H708" i="2"/>
  <c r="G708" i="2"/>
  <c r="F708" i="2"/>
  <c r="E708" i="2"/>
  <c r="D708" i="2"/>
  <c r="C708" i="2"/>
  <c r="B708" i="2"/>
  <c r="A708" i="2"/>
  <c r="AE707" i="2"/>
  <c r="AD707" i="2"/>
  <c r="AC707" i="2"/>
  <c r="AB707" i="2"/>
  <c r="AA707" i="2"/>
  <c r="Z707" i="2"/>
  <c r="Y707" i="2"/>
  <c r="X707" i="2"/>
  <c r="W707" i="2"/>
  <c r="V707" i="2"/>
  <c r="U707" i="2"/>
  <c r="T707" i="2"/>
  <c r="S707" i="2"/>
  <c r="R707" i="2"/>
  <c r="Q707" i="2"/>
  <c r="P707" i="2"/>
  <c r="O707" i="2"/>
  <c r="N707" i="2"/>
  <c r="M707" i="2"/>
  <c r="L707" i="2"/>
  <c r="K707" i="2"/>
  <c r="J707" i="2"/>
  <c r="I707" i="2"/>
  <c r="H707" i="2"/>
  <c r="G707" i="2"/>
  <c r="F707" i="2"/>
  <c r="E707" i="2"/>
  <c r="D707" i="2"/>
  <c r="C707" i="2"/>
  <c r="B707" i="2"/>
  <c r="A707" i="2"/>
  <c r="AE706" i="2"/>
  <c r="AD706" i="2"/>
  <c r="AC706" i="2"/>
  <c r="AB706" i="2"/>
  <c r="AA706" i="2"/>
  <c r="Z706" i="2"/>
  <c r="Y706" i="2"/>
  <c r="X706" i="2"/>
  <c r="W706" i="2"/>
  <c r="V706" i="2"/>
  <c r="U706" i="2"/>
  <c r="T706" i="2"/>
  <c r="S706" i="2"/>
  <c r="R706" i="2"/>
  <c r="Q706" i="2"/>
  <c r="P706" i="2"/>
  <c r="O706" i="2"/>
  <c r="N706" i="2"/>
  <c r="M706" i="2"/>
  <c r="L706" i="2"/>
  <c r="K706" i="2"/>
  <c r="J706" i="2"/>
  <c r="I706" i="2"/>
  <c r="H706" i="2"/>
  <c r="G706" i="2"/>
  <c r="F706" i="2"/>
  <c r="E706" i="2"/>
  <c r="D706" i="2"/>
  <c r="C706" i="2"/>
  <c r="B706" i="2"/>
  <c r="A706" i="2"/>
  <c r="AE705" i="2"/>
  <c r="AD705" i="2"/>
  <c r="AC705" i="2"/>
  <c r="AB705" i="2"/>
  <c r="AA705" i="2"/>
  <c r="Z705" i="2"/>
  <c r="Y705" i="2"/>
  <c r="X705" i="2"/>
  <c r="W705" i="2"/>
  <c r="V705" i="2"/>
  <c r="U705" i="2"/>
  <c r="T705" i="2"/>
  <c r="S705" i="2"/>
  <c r="R705" i="2"/>
  <c r="Q705" i="2"/>
  <c r="P705" i="2"/>
  <c r="O705" i="2"/>
  <c r="N705" i="2"/>
  <c r="M705" i="2"/>
  <c r="L705" i="2"/>
  <c r="K705" i="2"/>
  <c r="J705" i="2"/>
  <c r="I705" i="2"/>
  <c r="H705" i="2"/>
  <c r="G705" i="2"/>
  <c r="F705" i="2"/>
  <c r="E705" i="2"/>
  <c r="D705" i="2"/>
  <c r="C705" i="2"/>
  <c r="B705" i="2"/>
  <c r="A705" i="2"/>
  <c r="AE704" i="2"/>
  <c r="AD704" i="2"/>
  <c r="AC704" i="2"/>
  <c r="AB704" i="2"/>
  <c r="AA704" i="2"/>
  <c r="Z704" i="2"/>
  <c r="Y704" i="2"/>
  <c r="X704" i="2"/>
  <c r="W704" i="2"/>
  <c r="V704" i="2"/>
  <c r="U704" i="2"/>
  <c r="T704" i="2"/>
  <c r="S704" i="2"/>
  <c r="R704" i="2"/>
  <c r="Q704" i="2"/>
  <c r="P704" i="2"/>
  <c r="O704" i="2"/>
  <c r="N704" i="2"/>
  <c r="M704" i="2"/>
  <c r="L704" i="2"/>
  <c r="K704" i="2"/>
  <c r="J704" i="2"/>
  <c r="I704" i="2"/>
  <c r="H704" i="2"/>
  <c r="G704" i="2"/>
  <c r="F704" i="2"/>
  <c r="E704" i="2"/>
  <c r="D704" i="2"/>
  <c r="C704" i="2"/>
  <c r="B704" i="2"/>
  <c r="A704" i="2"/>
  <c r="AE703" i="2"/>
  <c r="AD703" i="2"/>
  <c r="AC703" i="2"/>
  <c r="AB703" i="2"/>
  <c r="AA703" i="2"/>
  <c r="Z703" i="2"/>
  <c r="Y703" i="2"/>
  <c r="X703" i="2"/>
  <c r="W703" i="2"/>
  <c r="V703" i="2"/>
  <c r="U703" i="2"/>
  <c r="T703" i="2"/>
  <c r="S703" i="2"/>
  <c r="R703" i="2"/>
  <c r="Q703" i="2"/>
  <c r="P703" i="2"/>
  <c r="O703" i="2"/>
  <c r="N703" i="2"/>
  <c r="M703" i="2"/>
  <c r="L703" i="2"/>
  <c r="K703" i="2"/>
  <c r="J703" i="2"/>
  <c r="I703" i="2"/>
  <c r="H703" i="2"/>
  <c r="G703" i="2"/>
  <c r="F703" i="2"/>
  <c r="E703" i="2"/>
  <c r="D703" i="2"/>
  <c r="C703" i="2"/>
  <c r="B703" i="2"/>
  <c r="A703" i="2"/>
  <c r="AE702" i="2"/>
  <c r="AD702" i="2"/>
  <c r="AC702" i="2"/>
  <c r="AB702" i="2"/>
  <c r="AA702" i="2"/>
  <c r="Z702" i="2"/>
  <c r="Y702" i="2"/>
  <c r="X702" i="2"/>
  <c r="W702" i="2"/>
  <c r="V702" i="2"/>
  <c r="U702" i="2"/>
  <c r="T702" i="2"/>
  <c r="S702" i="2"/>
  <c r="R702" i="2"/>
  <c r="Q702" i="2"/>
  <c r="P702" i="2"/>
  <c r="O702" i="2"/>
  <c r="N702" i="2"/>
  <c r="M702" i="2"/>
  <c r="L702" i="2"/>
  <c r="K702" i="2"/>
  <c r="J702" i="2"/>
  <c r="I702" i="2"/>
  <c r="H702" i="2"/>
  <c r="G702" i="2"/>
  <c r="F702" i="2"/>
  <c r="E702" i="2"/>
  <c r="D702" i="2"/>
  <c r="C702" i="2"/>
  <c r="B702" i="2"/>
  <c r="A702" i="2"/>
  <c r="AE701" i="2"/>
  <c r="AD701" i="2"/>
  <c r="AC701" i="2"/>
  <c r="AB701" i="2"/>
  <c r="AA701" i="2"/>
  <c r="Z701" i="2"/>
  <c r="Y701" i="2"/>
  <c r="X701" i="2"/>
  <c r="W701" i="2"/>
  <c r="V701" i="2"/>
  <c r="U701" i="2"/>
  <c r="T701" i="2"/>
  <c r="S701" i="2"/>
  <c r="R701" i="2"/>
  <c r="Q701" i="2"/>
  <c r="P701" i="2"/>
  <c r="O701" i="2"/>
  <c r="N701" i="2"/>
  <c r="M701" i="2"/>
  <c r="L701" i="2"/>
  <c r="K701" i="2"/>
  <c r="J701" i="2"/>
  <c r="I701" i="2"/>
  <c r="H701" i="2"/>
  <c r="G701" i="2"/>
  <c r="F701" i="2"/>
  <c r="E701" i="2"/>
  <c r="D701" i="2"/>
  <c r="C701" i="2"/>
  <c r="B701" i="2"/>
  <c r="A701" i="2"/>
  <c r="AE700" i="2"/>
  <c r="AD700" i="2"/>
  <c r="AC700" i="2"/>
  <c r="AB700" i="2"/>
  <c r="AA700" i="2"/>
  <c r="Z700" i="2"/>
  <c r="Y700" i="2"/>
  <c r="X700" i="2"/>
  <c r="W700" i="2"/>
  <c r="V700" i="2"/>
  <c r="U700" i="2"/>
  <c r="T700" i="2"/>
  <c r="S700" i="2"/>
  <c r="R700" i="2"/>
  <c r="Q700" i="2"/>
  <c r="P700" i="2"/>
  <c r="O700" i="2"/>
  <c r="N700" i="2"/>
  <c r="M700" i="2"/>
  <c r="L700" i="2"/>
  <c r="K700" i="2"/>
  <c r="J700" i="2"/>
  <c r="I700" i="2"/>
  <c r="H700" i="2"/>
  <c r="G700" i="2"/>
  <c r="F700" i="2"/>
  <c r="E700" i="2"/>
  <c r="D700" i="2"/>
  <c r="C700" i="2"/>
  <c r="B700" i="2"/>
  <c r="A700" i="2"/>
  <c r="AE699" i="2"/>
  <c r="AD699" i="2"/>
  <c r="AC699" i="2"/>
  <c r="AB699" i="2"/>
  <c r="AA699" i="2"/>
  <c r="Z699" i="2"/>
  <c r="Y699" i="2"/>
  <c r="X699" i="2"/>
  <c r="W699" i="2"/>
  <c r="V699" i="2"/>
  <c r="U699" i="2"/>
  <c r="T699" i="2"/>
  <c r="S699" i="2"/>
  <c r="R699" i="2"/>
  <c r="Q699" i="2"/>
  <c r="P699" i="2"/>
  <c r="O699" i="2"/>
  <c r="N699" i="2"/>
  <c r="M699" i="2"/>
  <c r="L699" i="2"/>
  <c r="K699" i="2"/>
  <c r="J699" i="2"/>
  <c r="I699" i="2"/>
  <c r="H699" i="2"/>
  <c r="G699" i="2"/>
  <c r="F699" i="2"/>
  <c r="E699" i="2"/>
  <c r="D699" i="2"/>
  <c r="C699" i="2"/>
  <c r="B699" i="2"/>
  <c r="A699" i="2"/>
  <c r="AE698" i="2"/>
  <c r="AD698" i="2"/>
  <c r="AC698" i="2"/>
  <c r="AB698" i="2"/>
  <c r="AA698" i="2"/>
  <c r="Z698" i="2"/>
  <c r="Y698" i="2"/>
  <c r="X698" i="2"/>
  <c r="W698" i="2"/>
  <c r="V698" i="2"/>
  <c r="U698" i="2"/>
  <c r="T698" i="2"/>
  <c r="S698" i="2"/>
  <c r="R698" i="2"/>
  <c r="Q698" i="2"/>
  <c r="P698" i="2"/>
  <c r="O698" i="2"/>
  <c r="N698" i="2"/>
  <c r="M698" i="2"/>
  <c r="L698" i="2"/>
  <c r="K698" i="2"/>
  <c r="J698" i="2"/>
  <c r="I698" i="2"/>
  <c r="H698" i="2"/>
  <c r="G698" i="2"/>
  <c r="F698" i="2"/>
  <c r="E698" i="2"/>
  <c r="D698" i="2"/>
  <c r="C698" i="2"/>
  <c r="B698" i="2"/>
  <c r="A698" i="2"/>
  <c r="AE697" i="2"/>
  <c r="AD697" i="2"/>
  <c r="AC697" i="2"/>
  <c r="AB697" i="2"/>
  <c r="AA697" i="2"/>
  <c r="Z697" i="2"/>
  <c r="Y697" i="2"/>
  <c r="X697" i="2"/>
  <c r="W697" i="2"/>
  <c r="V697" i="2"/>
  <c r="U697" i="2"/>
  <c r="T697" i="2"/>
  <c r="S697" i="2"/>
  <c r="R697" i="2"/>
  <c r="Q697" i="2"/>
  <c r="P697" i="2"/>
  <c r="O697" i="2"/>
  <c r="N697" i="2"/>
  <c r="M697" i="2"/>
  <c r="L697" i="2"/>
  <c r="K697" i="2"/>
  <c r="J697" i="2"/>
  <c r="I697" i="2"/>
  <c r="H697" i="2"/>
  <c r="G697" i="2"/>
  <c r="F697" i="2"/>
  <c r="E697" i="2"/>
  <c r="D697" i="2"/>
  <c r="C697" i="2"/>
  <c r="B697" i="2"/>
  <c r="A697" i="2"/>
  <c r="AE696" i="2"/>
  <c r="AD696" i="2"/>
  <c r="AC696" i="2"/>
  <c r="AB696" i="2"/>
  <c r="AA696" i="2"/>
  <c r="Z696" i="2"/>
  <c r="Y696" i="2"/>
  <c r="X696" i="2"/>
  <c r="W696" i="2"/>
  <c r="V696" i="2"/>
  <c r="U696" i="2"/>
  <c r="T696" i="2"/>
  <c r="S696" i="2"/>
  <c r="R696" i="2"/>
  <c r="Q696" i="2"/>
  <c r="P696" i="2"/>
  <c r="O696" i="2"/>
  <c r="N696" i="2"/>
  <c r="M696" i="2"/>
  <c r="L696" i="2"/>
  <c r="K696" i="2"/>
  <c r="J696" i="2"/>
  <c r="I696" i="2"/>
  <c r="H696" i="2"/>
  <c r="G696" i="2"/>
  <c r="F696" i="2"/>
  <c r="E696" i="2"/>
  <c r="D696" i="2"/>
  <c r="C696" i="2"/>
  <c r="B696" i="2"/>
  <c r="A696" i="2"/>
  <c r="AE695" i="2"/>
  <c r="AD695" i="2"/>
  <c r="AC695" i="2"/>
  <c r="AB695" i="2"/>
  <c r="AA695" i="2"/>
  <c r="Z695" i="2"/>
  <c r="Y695" i="2"/>
  <c r="X695" i="2"/>
  <c r="W695" i="2"/>
  <c r="V695" i="2"/>
  <c r="U695" i="2"/>
  <c r="T695" i="2"/>
  <c r="S695" i="2"/>
  <c r="R695" i="2"/>
  <c r="Q695" i="2"/>
  <c r="P695" i="2"/>
  <c r="O695" i="2"/>
  <c r="N695" i="2"/>
  <c r="M695" i="2"/>
  <c r="L695" i="2"/>
  <c r="K695" i="2"/>
  <c r="J695" i="2"/>
  <c r="I695" i="2"/>
  <c r="H695" i="2"/>
  <c r="G695" i="2"/>
  <c r="F695" i="2"/>
  <c r="E695" i="2"/>
  <c r="D695" i="2"/>
  <c r="C695" i="2"/>
  <c r="B695" i="2"/>
  <c r="A695" i="2"/>
  <c r="AE694" i="2"/>
  <c r="AD694" i="2"/>
  <c r="AC694" i="2"/>
  <c r="AB694" i="2"/>
  <c r="AA694" i="2"/>
  <c r="Z694" i="2"/>
  <c r="Y694" i="2"/>
  <c r="X694" i="2"/>
  <c r="W694" i="2"/>
  <c r="V694" i="2"/>
  <c r="U694" i="2"/>
  <c r="T694" i="2"/>
  <c r="S694" i="2"/>
  <c r="R694" i="2"/>
  <c r="Q694" i="2"/>
  <c r="P694" i="2"/>
  <c r="O694" i="2"/>
  <c r="N694" i="2"/>
  <c r="M694" i="2"/>
  <c r="L694" i="2"/>
  <c r="K694" i="2"/>
  <c r="J694" i="2"/>
  <c r="I694" i="2"/>
  <c r="H694" i="2"/>
  <c r="G694" i="2"/>
  <c r="F694" i="2"/>
  <c r="E694" i="2"/>
  <c r="D694" i="2"/>
  <c r="C694" i="2"/>
  <c r="B694" i="2"/>
  <c r="A694" i="2"/>
  <c r="AE693" i="2"/>
  <c r="AD693" i="2"/>
  <c r="AC693" i="2"/>
  <c r="AB693" i="2"/>
  <c r="AA693" i="2"/>
  <c r="Z693" i="2"/>
  <c r="Y693" i="2"/>
  <c r="X693" i="2"/>
  <c r="W693" i="2"/>
  <c r="V693" i="2"/>
  <c r="U693" i="2"/>
  <c r="T693" i="2"/>
  <c r="S693" i="2"/>
  <c r="R693" i="2"/>
  <c r="Q693" i="2"/>
  <c r="P693" i="2"/>
  <c r="O693" i="2"/>
  <c r="N693" i="2"/>
  <c r="M693" i="2"/>
  <c r="L693" i="2"/>
  <c r="K693" i="2"/>
  <c r="J693" i="2"/>
  <c r="I693" i="2"/>
  <c r="H693" i="2"/>
  <c r="G693" i="2"/>
  <c r="F693" i="2"/>
  <c r="E693" i="2"/>
  <c r="D693" i="2"/>
  <c r="C693" i="2"/>
  <c r="B693" i="2"/>
  <c r="A693" i="2"/>
  <c r="AE692" i="2"/>
  <c r="AD692" i="2"/>
  <c r="AC692" i="2"/>
  <c r="AB692" i="2"/>
  <c r="AA692" i="2"/>
  <c r="Z692" i="2"/>
  <c r="Y692" i="2"/>
  <c r="X692" i="2"/>
  <c r="W692" i="2"/>
  <c r="V692" i="2"/>
  <c r="U692" i="2"/>
  <c r="T692" i="2"/>
  <c r="S692" i="2"/>
  <c r="R692" i="2"/>
  <c r="Q692" i="2"/>
  <c r="P692" i="2"/>
  <c r="O692" i="2"/>
  <c r="N692" i="2"/>
  <c r="M692" i="2"/>
  <c r="L692" i="2"/>
  <c r="K692" i="2"/>
  <c r="J692" i="2"/>
  <c r="I692" i="2"/>
  <c r="H692" i="2"/>
  <c r="G692" i="2"/>
  <c r="F692" i="2"/>
  <c r="E692" i="2"/>
  <c r="D692" i="2"/>
  <c r="C692" i="2"/>
  <c r="B692" i="2"/>
  <c r="A692" i="2"/>
  <c r="AE691" i="2"/>
  <c r="AD691" i="2"/>
  <c r="AC691" i="2"/>
  <c r="AB691" i="2"/>
  <c r="AA691" i="2"/>
  <c r="Z691" i="2"/>
  <c r="Y691" i="2"/>
  <c r="X691" i="2"/>
  <c r="W691" i="2"/>
  <c r="V691" i="2"/>
  <c r="U691" i="2"/>
  <c r="T691" i="2"/>
  <c r="S691" i="2"/>
  <c r="R691" i="2"/>
  <c r="Q691" i="2"/>
  <c r="P691" i="2"/>
  <c r="O691" i="2"/>
  <c r="N691" i="2"/>
  <c r="M691" i="2"/>
  <c r="L691" i="2"/>
  <c r="K691" i="2"/>
  <c r="J691" i="2"/>
  <c r="I691" i="2"/>
  <c r="H691" i="2"/>
  <c r="G691" i="2"/>
  <c r="F691" i="2"/>
  <c r="E691" i="2"/>
  <c r="D691" i="2"/>
  <c r="C691" i="2"/>
  <c r="B691" i="2"/>
  <c r="A691" i="2"/>
  <c r="AE690" i="2"/>
  <c r="AD690" i="2"/>
  <c r="AC690" i="2"/>
  <c r="AB690" i="2"/>
  <c r="AA690" i="2"/>
  <c r="Z690" i="2"/>
  <c r="Y690" i="2"/>
  <c r="X690" i="2"/>
  <c r="W690" i="2"/>
  <c r="V690" i="2"/>
  <c r="U690" i="2"/>
  <c r="T690" i="2"/>
  <c r="S690" i="2"/>
  <c r="R690" i="2"/>
  <c r="Q690" i="2"/>
  <c r="P690" i="2"/>
  <c r="O690" i="2"/>
  <c r="N690" i="2"/>
  <c r="M690" i="2"/>
  <c r="L690" i="2"/>
  <c r="K690" i="2"/>
  <c r="J690" i="2"/>
  <c r="I690" i="2"/>
  <c r="H690" i="2"/>
  <c r="G690" i="2"/>
  <c r="F690" i="2"/>
  <c r="E690" i="2"/>
  <c r="D690" i="2"/>
  <c r="C690" i="2"/>
  <c r="B690" i="2"/>
  <c r="A690" i="2"/>
  <c r="AE689" i="2"/>
  <c r="AD689" i="2"/>
  <c r="AC689" i="2"/>
  <c r="AB689" i="2"/>
  <c r="AA689" i="2"/>
  <c r="Z689" i="2"/>
  <c r="Y689" i="2"/>
  <c r="X689" i="2"/>
  <c r="W689" i="2"/>
  <c r="V689" i="2"/>
  <c r="U689" i="2"/>
  <c r="T689" i="2"/>
  <c r="S689" i="2"/>
  <c r="R689" i="2"/>
  <c r="Q689" i="2"/>
  <c r="P689" i="2"/>
  <c r="O689" i="2"/>
  <c r="N689" i="2"/>
  <c r="M689" i="2"/>
  <c r="L689" i="2"/>
  <c r="K689" i="2"/>
  <c r="J689" i="2"/>
  <c r="I689" i="2"/>
  <c r="H689" i="2"/>
  <c r="G689" i="2"/>
  <c r="F689" i="2"/>
  <c r="E689" i="2"/>
  <c r="D689" i="2"/>
  <c r="C689" i="2"/>
  <c r="B689" i="2"/>
  <c r="A689" i="2"/>
  <c r="AE688" i="2"/>
  <c r="AD688" i="2"/>
  <c r="AC688" i="2"/>
  <c r="AB688" i="2"/>
  <c r="AA688" i="2"/>
  <c r="Z688" i="2"/>
  <c r="Y688" i="2"/>
  <c r="X688" i="2"/>
  <c r="W688" i="2"/>
  <c r="V688" i="2"/>
  <c r="U688" i="2"/>
  <c r="T688" i="2"/>
  <c r="S688" i="2"/>
  <c r="R688" i="2"/>
  <c r="Q688" i="2"/>
  <c r="P688" i="2"/>
  <c r="O688" i="2"/>
  <c r="N688" i="2"/>
  <c r="M688" i="2"/>
  <c r="L688" i="2"/>
  <c r="K688" i="2"/>
  <c r="J688" i="2"/>
  <c r="I688" i="2"/>
  <c r="H688" i="2"/>
  <c r="G688" i="2"/>
  <c r="F688" i="2"/>
  <c r="E688" i="2"/>
  <c r="D688" i="2"/>
  <c r="C688" i="2"/>
  <c r="B688" i="2"/>
  <c r="A688" i="2"/>
  <c r="AE687" i="2"/>
  <c r="AD687" i="2"/>
  <c r="AC687" i="2"/>
  <c r="AB687" i="2"/>
  <c r="AA687" i="2"/>
  <c r="Z687" i="2"/>
  <c r="Y687" i="2"/>
  <c r="X687" i="2"/>
  <c r="W687" i="2"/>
  <c r="V687" i="2"/>
  <c r="U687" i="2"/>
  <c r="T687" i="2"/>
  <c r="S687" i="2"/>
  <c r="R687" i="2"/>
  <c r="Q687" i="2"/>
  <c r="P687" i="2"/>
  <c r="O687" i="2"/>
  <c r="N687" i="2"/>
  <c r="M687" i="2"/>
  <c r="L687" i="2"/>
  <c r="K687" i="2"/>
  <c r="J687" i="2"/>
  <c r="I687" i="2"/>
  <c r="H687" i="2"/>
  <c r="G687" i="2"/>
  <c r="F687" i="2"/>
  <c r="E687" i="2"/>
  <c r="D687" i="2"/>
  <c r="C687" i="2"/>
  <c r="B687" i="2"/>
  <c r="A687" i="2"/>
  <c r="AE686" i="2"/>
  <c r="AD686" i="2"/>
  <c r="AC686" i="2"/>
  <c r="AB686" i="2"/>
  <c r="AA686" i="2"/>
  <c r="Z686" i="2"/>
  <c r="Y686" i="2"/>
  <c r="X686" i="2"/>
  <c r="W686" i="2"/>
  <c r="V686" i="2"/>
  <c r="U686" i="2"/>
  <c r="T686" i="2"/>
  <c r="S686" i="2"/>
  <c r="R686" i="2"/>
  <c r="Q686" i="2"/>
  <c r="P686" i="2"/>
  <c r="O686" i="2"/>
  <c r="N686" i="2"/>
  <c r="M686" i="2"/>
  <c r="L686" i="2"/>
  <c r="K686" i="2"/>
  <c r="J686" i="2"/>
  <c r="I686" i="2"/>
  <c r="H686" i="2"/>
  <c r="G686" i="2"/>
  <c r="F686" i="2"/>
  <c r="E686" i="2"/>
  <c r="D686" i="2"/>
  <c r="C686" i="2"/>
  <c r="B686" i="2"/>
  <c r="A686" i="2"/>
  <c r="AE685" i="2"/>
  <c r="AD685" i="2"/>
  <c r="AC685" i="2"/>
  <c r="AB685" i="2"/>
  <c r="AA685" i="2"/>
  <c r="Z685" i="2"/>
  <c r="Y685" i="2"/>
  <c r="X685" i="2"/>
  <c r="W685" i="2"/>
  <c r="V685" i="2"/>
  <c r="U685" i="2"/>
  <c r="T685" i="2"/>
  <c r="S685" i="2"/>
  <c r="R685" i="2"/>
  <c r="Q685" i="2"/>
  <c r="P685" i="2"/>
  <c r="O685" i="2"/>
  <c r="N685" i="2"/>
  <c r="M685" i="2"/>
  <c r="L685" i="2"/>
  <c r="K685" i="2"/>
  <c r="J685" i="2"/>
  <c r="I685" i="2"/>
  <c r="H685" i="2"/>
  <c r="G685" i="2"/>
  <c r="F685" i="2"/>
  <c r="E685" i="2"/>
  <c r="D685" i="2"/>
  <c r="C685" i="2"/>
  <c r="B685" i="2"/>
  <c r="A685" i="2"/>
  <c r="AE684" i="2"/>
  <c r="AD684" i="2"/>
  <c r="AC684" i="2"/>
  <c r="AB684" i="2"/>
  <c r="AA684" i="2"/>
  <c r="Z684" i="2"/>
  <c r="Y684" i="2"/>
  <c r="X684" i="2"/>
  <c r="W684" i="2"/>
  <c r="V684" i="2"/>
  <c r="U684" i="2"/>
  <c r="T684" i="2"/>
  <c r="S684" i="2"/>
  <c r="R684" i="2"/>
  <c r="Q684" i="2"/>
  <c r="P684" i="2"/>
  <c r="O684" i="2"/>
  <c r="N684" i="2"/>
  <c r="M684" i="2"/>
  <c r="L684" i="2"/>
  <c r="K684" i="2"/>
  <c r="J684" i="2"/>
  <c r="I684" i="2"/>
  <c r="H684" i="2"/>
  <c r="G684" i="2"/>
  <c r="F684" i="2"/>
  <c r="E684" i="2"/>
  <c r="D684" i="2"/>
  <c r="C684" i="2"/>
  <c r="B684" i="2"/>
  <c r="A684" i="2"/>
  <c r="AE683" i="2"/>
  <c r="AD683" i="2"/>
  <c r="AC683" i="2"/>
  <c r="AB683" i="2"/>
  <c r="AA683" i="2"/>
  <c r="Z683" i="2"/>
  <c r="Y683" i="2"/>
  <c r="X683" i="2"/>
  <c r="W683" i="2"/>
  <c r="V683" i="2"/>
  <c r="U683" i="2"/>
  <c r="T683" i="2"/>
  <c r="S683" i="2"/>
  <c r="R683" i="2"/>
  <c r="Q683" i="2"/>
  <c r="P683" i="2"/>
  <c r="O683" i="2"/>
  <c r="N683" i="2"/>
  <c r="M683" i="2"/>
  <c r="L683" i="2"/>
  <c r="K683" i="2"/>
  <c r="J683" i="2"/>
  <c r="I683" i="2"/>
  <c r="H683" i="2"/>
  <c r="G683" i="2"/>
  <c r="F683" i="2"/>
  <c r="E683" i="2"/>
  <c r="D683" i="2"/>
  <c r="C683" i="2"/>
  <c r="B683" i="2"/>
  <c r="A683" i="2"/>
  <c r="AE682" i="2"/>
  <c r="AD682" i="2"/>
  <c r="AC682" i="2"/>
  <c r="AB682" i="2"/>
  <c r="AA682" i="2"/>
  <c r="Z682" i="2"/>
  <c r="Y682" i="2"/>
  <c r="X682" i="2"/>
  <c r="W682" i="2"/>
  <c r="V682" i="2"/>
  <c r="U682" i="2"/>
  <c r="T682" i="2"/>
  <c r="S682" i="2"/>
  <c r="R682" i="2"/>
  <c r="Q682" i="2"/>
  <c r="P682" i="2"/>
  <c r="O682" i="2"/>
  <c r="N682" i="2"/>
  <c r="M682" i="2"/>
  <c r="L682" i="2"/>
  <c r="K682" i="2"/>
  <c r="J682" i="2"/>
  <c r="I682" i="2"/>
  <c r="H682" i="2"/>
  <c r="G682" i="2"/>
  <c r="F682" i="2"/>
  <c r="E682" i="2"/>
  <c r="D682" i="2"/>
  <c r="C682" i="2"/>
  <c r="B682" i="2"/>
  <c r="A682" i="2"/>
  <c r="AE681" i="2"/>
  <c r="AD681" i="2"/>
  <c r="AC681" i="2"/>
  <c r="AB681" i="2"/>
  <c r="AA681" i="2"/>
  <c r="Z681" i="2"/>
  <c r="Y681" i="2"/>
  <c r="X681" i="2"/>
  <c r="W681" i="2"/>
  <c r="V681" i="2"/>
  <c r="U681" i="2"/>
  <c r="T681" i="2"/>
  <c r="S681" i="2"/>
  <c r="R681" i="2"/>
  <c r="Q681" i="2"/>
  <c r="P681" i="2"/>
  <c r="O681" i="2"/>
  <c r="N681" i="2"/>
  <c r="M681" i="2"/>
  <c r="L681" i="2"/>
  <c r="K681" i="2"/>
  <c r="J681" i="2"/>
  <c r="I681" i="2"/>
  <c r="H681" i="2"/>
  <c r="G681" i="2"/>
  <c r="F681" i="2"/>
  <c r="E681" i="2"/>
  <c r="D681" i="2"/>
  <c r="C681" i="2"/>
  <c r="B681" i="2"/>
  <c r="A681" i="2"/>
  <c r="AE680" i="2"/>
  <c r="AD680" i="2"/>
  <c r="AC680" i="2"/>
  <c r="AB680" i="2"/>
  <c r="AA680" i="2"/>
  <c r="Z680" i="2"/>
  <c r="Y680" i="2"/>
  <c r="X680" i="2"/>
  <c r="W680" i="2"/>
  <c r="V680" i="2"/>
  <c r="U680" i="2"/>
  <c r="T680" i="2"/>
  <c r="S680" i="2"/>
  <c r="R680" i="2"/>
  <c r="Q680" i="2"/>
  <c r="P680" i="2"/>
  <c r="O680" i="2"/>
  <c r="N680" i="2"/>
  <c r="M680" i="2"/>
  <c r="L680" i="2"/>
  <c r="K680" i="2"/>
  <c r="J680" i="2"/>
  <c r="I680" i="2"/>
  <c r="H680" i="2"/>
  <c r="G680" i="2"/>
  <c r="F680" i="2"/>
  <c r="E680" i="2"/>
  <c r="D680" i="2"/>
  <c r="C680" i="2"/>
  <c r="B680" i="2"/>
  <c r="A680" i="2"/>
  <c r="AE679" i="2"/>
  <c r="AD679" i="2"/>
  <c r="AC679" i="2"/>
  <c r="AB679" i="2"/>
  <c r="AA679" i="2"/>
  <c r="Z679" i="2"/>
  <c r="Y679" i="2"/>
  <c r="X679" i="2"/>
  <c r="W679" i="2"/>
  <c r="V679" i="2"/>
  <c r="U679" i="2"/>
  <c r="T679" i="2"/>
  <c r="S679" i="2"/>
  <c r="R679" i="2"/>
  <c r="Q679" i="2"/>
  <c r="P679" i="2"/>
  <c r="O679" i="2"/>
  <c r="N679" i="2"/>
  <c r="M679" i="2"/>
  <c r="L679" i="2"/>
  <c r="K679" i="2"/>
  <c r="J679" i="2"/>
  <c r="I679" i="2"/>
  <c r="H679" i="2"/>
  <c r="G679" i="2"/>
  <c r="F679" i="2"/>
  <c r="E679" i="2"/>
  <c r="D679" i="2"/>
  <c r="C679" i="2"/>
  <c r="B679" i="2"/>
  <c r="A679" i="2"/>
  <c r="AE678" i="2"/>
  <c r="AD678" i="2"/>
  <c r="AC678" i="2"/>
  <c r="AB678" i="2"/>
  <c r="AA678" i="2"/>
  <c r="Z678" i="2"/>
  <c r="Y678" i="2"/>
  <c r="X678" i="2"/>
  <c r="W678" i="2"/>
  <c r="V678" i="2"/>
  <c r="U678" i="2"/>
  <c r="T678" i="2"/>
  <c r="S678" i="2"/>
  <c r="R678" i="2"/>
  <c r="Q678" i="2"/>
  <c r="P678" i="2"/>
  <c r="O678" i="2"/>
  <c r="N678" i="2"/>
  <c r="M678" i="2"/>
  <c r="L678" i="2"/>
  <c r="K678" i="2"/>
  <c r="J678" i="2"/>
  <c r="I678" i="2"/>
  <c r="H678" i="2"/>
  <c r="G678" i="2"/>
  <c r="F678" i="2"/>
  <c r="E678" i="2"/>
  <c r="D678" i="2"/>
  <c r="C678" i="2"/>
  <c r="B678" i="2"/>
  <c r="A678" i="2"/>
  <c r="AE677" i="2"/>
  <c r="AD677" i="2"/>
  <c r="AC677" i="2"/>
  <c r="AB677" i="2"/>
  <c r="AA677" i="2"/>
  <c r="Z677" i="2"/>
  <c r="Y677" i="2"/>
  <c r="X677" i="2"/>
  <c r="W677" i="2"/>
  <c r="V677" i="2"/>
  <c r="U677" i="2"/>
  <c r="T677" i="2"/>
  <c r="S677" i="2"/>
  <c r="R677" i="2"/>
  <c r="Q677" i="2"/>
  <c r="P677" i="2"/>
  <c r="O677" i="2"/>
  <c r="N677" i="2"/>
  <c r="M677" i="2"/>
  <c r="L677" i="2"/>
  <c r="K677" i="2"/>
  <c r="J677" i="2"/>
  <c r="I677" i="2"/>
  <c r="H677" i="2"/>
  <c r="G677" i="2"/>
  <c r="F677" i="2"/>
  <c r="E677" i="2"/>
  <c r="D677" i="2"/>
  <c r="C677" i="2"/>
  <c r="B677" i="2"/>
  <c r="A677" i="2"/>
  <c r="AE676" i="2"/>
  <c r="AD676" i="2"/>
  <c r="AC676" i="2"/>
  <c r="AB676" i="2"/>
  <c r="AA676" i="2"/>
  <c r="Z676" i="2"/>
  <c r="Y676" i="2"/>
  <c r="X676" i="2"/>
  <c r="W676" i="2"/>
  <c r="V676" i="2"/>
  <c r="U676" i="2"/>
  <c r="T676" i="2"/>
  <c r="S676" i="2"/>
  <c r="R676" i="2"/>
  <c r="Q676" i="2"/>
  <c r="P676" i="2"/>
  <c r="O676" i="2"/>
  <c r="N676" i="2"/>
  <c r="M676" i="2"/>
  <c r="L676" i="2"/>
  <c r="K676" i="2"/>
  <c r="J676" i="2"/>
  <c r="I676" i="2"/>
  <c r="H676" i="2"/>
  <c r="G676" i="2"/>
  <c r="F676" i="2"/>
  <c r="E676" i="2"/>
  <c r="D676" i="2"/>
  <c r="C676" i="2"/>
  <c r="B676" i="2"/>
  <c r="A676" i="2"/>
  <c r="AE675" i="2"/>
  <c r="AD675" i="2"/>
  <c r="AC675" i="2"/>
  <c r="AB675" i="2"/>
  <c r="AA675" i="2"/>
  <c r="Z675" i="2"/>
  <c r="Y675" i="2"/>
  <c r="X675" i="2"/>
  <c r="W675" i="2"/>
  <c r="V675" i="2"/>
  <c r="U675" i="2"/>
  <c r="T675" i="2"/>
  <c r="S675" i="2"/>
  <c r="R675" i="2"/>
  <c r="Q675" i="2"/>
  <c r="P675" i="2"/>
  <c r="O675" i="2"/>
  <c r="N675" i="2"/>
  <c r="M675" i="2"/>
  <c r="L675" i="2"/>
  <c r="K675" i="2"/>
  <c r="J675" i="2"/>
  <c r="I675" i="2"/>
  <c r="H675" i="2"/>
  <c r="G675" i="2"/>
  <c r="F675" i="2"/>
  <c r="E675" i="2"/>
  <c r="D675" i="2"/>
  <c r="C675" i="2"/>
  <c r="B675" i="2"/>
  <c r="A675" i="2"/>
  <c r="AE674" i="2"/>
  <c r="AD674" i="2"/>
  <c r="AC674" i="2"/>
  <c r="AB674" i="2"/>
  <c r="AA674" i="2"/>
  <c r="Z674" i="2"/>
  <c r="Y674" i="2"/>
  <c r="X674" i="2"/>
  <c r="W674" i="2"/>
  <c r="V674" i="2"/>
  <c r="U674" i="2"/>
  <c r="T674" i="2"/>
  <c r="S674" i="2"/>
  <c r="R674" i="2"/>
  <c r="Q674" i="2"/>
  <c r="P674" i="2"/>
  <c r="O674" i="2"/>
  <c r="N674" i="2"/>
  <c r="M674" i="2"/>
  <c r="L674" i="2"/>
  <c r="K674" i="2"/>
  <c r="J674" i="2"/>
  <c r="I674" i="2"/>
  <c r="H674" i="2"/>
  <c r="G674" i="2"/>
  <c r="F674" i="2"/>
  <c r="E674" i="2"/>
  <c r="D674" i="2"/>
  <c r="C674" i="2"/>
  <c r="B674" i="2"/>
  <c r="A674" i="2"/>
  <c r="AE673" i="2"/>
  <c r="AD673" i="2"/>
  <c r="AC673" i="2"/>
  <c r="AB673" i="2"/>
  <c r="AA673" i="2"/>
  <c r="Z673" i="2"/>
  <c r="Y673" i="2"/>
  <c r="X673" i="2"/>
  <c r="W673" i="2"/>
  <c r="V673" i="2"/>
  <c r="U673" i="2"/>
  <c r="T673" i="2"/>
  <c r="S673" i="2"/>
  <c r="R673" i="2"/>
  <c r="Q673" i="2"/>
  <c r="P673" i="2"/>
  <c r="O673" i="2"/>
  <c r="N673" i="2"/>
  <c r="M673" i="2"/>
  <c r="L673" i="2"/>
  <c r="K673" i="2"/>
  <c r="J673" i="2"/>
  <c r="I673" i="2"/>
  <c r="H673" i="2"/>
  <c r="G673" i="2"/>
  <c r="F673" i="2"/>
  <c r="E673" i="2"/>
  <c r="D673" i="2"/>
  <c r="C673" i="2"/>
  <c r="B673" i="2"/>
  <c r="A673" i="2"/>
  <c r="AE672" i="2"/>
  <c r="AD672" i="2"/>
  <c r="AC672" i="2"/>
  <c r="AB672" i="2"/>
  <c r="AA672" i="2"/>
  <c r="Z672" i="2"/>
  <c r="Y672" i="2"/>
  <c r="X672" i="2"/>
  <c r="W672" i="2"/>
  <c r="V672" i="2"/>
  <c r="U672" i="2"/>
  <c r="T672" i="2"/>
  <c r="S672" i="2"/>
  <c r="R672" i="2"/>
  <c r="Q672" i="2"/>
  <c r="P672" i="2"/>
  <c r="O672" i="2"/>
  <c r="N672" i="2"/>
  <c r="M672" i="2"/>
  <c r="L672" i="2"/>
  <c r="K672" i="2"/>
  <c r="J672" i="2"/>
  <c r="I672" i="2"/>
  <c r="H672" i="2"/>
  <c r="G672" i="2"/>
  <c r="F672" i="2"/>
  <c r="E672" i="2"/>
  <c r="D672" i="2"/>
  <c r="C672" i="2"/>
  <c r="B672" i="2"/>
  <c r="A672" i="2"/>
  <c r="AE671" i="2"/>
  <c r="AD671" i="2"/>
  <c r="AC671" i="2"/>
  <c r="AB671" i="2"/>
  <c r="AA671" i="2"/>
  <c r="Z671" i="2"/>
  <c r="Y671" i="2"/>
  <c r="X671" i="2"/>
  <c r="W671" i="2"/>
  <c r="V671" i="2"/>
  <c r="U671" i="2"/>
  <c r="T671" i="2"/>
  <c r="S671" i="2"/>
  <c r="R671" i="2"/>
  <c r="Q671" i="2"/>
  <c r="P671" i="2"/>
  <c r="O671" i="2"/>
  <c r="N671" i="2"/>
  <c r="M671" i="2"/>
  <c r="L671" i="2"/>
  <c r="K671" i="2"/>
  <c r="J671" i="2"/>
  <c r="I671" i="2"/>
  <c r="H671" i="2"/>
  <c r="G671" i="2"/>
  <c r="F671" i="2"/>
  <c r="E671" i="2"/>
  <c r="D671" i="2"/>
  <c r="C671" i="2"/>
  <c r="B671" i="2"/>
  <c r="A671" i="2"/>
  <c r="AE670" i="2"/>
  <c r="AD670" i="2"/>
  <c r="AC670" i="2"/>
  <c r="AB670" i="2"/>
  <c r="AA670" i="2"/>
  <c r="Z670" i="2"/>
  <c r="Y670" i="2"/>
  <c r="X670" i="2"/>
  <c r="W670" i="2"/>
  <c r="V670" i="2"/>
  <c r="U670" i="2"/>
  <c r="T670" i="2"/>
  <c r="S670" i="2"/>
  <c r="R670" i="2"/>
  <c r="Q670" i="2"/>
  <c r="P670" i="2"/>
  <c r="O670" i="2"/>
  <c r="N670" i="2"/>
  <c r="M670" i="2"/>
  <c r="L670" i="2"/>
  <c r="K670" i="2"/>
  <c r="J670" i="2"/>
  <c r="I670" i="2"/>
  <c r="H670" i="2"/>
  <c r="G670" i="2"/>
  <c r="F670" i="2"/>
  <c r="E670" i="2"/>
  <c r="D670" i="2"/>
  <c r="C670" i="2"/>
  <c r="B670" i="2"/>
  <c r="A670" i="2"/>
  <c r="AE669" i="2"/>
  <c r="AD669" i="2"/>
  <c r="AC669" i="2"/>
  <c r="AB669" i="2"/>
  <c r="AA669" i="2"/>
  <c r="Z669" i="2"/>
  <c r="Y669" i="2"/>
  <c r="X669" i="2"/>
  <c r="W669" i="2"/>
  <c r="V669" i="2"/>
  <c r="U669" i="2"/>
  <c r="T669" i="2"/>
  <c r="S669" i="2"/>
  <c r="R669" i="2"/>
  <c r="Q669" i="2"/>
  <c r="P669" i="2"/>
  <c r="O669" i="2"/>
  <c r="N669" i="2"/>
  <c r="M669" i="2"/>
  <c r="L669" i="2"/>
  <c r="K669" i="2"/>
  <c r="J669" i="2"/>
  <c r="I669" i="2"/>
  <c r="H669" i="2"/>
  <c r="G669" i="2"/>
  <c r="F669" i="2"/>
  <c r="E669" i="2"/>
  <c r="D669" i="2"/>
  <c r="C669" i="2"/>
  <c r="B669" i="2"/>
  <c r="A669" i="2"/>
  <c r="AE668" i="2"/>
  <c r="AD668" i="2"/>
  <c r="AC668" i="2"/>
  <c r="AB668" i="2"/>
  <c r="AA668" i="2"/>
  <c r="Z668" i="2"/>
  <c r="Y668" i="2"/>
  <c r="X668" i="2"/>
  <c r="W668" i="2"/>
  <c r="V668" i="2"/>
  <c r="U668" i="2"/>
  <c r="T668" i="2"/>
  <c r="S668" i="2"/>
  <c r="R668" i="2"/>
  <c r="Q668" i="2"/>
  <c r="P668" i="2"/>
  <c r="O668" i="2"/>
  <c r="N668" i="2"/>
  <c r="M668" i="2"/>
  <c r="L668" i="2"/>
  <c r="K668" i="2"/>
  <c r="J668" i="2"/>
  <c r="I668" i="2"/>
  <c r="H668" i="2"/>
  <c r="G668" i="2"/>
  <c r="F668" i="2"/>
  <c r="E668" i="2"/>
  <c r="D668" i="2"/>
  <c r="C668" i="2"/>
  <c r="B668" i="2"/>
  <c r="A668" i="2"/>
  <c r="AE667" i="2"/>
  <c r="AD667" i="2"/>
  <c r="AC667" i="2"/>
  <c r="AB667" i="2"/>
  <c r="AA667" i="2"/>
  <c r="Z667" i="2"/>
  <c r="Y667" i="2"/>
  <c r="X667" i="2"/>
  <c r="W667" i="2"/>
  <c r="V667" i="2"/>
  <c r="U667" i="2"/>
  <c r="T667" i="2"/>
  <c r="S667" i="2"/>
  <c r="R667" i="2"/>
  <c r="Q667" i="2"/>
  <c r="P667" i="2"/>
  <c r="O667" i="2"/>
  <c r="N667" i="2"/>
  <c r="M667" i="2"/>
  <c r="L667" i="2"/>
  <c r="K667" i="2"/>
  <c r="J667" i="2"/>
  <c r="I667" i="2"/>
  <c r="H667" i="2"/>
  <c r="G667" i="2"/>
  <c r="F667" i="2"/>
  <c r="E667" i="2"/>
  <c r="D667" i="2"/>
  <c r="C667" i="2"/>
  <c r="B667" i="2"/>
  <c r="A667" i="2"/>
  <c r="AE666" i="2"/>
  <c r="AD666" i="2"/>
  <c r="AC666" i="2"/>
  <c r="AB666" i="2"/>
  <c r="AA666" i="2"/>
  <c r="Z666" i="2"/>
  <c r="Y666" i="2"/>
  <c r="X666" i="2"/>
  <c r="W666" i="2"/>
  <c r="V666" i="2"/>
  <c r="U666" i="2"/>
  <c r="T666" i="2"/>
  <c r="S666" i="2"/>
  <c r="R666" i="2"/>
  <c r="Q666" i="2"/>
  <c r="P666" i="2"/>
  <c r="O666" i="2"/>
  <c r="N666" i="2"/>
  <c r="M666" i="2"/>
  <c r="L666" i="2"/>
  <c r="K666" i="2"/>
  <c r="J666" i="2"/>
  <c r="I666" i="2"/>
  <c r="H666" i="2"/>
  <c r="G666" i="2"/>
  <c r="F666" i="2"/>
  <c r="E666" i="2"/>
  <c r="D666" i="2"/>
  <c r="C666" i="2"/>
  <c r="B666" i="2"/>
  <c r="A666" i="2"/>
  <c r="AE665" i="2"/>
  <c r="AD665" i="2"/>
  <c r="AC665" i="2"/>
  <c r="AB665" i="2"/>
  <c r="AA665" i="2"/>
  <c r="Z665" i="2"/>
  <c r="Y665" i="2"/>
  <c r="X665" i="2"/>
  <c r="W665" i="2"/>
  <c r="V665" i="2"/>
  <c r="U665" i="2"/>
  <c r="T665" i="2"/>
  <c r="S665" i="2"/>
  <c r="R665" i="2"/>
  <c r="Q665" i="2"/>
  <c r="P665" i="2"/>
  <c r="O665" i="2"/>
  <c r="N665" i="2"/>
  <c r="M665" i="2"/>
  <c r="L665" i="2"/>
  <c r="K665" i="2"/>
  <c r="J665" i="2"/>
  <c r="I665" i="2"/>
  <c r="H665" i="2"/>
  <c r="G665" i="2"/>
  <c r="F665" i="2"/>
  <c r="E665" i="2"/>
  <c r="D665" i="2"/>
  <c r="C665" i="2"/>
  <c r="B665" i="2"/>
  <c r="A665" i="2"/>
  <c r="AE664" i="2"/>
  <c r="AD664" i="2"/>
  <c r="AC664" i="2"/>
  <c r="AB664" i="2"/>
  <c r="AA664" i="2"/>
  <c r="Z664" i="2"/>
  <c r="Y664" i="2"/>
  <c r="X664" i="2"/>
  <c r="W664" i="2"/>
  <c r="V664" i="2"/>
  <c r="U664" i="2"/>
  <c r="T664" i="2"/>
  <c r="S664" i="2"/>
  <c r="R664" i="2"/>
  <c r="Q664" i="2"/>
  <c r="P664" i="2"/>
  <c r="O664" i="2"/>
  <c r="N664" i="2"/>
  <c r="M664" i="2"/>
  <c r="L664" i="2"/>
  <c r="K664" i="2"/>
  <c r="J664" i="2"/>
  <c r="I664" i="2"/>
  <c r="H664" i="2"/>
  <c r="G664" i="2"/>
  <c r="F664" i="2"/>
  <c r="E664" i="2"/>
  <c r="D664" i="2"/>
  <c r="C664" i="2"/>
  <c r="B664" i="2"/>
  <c r="A664" i="2"/>
  <c r="AE663" i="2"/>
  <c r="AD663" i="2"/>
  <c r="AC663" i="2"/>
  <c r="AB663" i="2"/>
  <c r="AA663" i="2"/>
  <c r="Z663" i="2"/>
  <c r="Y663" i="2"/>
  <c r="X663" i="2"/>
  <c r="W663" i="2"/>
  <c r="V663" i="2"/>
  <c r="U663" i="2"/>
  <c r="T663" i="2"/>
  <c r="S663" i="2"/>
  <c r="R663" i="2"/>
  <c r="Q663" i="2"/>
  <c r="P663" i="2"/>
  <c r="O663" i="2"/>
  <c r="N663" i="2"/>
  <c r="M663" i="2"/>
  <c r="L663" i="2"/>
  <c r="K663" i="2"/>
  <c r="J663" i="2"/>
  <c r="I663" i="2"/>
  <c r="H663" i="2"/>
  <c r="G663" i="2"/>
  <c r="F663" i="2"/>
  <c r="E663" i="2"/>
  <c r="D663" i="2"/>
  <c r="C663" i="2"/>
  <c r="B663" i="2"/>
  <c r="A663" i="2"/>
  <c r="AE662" i="2"/>
  <c r="AD662" i="2"/>
  <c r="AC662" i="2"/>
  <c r="AB662" i="2"/>
  <c r="AA662" i="2"/>
  <c r="Z662" i="2"/>
  <c r="Y662" i="2"/>
  <c r="X662" i="2"/>
  <c r="W662" i="2"/>
  <c r="V662" i="2"/>
  <c r="U662" i="2"/>
  <c r="T662" i="2"/>
  <c r="S662" i="2"/>
  <c r="R662" i="2"/>
  <c r="Q662" i="2"/>
  <c r="P662" i="2"/>
  <c r="O662" i="2"/>
  <c r="N662" i="2"/>
  <c r="M662" i="2"/>
  <c r="L662" i="2"/>
  <c r="K662" i="2"/>
  <c r="J662" i="2"/>
  <c r="I662" i="2"/>
  <c r="H662" i="2"/>
  <c r="G662" i="2"/>
  <c r="F662" i="2"/>
  <c r="E662" i="2"/>
  <c r="D662" i="2"/>
  <c r="C662" i="2"/>
  <c r="B662" i="2"/>
  <c r="A662" i="2"/>
  <c r="AE661" i="2"/>
  <c r="AD661" i="2"/>
  <c r="AC661" i="2"/>
  <c r="AB661" i="2"/>
  <c r="AA661" i="2"/>
  <c r="Z661" i="2"/>
  <c r="Y661" i="2"/>
  <c r="X661" i="2"/>
  <c r="W661" i="2"/>
  <c r="V661" i="2"/>
  <c r="U661" i="2"/>
  <c r="T661" i="2"/>
  <c r="S661" i="2"/>
  <c r="R661" i="2"/>
  <c r="Q661" i="2"/>
  <c r="P661" i="2"/>
  <c r="O661" i="2"/>
  <c r="N661" i="2"/>
  <c r="M661" i="2"/>
  <c r="L661" i="2"/>
  <c r="K661" i="2"/>
  <c r="J661" i="2"/>
  <c r="I661" i="2"/>
  <c r="H661" i="2"/>
  <c r="G661" i="2"/>
  <c r="F661" i="2"/>
  <c r="E661" i="2"/>
  <c r="D661" i="2"/>
  <c r="C661" i="2"/>
  <c r="B661" i="2"/>
  <c r="A661" i="2"/>
  <c r="AE660" i="2"/>
  <c r="AD660" i="2"/>
  <c r="AC660" i="2"/>
  <c r="AB660" i="2"/>
  <c r="AA660" i="2"/>
  <c r="Z660" i="2"/>
  <c r="Y660" i="2"/>
  <c r="X660" i="2"/>
  <c r="W660" i="2"/>
  <c r="V660" i="2"/>
  <c r="U660" i="2"/>
  <c r="T660" i="2"/>
  <c r="S660" i="2"/>
  <c r="R660" i="2"/>
  <c r="Q660" i="2"/>
  <c r="P660" i="2"/>
  <c r="O660" i="2"/>
  <c r="N660" i="2"/>
  <c r="M660" i="2"/>
  <c r="L660" i="2"/>
  <c r="K660" i="2"/>
  <c r="J660" i="2"/>
  <c r="I660" i="2"/>
  <c r="H660" i="2"/>
  <c r="G660" i="2"/>
  <c r="F660" i="2"/>
  <c r="E660" i="2"/>
  <c r="D660" i="2"/>
  <c r="C660" i="2"/>
  <c r="B660" i="2"/>
  <c r="A660" i="2"/>
  <c r="AE659" i="2"/>
  <c r="AD659" i="2"/>
  <c r="AC659" i="2"/>
  <c r="AB659" i="2"/>
  <c r="AA659" i="2"/>
  <c r="Z659" i="2"/>
  <c r="Y659" i="2"/>
  <c r="X659" i="2"/>
  <c r="W659" i="2"/>
  <c r="V659" i="2"/>
  <c r="U659" i="2"/>
  <c r="T659" i="2"/>
  <c r="S659" i="2"/>
  <c r="R659" i="2"/>
  <c r="Q659" i="2"/>
  <c r="P659" i="2"/>
  <c r="O659" i="2"/>
  <c r="N659" i="2"/>
  <c r="M659" i="2"/>
  <c r="L659" i="2"/>
  <c r="K659" i="2"/>
  <c r="J659" i="2"/>
  <c r="I659" i="2"/>
  <c r="H659" i="2"/>
  <c r="G659" i="2"/>
  <c r="F659" i="2"/>
  <c r="E659" i="2"/>
  <c r="D659" i="2"/>
  <c r="C659" i="2"/>
  <c r="B659" i="2"/>
  <c r="A659" i="2"/>
  <c r="AE658" i="2"/>
  <c r="AD658" i="2"/>
  <c r="AC658" i="2"/>
  <c r="AB658" i="2"/>
  <c r="AA658" i="2"/>
  <c r="Z658" i="2"/>
  <c r="Y658" i="2"/>
  <c r="X658" i="2"/>
  <c r="W658" i="2"/>
  <c r="V658" i="2"/>
  <c r="U658" i="2"/>
  <c r="T658" i="2"/>
  <c r="S658" i="2"/>
  <c r="R658" i="2"/>
  <c r="Q658" i="2"/>
  <c r="P658" i="2"/>
  <c r="O658" i="2"/>
  <c r="N658" i="2"/>
  <c r="M658" i="2"/>
  <c r="L658" i="2"/>
  <c r="K658" i="2"/>
  <c r="J658" i="2"/>
  <c r="I658" i="2"/>
  <c r="H658" i="2"/>
  <c r="G658" i="2"/>
  <c r="F658" i="2"/>
  <c r="E658" i="2"/>
  <c r="D658" i="2"/>
  <c r="C658" i="2"/>
  <c r="B658" i="2"/>
  <c r="A658" i="2"/>
  <c r="AE657" i="2"/>
  <c r="AD657" i="2"/>
  <c r="AC657" i="2"/>
  <c r="AB657" i="2"/>
  <c r="AA657" i="2"/>
  <c r="Z657" i="2"/>
  <c r="Y657" i="2"/>
  <c r="X657" i="2"/>
  <c r="W657" i="2"/>
  <c r="V657" i="2"/>
  <c r="U657" i="2"/>
  <c r="T657" i="2"/>
  <c r="S657" i="2"/>
  <c r="R657" i="2"/>
  <c r="Q657" i="2"/>
  <c r="P657" i="2"/>
  <c r="O657" i="2"/>
  <c r="N657" i="2"/>
  <c r="M657" i="2"/>
  <c r="L657" i="2"/>
  <c r="K657" i="2"/>
  <c r="J657" i="2"/>
  <c r="I657" i="2"/>
  <c r="H657" i="2"/>
  <c r="G657" i="2"/>
  <c r="F657" i="2"/>
  <c r="E657" i="2"/>
  <c r="D657" i="2"/>
  <c r="C657" i="2"/>
  <c r="B657" i="2"/>
  <c r="A657" i="2"/>
  <c r="AE656" i="2"/>
  <c r="AD656" i="2"/>
  <c r="AC656" i="2"/>
  <c r="AB656" i="2"/>
  <c r="AA656" i="2"/>
  <c r="Z656" i="2"/>
  <c r="Y656" i="2"/>
  <c r="X656" i="2"/>
  <c r="W656" i="2"/>
  <c r="V656" i="2"/>
  <c r="U656" i="2"/>
  <c r="T656" i="2"/>
  <c r="S656" i="2"/>
  <c r="R656" i="2"/>
  <c r="Q656" i="2"/>
  <c r="P656" i="2"/>
  <c r="O656" i="2"/>
  <c r="N656" i="2"/>
  <c r="M656" i="2"/>
  <c r="L656" i="2"/>
  <c r="K656" i="2"/>
  <c r="J656" i="2"/>
  <c r="I656" i="2"/>
  <c r="H656" i="2"/>
  <c r="G656" i="2"/>
  <c r="F656" i="2"/>
  <c r="E656" i="2"/>
  <c r="D656" i="2"/>
  <c r="C656" i="2"/>
  <c r="B656" i="2"/>
  <c r="A656" i="2"/>
  <c r="AE655" i="2"/>
  <c r="AD655" i="2"/>
  <c r="AC655" i="2"/>
  <c r="AB655" i="2"/>
  <c r="AA655" i="2"/>
  <c r="Z655" i="2"/>
  <c r="Y655" i="2"/>
  <c r="X655" i="2"/>
  <c r="W655" i="2"/>
  <c r="V655" i="2"/>
  <c r="U655" i="2"/>
  <c r="T655" i="2"/>
  <c r="S655" i="2"/>
  <c r="R655" i="2"/>
  <c r="Q655" i="2"/>
  <c r="P655" i="2"/>
  <c r="O655" i="2"/>
  <c r="N655" i="2"/>
  <c r="M655" i="2"/>
  <c r="L655" i="2"/>
  <c r="K655" i="2"/>
  <c r="J655" i="2"/>
  <c r="I655" i="2"/>
  <c r="H655" i="2"/>
  <c r="G655" i="2"/>
  <c r="F655" i="2"/>
  <c r="E655" i="2"/>
  <c r="D655" i="2"/>
  <c r="C655" i="2"/>
  <c r="B655" i="2"/>
  <c r="A655" i="2"/>
  <c r="AE654" i="2"/>
  <c r="AD654" i="2"/>
  <c r="AC654" i="2"/>
  <c r="AB654" i="2"/>
  <c r="AA654" i="2"/>
  <c r="Z654" i="2"/>
  <c r="Y654" i="2"/>
  <c r="X654" i="2"/>
  <c r="W654" i="2"/>
  <c r="V654" i="2"/>
  <c r="U654" i="2"/>
  <c r="T654" i="2"/>
  <c r="S654" i="2"/>
  <c r="R654" i="2"/>
  <c r="Q654" i="2"/>
  <c r="P654" i="2"/>
  <c r="O654" i="2"/>
  <c r="N654" i="2"/>
  <c r="M654" i="2"/>
  <c r="L654" i="2"/>
  <c r="K654" i="2"/>
  <c r="J654" i="2"/>
  <c r="I654" i="2"/>
  <c r="H654" i="2"/>
  <c r="G654" i="2"/>
  <c r="F654" i="2"/>
  <c r="E654" i="2"/>
  <c r="D654" i="2"/>
  <c r="C654" i="2"/>
  <c r="B654" i="2"/>
  <c r="A654" i="2"/>
  <c r="AE653" i="2"/>
  <c r="AD653" i="2"/>
  <c r="AC653" i="2"/>
  <c r="AB653" i="2"/>
  <c r="AA653" i="2"/>
  <c r="Z653" i="2"/>
  <c r="Y653" i="2"/>
  <c r="X653" i="2"/>
  <c r="W653" i="2"/>
  <c r="V653" i="2"/>
  <c r="U653" i="2"/>
  <c r="T653" i="2"/>
  <c r="S653" i="2"/>
  <c r="R653" i="2"/>
  <c r="Q653" i="2"/>
  <c r="P653" i="2"/>
  <c r="O653" i="2"/>
  <c r="N653" i="2"/>
  <c r="M653" i="2"/>
  <c r="L653" i="2"/>
  <c r="K653" i="2"/>
  <c r="J653" i="2"/>
  <c r="I653" i="2"/>
  <c r="H653" i="2"/>
  <c r="G653" i="2"/>
  <c r="F653" i="2"/>
  <c r="E653" i="2"/>
  <c r="D653" i="2"/>
  <c r="C653" i="2"/>
  <c r="B653" i="2"/>
  <c r="A653" i="2"/>
  <c r="AE652" i="2"/>
  <c r="AD652" i="2"/>
  <c r="AC652" i="2"/>
  <c r="AB652" i="2"/>
  <c r="AA652" i="2"/>
  <c r="Z652" i="2"/>
  <c r="Y652" i="2"/>
  <c r="X652" i="2"/>
  <c r="W652" i="2"/>
  <c r="V652" i="2"/>
  <c r="U652" i="2"/>
  <c r="T652" i="2"/>
  <c r="S652" i="2"/>
  <c r="R652" i="2"/>
  <c r="Q652" i="2"/>
  <c r="P652" i="2"/>
  <c r="O652" i="2"/>
  <c r="N652" i="2"/>
  <c r="M652" i="2"/>
  <c r="L652" i="2"/>
  <c r="K652" i="2"/>
  <c r="J652" i="2"/>
  <c r="I652" i="2"/>
  <c r="H652" i="2"/>
  <c r="G652" i="2"/>
  <c r="F652" i="2"/>
  <c r="E652" i="2"/>
  <c r="D652" i="2"/>
  <c r="C652" i="2"/>
  <c r="B652" i="2"/>
  <c r="A652" i="2"/>
  <c r="AE651" i="2"/>
  <c r="AD651" i="2"/>
  <c r="AC651" i="2"/>
  <c r="AB651" i="2"/>
  <c r="AA651" i="2"/>
  <c r="Z651" i="2"/>
  <c r="Y651" i="2"/>
  <c r="X651" i="2"/>
  <c r="W651" i="2"/>
  <c r="V651" i="2"/>
  <c r="U651" i="2"/>
  <c r="T651" i="2"/>
  <c r="S651" i="2"/>
  <c r="R651" i="2"/>
  <c r="Q651" i="2"/>
  <c r="P651" i="2"/>
  <c r="O651" i="2"/>
  <c r="N651" i="2"/>
  <c r="M651" i="2"/>
  <c r="L651" i="2"/>
  <c r="K651" i="2"/>
  <c r="J651" i="2"/>
  <c r="I651" i="2"/>
  <c r="H651" i="2"/>
  <c r="G651" i="2"/>
  <c r="F651" i="2"/>
  <c r="E651" i="2"/>
  <c r="D651" i="2"/>
  <c r="C651" i="2"/>
  <c r="B651" i="2"/>
  <c r="A651" i="2"/>
  <c r="AE650" i="2"/>
  <c r="AD650" i="2"/>
  <c r="AC650" i="2"/>
  <c r="AB650" i="2"/>
  <c r="AA650" i="2"/>
  <c r="Z650" i="2"/>
  <c r="Y650" i="2"/>
  <c r="X650" i="2"/>
  <c r="W650" i="2"/>
  <c r="V650" i="2"/>
  <c r="U650" i="2"/>
  <c r="T650" i="2"/>
  <c r="S650" i="2"/>
  <c r="R650" i="2"/>
  <c r="Q650" i="2"/>
  <c r="P650" i="2"/>
  <c r="O650" i="2"/>
  <c r="N650" i="2"/>
  <c r="M650" i="2"/>
  <c r="L650" i="2"/>
  <c r="K650" i="2"/>
  <c r="J650" i="2"/>
  <c r="I650" i="2"/>
  <c r="H650" i="2"/>
  <c r="G650" i="2"/>
  <c r="F650" i="2"/>
  <c r="E650" i="2"/>
  <c r="D650" i="2"/>
  <c r="C650" i="2"/>
  <c r="B650" i="2"/>
  <c r="A650" i="2"/>
  <c r="AE649" i="2"/>
  <c r="AD649" i="2"/>
  <c r="AC649" i="2"/>
  <c r="AB649" i="2"/>
  <c r="AA649" i="2"/>
  <c r="Z649" i="2"/>
  <c r="Y649" i="2"/>
  <c r="X649" i="2"/>
  <c r="W649" i="2"/>
  <c r="V649" i="2"/>
  <c r="U649" i="2"/>
  <c r="T649" i="2"/>
  <c r="S649" i="2"/>
  <c r="R649" i="2"/>
  <c r="Q649" i="2"/>
  <c r="P649" i="2"/>
  <c r="O649" i="2"/>
  <c r="N649" i="2"/>
  <c r="M649" i="2"/>
  <c r="L649" i="2"/>
  <c r="K649" i="2"/>
  <c r="J649" i="2"/>
  <c r="I649" i="2"/>
  <c r="H649" i="2"/>
  <c r="G649" i="2"/>
  <c r="F649" i="2"/>
  <c r="E649" i="2"/>
  <c r="D649" i="2"/>
  <c r="C649" i="2"/>
  <c r="B649" i="2"/>
  <c r="A649" i="2"/>
  <c r="AE648" i="2"/>
  <c r="AD648" i="2"/>
  <c r="AC648" i="2"/>
  <c r="AB648" i="2"/>
  <c r="AA648" i="2"/>
  <c r="Z648" i="2"/>
  <c r="Y648" i="2"/>
  <c r="X648" i="2"/>
  <c r="W648" i="2"/>
  <c r="V648" i="2"/>
  <c r="U648" i="2"/>
  <c r="T648" i="2"/>
  <c r="S648" i="2"/>
  <c r="R648" i="2"/>
  <c r="Q648" i="2"/>
  <c r="P648" i="2"/>
  <c r="O648" i="2"/>
  <c r="N648" i="2"/>
  <c r="M648" i="2"/>
  <c r="L648" i="2"/>
  <c r="K648" i="2"/>
  <c r="J648" i="2"/>
  <c r="I648" i="2"/>
  <c r="H648" i="2"/>
  <c r="G648" i="2"/>
  <c r="F648" i="2"/>
  <c r="E648" i="2"/>
  <c r="D648" i="2"/>
  <c r="C648" i="2"/>
  <c r="B648" i="2"/>
  <c r="A648" i="2"/>
  <c r="AE647" i="2"/>
  <c r="AD647" i="2"/>
  <c r="AC647" i="2"/>
  <c r="AB647" i="2"/>
  <c r="AA647" i="2"/>
  <c r="Z647" i="2"/>
  <c r="Y647" i="2"/>
  <c r="X647" i="2"/>
  <c r="W647" i="2"/>
  <c r="V647" i="2"/>
  <c r="U647" i="2"/>
  <c r="T647" i="2"/>
  <c r="S647" i="2"/>
  <c r="R647" i="2"/>
  <c r="Q647" i="2"/>
  <c r="P647" i="2"/>
  <c r="O647" i="2"/>
  <c r="N647" i="2"/>
  <c r="M647" i="2"/>
  <c r="L647" i="2"/>
  <c r="K647" i="2"/>
  <c r="J647" i="2"/>
  <c r="I647" i="2"/>
  <c r="H647" i="2"/>
  <c r="G647" i="2"/>
  <c r="F647" i="2"/>
  <c r="E647" i="2"/>
  <c r="D647" i="2"/>
  <c r="C647" i="2"/>
  <c r="B647" i="2"/>
  <c r="A647" i="2"/>
  <c r="AE646" i="2"/>
  <c r="AD646" i="2"/>
  <c r="AC646" i="2"/>
  <c r="AB646" i="2"/>
  <c r="AA646" i="2"/>
  <c r="Z646" i="2"/>
  <c r="Y646" i="2"/>
  <c r="X646" i="2"/>
  <c r="W646" i="2"/>
  <c r="V646" i="2"/>
  <c r="U646" i="2"/>
  <c r="T646" i="2"/>
  <c r="S646" i="2"/>
  <c r="R646" i="2"/>
  <c r="Q646" i="2"/>
  <c r="P646" i="2"/>
  <c r="O646" i="2"/>
  <c r="N646" i="2"/>
  <c r="M646" i="2"/>
  <c r="L646" i="2"/>
  <c r="K646" i="2"/>
  <c r="J646" i="2"/>
  <c r="I646" i="2"/>
  <c r="H646" i="2"/>
  <c r="G646" i="2"/>
  <c r="F646" i="2"/>
  <c r="E646" i="2"/>
  <c r="D646" i="2"/>
  <c r="C646" i="2"/>
  <c r="B646" i="2"/>
  <c r="A646" i="2"/>
  <c r="AE645" i="2"/>
  <c r="AD645" i="2"/>
  <c r="AC645" i="2"/>
  <c r="AB645" i="2"/>
  <c r="AA645" i="2"/>
  <c r="Z645" i="2"/>
  <c r="Y645" i="2"/>
  <c r="X645" i="2"/>
  <c r="W645" i="2"/>
  <c r="V645" i="2"/>
  <c r="U645" i="2"/>
  <c r="T645" i="2"/>
  <c r="S645" i="2"/>
  <c r="R645" i="2"/>
  <c r="Q645" i="2"/>
  <c r="P645" i="2"/>
  <c r="O645" i="2"/>
  <c r="N645" i="2"/>
  <c r="M645" i="2"/>
  <c r="L645" i="2"/>
  <c r="K645" i="2"/>
  <c r="J645" i="2"/>
  <c r="I645" i="2"/>
  <c r="H645" i="2"/>
  <c r="G645" i="2"/>
  <c r="F645" i="2"/>
  <c r="E645" i="2"/>
  <c r="D645" i="2"/>
  <c r="C645" i="2"/>
  <c r="B645" i="2"/>
  <c r="A645" i="2"/>
  <c r="AE644" i="2"/>
  <c r="AD644" i="2"/>
  <c r="AC644" i="2"/>
  <c r="AB644" i="2"/>
  <c r="AA644" i="2"/>
  <c r="Z644" i="2"/>
  <c r="Y644" i="2"/>
  <c r="X644" i="2"/>
  <c r="W644" i="2"/>
  <c r="V644" i="2"/>
  <c r="U644" i="2"/>
  <c r="T644" i="2"/>
  <c r="S644" i="2"/>
  <c r="R644" i="2"/>
  <c r="Q644" i="2"/>
  <c r="P644" i="2"/>
  <c r="O644" i="2"/>
  <c r="N644" i="2"/>
  <c r="M644" i="2"/>
  <c r="L644" i="2"/>
  <c r="K644" i="2"/>
  <c r="J644" i="2"/>
  <c r="I644" i="2"/>
  <c r="H644" i="2"/>
  <c r="G644" i="2"/>
  <c r="F644" i="2"/>
  <c r="E644" i="2"/>
  <c r="D644" i="2"/>
  <c r="C644" i="2"/>
  <c r="B644" i="2"/>
  <c r="A644" i="2"/>
  <c r="AE643" i="2"/>
  <c r="AD643" i="2"/>
  <c r="AC643" i="2"/>
  <c r="AB643" i="2"/>
  <c r="AA643" i="2"/>
  <c r="Z643" i="2"/>
  <c r="Y643" i="2"/>
  <c r="X643" i="2"/>
  <c r="W643" i="2"/>
  <c r="V643" i="2"/>
  <c r="U643" i="2"/>
  <c r="T643" i="2"/>
  <c r="S643" i="2"/>
  <c r="R643" i="2"/>
  <c r="Q643" i="2"/>
  <c r="P643" i="2"/>
  <c r="O643" i="2"/>
  <c r="N643" i="2"/>
  <c r="M643" i="2"/>
  <c r="L643" i="2"/>
  <c r="K643" i="2"/>
  <c r="J643" i="2"/>
  <c r="I643" i="2"/>
  <c r="H643" i="2"/>
  <c r="G643" i="2"/>
  <c r="F643" i="2"/>
  <c r="E643" i="2"/>
  <c r="D643" i="2"/>
  <c r="C643" i="2"/>
  <c r="B643" i="2"/>
  <c r="A643" i="2"/>
  <c r="AE642" i="2"/>
  <c r="AD642" i="2"/>
  <c r="AC642" i="2"/>
  <c r="AB642" i="2"/>
  <c r="AA642" i="2"/>
  <c r="Z642" i="2"/>
  <c r="Y642" i="2"/>
  <c r="X642" i="2"/>
  <c r="W642" i="2"/>
  <c r="V642" i="2"/>
  <c r="U642" i="2"/>
  <c r="T642" i="2"/>
  <c r="S642" i="2"/>
  <c r="R642" i="2"/>
  <c r="Q642" i="2"/>
  <c r="P642" i="2"/>
  <c r="O642" i="2"/>
  <c r="N642" i="2"/>
  <c r="M642" i="2"/>
  <c r="L642" i="2"/>
  <c r="K642" i="2"/>
  <c r="J642" i="2"/>
  <c r="I642" i="2"/>
  <c r="H642" i="2"/>
  <c r="G642" i="2"/>
  <c r="F642" i="2"/>
  <c r="E642" i="2"/>
  <c r="D642" i="2"/>
  <c r="C642" i="2"/>
  <c r="B642" i="2"/>
  <c r="A642" i="2"/>
  <c r="AE641" i="2"/>
  <c r="AD641" i="2"/>
  <c r="AC641" i="2"/>
  <c r="AB641" i="2"/>
  <c r="AA641" i="2"/>
  <c r="Z641" i="2"/>
  <c r="Y641" i="2"/>
  <c r="X641" i="2"/>
  <c r="W641" i="2"/>
  <c r="V641" i="2"/>
  <c r="U641" i="2"/>
  <c r="T641" i="2"/>
  <c r="S641" i="2"/>
  <c r="R641" i="2"/>
  <c r="Q641" i="2"/>
  <c r="P641" i="2"/>
  <c r="O641" i="2"/>
  <c r="N641" i="2"/>
  <c r="M641" i="2"/>
  <c r="L641" i="2"/>
  <c r="K641" i="2"/>
  <c r="J641" i="2"/>
  <c r="I641" i="2"/>
  <c r="H641" i="2"/>
  <c r="G641" i="2"/>
  <c r="F641" i="2"/>
  <c r="E641" i="2"/>
  <c r="D641" i="2"/>
  <c r="C641" i="2"/>
  <c r="B641" i="2"/>
  <c r="A641" i="2"/>
  <c r="AE640" i="2"/>
  <c r="AD640" i="2"/>
  <c r="AC640" i="2"/>
  <c r="AB640" i="2"/>
  <c r="AA640" i="2"/>
  <c r="Z640" i="2"/>
  <c r="Y640" i="2"/>
  <c r="X640" i="2"/>
  <c r="W640" i="2"/>
  <c r="V640" i="2"/>
  <c r="U640" i="2"/>
  <c r="T640" i="2"/>
  <c r="S640" i="2"/>
  <c r="R640" i="2"/>
  <c r="Q640" i="2"/>
  <c r="P640" i="2"/>
  <c r="O640" i="2"/>
  <c r="N640" i="2"/>
  <c r="M640" i="2"/>
  <c r="L640" i="2"/>
  <c r="K640" i="2"/>
  <c r="J640" i="2"/>
  <c r="I640" i="2"/>
  <c r="H640" i="2"/>
  <c r="G640" i="2"/>
  <c r="F640" i="2"/>
  <c r="E640" i="2"/>
  <c r="D640" i="2"/>
  <c r="C640" i="2"/>
  <c r="B640" i="2"/>
  <c r="A640" i="2"/>
  <c r="AE639" i="2"/>
  <c r="AD639" i="2"/>
  <c r="AC639" i="2"/>
  <c r="AB639" i="2"/>
  <c r="AA639" i="2"/>
  <c r="Z639" i="2"/>
  <c r="Y639" i="2"/>
  <c r="X639" i="2"/>
  <c r="W639" i="2"/>
  <c r="V639" i="2"/>
  <c r="U639" i="2"/>
  <c r="T639" i="2"/>
  <c r="S639" i="2"/>
  <c r="R639" i="2"/>
  <c r="Q639" i="2"/>
  <c r="P639" i="2"/>
  <c r="O639" i="2"/>
  <c r="N639" i="2"/>
  <c r="M639" i="2"/>
  <c r="L639" i="2"/>
  <c r="K639" i="2"/>
  <c r="J639" i="2"/>
  <c r="I639" i="2"/>
  <c r="H639" i="2"/>
  <c r="G639" i="2"/>
  <c r="F639" i="2"/>
  <c r="E639" i="2"/>
  <c r="D639" i="2"/>
  <c r="C639" i="2"/>
  <c r="B639" i="2"/>
  <c r="A639" i="2"/>
  <c r="AE638" i="2"/>
  <c r="AD638" i="2"/>
  <c r="AC638" i="2"/>
  <c r="AB638" i="2"/>
  <c r="AA638" i="2"/>
  <c r="Z638" i="2"/>
  <c r="Y638" i="2"/>
  <c r="X638" i="2"/>
  <c r="W638" i="2"/>
  <c r="V638" i="2"/>
  <c r="U638" i="2"/>
  <c r="T638" i="2"/>
  <c r="S638" i="2"/>
  <c r="R638" i="2"/>
  <c r="Q638" i="2"/>
  <c r="P638" i="2"/>
  <c r="O638" i="2"/>
  <c r="N638" i="2"/>
  <c r="M638" i="2"/>
  <c r="L638" i="2"/>
  <c r="K638" i="2"/>
  <c r="J638" i="2"/>
  <c r="I638" i="2"/>
  <c r="H638" i="2"/>
  <c r="G638" i="2"/>
  <c r="F638" i="2"/>
  <c r="E638" i="2"/>
  <c r="D638" i="2"/>
  <c r="C638" i="2"/>
  <c r="B638" i="2"/>
  <c r="A638" i="2"/>
  <c r="AE637" i="2"/>
  <c r="AD637" i="2"/>
  <c r="AC637" i="2"/>
  <c r="AB637" i="2"/>
  <c r="AA637" i="2"/>
  <c r="Z637" i="2"/>
  <c r="Y637" i="2"/>
  <c r="X637" i="2"/>
  <c r="W637" i="2"/>
  <c r="V637" i="2"/>
  <c r="U637" i="2"/>
  <c r="T637" i="2"/>
  <c r="S637" i="2"/>
  <c r="R637" i="2"/>
  <c r="Q637" i="2"/>
  <c r="P637" i="2"/>
  <c r="O637" i="2"/>
  <c r="N637" i="2"/>
  <c r="M637" i="2"/>
  <c r="L637" i="2"/>
  <c r="K637" i="2"/>
  <c r="J637" i="2"/>
  <c r="I637" i="2"/>
  <c r="H637" i="2"/>
  <c r="G637" i="2"/>
  <c r="F637" i="2"/>
  <c r="E637" i="2"/>
  <c r="D637" i="2"/>
  <c r="C637" i="2"/>
  <c r="B637" i="2"/>
  <c r="A637" i="2"/>
  <c r="AE636" i="2"/>
  <c r="AD636" i="2"/>
  <c r="AC636" i="2"/>
  <c r="AB636" i="2"/>
  <c r="AA636" i="2"/>
  <c r="Z636" i="2"/>
  <c r="Y636" i="2"/>
  <c r="X636" i="2"/>
  <c r="W636" i="2"/>
  <c r="V636" i="2"/>
  <c r="U636" i="2"/>
  <c r="T636" i="2"/>
  <c r="S636" i="2"/>
  <c r="R636" i="2"/>
  <c r="Q636" i="2"/>
  <c r="P636" i="2"/>
  <c r="O636" i="2"/>
  <c r="N636" i="2"/>
  <c r="M636" i="2"/>
  <c r="L636" i="2"/>
  <c r="K636" i="2"/>
  <c r="J636" i="2"/>
  <c r="I636" i="2"/>
  <c r="H636" i="2"/>
  <c r="G636" i="2"/>
  <c r="F636" i="2"/>
  <c r="E636" i="2"/>
  <c r="D636" i="2"/>
  <c r="C636" i="2"/>
  <c r="B636" i="2"/>
  <c r="A636" i="2"/>
  <c r="AE635" i="2"/>
  <c r="AD635" i="2"/>
  <c r="AC635" i="2"/>
  <c r="AB635" i="2"/>
  <c r="AA635" i="2"/>
  <c r="Z635" i="2"/>
  <c r="Y635" i="2"/>
  <c r="X635" i="2"/>
  <c r="W635" i="2"/>
  <c r="V635" i="2"/>
  <c r="U635" i="2"/>
  <c r="T635" i="2"/>
  <c r="S635" i="2"/>
  <c r="R635" i="2"/>
  <c r="Q635" i="2"/>
  <c r="P635" i="2"/>
  <c r="O635" i="2"/>
  <c r="N635" i="2"/>
  <c r="M635" i="2"/>
  <c r="L635" i="2"/>
  <c r="K635" i="2"/>
  <c r="J635" i="2"/>
  <c r="I635" i="2"/>
  <c r="H635" i="2"/>
  <c r="G635" i="2"/>
  <c r="F635" i="2"/>
  <c r="E635" i="2"/>
  <c r="D635" i="2"/>
  <c r="C635" i="2"/>
  <c r="B635" i="2"/>
  <c r="A635" i="2"/>
  <c r="AE634" i="2"/>
  <c r="AD634" i="2"/>
  <c r="AC634" i="2"/>
  <c r="AB634" i="2"/>
  <c r="AA634" i="2"/>
  <c r="Z634" i="2"/>
  <c r="Y634" i="2"/>
  <c r="X634" i="2"/>
  <c r="W634" i="2"/>
  <c r="V634" i="2"/>
  <c r="U634" i="2"/>
  <c r="T634" i="2"/>
  <c r="S634" i="2"/>
  <c r="R634" i="2"/>
  <c r="Q634" i="2"/>
  <c r="P634" i="2"/>
  <c r="O634" i="2"/>
  <c r="N634" i="2"/>
  <c r="M634" i="2"/>
  <c r="L634" i="2"/>
  <c r="K634" i="2"/>
  <c r="J634" i="2"/>
  <c r="I634" i="2"/>
  <c r="H634" i="2"/>
  <c r="G634" i="2"/>
  <c r="F634" i="2"/>
  <c r="E634" i="2"/>
  <c r="D634" i="2"/>
  <c r="C634" i="2"/>
  <c r="B634" i="2"/>
  <c r="A634" i="2"/>
  <c r="AE633" i="2"/>
  <c r="AD633" i="2"/>
  <c r="AC633" i="2"/>
  <c r="AB633" i="2"/>
  <c r="AA633" i="2"/>
  <c r="Z633" i="2"/>
  <c r="Y633" i="2"/>
  <c r="X633" i="2"/>
  <c r="W633" i="2"/>
  <c r="V633" i="2"/>
  <c r="U633" i="2"/>
  <c r="T633" i="2"/>
  <c r="S633" i="2"/>
  <c r="R633" i="2"/>
  <c r="Q633" i="2"/>
  <c r="P633" i="2"/>
  <c r="O633" i="2"/>
  <c r="N633" i="2"/>
  <c r="M633" i="2"/>
  <c r="L633" i="2"/>
  <c r="K633" i="2"/>
  <c r="J633" i="2"/>
  <c r="I633" i="2"/>
  <c r="H633" i="2"/>
  <c r="G633" i="2"/>
  <c r="F633" i="2"/>
  <c r="E633" i="2"/>
  <c r="D633" i="2"/>
  <c r="C633" i="2"/>
  <c r="B633" i="2"/>
  <c r="A633" i="2"/>
  <c r="AE632" i="2"/>
  <c r="AD632" i="2"/>
  <c r="AC632" i="2"/>
  <c r="AB632" i="2"/>
  <c r="AA632" i="2"/>
  <c r="Z632" i="2"/>
  <c r="Y632" i="2"/>
  <c r="X632" i="2"/>
  <c r="W632" i="2"/>
  <c r="V632" i="2"/>
  <c r="U632" i="2"/>
  <c r="T632" i="2"/>
  <c r="S632" i="2"/>
  <c r="R632" i="2"/>
  <c r="Q632" i="2"/>
  <c r="P632" i="2"/>
  <c r="O632" i="2"/>
  <c r="N632" i="2"/>
  <c r="M632" i="2"/>
  <c r="L632" i="2"/>
  <c r="K632" i="2"/>
  <c r="J632" i="2"/>
  <c r="I632" i="2"/>
  <c r="H632" i="2"/>
  <c r="G632" i="2"/>
  <c r="F632" i="2"/>
  <c r="E632" i="2"/>
  <c r="D632" i="2"/>
  <c r="C632" i="2"/>
  <c r="B632" i="2"/>
  <c r="A632" i="2"/>
  <c r="AE631" i="2"/>
  <c r="AD631" i="2"/>
  <c r="AC631" i="2"/>
  <c r="AB631" i="2"/>
  <c r="AA631" i="2"/>
  <c r="Z631" i="2"/>
  <c r="Y631" i="2"/>
  <c r="X631" i="2"/>
  <c r="W631" i="2"/>
  <c r="V631" i="2"/>
  <c r="U631" i="2"/>
  <c r="T631" i="2"/>
  <c r="S631" i="2"/>
  <c r="R631" i="2"/>
  <c r="Q631" i="2"/>
  <c r="P631" i="2"/>
  <c r="O631" i="2"/>
  <c r="N631" i="2"/>
  <c r="M631" i="2"/>
  <c r="L631" i="2"/>
  <c r="K631" i="2"/>
  <c r="J631" i="2"/>
  <c r="I631" i="2"/>
  <c r="H631" i="2"/>
  <c r="G631" i="2"/>
  <c r="F631" i="2"/>
  <c r="E631" i="2"/>
  <c r="D631" i="2"/>
  <c r="C631" i="2"/>
  <c r="B631" i="2"/>
  <c r="A631" i="2"/>
  <c r="AE630" i="2"/>
  <c r="AD630" i="2"/>
  <c r="AC630" i="2"/>
  <c r="AB630" i="2"/>
  <c r="AA630" i="2"/>
  <c r="Z630" i="2"/>
  <c r="Y630" i="2"/>
  <c r="X630" i="2"/>
  <c r="W630" i="2"/>
  <c r="V630" i="2"/>
  <c r="U630" i="2"/>
  <c r="T630" i="2"/>
  <c r="S630" i="2"/>
  <c r="R630" i="2"/>
  <c r="Q630" i="2"/>
  <c r="P630" i="2"/>
  <c r="O630" i="2"/>
  <c r="N630" i="2"/>
  <c r="M630" i="2"/>
  <c r="L630" i="2"/>
  <c r="K630" i="2"/>
  <c r="J630" i="2"/>
  <c r="I630" i="2"/>
  <c r="H630" i="2"/>
  <c r="G630" i="2"/>
  <c r="F630" i="2"/>
  <c r="E630" i="2"/>
  <c r="D630" i="2"/>
  <c r="C630" i="2"/>
  <c r="B630" i="2"/>
  <c r="A630" i="2"/>
  <c r="AE629" i="2"/>
  <c r="AD629" i="2"/>
  <c r="AC629" i="2"/>
  <c r="AB629" i="2"/>
  <c r="AA629" i="2"/>
  <c r="Z629" i="2"/>
  <c r="Y629" i="2"/>
  <c r="X629" i="2"/>
  <c r="W629" i="2"/>
  <c r="V629" i="2"/>
  <c r="U629" i="2"/>
  <c r="T629" i="2"/>
  <c r="S629" i="2"/>
  <c r="R629" i="2"/>
  <c r="Q629" i="2"/>
  <c r="P629" i="2"/>
  <c r="O629" i="2"/>
  <c r="N629" i="2"/>
  <c r="M629" i="2"/>
  <c r="L629" i="2"/>
  <c r="K629" i="2"/>
  <c r="J629" i="2"/>
  <c r="I629" i="2"/>
  <c r="H629" i="2"/>
  <c r="G629" i="2"/>
  <c r="F629" i="2"/>
  <c r="E629" i="2"/>
  <c r="D629" i="2"/>
  <c r="C629" i="2"/>
  <c r="B629" i="2"/>
  <c r="A629" i="2"/>
  <c r="AE628" i="2"/>
  <c r="AD628" i="2"/>
  <c r="AC628" i="2"/>
  <c r="AB628" i="2"/>
  <c r="AA628" i="2"/>
  <c r="Z628" i="2"/>
  <c r="Y628" i="2"/>
  <c r="X628" i="2"/>
  <c r="W628" i="2"/>
  <c r="V628" i="2"/>
  <c r="U628" i="2"/>
  <c r="T628" i="2"/>
  <c r="S628" i="2"/>
  <c r="R628" i="2"/>
  <c r="Q628" i="2"/>
  <c r="P628" i="2"/>
  <c r="O628" i="2"/>
  <c r="N628" i="2"/>
  <c r="M628" i="2"/>
  <c r="L628" i="2"/>
  <c r="K628" i="2"/>
  <c r="J628" i="2"/>
  <c r="I628" i="2"/>
  <c r="H628" i="2"/>
  <c r="G628" i="2"/>
  <c r="F628" i="2"/>
  <c r="E628" i="2"/>
  <c r="D628" i="2"/>
  <c r="C628" i="2"/>
  <c r="B628" i="2"/>
  <c r="A628" i="2"/>
  <c r="AE627" i="2"/>
  <c r="AD627" i="2"/>
  <c r="AC627" i="2"/>
  <c r="AB627" i="2"/>
  <c r="AA627" i="2"/>
  <c r="Z627" i="2"/>
  <c r="Y627" i="2"/>
  <c r="X627" i="2"/>
  <c r="W627" i="2"/>
  <c r="V627" i="2"/>
  <c r="U627" i="2"/>
  <c r="T627" i="2"/>
  <c r="S627" i="2"/>
  <c r="R627" i="2"/>
  <c r="Q627" i="2"/>
  <c r="P627" i="2"/>
  <c r="O627" i="2"/>
  <c r="N627" i="2"/>
  <c r="M627" i="2"/>
  <c r="L627" i="2"/>
  <c r="K627" i="2"/>
  <c r="J627" i="2"/>
  <c r="I627" i="2"/>
  <c r="H627" i="2"/>
  <c r="G627" i="2"/>
  <c r="F627" i="2"/>
  <c r="E627" i="2"/>
  <c r="D627" i="2"/>
  <c r="C627" i="2"/>
  <c r="B627" i="2"/>
  <c r="A627" i="2"/>
  <c r="AE626" i="2"/>
  <c r="AD626" i="2"/>
  <c r="AC626" i="2"/>
  <c r="AB626" i="2"/>
  <c r="AA626" i="2"/>
  <c r="Z626" i="2"/>
  <c r="Y626" i="2"/>
  <c r="X626" i="2"/>
  <c r="W626" i="2"/>
  <c r="V626" i="2"/>
  <c r="U626" i="2"/>
  <c r="T626" i="2"/>
  <c r="S626" i="2"/>
  <c r="R626" i="2"/>
  <c r="Q626" i="2"/>
  <c r="P626" i="2"/>
  <c r="O626" i="2"/>
  <c r="N626" i="2"/>
  <c r="M626" i="2"/>
  <c r="L626" i="2"/>
  <c r="K626" i="2"/>
  <c r="J626" i="2"/>
  <c r="I626" i="2"/>
  <c r="H626" i="2"/>
  <c r="G626" i="2"/>
  <c r="F626" i="2"/>
  <c r="E626" i="2"/>
  <c r="D626" i="2"/>
  <c r="C626" i="2"/>
  <c r="B626" i="2"/>
  <c r="A626" i="2"/>
  <c r="AE625" i="2"/>
  <c r="AD625" i="2"/>
  <c r="AC625" i="2"/>
  <c r="AB625" i="2"/>
  <c r="AA625" i="2"/>
  <c r="Z625" i="2"/>
  <c r="Y625" i="2"/>
  <c r="X625" i="2"/>
  <c r="W625" i="2"/>
  <c r="V625" i="2"/>
  <c r="U625" i="2"/>
  <c r="T625" i="2"/>
  <c r="S625" i="2"/>
  <c r="R625" i="2"/>
  <c r="Q625" i="2"/>
  <c r="P625" i="2"/>
  <c r="O625" i="2"/>
  <c r="N625" i="2"/>
  <c r="M625" i="2"/>
  <c r="L625" i="2"/>
  <c r="K625" i="2"/>
  <c r="J625" i="2"/>
  <c r="I625" i="2"/>
  <c r="H625" i="2"/>
  <c r="G625" i="2"/>
  <c r="F625" i="2"/>
  <c r="E625" i="2"/>
  <c r="D625" i="2"/>
  <c r="C625" i="2"/>
  <c r="B625" i="2"/>
  <c r="A625" i="2"/>
  <c r="AE624" i="2"/>
  <c r="AD624" i="2"/>
  <c r="AC624" i="2"/>
  <c r="AB624" i="2"/>
  <c r="AA624" i="2"/>
  <c r="Z624" i="2"/>
  <c r="Y624" i="2"/>
  <c r="X624" i="2"/>
  <c r="W624" i="2"/>
  <c r="V624" i="2"/>
  <c r="U624" i="2"/>
  <c r="T624" i="2"/>
  <c r="S624" i="2"/>
  <c r="R624" i="2"/>
  <c r="Q624" i="2"/>
  <c r="P624" i="2"/>
  <c r="O624" i="2"/>
  <c r="N624" i="2"/>
  <c r="M624" i="2"/>
  <c r="L624" i="2"/>
  <c r="K624" i="2"/>
  <c r="J624" i="2"/>
  <c r="I624" i="2"/>
  <c r="H624" i="2"/>
  <c r="G624" i="2"/>
  <c r="F624" i="2"/>
  <c r="E624" i="2"/>
  <c r="D624" i="2"/>
  <c r="C624" i="2"/>
  <c r="B624" i="2"/>
  <c r="A624" i="2"/>
  <c r="AE623" i="2"/>
  <c r="AD623" i="2"/>
  <c r="AC623" i="2"/>
  <c r="AB623" i="2"/>
  <c r="AA623" i="2"/>
  <c r="Z623" i="2"/>
  <c r="Y623" i="2"/>
  <c r="X623" i="2"/>
  <c r="W623" i="2"/>
  <c r="V623" i="2"/>
  <c r="U623" i="2"/>
  <c r="T623" i="2"/>
  <c r="S623" i="2"/>
  <c r="R623" i="2"/>
  <c r="Q623" i="2"/>
  <c r="P623" i="2"/>
  <c r="O623" i="2"/>
  <c r="N623" i="2"/>
  <c r="M623" i="2"/>
  <c r="L623" i="2"/>
  <c r="K623" i="2"/>
  <c r="J623" i="2"/>
  <c r="I623" i="2"/>
  <c r="H623" i="2"/>
  <c r="G623" i="2"/>
  <c r="F623" i="2"/>
  <c r="E623" i="2"/>
  <c r="D623" i="2"/>
  <c r="C623" i="2"/>
  <c r="B623" i="2"/>
  <c r="A623" i="2"/>
  <c r="AE622" i="2"/>
  <c r="AD622" i="2"/>
  <c r="AC622" i="2"/>
  <c r="AB622" i="2"/>
  <c r="AA622" i="2"/>
  <c r="Z622" i="2"/>
  <c r="Y622" i="2"/>
  <c r="X622" i="2"/>
  <c r="W622" i="2"/>
  <c r="V622" i="2"/>
  <c r="U622" i="2"/>
  <c r="T622" i="2"/>
  <c r="S622" i="2"/>
  <c r="R622" i="2"/>
  <c r="Q622" i="2"/>
  <c r="P622" i="2"/>
  <c r="O622" i="2"/>
  <c r="N622" i="2"/>
  <c r="M622" i="2"/>
  <c r="L622" i="2"/>
  <c r="K622" i="2"/>
  <c r="J622" i="2"/>
  <c r="I622" i="2"/>
  <c r="H622" i="2"/>
  <c r="G622" i="2"/>
  <c r="F622" i="2"/>
  <c r="E622" i="2"/>
  <c r="D622" i="2"/>
  <c r="C622" i="2"/>
  <c r="B622" i="2"/>
  <c r="A622" i="2"/>
  <c r="AE621" i="2"/>
  <c r="AD621" i="2"/>
  <c r="AC621" i="2"/>
  <c r="AB621" i="2"/>
  <c r="AA621" i="2"/>
  <c r="Z621" i="2"/>
  <c r="Y621" i="2"/>
  <c r="X621" i="2"/>
  <c r="W621" i="2"/>
  <c r="V621" i="2"/>
  <c r="U621" i="2"/>
  <c r="T621" i="2"/>
  <c r="S621" i="2"/>
  <c r="R621" i="2"/>
  <c r="Q621" i="2"/>
  <c r="P621" i="2"/>
  <c r="O621" i="2"/>
  <c r="N621" i="2"/>
  <c r="M621" i="2"/>
  <c r="L621" i="2"/>
  <c r="K621" i="2"/>
  <c r="J621" i="2"/>
  <c r="I621" i="2"/>
  <c r="H621" i="2"/>
  <c r="G621" i="2"/>
  <c r="F621" i="2"/>
  <c r="E621" i="2"/>
  <c r="D621" i="2"/>
  <c r="C621" i="2"/>
  <c r="B621" i="2"/>
  <c r="A621" i="2"/>
  <c r="AE620" i="2"/>
  <c r="AD620" i="2"/>
  <c r="AC620" i="2"/>
  <c r="AB620" i="2"/>
  <c r="AA620" i="2"/>
  <c r="Z620" i="2"/>
  <c r="Y620" i="2"/>
  <c r="X620" i="2"/>
  <c r="W620" i="2"/>
  <c r="V620" i="2"/>
  <c r="U620" i="2"/>
  <c r="T620" i="2"/>
  <c r="S620" i="2"/>
  <c r="R620" i="2"/>
  <c r="Q620" i="2"/>
  <c r="P620" i="2"/>
  <c r="O620" i="2"/>
  <c r="N620" i="2"/>
  <c r="M620" i="2"/>
  <c r="L620" i="2"/>
  <c r="K620" i="2"/>
  <c r="J620" i="2"/>
  <c r="I620" i="2"/>
  <c r="H620" i="2"/>
  <c r="G620" i="2"/>
  <c r="F620" i="2"/>
  <c r="E620" i="2"/>
  <c r="D620" i="2"/>
  <c r="C620" i="2"/>
  <c r="B620" i="2"/>
  <c r="A620" i="2"/>
  <c r="AE619" i="2"/>
  <c r="AD619" i="2"/>
  <c r="AC619" i="2"/>
  <c r="AB619" i="2"/>
  <c r="AA619" i="2"/>
  <c r="Z619" i="2"/>
  <c r="Y619" i="2"/>
  <c r="X619" i="2"/>
  <c r="W619" i="2"/>
  <c r="V619" i="2"/>
  <c r="U619" i="2"/>
  <c r="T619" i="2"/>
  <c r="S619" i="2"/>
  <c r="R619" i="2"/>
  <c r="Q619" i="2"/>
  <c r="P619" i="2"/>
  <c r="O619" i="2"/>
  <c r="N619" i="2"/>
  <c r="M619" i="2"/>
  <c r="L619" i="2"/>
  <c r="K619" i="2"/>
  <c r="J619" i="2"/>
  <c r="I619" i="2"/>
  <c r="H619" i="2"/>
  <c r="G619" i="2"/>
  <c r="F619" i="2"/>
  <c r="E619" i="2"/>
  <c r="D619" i="2"/>
  <c r="C619" i="2"/>
  <c r="B619" i="2"/>
  <c r="A619" i="2"/>
  <c r="AE618" i="2"/>
  <c r="AD618" i="2"/>
  <c r="AC618" i="2"/>
  <c r="AB618" i="2"/>
  <c r="AA618" i="2"/>
  <c r="Z618" i="2"/>
  <c r="Y618" i="2"/>
  <c r="X618" i="2"/>
  <c r="W618" i="2"/>
  <c r="V618" i="2"/>
  <c r="U618" i="2"/>
  <c r="T618" i="2"/>
  <c r="S618" i="2"/>
  <c r="R618" i="2"/>
  <c r="Q618" i="2"/>
  <c r="P618" i="2"/>
  <c r="O618" i="2"/>
  <c r="N618" i="2"/>
  <c r="M618" i="2"/>
  <c r="L618" i="2"/>
  <c r="K618" i="2"/>
  <c r="J618" i="2"/>
  <c r="I618" i="2"/>
  <c r="H618" i="2"/>
  <c r="G618" i="2"/>
  <c r="F618" i="2"/>
  <c r="E618" i="2"/>
  <c r="D618" i="2"/>
  <c r="C618" i="2"/>
  <c r="B618" i="2"/>
  <c r="A618" i="2"/>
  <c r="AE617" i="2"/>
  <c r="AD617" i="2"/>
  <c r="AC617" i="2"/>
  <c r="AB617" i="2"/>
  <c r="AA617" i="2"/>
  <c r="Z617" i="2"/>
  <c r="Y617" i="2"/>
  <c r="X617" i="2"/>
  <c r="W617" i="2"/>
  <c r="V617" i="2"/>
  <c r="U617" i="2"/>
  <c r="T617" i="2"/>
  <c r="S617" i="2"/>
  <c r="R617" i="2"/>
  <c r="Q617" i="2"/>
  <c r="P617" i="2"/>
  <c r="O617" i="2"/>
  <c r="N617" i="2"/>
  <c r="M617" i="2"/>
  <c r="L617" i="2"/>
  <c r="K617" i="2"/>
  <c r="J617" i="2"/>
  <c r="I617" i="2"/>
  <c r="H617" i="2"/>
  <c r="G617" i="2"/>
  <c r="F617" i="2"/>
  <c r="E617" i="2"/>
  <c r="D617" i="2"/>
  <c r="C617" i="2"/>
  <c r="B617" i="2"/>
  <c r="A617" i="2"/>
  <c r="AE616" i="2"/>
  <c r="AD616" i="2"/>
  <c r="AC616" i="2"/>
  <c r="AB616" i="2"/>
  <c r="AA616" i="2"/>
  <c r="Z616" i="2"/>
  <c r="Y616" i="2"/>
  <c r="X616" i="2"/>
  <c r="W616" i="2"/>
  <c r="V616" i="2"/>
  <c r="U616" i="2"/>
  <c r="T616" i="2"/>
  <c r="S616" i="2"/>
  <c r="R616" i="2"/>
  <c r="Q616" i="2"/>
  <c r="P616" i="2"/>
  <c r="O616" i="2"/>
  <c r="N616" i="2"/>
  <c r="M616" i="2"/>
  <c r="L616" i="2"/>
  <c r="K616" i="2"/>
  <c r="J616" i="2"/>
  <c r="I616" i="2"/>
  <c r="H616" i="2"/>
  <c r="G616" i="2"/>
  <c r="F616" i="2"/>
  <c r="E616" i="2"/>
  <c r="D616" i="2"/>
  <c r="C616" i="2"/>
  <c r="B616" i="2"/>
  <c r="A616" i="2"/>
  <c r="AE615" i="2"/>
  <c r="AD615" i="2"/>
  <c r="AC615" i="2"/>
  <c r="AB615" i="2"/>
  <c r="AA615" i="2"/>
  <c r="Z615" i="2"/>
  <c r="Y615" i="2"/>
  <c r="X615" i="2"/>
  <c r="W615" i="2"/>
  <c r="V615" i="2"/>
  <c r="U615" i="2"/>
  <c r="T615" i="2"/>
  <c r="S615" i="2"/>
  <c r="R615" i="2"/>
  <c r="Q615" i="2"/>
  <c r="P615" i="2"/>
  <c r="O615" i="2"/>
  <c r="N615" i="2"/>
  <c r="M615" i="2"/>
  <c r="L615" i="2"/>
  <c r="K615" i="2"/>
  <c r="J615" i="2"/>
  <c r="I615" i="2"/>
  <c r="H615" i="2"/>
  <c r="G615" i="2"/>
  <c r="F615" i="2"/>
  <c r="E615" i="2"/>
  <c r="D615" i="2"/>
  <c r="C615" i="2"/>
  <c r="B615" i="2"/>
  <c r="A615" i="2"/>
  <c r="AE614" i="2"/>
  <c r="AD614" i="2"/>
  <c r="AC614" i="2"/>
  <c r="AB614" i="2"/>
  <c r="AA614" i="2"/>
  <c r="Z614" i="2"/>
  <c r="Y614" i="2"/>
  <c r="X614" i="2"/>
  <c r="W614" i="2"/>
  <c r="V614" i="2"/>
  <c r="U614" i="2"/>
  <c r="T614" i="2"/>
  <c r="S614" i="2"/>
  <c r="R614" i="2"/>
  <c r="Q614" i="2"/>
  <c r="P614" i="2"/>
  <c r="O614" i="2"/>
  <c r="N614" i="2"/>
  <c r="M614" i="2"/>
  <c r="L614" i="2"/>
  <c r="K614" i="2"/>
  <c r="J614" i="2"/>
  <c r="I614" i="2"/>
  <c r="H614" i="2"/>
  <c r="G614" i="2"/>
  <c r="F614" i="2"/>
  <c r="E614" i="2"/>
  <c r="D614" i="2"/>
  <c r="C614" i="2"/>
  <c r="B614" i="2"/>
  <c r="A614" i="2"/>
  <c r="AE613" i="2"/>
  <c r="AD613" i="2"/>
  <c r="AC613" i="2"/>
  <c r="AB613" i="2"/>
  <c r="AA613" i="2"/>
  <c r="Z613" i="2"/>
  <c r="Y613" i="2"/>
  <c r="X613" i="2"/>
  <c r="W613" i="2"/>
  <c r="V613" i="2"/>
  <c r="U613" i="2"/>
  <c r="T613" i="2"/>
  <c r="S613" i="2"/>
  <c r="R613" i="2"/>
  <c r="Q613" i="2"/>
  <c r="P613" i="2"/>
  <c r="O613" i="2"/>
  <c r="N613" i="2"/>
  <c r="M613" i="2"/>
  <c r="L613" i="2"/>
  <c r="K613" i="2"/>
  <c r="J613" i="2"/>
  <c r="I613" i="2"/>
  <c r="H613" i="2"/>
  <c r="G613" i="2"/>
  <c r="F613" i="2"/>
  <c r="E613" i="2"/>
  <c r="D613" i="2"/>
  <c r="C613" i="2"/>
  <c r="B613" i="2"/>
  <c r="A613" i="2"/>
  <c r="AE612" i="2"/>
  <c r="AD612" i="2"/>
  <c r="AC612" i="2"/>
  <c r="AB612" i="2"/>
  <c r="AA612" i="2"/>
  <c r="Z612" i="2"/>
  <c r="Y612" i="2"/>
  <c r="X612" i="2"/>
  <c r="W612" i="2"/>
  <c r="V612" i="2"/>
  <c r="U612" i="2"/>
  <c r="T612" i="2"/>
  <c r="S612" i="2"/>
  <c r="R612" i="2"/>
  <c r="Q612" i="2"/>
  <c r="P612" i="2"/>
  <c r="O612" i="2"/>
  <c r="N612" i="2"/>
  <c r="M612" i="2"/>
  <c r="L612" i="2"/>
  <c r="K612" i="2"/>
  <c r="J612" i="2"/>
  <c r="I612" i="2"/>
  <c r="H612" i="2"/>
  <c r="G612" i="2"/>
  <c r="F612" i="2"/>
  <c r="E612" i="2"/>
  <c r="D612" i="2"/>
  <c r="C612" i="2"/>
  <c r="B612" i="2"/>
  <c r="A612" i="2"/>
  <c r="AE611" i="2"/>
  <c r="AD611" i="2"/>
  <c r="AC611" i="2"/>
  <c r="AB611" i="2"/>
  <c r="AA611" i="2"/>
  <c r="Z611" i="2"/>
  <c r="Y611" i="2"/>
  <c r="X611" i="2"/>
  <c r="W611" i="2"/>
  <c r="V611" i="2"/>
  <c r="U611" i="2"/>
  <c r="T611" i="2"/>
  <c r="S611" i="2"/>
  <c r="R611" i="2"/>
  <c r="Q611" i="2"/>
  <c r="P611" i="2"/>
  <c r="O611" i="2"/>
  <c r="N611" i="2"/>
  <c r="M611" i="2"/>
  <c r="L611" i="2"/>
  <c r="K611" i="2"/>
  <c r="J611" i="2"/>
  <c r="I611" i="2"/>
  <c r="H611" i="2"/>
  <c r="G611" i="2"/>
  <c r="F611" i="2"/>
  <c r="E611" i="2"/>
  <c r="D611" i="2"/>
  <c r="C611" i="2"/>
  <c r="B611" i="2"/>
  <c r="A611" i="2"/>
  <c r="AE610" i="2"/>
  <c r="AD610" i="2"/>
  <c r="AC610" i="2"/>
  <c r="AB610" i="2"/>
  <c r="AA610" i="2"/>
  <c r="Z610" i="2"/>
  <c r="Y610" i="2"/>
  <c r="X610" i="2"/>
  <c r="W610" i="2"/>
  <c r="V610" i="2"/>
  <c r="U610" i="2"/>
  <c r="T610" i="2"/>
  <c r="S610" i="2"/>
  <c r="R610" i="2"/>
  <c r="Q610" i="2"/>
  <c r="P610" i="2"/>
  <c r="O610" i="2"/>
  <c r="N610" i="2"/>
  <c r="M610" i="2"/>
  <c r="L610" i="2"/>
  <c r="K610" i="2"/>
  <c r="J610" i="2"/>
  <c r="I610" i="2"/>
  <c r="H610" i="2"/>
  <c r="G610" i="2"/>
  <c r="F610" i="2"/>
  <c r="E610" i="2"/>
  <c r="D610" i="2"/>
  <c r="C610" i="2"/>
  <c r="B610" i="2"/>
  <c r="A610" i="2"/>
  <c r="AE609" i="2"/>
  <c r="AD609" i="2"/>
  <c r="AC609" i="2"/>
  <c r="AB609" i="2"/>
  <c r="AA609" i="2"/>
  <c r="Z609" i="2"/>
  <c r="Y609" i="2"/>
  <c r="X609" i="2"/>
  <c r="W609" i="2"/>
  <c r="V609" i="2"/>
  <c r="U609" i="2"/>
  <c r="T609" i="2"/>
  <c r="S609" i="2"/>
  <c r="R609" i="2"/>
  <c r="Q609" i="2"/>
  <c r="P609" i="2"/>
  <c r="O609" i="2"/>
  <c r="N609" i="2"/>
  <c r="M609" i="2"/>
  <c r="L609" i="2"/>
  <c r="K609" i="2"/>
  <c r="J609" i="2"/>
  <c r="I609" i="2"/>
  <c r="H609" i="2"/>
  <c r="G609" i="2"/>
  <c r="F609" i="2"/>
  <c r="E609" i="2"/>
  <c r="D609" i="2"/>
  <c r="C609" i="2"/>
  <c r="B609" i="2"/>
  <c r="A609" i="2"/>
  <c r="AE608" i="2"/>
  <c r="AD608" i="2"/>
  <c r="AC608" i="2"/>
  <c r="AB608" i="2"/>
  <c r="AA608" i="2"/>
  <c r="Z608" i="2"/>
  <c r="Y608" i="2"/>
  <c r="X608" i="2"/>
  <c r="W608" i="2"/>
  <c r="V608" i="2"/>
  <c r="U608" i="2"/>
  <c r="T608" i="2"/>
  <c r="S608" i="2"/>
  <c r="R608" i="2"/>
  <c r="Q608" i="2"/>
  <c r="P608" i="2"/>
  <c r="O608" i="2"/>
  <c r="N608" i="2"/>
  <c r="M608" i="2"/>
  <c r="L608" i="2"/>
  <c r="K608" i="2"/>
  <c r="J608" i="2"/>
  <c r="I608" i="2"/>
  <c r="H608" i="2"/>
  <c r="G608" i="2"/>
  <c r="F608" i="2"/>
  <c r="E608" i="2"/>
  <c r="D608" i="2"/>
  <c r="C608" i="2"/>
  <c r="B608" i="2"/>
  <c r="A608" i="2"/>
  <c r="AE607" i="2"/>
  <c r="AD607" i="2"/>
  <c r="AC607" i="2"/>
  <c r="AB607" i="2"/>
  <c r="AA607" i="2"/>
  <c r="Z607" i="2"/>
  <c r="Y607" i="2"/>
  <c r="X607" i="2"/>
  <c r="W607" i="2"/>
  <c r="V607" i="2"/>
  <c r="U607" i="2"/>
  <c r="T607" i="2"/>
  <c r="S607" i="2"/>
  <c r="R607" i="2"/>
  <c r="Q607" i="2"/>
  <c r="P607" i="2"/>
  <c r="O607" i="2"/>
  <c r="N607" i="2"/>
  <c r="M607" i="2"/>
  <c r="L607" i="2"/>
  <c r="K607" i="2"/>
  <c r="J607" i="2"/>
  <c r="I607" i="2"/>
  <c r="H607" i="2"/>
  <c r="G607" i="2"/>
  <c r="F607" i="2"/>
  <c r="E607" i="2"/>
  <c r="D607" i="2"/>
  <c r="C607" i="2"/>
  <c r="B607" i="2"/>
  <c r="A607" i="2"/>
  <c r="AE606" i="2"/>
  <c r="AD606" i="2"/>
  <c r="AC606" i="2"/>
  <c r="AB606" i="2"/>
  <c r="AA606" i="2"/>
  <c r="Z606" i="2"/>
  <c r="Y606" i="2"/>
  <c r="X606" i="2"/>
  <c r="W606" i="2"/>
  <c r="V606" i="2"/>
  <c r="U606" i="2"/>
  <c r="T606" i="2"/>
  <c r="S606" i="2"/>
  <c r="R606" i="2"/>
  <c r="Q606" i="2"/>
  <c r="P606" i="2"/>
  <c r="O606" i="2"/>
  <c r="N606" i="2"/>
  <c r="M606" i="2"/>
  <c r="L606" i="2"/>
  <c r="K606" i="2"/>
  <c r="J606" i="2"/>
  <c r="I606" i="2"/>
  <c r="H606" i="2"/>
  <c r="G606" i="2"/>
  <c r="F606" i="2"/>
  <c r="E606" i="2"/>
  <c r="D606" i="2"/>
  <c r="C606" i="2"/>
  <c r="B606" i="2"/>
  <c r="A606" i="2"/>
  <c r="AE605" i="2"/>
  <c r="AD605" i="2"/>
  <c r="AC605" i="2"/>
  <c r="AB605" i="2"/>
  <c r="AA605" i="2"/>
  <c r="Z605" i="2"/>
  <c r="Y605" i="2"/>
  <c r="X605" i="2"/>
  <c r="W605" i="2"/>
  <c r="V605" i="2"/>
  <c r="U605" i="2"/>
  <c r="T605" i="2"/>
  <c r="S605" i="2"/>
  <c r="R605" i="2"/>
  <c r="Q605" i="2"/>
  <c r="P605" i="2"/>
  <c r="O605" i="2"/>
  <c r="N605" i="2"/>
  <c r="M605" i="2"/>
  <c r="L605" i="2"/>
  <c r="K605" i="2"/>
  <c r="J605" i="2"/>
  <c r="I605" i="2"/>
  <c r="H605" i="2"/>
  <c r="G605" i="2"/>
  <c r="F605" i="2"/>
  <c r="E605" i="2"/>
  <c r="D605" i="2"/>
  <c r="C605" i="2"/>
  <c r="B605" i="2"/>
  <c r="A605" i="2"/>
  <c r="AE604" i="2"/>
  <c r="AD604" i="2"/>
  <c r="AC604" i="2"/>
  <c r="AB604" i="2"/>
  <c r="AA604" i="2"/>
  <c r="Z604" i="2"/>
  <c r="Y604" i="2"/>
  <c r="X604" i="2"/>
  <c r="W604" i="2"/>
  <c r="V604" i="2"/>
  <c r="U604" i="2"/>
  <c r="T604" i="2"/>
  <c r="S604" i="2"/>
  <c r="R604" i="2"/>
  <c r="Q604" i="2"/>
  <c r="P604" i="2"/>
  <c r="O604" i="2"/>
  <c r="N604" i="2"/>
  <c r="M604" i="2"/>
  <c r="L604" i="2"/>
  <c r="K604" i="2"/>
  <c r="J604" i="2"/>
  <c r="I604" i="2"/>
  <c r="H604" i="2"/>
  <c r="G604" i="2"/>
  <c r="F604" i="2"/>
  <c r="E604" i="2"/>
  <c r="D604" i="2"/>
  <c r="C604" i="2"/>
  <c r="B604" i="2"/>
  <c r="A604" i="2"/>
  <c r="AE603" i="2"/>
  <c r="AD603" i="2"/>
  <c r="AC603" i="2"/>
  <c r="AB603" i="2"/>
  <c r="AA603" i="2"/>
  <c r="Z603" i="2"/>
  <c r="Y603" i="2"/>
  <c r="X603" i="2"/>
  <c r="W603" i="2"/>
  <c r="V603" i="2"/>
  <c r="U603" i="2"/>
  <c r="T603" i="2"/>
  <c r="S603" i="2"/>
  <c r="R603" i="2"/>
  <c r="Q603" i="2"/>
  <c r="P603" i="2"/>
  <c r="O603" i="2"/>
  <c r="N603" i="2"/>
  <c r="M603" i="2"/>
  <c r="L603" i="2"/>
  <c r="K603" i="2"/>
  <c r="J603" i="2"/>
  <c r="I603" i="2"/>
  <c r="H603" i="2"/>
  <c r="G603" i="2"/>
  <c r="F603" i="2"/>
  <c r="E603" i="2"/>
  <c r="D603" i="2"/>
  <c r="C603" i="2"/>
  <c r="B603" i="2"/>
  <c r="A603" i="2"/>
  <c r="AE602" i="2"/>
  <c r="AD602" i="2"/>
  <c r="AC602" i="2"/>
  <c r="AB602" i="2"/>
  <c r="AA602" i="2"/>
  <c r="Z602" i="2"/>
  <c r="Y602" i="2"/>
  <c r="X602" i="2"/>
  <c r="W602" i="2"/>
  <c r="V602" i="2"/>
  <c r="U602" i="2"/>
  <c r="T602" i="2"/>
  <c r="S602" i="2"/>
  <c r="R602" i="2"/>
  <c r="Q602" i="2"/>
  <c r="P602" i="2"/>
  <c r="O602" i="2"/>
  <c r="N602" i="2"/>
  <c r="M602" i="2"/>
  <c r="L602" i="2"/>
  <c r="K602" i="2"/>
  <c r="J602" i="2"/>
  <c r="I602" i="2"/>
  <c r="H602" i="2"/>
  <c r="G602" i="2"/>
  <c r="F602" i="2"/>
  <c r="E602" i="2"/>
  <c r="D602" i="2"/>
  <c r="C602" i="2"/>
  <c r="B602" i="2"/>
  <c r="A602" i="2"/>
  <c r="AE601" i="2"/>
  <c r="AD601" i="2"/>
  <c r="AC601" i="2"/>
  <c r="AB601" i="2"/>
  <c r="AA601" i="2"/>
  <c r="Z601" i="2"/>
  <c r="Y601" i="2"/>
  <c r="X601" i="2"/>
  <c r="W601" i="2"/>
  <c r="V601" i="2"/>
  <c r="U601" i="2"/>
  <c r="T601" i="2"/>
  <c r="S601" i="2"/>
  <c r="R601" i="2"/>
  <c r="Q601" i="2"/>
  <c r="P601" i="2"/>
  <c r="O601" i="2"/>
  <c r="N601" i="2"/>
  <c r="M601" i="2"/>
  <c r="L601" i="2"/>
  <c r="K601" i="2"/>
  <c r="J601" i="2"/>
  <c r="I601" i="2"/>
  <c r="H601" i="2"/>
  <c r="G601" i="2"/>
  <c r="F601" i="2"/>
  <c r="E601" i="2"/>
  <c r="D601" i="2"/>
  <c r="C601" i="2"/>
  <c r="B601" i="2"/>
  <c r="A601" i="2"/>
  <c r="AE600" i="2"/>
  <c r="AD600" i="2"/>
  <c r="AC600" i="2"/>
  <c r="AB600" i="2"/>
  <c r="AA600" i="2"/>
  <c r="Z600" i="2"/>
  <c r="Y600" i="2"/>
  <c r="X600" i="2"/>
  <c r="W600" i="2"/>
  <c r="V600" i="2"/>
  <c r="U600" i="2"/>
  <c r="T600" i="2"/>
  <c r="S600" i="2"/>
  <c r="R600" i="2"/>
  <c r="Q600" i="2"/>
  <c r="P600" i="2"/>
  <c r="O600" i="2"/>
  <c r="N600" i="2"/>
  <c r="M600" i="2"/>
  <c r="L600" i="2"/>
  <c r="K600" i="2"/>
  <c r="J600" i="2"/>
  <c r="I600" i="2"/>
  <c r="H600" i="2"/>
  <c r="G600" i="2"/>
  <c r="F600" i="2"/>
  <c r="E600" i="2"/>
  <c r="D600" i="2"/>
  <c r="C600" i="2"/>
  <c r="B600" i="2"/>
  <c r="A600" i="2"/>
  <c r="AE599" i="2"/>
  <c r="AD599" i="2"/>
  <c r="AC599" i="2"/>
  <c r="AB599" i="2"/>
  <c r="AA599" i="2"/>
  <c r="Z599" i="2"/>
  <c r="Y599" i="2"/>
  <c r="X599" i="2"/>
  <c r="W599" i="2"/>
  <c r="V599" i="2"/>
  <c r="U599" i="2"/>
  <c r="T599" i="2"/>
  <c r="S599" i="2"/>
  <c r="R599" i="2"/>
  <c r="Q599" i="2"/>
  <c r="P599" i="2"/>
  <c r="O599" i="2"/>
  <c r="N599" i="2"/>
  <c r="M599" i="2"/>
  <c r="L599" i="2"/>
  <c r="K599" i="2"/>
  <c r="J599" i="2"/>
  <c r="I599" i="2"/>
  <c r="H599" i="2"/>
  <c r="G599" i="2"/>
  <c r="F599" i="2"/>
  <c r="E599" i="2"/>
  <c r="D599" i="2"/>
  <c r="C599" i="2"/>
  <c r="B599" i="2"/>
  <c r="A599" i="2"/>
  <c r="AE598" i="2"/>
  <c r="AD598" i="2"/>
  <c r="AC598" i="2"/>
  <c r="AB598" i="2"/>
  <c r="AA598" i="2"/>
  <c r="Z598" i="2"/>
  <c r="Y598" i="2"/>
  <c r="X598" i="2"/>
  <c r="W598" i="2"/>
  <c r="V598" i="2"/>
  <c r="U598" i="2"/>
  <c r="T598" i="2"/>
  <c r="S598" i="2"/>
  <c r="R598" i="2"/>
  <c r="Q598" i="2"/>
  <c r="P598" i="2"/>
  <c r="O598" i="2"/>
  <c r="N598" i="2"/>
  <c r="M598" i="2"/>
  <c r="L598" i="2"/>
  <c r="K598" i="2"/>
  <c r="J598" i="2"/>
  <c r="I598" i="2"/>
  <c r="H598" i="2"/>
  <c r="G598" i="2"/>
  <c r="F598" i="2"/>
  <c r="E598" i="2"/>
  <c r="D598" i="2"/>
  <c r="C598" i="2"/>
  <c r="B598" i="2"/>
  <c r="A598" i="2"/>
  <c r="AE597" i="2"/>
  <c r="AD597" i="2"/>
  <c r="AC597" i="2"/>
  <c r="AB597" i="2"/>
  <c r="AA597" i="2"/>
  <c r="Z597" i="2"/>
  <c r="Y597" i="2"/>
  <c r="X597" i="2"/>
  <c r="W597" i="2"/>
  <c r="V597" i="2"/>
  <c r="U597" i="2"/>
  <c r="T597" i="2"/>
  <c r="S597" i="2"/>
  <c r="R597" i="2"/>
  <c r="Q597" i="2"/>
  <c r="P597" i="2"/>
  <c r="O597" i="2"/>
  <c r="N597" i="2"/>
  <c r="M597" i="2"/>
  <c r="L597" i="2"/>
  <c r="K597" i="2"/>
  <c r="J597" i="2"/>
  <c r="I597" i="2"/>
  <c r="H597" i="2"/>
  <c r="G597" i="2"/>
  <c r="F597" i="2"/>
  <c r="E597" i="2"/>
  <c r="D597" i="2"/>
  <c r="C597" i="2"/>
  <c r="B597" i="2"/>
  <c r="A597" i="2"/>
  <c r="AE596" i="2"/>
  <c r="AD596" i="2"/>
  <c r="AC596" i="2"/>
  <c r="AB596" i="2"/>
  <c r="AA596" i="2"/>
  <c r="Z596" i="2"/>
  <c r="Y596" i="2"/>
  <c r="X596" i="2"/>
  <c r="W596" i="2"/>
  <c r="V596" i="2"/>
  <c r="U596" i="2"/>
  <c r="T596" i="2"/>
  <c r="S596" i="2"/>
  <c r="R596" i="2"/>
  <c r="Q596" i="2"/>
  <c r="P596" i="2"/>
  <c r="O596" i="2"/>
  <c r="N596" i="2"/>
  <c r="M596" i="2"/>
  <c r="L596" i="2"/>
  <c r="K596" i="2"/>
  <c r="J596" i="2"/>
  <c r="I596" i="2"/>
  <c r="H596" i="2"/>
  <c r="G596" i="2"/>
  <c r="F596" i="2"/>
  <c r="E596" i="2"/>
  <c r="D596" i="2"/>
  <c r="C596" i="2"/>
  <c r="B596" i="2"/>
  <c r="A596" i="2"/>
  <c r="AE595" i="2"/>
  <c r="AD595" i="2"/>
  <c r="AC595" i="2"/>
  <c r="AB595" i="2"/>
  <c r="AA595" i="2"/>
  <c r="Z595" i="2"/>
  <c r="Y595" i="2"/>
  <c r="X595" i="2"/>
  <c r="W595" i="2"/>
  <c r="V595" i="2"/>
  <c r="U595" i="2"/>
  <c r="T595" i="2"/>
  <c r="S595" i="2"/>
  <c r="R595" i="2"/>
  <c r="Q595" i="2"/>
  <c r="P595" i="2"/>
  <c r="O595" i="2"/>
  <c r="N595" i="2"/>
  <c r="M595" i="2"/>
  <c r="L595" i="2"/>
  <c r="K595" i="2"/>
  <c r="J595" i="2"/>
  <c r="I595" i="2"/>
  <c r="H595" i="2"/>
  <c r="G595" i="2"/>
  <c r="F595" i="2"/>
  <c r="E595" i="2"/>
  <c r="D595" i="2"/>
  <c r="C595" i="2"/>
  <c r="B595" i="2"/>
  <c r="A595" i="2"/>
  <c r="AE594" i="2"/>
  <c r="AD594" i="2"/>
  <c r="AC594" i="2"/>
  <c r="AB594" i="2"/>
  <c r="AA594" i="2"/>
  <c r="Z594" i="2"/>
  <c r="Y594" i="2"/>
  <c r="X594" i="2"/>
  <c r="W594" i="2"/>
  <c r="V594" i="2"/>
  <c r="U594" i="2"/>
  <c r="T594" i="2"/>
  <c r="S594" i="2"/>
  <c r="R594" i="2"/>
  <c r="Q594" i="2"/>
  <c r="P594" i="2"/>
  <c r="O594" i="2"/>
  <c r="N594" i="2"/>
  <c r="M594" i="2"/>
  <c r="L594" i="2"/>
  <c r="K594" i="2"/>
  <c r="J594" i="2"/>
  <c r="I594" i="2"/>
  <c r="H594" i="2"/>
  <c r="G594" i="2"/>
  <c r="F594" i="2"/>
  <c r="E594" i="2"/>
  <c r="D594" i="2"/>
  <c r="C594" i="2"/>
  <c r="B594" i="2"/>
  <c r="A594" i="2"/>
  <c r="AE593" i="2"/>
  <c r="AD593" i="2"/>
  <c r="AC593" i="2"/>
  <c r="AB593" i="2"/>
  <c r="AA593" i="2"/>
  <c r="Z593" i="2"/>
  <c r="Y593" i="2"/>
  <c r="X593" i="2"/>
  <c r="W593" i="2"/>
  <c r="V593" i="2"/>
  <c r="U593" i="2"/>
  <c r="T593" i="2"/>
  <c r="S593" i="2"/>
  <c r="R593" i="2"/>
  <c r="Q593" i="2"/>
  <c r="P593" i="2"/>
  <c r="O593" i="2"/>
  <c r="N593" i="2"/>
  <c r="M593" i="2"/>
  <c r="L593" i="2"/>
  <c r="K593" i="2"/>
  <c r="J593" i="2"/>
  <c r="I593" i="2"/>
  <c r="H593" i="2"/>
  <c r="G593" i="2"/>
  <c r="F593" i="2"/>
  <c r="E593" i="2"/>
  <c r="D593" i="2"/>
  <c r="C593" i="2"/>
  <c r="B593" i="2"/>
  <c r="A593" i="2"/>
  <c r="AE592" i="2"/>
  <c r="AD592" i="2"/>
  <c r="AC592" i="2"/>
  <c r="AB592" i="2"/>
  <c r="AA592" i="2"/>
  <c r="Z592" i="2"/>
  <c r="Y592" i="2"/>
  <c r="X592" i="2"/>
  <c r="W592" i="2"/>
  <c r="V592" i="2"/>
  <c r="U592" i="2"/>
  <c r="T592" i="2"/>
  <c r="S592" i="2"/>
  <c r="R592" i="2"/>
  <c r="Q592" i="2"/>
  <c r="P592" i="2"/>
  <c r="O592" i="2"/>
  <c r="N592" i="2"/>
  <c r="M592" i="2"/>
  <c r="L592" i="2"/>
  <c r="K592" i="2"/>
  <c r="J592" i="2"/>
  <c r="I592" i="2"/>
  <c r="H592" i="2"/>
  <c r="G592" i="2"/>
  <c r="F592" i="2"/>
  <c r="E592" i="2"/>
  <c r="D592" i="2"/>
  <c r="C592" i="2"/>
  <c r="B592" i="2"/>
  <c r="A592" i="2"/>
  <c r="AE591" i="2"/>
  <c r="AD591" i="2"/>
  <c r="AC591" i="2"/>
  <c r="AB591" i="2"/>
  <c r="AA591" i="2"/>
  <c r="Z591" i="2"/>
  <c r="Y591" i="2"/>
  <c r="X591" i="2"/>
  <c r="W591" i="2"/>
  <c r="V591" i="2"/>
  <c r="U591" i="2"/>
  <c r="T591" i="2"/>
  <c r="S591" i="2"/>
  <c r="R591" i="2"/>
  <c r="Q591" i="2"/>
  <c r="P591" i="2"/>
  <c r="O591" i="2"/>
  <c r="N591" i="2"/>
  <c r="M591" i="2"/>
  <c r="L591" i="2"/>
  <c r="K591" i="2"/>
  <c r="J591" i="2"/>
  <c r="I591" i="2"/>
  <c r="H591" i="2"/>
  <c r="G591" i="2"/>
  <c r="F591" i="2"/>
  <c r="E591" i="2"/>
  <c r="D591" i="2"/>
  <c r="C591" i="2"/>
  <c r="B591" i="2"/>
  <c r="A591" i="2"/>
  <c r="AE590" i="2"/>
  <c r="AD590" i="2"/>
  <c r="AC590" i="2"/>
  <c r="AB590" i="2"/>
  <c r="AA590" i="2"/>
  <c r="Z590" i="2"/>
  <c r="Y590" i="2"/>
  <c r="X590" i="2"/>
  <c r="W590" i="2"/>
  <c r="V590" i="2"/>
  <c r="U590" i="2"/>
  <c r="T590" i="2"/>
  <c r="S590" i="2"/>
  <c r="R590" i="2"/>
  <c r="Q590" i="2"/>
  <c r="P590" i="2"/>
  <c r="O590" i="2"/>
  <c r="N590" i="2"/>
  <c r="M590" i="2"/>
  <c r="L590" i="2"/>
  <c r="K590" i="2"/>
  <c r="J590" i="2"/>
  <c r="I590" i="2"/>
  <c r="H590" i="2"/>
  <c r="G590" i="2"/>
  <c r="F590" i="2"/>
  <c r="E590" i="2"/>
  <c r="D590" i="2"/>
  <c r="C590" i="2"/>
  <c r="B590" i="2"/>
  <c r="A590" i="2"/>
  <c r="AE589" i="2"/>
  <c r="AD589" i="2"/>
  <c r="AC589" i="2"/>
  <c r="AB589" i="2"/>
  <c r="AA589" i="2"/>
  <c r="Z589" i="2"/>
  <c r="Y589" i="2"/>
  <c r="X589" i="2"/>
  <c r="W589" i="2"/>
  <c r="V589" i="2"/>
  <c r="U589" i="2"/>
  <c r="T589" i="2"/>
  <c r="S589" i="2"/>
  <c r="R589" i="2"/>
  <c r="Q589" i="2"/>
  <c r="P589" i="2"/>
  <c r="O589" i="2"/>
  <c r="N589" i="2"/>
  <c r="M589" i="2"/>
  <c r="L589" i="2"/>
  <c r="K589" i="2"/>
  <c r="J589" i="2"/>
  <c r="I589" i="2"/>
  <c r="H589" i="2"/>
  <c r="G589" i="2"/>
  <c r="F589" i="2"/>
  <c r="E589" i="2"/>
  <c r="D589" i="2"/>
  <c r="C589" i="2"/>
  <c r="B589" i="2"/>
  <c r="A589" i="2"/>
  <c r="AE588" i="2"/>
  <c r="AD588" i="2"/>
  <c r="AC588" i="2"/>
  <c r="AB588" i="2"/>
  <c r="AA588" i="2"/>
  <c r="Z588" i="2"/>
  <c r="Y588" i="2"/>
  <c r="X588" i="2"/>
  <c r="W588" i="2"/>
  <c r="V588" i="2"/>
  <c r="U588" i="2"/>
  <c r="T588" i="2"/>
  <c r="S588" i="2"/>
  <c r="R588" i="2"/>
  <c r="Q588" i="2"/>
  <c r="P588" i="2"/>
  <c r="O588" i="2"/>
  <c r="N588" i="2"/>
  <c r="M588" i="2"/>
  <c r="L588" i="2"/>
  <c r="K588" i="2"/>
  <c r="J588" i="2"/>
  <c r="I588" i="2"/>
  <c r="H588" i="2"/>
  <c r="G588" i="2"/>
  <c r="F588" i="2"/>
  <c r="E588" i="2"/>
  <c r="D588" i="2"/>
  <c r="C588" i="2"/>
  <c r="B588" i="2"/>
  <c r="A588" i="2"/>
  <c r="AE587" i="2"/>
  <c r="AD587" i="2"/>
  <c r="AC587" i="2"/>
  <c r="AB587" i="2"/>
  <c r="AA587" i="2"/>
  <c r="Z587" i="2"/>
  <c r="Y587" i="2"/>
  <c r="X587" i="2"/>
  <c r="W587" i="2"/>
  <c r="V587" i="2"/>
  <c r="U587" i="2"/>
  <c r="T587" i="2"/>
  <c r="S587" i="2"/>
  <c r="R587" i="2"/>
  <c r="Q587" i="2"/>
  <c r="P587" i="2"/>
  <c r="O587" i="2"/>
  <c r="N587" i="2"/>
  <c r="M587" i="2"/>
  <c r="L587" i="2"/>
  <c r="K587" i="2"/>
  <c r="J587" i="2"/>
  <c r="I587" i="2"/>
  <c r="H587" i="2"/>
  <c r="G587" i="2"/>
  <c r="F587" i="2"/>
  <c r="E587" i="2"/>
  <c r="D587" i="2"/>
  <c r="C587" i="2"/>
  <c r="B587" i="2"/>
  <c r="A587" i="2"/>
  <c r="AE586" i="2"/>
  <c r="AD586" i="2"/>
  <c r="AC586" i="2"/>
  <c r="AB586" i="2"/>
  <c r="AA586" i="2"/>
  <c r="Z586" i="2"/>
  <c r="Y586" i="2"/>
  <c r="X586" i="2"/>
  <c r="W586" i="2"/>
  <c r="V586" i="2"/>
  <c r="U586" i="2"/>
  <c r="T586" i="2"/>
  <c r="S586" i="2"/>
  <c r="R586" i="2"/>
  <c r="Q586" i="2"/>
  <c r="P586" i="2"/>
  <c r="O586" i="2"/>
  <c r="N586" i="2"/>
  <c r="M586" i="2"/>
  <c r="L586" i="2"/>
  <c r="K586" i="2"/>
  <c r="J586" i="2"/>
  <c r="I586" i="2"/>
  <c r="H586" i="2"/>
  <c r="G586" i="2"/>
  <c r="F586" i="2"/>
  <c r="E586" i="2"/>
  <c r="D586" i="2"/>
  <c r="C586" i="2"/>
  <c r="B586" i="2"/>
  <c r="A586" i="2"/>
  <c r="AE585" i="2"/>
  <c r="AD585" i="2"/>
  <c r="AC585" i="2"/>
  <c r="AB585" i="2"/>
  <c r="AA585" i="2"/>
  <c r="Z585" i="2"/>
  <c r="Y585" i="2"/>
  <c r="X585" i="2"/>
  <c r="W585" i="2"/>
  <c r="V585" i="2"/>
  <c r="U585" i="2"/>
  <c r="T585" i="2"/>
  <c r="S585" i="2"/>
  <c r="R585" i="2"/>
  <c r="Q585" i="2"/>
  <c r="P585" i="2"/>
  <c r="O585" i="2"/>
  <c r="N585" i="2"/>
  <c r="M585" i="2"/>
  <c r="L585" i="2"/>
  <c r="K585" i="2"/>
  <c r="J585" i="2"/>
  <c r="I585" i="2"/>
  <c r="H585" i="2"/>
  <c r="G585" i="2"/>
  <c r="F585" i="2"/>
  <c r="E585" i="2"/>
  <c r="D585" i="2"/>
  <c r="C585" i="2"/>
  <c r="B585" i="2"/>
  <c r="A585" i="2"/>
  <c r="AE584" i="2"/>
  <c r="AD584" i="2"/>
  <c r="AC584" i="2"/>
  <c r="AB584" i="2"/>
  <c r="AA584" i="2"/>
  <c r="Z584" i="2"/>
  <c r="Y584" i="2"/>
  <c r="X584" i="2"/>
  <c r="W584" i="2"/>
  <c r="V584" i="2"/>
  <c r="U584" i="2"/>
  <c r="T584" i="2"/>
  <c r="S584" i="2"/>
  <c r="R584" i="2"/>
  <c r="Q584" i="2"/>
  <c r="P584" i="2"/>
  <c r="O584" i="2"/>
  <c r="N584" i="2"/>
  <c r="M584" i="2"/>
  <c r="L584" i="2"/>
  <c r="K584" i="2"/>
  <c r="J584" i="2"/>
  <c r="I584" i="2"/>
  <c r="H584" i="2"/>
  <c r="G584" i="2"/>
  <c r="F584" i="2"/>
  <c r="E584" i="2"/>
  <c r="D584" i="2"/>
  <c r="C584" i="2"/>
  <c r="B584" i="2"/>
  <c r="A584" i="2"/>
  <c r="AE583" i="2"/>
  <c r="AD583" i="2"/>
  <c r="AC583" i="2"/>
  <c r="AB583" i="2"/>
  <c r="AA583" i="2"/>
  <c r="Z583" i="2"/>
  <c r="Y583" i="2"/>
  <c r="X583" i="2"/>
  <c r="W583" i="2"/>
  <c r="V583" i="2"/>
  <c r="U583" i="2"/>
  <c r="T583" i="2"/>
  <c r="S583" i="2"/>
  <c r="R583" i="2"/>
  <c r="Q583" i="2"/>
  <c r="P583" i="2"/>
  <c r="O583" i="2"/>
  <c r="N583" i="2"/>
  <c r="M583" i="2"/>
  <c r="L583" i="2"/>
  <c r="K583" i="2"/>
  <c r="J583" i="2"/>
  <c r="I583" i="2"/>
  <c r="H583" i="2"/>
  <c r="G583" i="2"/>
  <c r="F583" i="2"/>
  <c r="E583" i="2"/>
  <c r="D583" i="2"/>
  <c r="C583" i="2"/>
  <c r="B583" i="2"/>
  <c r="A583" i="2"/>
  <c r="AE582" i="2"/>
  <c r="AD582" i="2"/>
  <c r="AC582" i="2"/>
  <c r="AB582" i="2"/>
  <c r="AA582" i="2"/>
  <c r="Z582" i="2"/>
  <c r="Y582" i="2"/>
  <c r="X582" i="2"/>
  <c r="W582" i="2"/>
  <c r="V582" i="2"/>
  <c r="U582" i="2"/>
  <c r="T582" i="2"/>
  <c r="S582" i="2"/>
  <c r="R582" i="2"/>
  <c r="Q582" i="2"/>
  <c r="P582" i="2"/>
  <c r="O582" i="2"/>
  <c r="N582" i="2"/>
  <c r="M582" i="2"/>
  <c r="L582" i="2"/>
  <c r="K582" i="2"/>
  <c r="J582" i="2"/>
  <c r="I582" i="2"/>
  <c r="H582" i="2"/>
  <c r="G582" i="2"/>
  <c r="F582" i="2"/>
  <c r="E582" i="2"/>
  <c r="D582" i="2"/>
  <c r="C582" i="2"/>
  <c r="B582" i="2"/>
  <c r="A582" i="2"/>
  <c r="AE581" i="2"/>
  <c r="AD581" i="2"/>
  <c r="AC581" i="2"/>
  <c r="AB581" i="2"/>
  <c r="AA581" i="2"/>
  <c r="Z581" i="2"/>
  <c r="Y581" i="2"/>
  <c r="X581" i="2"/>
  <c r="W581" i="2"/>
  <c r="V581" i="2"/>
  <c r="U581" i="2"/>
  <c r="T581" i="2"/>
  <c r="S581" i="2"/>
  <c r="R581" i="2"/>
  <c r="Q581" i="2"/>
  <c r="P581" i="2"/>
  <c r="O581" i="2"/>
  <c r="N581" i="2"/>
  <c r="M581" i="2"/>
  <c r="L581" i="2"/>
  <c r="K581" i="2"/>
  <c r="J581" i="2"/>
  <c r="I581" i="2"/>
  <c r="H581" i="2"/>
  <c r="G581" i="2"/>
  <c r="F581" i="2"/>
  <c r="E581" i="2"/>
  <c r="D581" i="2"/>
  <c r="C581" i="2"/>
  <c r="B581" i="2"/>
  <c r="A581" i="2"/>
  <c r="AE580" i="2"/>
  <c r="AD580" i="2"/>
  <c r="AC580" i="2"/>
  <c r="AB580" i="2"/>
  <c r="AA580" i="2"/>
  <c r="Z580" i="2"/>
  <c r="Y580" i="2"/>
  <c r="X580" i="2"/>
  <c r="W580" i="2"/>
  <c r="V580" i="2"/>
  <c r="U580" i="2"/>
  <c r="T580" i="2"/>
  <c r="S580" i="2"/>
  <c r="R580" i="2"/>
  <c r="Q580" i="2"/>
  <c r="P580" i="2"/>
  <c r="O580" i="2"/>
  <c r="N580" i="2"/>
  <c r="M580" i="2"/>
  <c r="L580" i="2"/>
  <c r="K580" i="2"/>
  <c r="J580" i="2"/>
  <c r="I580" i="2"/>
  <c r="H580" i="2"/>
  <c r="G580" i="2"/>
  <c r="F580" i="2"/>
  <c r="E580" i="2"/>
  <c r="D580" i="2"/>
  <c r="C580" i="2"/>
  <c r="B580" i="2"/>
  <c r="A580" i="2"/>
  <c r="AE579" i="2"/>
  <c r="AD579" i="2"/>
  <c r="AC579" i="2"/>
  <c r="AB579" i="2"/>
  <c r="AA579" i="2"/>
  <c r="Z579" i="2"/>
  <c r="Y579" i="2"/>
  <c r="X579" i="2"/>
  <c r="W579" i="2"/>
  <c r="V579" i="2"/>
  <c r="U579" i="2"/>
  <c r="T579" i="2"/>
  <c r="S579" i="2"/>
  <c r="R579" i="2"/>
  <c r="Q579" i="2"/>
  <c r="P579" i="2"/>
  <c r="O579" i="2"/>
  <c r="N579" i="2"/>
  <c r="M579" i="2"/>
  <c r="L579" i="2"/>
  <c r="K579" i="2"/>
  <c r="J579" i="2"/>
  <c r="I579" i="2"/>
  <c r="H579" i="2"/>
  <c r="G579" i="2"/>
  <c r="F579" i="2"/>
  <c r="E579" i="2"/>
  <c r="D579" i="2"/>
  <c r="C579" i="2"/>
  <c r="B579" i="2"/>
  <c r="A579" i="2"/>
  <c r="AE578" i="2"/>
  <c r="AD578" i="2"/>
  <c r="AC578" i="2"/>
  <c r="AB578" i="2"/>
  <c r="AA578" i="2"/>
  <c r="Z578" i="2"/>
  <c r="Y578" i="2"/>
  <c r="X578" i="2"/>
  <c r="W578" i="2"/>
  <c r="V578" i="2"/>
  <c r="U578" i="2"/>
  <c r="T578" i="2"/>
  <c r="S578" i="2"/>
  <c r="R578" i="2"/>
  <c r="Q578" i="2"/>
  <c r="P578" i="2"/>
  <c r="O578" i="2"/>
  <c r="N578" i="2"/>
  <c r="M578" i="2"/>
  <c r="L578" i="2"/>
  <c r="K578" i="2"/>
  <c r="J578" i="2"/>
  <c r="I578" i="2"/>
  <c r="H578" i="2"/>
  <c r="G578" i="2"/>
  <c r="F578" i="2"/>
  <c r="E578" i="2"/>
  <c r="D578" i="2"/>
  <c r="C578" i="2"/>
  <c r="B578" i="2"/>
  <c r="A578" i="2"/>
  <c r="AE577" i="2"/>
  <c r="AD577" i="2"/>
  <c r="AC577" i="2"/>
  <c r="AB577" i="2"/>
  <c r="AA577" i="2"/>
  <c r="Z577" i="2"/>
  <c r="Y577" i="2"/>
  <c r="X577" i="2"/>
  <c r="W577" i="2"/>
  <c r="V577" i="2"/>
  <c r="U577" i="2"/>
  <c r="T577" i="2"/>
  <c r="S577" i="2"/>
  <c r="R577" i="2"/>
  <c r="Q577" i="2"/>
  <c r="P577" i="2"/>
  <c r="O577" i="2"/>
  <c r="N577" i="2"/>
  <c r="M577" i="2"/>
  <c r="L577" i="2"/>
  <c r="K577" i="2"/>
  <c r="J577" i="2"/>
  <c r="I577" i="2"/>
  <c r="H577" i="2"/>
  <c r="G577" i="2"/>
  <c r="F577" i="2"/>
  <c r="E577" i="2"/>
  <c r="D577" i="2"/>
  <c r="C577" i="2"/>
  <c r="B577" i="2"/>
  <c r="A577" i="2"/>
  <c r="AE576" i="2"/>
  <c r="AD576" i="2"/>
  <c r="AC576" i="2"/>
  <c r="AB576" i="2"/>
  <c r="AA576" i="2"/>
  <c r="Z576" i="2"/>
  <c r="Y576" i="2"/>
  <c r="X576" i="2"/>
  <c r="W576" i="2"/>
  <c r="V576" i="2"/>
  <c r="U576" i="2"/>
  <c r="T576" i="2"/>
  <c r="S576" i="2"/>
  <c r="R576" i="2"/>
  <c r="Q576" i="2"/>
  <c r="P576" i="2"/>
  <c r="O576" i="2"/>
  <c r="N576" i="2"/>
  <c r="M576" i="2"/>
  <c r="L576" i="2"/>
  <c r="K576" i="2"/>
  <c r="J576" i="2"/>
  <c r="I576" i="2"/>
  <c r="H576" i="2"/>
  <c r="G576" i="2"/>
  <c r="F576" i="2"/>
  <c r="E576" i="2"/>
  <c r="D576" i="2"/>
  <c r="C576" i="2"/>
  <c r="B576" i="2"/>
  <c r="A576" i="2"/>
  <c r="AE575" i="2"/>
  <c r="AD575" i="2"/>
  <c r="AC575" i="2"/>
  <c r="AB575" i="2"/>
  <c r="AA575" i="2"/>
  <c r="Z575" i="2"/>
  <c r="Y575" i="2"/>
  <c r="X575" i="2"/>
  <c r="W575" i="2"/>
  <c r="V575" i="2"/>
  <c r="U575" i="2"/>
  <c r="T575" i="2"/>
  <c r="S575" i="2"/>
  <c r="R575" i="2"/>
  <c r="Q575" i="2"/>
  <c r="P575" i="2"/>
  <c r="O575" i="2"/>
  <c r="N575" i="2"/>
  <c r="M575" i="2"/>
  <c r="L575" i="2"/>
  <c r="K575" i="2"/>
  <c r="J575" i="2"/>
  <c r="I575" i="2"/>
  <c r="H575" i="2"/>
  <c r="G575" i="2"/>
  <c r="F575" i="2"/>
  <c r="E575" i="2"/>
  <c r="D575" i="2"/>
  <c r="C575" i="2"/>
  <c r="B575" i="2"/>
  <c r="A575" i="2"/>
  <c r="AE574" i="2"/>
  <c r="AD574" i="2"/>
  <c r="AC574" i="2"/>
  <c r="AB574" i="2"/>
  <c r="AA574" i="2"/>
  <c r="Z574" i="2"/>
  <c r="Y574" i="2"/>
  <c r="X574" i="2"/>
  <c r="W574" i="2"/>
  <c r="V574" i="2"/>
  <c r="U574" i="2"/>
  <c r="T574" i="2"/>
  <c r="S574" i="2"/>
  <c r="R574" i="2"/>
  <c r="Q574" i="2"/>
  <c r="P574" i="2"/>
  <c r="O574" i="2"/>
  <c r="N574" i="2"/>
  <c r="M574" i="2"/>
  <c r="L574" i="2"/>
  <c r="K574" i="2"/>
  <c r="J574" i="2"/>
  <c r="I574" i="2"/>
  <c r="H574" i="2"/>
  <c r="G574" i="2"/>
  <c r="F574" i="2"/>
  <c r="E574" i="2"/>
  <c r="D574" i="2"/>
  <c r="C574" i="2"/>
  <c r="B574" i="2"/>
  <c r="A574" i="2"/>
  <c r="AE573" i="2"/>
  <c r="AD573" i="2"/>
  <c r="AC573" i="2"/>
  <c r="AB573" i="2"/>
  <c r="AA573" i="2"/>
  <c r="Z573" i="2"/>
  <c r="Y573" i="2"/>
  <c r="X573" i="2"/>
  <c r="W573" i="2"/>
  <c r="V573" i="2"/>
  <c r="U573" i="2"/>
  <c r="T573" i="2"/>
  <c r="S573" i="2"/>
  <c r="R573" i="2"/>
  <c r="Q573" i="2"/>
  <c r="P573" i="2"/>
  <c r="O573" i="2"/>
  <c r="N573" i="2"/>
  <c r="M573" i="2"/>
  <c r="L573" i="2"/>
  <c r="K573" i="2"/>
  <c r="J573" i="2"/>
  <c r="I573" i="2"/>
  <c r="H573" i="2"/>
  <c r="G573" i="2"/>
  <c r="F573" i="2"/>
  <c r="E573" i="2"/>
  <c r="D573" i="2"/>
  <c r="C573" i="2"/>
  <c r="B573" i="2"/>
  <c r="A573" i="2"/>
  <c r="AE572" i="2"/>
  <c r="AD572" i="2"/>
  <c r="AC572" i="2"/>
  <c r="AB572" i="2"/>
  <c r="AA572" i="2"/>
  <c r="Z572" i="2"/>
  <c r="Y572" i="2"/>
  <c r="X572" i="2"/>
  <c r="W572" i="2"/>
  <c r="V572" i="2"/>
  <c r="U572" i="2"/>
  <c r="T572" i="2"/>
  <c r="S572" i="2"/>
  <c r="R572" i="2"/>
  <c r="Q572" i="2"/>
  <c r="P572" i="2"/>
  <c r="O572" i="2"/>
  <c r="N572" i="2"/>
  <c r="M572" i="2"/>
  <c r="L572" i="2"/>
  <c r="K572" i="2"/>
  <c r="J572" i="2"/>
  <c r="I572" i="2"/>
  <c r="H572" i="2"/>
  <c r="G572" i="2"/>
  <c r="F572" i="2"/>
  <c r="E572" i="2"/>
  <c r="D572" i="2"/>
  <c r="C572" i="2"/>
  <c r="B572" i="2"/>
  <c r="A572" i="2"/>
  <c r="AE571" i="2"/>
  <c r="AD571" i="2"/>
  <c r="AC571" i="2"/>
  <c r="AB571" i="2"/>
  <c r="AA571" i="2"/>
  <c r="Z571" i="2"/>
  <c r="Y571" i="2"/>
  <c r="X571" i="2"/>
  <c r="W571" i="2"/>
  <c r="V571" i="2"/>
  <c r="U571" i="2"/>
  <c r="T571" i="2"/>
  <c r="S571" i="2"/>
  <c r="R571" i="2"/>
  <c r="Q571" i="2"/>
  <c r="P571" i="2"/>
  <c r="O571" i="2"/>
  <c r="N571" i="2"/>
  <c r="M571" i="2"/>
  <c r="L571" i="2"/>
  <c r="K571" i="2"/>
  <c r="J571" i="2"/>
  <c r="I571" i="2"/>
  <c r="H571" i="2"/>
  <c r="G571" i="2"/>
  <c r="F571" i="2"/>
  <c r="E571" i="2"/>
  <c r="D571" i="2"/>
  <c r="C571" i="2"/>
  <c r="B571" i="2"/>
  <c r="A571" i="2"/>
  <c r="AE570" i="2"/>
  <c r="AD570" i="2"/>
  <c r="AC570" i="2"/>
  <c r="AB570" i="2"/>
  <c r="AA570" i="2"/>
  <c r="Z570" i="2"/>
  <c r="Y570" i="2"/>
  <c r="X570" i="2"/>
  <c r="W570" i="2"/>
  <c r="V570" i="2"/>
  <c r="U570" i="2"/>
  <c r="T570" i="2"/>
  <c r="S570" i="2"/>
  <c r="R570" i="2"/>
  <c r="Q570" i="2"/>
  <c r="P570" i="2"/>
  <c r="O570" i="2"/>
  <c r="N570" i="2"/>
  <c r="M570" i="2"/>
  <c r="L570" i="2"/>
  <c r="K570" i="2"/>
  <c r="J570" i="2"/>
  <c r="I570" i="2"/>
  <c r="H570" i="2"/>
  <c r="G570" i="2"/>
  <c r="F570" i="2"/>
  <c r="E570" i="2"/>
  <c r="D570" i="2"/>
  <c r="C570" i="2"/>
  <c r="B570" i="2"/>
  <c r="A570" i="2"/>
  <c r="AE569" i="2"/>
  <c r="AD569" i="2"/>
  <c r="AC569" i="2"/>
  <c r="AB569" i="2"/>
  <c r="AA569" i="2"/>
  <c r="Z569" i="2"/>
  <c r="Y569" i="2"/>
  <c r="X569" i="2"/>
  <c r="W569" i="2"/>
  <c r="V569" i="2"/>
  <c r="U569" i="2"/>
  <c r="T569" i="2"/>
  <c r="S569" i="2"/>
  <c r="R569" i="2"/>
  <c r="Q569" i="2"/>
  <c r="P569" i="2"/>
  <c r="O569" i="2"/>
  <c r="N569" i="2"/>
  <c r="M569" i="2"/>
  <c r="L569" i="2"/>
  <c r="K569" i="2"/>
  <c r="J569" i="2"/>
  <c r="I569" i="2"/>
  <c r="H569" i="2"/>
  <c r="G569" i="2"/>
  <c r="F569" i="2"/>
  <c r="E569" i="2"/>
  <c r="D569" i="2"/>
  <c r="C569" i="2"/>
  <c r="B569" i="2"/>
  <c r="A569" i="2"/>
  <c r="AE568" i="2"/>
  <c r="AD568" i="2"/>
  <c r="AC568" i="2"/>
  <c r="AB568" i="2"/>
  <c r="AA568" i="2"/>
  <c r="Z568" i="2"/>
  <c r="Y568" i="2"/>
  <c r="X568" i="2"/>
  <c r="W568" i="2"/>
  <c r="V568" i="2"/>
  <c r="U568" i="2"/>
  <c r="T568" i="2"/>
  <c r="S568" i="2"/>
  <c r="R568" i="2"/>
  <c r="Q568" i="2"/>
  <c r="P568" i="2"/>
  <c r="O568" i="2"/>
  <c r="N568" i="2"/>
  <c r="M568" i="2"/>
  <c r="L568" i="2"/>
  <c r="K568" i="2"/>
  <c r="J568" i="2"/>
  <c r="I568" i="2"/>
  <c r="H568" i="2"/>
  <c r="G568" i="2"/>
  <c r="F568" i="2"/>
  <c r="E568" i="2"/>
  <c r="D568" i="2"/>
  <c r="C568" i="2"/>
  <c r="B568" i="2"/>
  <c r="A568" i="2"/>
  <c r="AE567" i="2"/>
  <c r="AD567" i="2"/>
  <c r="AC567" i="2"/>
  <c r="AB567" i="2"/>
  <c r="AA567" i="2"/>
  <c r="Z567" i="2"/>
  <c r="Y567" i="2"/>
  <c r="X567" i="2"/>
  <c r="W567" i="2"/>
  <c r="V567" i="2"/>
  <c r="U567" i="2"/>
  <c r="T567" i="2"/>
  <c r="S567" i="2"/>
  <c r="R567" i="2"/>
  <c r="Q567" i="2"/>
  <c r="P567" i="2"/>
  <c r="O567" i="2"/>
  <c r="N567" i="2"/>
  <c r="M567" i="2"/>
  <c r="L567" i="2"/>
  <c r="K567" i="2"/>
  <c r="J567" i="2"/>
  <c r="I567" i="2"/>
  <c r="H567" i="2"/>
  <c r="G567" i="2"/>
  <c r="F567" i="2"/>
  <c r="E567" i="2"/>
  <c r="D567" i="2"/>
  <c r="C567" i="2"/>
  <c r="B567" i="2"/>
  <c r="A567" i="2"/>
  <c r="AE566" i="2"/>
  <c r="AD566" i="2"/>
  <c r="AC566" i="2"/>
  <c r="AB566" i="2"/>
  <c r="AA566" i="2"/>
  <c r="Z566" i="2"/>
  <c r="Y566" i="2"/>
  <c r="X566" i="2"/>
  <c r="W566" i="2"/>
  <c r="V566" i="2"/>
  <c r="U566" i="2"/>
  <c r="T566" i="2"/>
  <c r="S566" i="2"/>
  <c r="R566" i="2"/>
  <c r="Q566" i="2"/>
  <c r="P566" i="2"/>
  <c r="O566" i="2"/>
  <c r="N566" i="2"/>
  <c r="M566" i="2"/>
  <c r="L566" i="2"/>
  <c r="K566" i="2"/>
  <c r="J566" i="2"/>
  <c r="I566" i="2"/>
  <c r="H566" i="2"/>
  <c r="G566" i="2"/>
  <c r="F566" i="2"/>
  <c r="E566" i="2"/>
  <c r="D566" i="2"/>
  <c r="C566" i="2"/>
  <c r="B566" i="2"/>
  <c r="A566" i="2"/>
  <c r="AE565" i="2"/>
  <c r="AD565" i="2"/>
  <c r="AC565" i="2"/>
  <c r="AB565" i="2"/>
  <c r="AA565" i="2"/>
  <c r="Z565" i="2"/>
  <c r="Y565" i="2"/>
  <c r="X565" i="2"/>
  <c r="W565" i="2"/>
  <c r="V565" i="2"/>
  <c r="U565" i="2"/>
  <c r="T565" i="2"/>
  <c r="S565" i="2"/>
  <c r="R565" i="2"/>
  <c r="Q565" i="2"/>
  <c r="P565" i="2"/>
  <c r="O565" i="2"/>
  <c r="N565" i="2"/>
  <c r="M565" i="2"/>
  <c r="L565" i="2"/>
  <c r="K565" i="2"/>
  <c r="J565" i="2"/>
  <c r="I565" i="2"/>
  <c r="H565" i="2"/>
  <c r="G565" i="2"/>
  <c r="F565" i="2"/>
  <c r="E565" i="2"/>
  <c r="D565" i="2"/>
  <c r="C565" i="2"/>
  <c r="B565" i="2"/>
  <c r="A565" i="2"/>
  <c r="AE564" i="2"/>
  <c r="AD564" i="2"/>
  <c r="AC564" i="2"/>
  <c r="AB564" i="2"/>
  <c r="AA564" i="2"/>
  <c r="Z564" i="2"/>
  <c r="Y564" i="2"/>
  <c r="X564" i="2"/>
  <c r="W564" i="2"/>
  <c r="V564" i="2"/>
  <c r="U564" i="2"/>
  <c r="T564" i="2"/>
  <c r="S564" i="2"/>
  <c r="R564" i="2"/>
  <c r="Q564" i="2"/>
  <c r="P564" i="2"/>
  <c r="O564" i="2"/>
  <c r="N564" i="2"/>
  <c r="M564" i="2"/>
  <c r="L564" i="2"/>
  <c r="K564" i="2"/>
  <c r="J564" i="2"/>
  <c r="I564" i="2"/>
  <c r="H564" i="2"/>
  <c r="G564" i="2"/>
  <c r="F564" i="2"/>
  <c r="E564" i="2"/>
  <c r="D564" i="2"/>
  <c r="C564" i="2"/>
  <c r="B564" i="2"/>
  <c r="A564" i="2"/>
  <c r="AE563" i="2"/>
  <c r="AD563" i="2"/>
  <c r="AC563" i="2"/>
  <c r="AB563" i="2"/>
  <c r="AA563" i="2"/>
  <c r="Z563" i="2"/>
  <c r="Y563" i="2"/>
  <c r="X563" i="2"/>
  <c r="W563" i="2"/>
  <c r="V563" i="2"/>
  <c r="U563" i="2"/>
  <c r="T563" i="2"/>
  <c r="S563" i="2"/>
  <c r="R563" i="2"/>
  <c r="Q563" i="2"/>
  <c r="P563" i="2"/>
  <c r="O563" i="2"/>
  <c r="N563" i="2"/>
  <c r="M563" i="2"/>
  <c r="L563" i="2"/>
  <c r="K563" i="2"/>
  <c r="J563" i="2"/>
  <c r="I563" i="2"/>
  <c r="H563" i="2"/>
  <c r="G563" i="2"/>
  <c r="F563" i="2"/>
  <c r="E563" i="2"/>
  <c r="D563" i="2"/>
  <c r="C563" i="2"/>
  <c r="B563" i="2"/>
  <c r="A563" i="2"/>
  <c r="AE562" i="2"/>
  <c r="AD562" i="2"/>
  <c r="AC562" i="2"/>
  <c r="AB562" i="2"/>
  <c r="AA562" i="2"/>
  <c r="Z562" i="2"/>
  <c r="Y562" i="2"/>
  <c r="X562" i="2"/>
  <c r="W562" i="2"/>
  <c r="V562" i="2"/>
  <c r="U562" i="2"/>
  <c r="T562" i="2"/>
  <c r="S562" i="2"/>
  <c r="R562" i="2"/>
  <c r="Q562" i="2"/>
  <c r="P562" i="2"/>
  <c r="O562" i="2"/>
  <c r="N562" i="2"/>
  <c r="M562" i="2"/>
  <c r="L562" i="2"/>
  <c r="K562" i="2"/>
  <c r="J562" i="2"/>
  <c r="I562" i="2"/>
  <c r="H562" i="2"/>
  <c r="G562" i="2"/>
  <c r="F562" i="2"/>
  <c r="E562" i="2"/>
  <c r="D562" i="2"/>
  <c r="C562" i="2"/>
  <c r="B562" i="2"/>
  <c r="A562" i="2"/>
  <c r="AE561" i="2"/>
  <c r="AD561" i="2"/>
  <c r="AC561" i="2"/>
  <c r="AB561" i="2"/>
  <c r="AA561" i="2"/>
  <c r="Z561" i="2"/>
  <c r="Y561" i="2"/>
  <c r="X561" i="2"/>
  <c r="W561" i="2"/>
  <c r="V561" i="2"/>
  <c r="U561" i="2"/>
  <c r="T561" i="2"/>
  <c r="S561" i="2"/>
  <c r="R561" i="2"/>
  <c r="Q561" i="2"/>
  <c r="P561" i="2"/>
  <c r="O561" i="2"/>
  <c r="N561" i="2"/>
  <c r="M561" i="2"/>
  <c r="L561" i="2"/>
  <c r="K561" i="2"/>
  <c r="J561" i="2"/>
  <c r="I561" i="2"/>
  <c r="H561" i="2"/>
  <c r="G561" i="2"/>
  <c r="F561" i="2"/>
  <c r="E561" i="2"/>
  <c r="D561" i="2"/>
  <c r="C561" i="2"/>
  <c r="B561" i="2"/>
  <c r="A561" i="2"/>
  <c r="AE560" i="2"/>
  <c r="AD560" i="2"/>
  <c r="AC560" i="2"/>
  <c r="AB560" i="2"/>
  <c r="AA560" i="2"/>
  <c r="Z560" i="2"/>
  <c r="Y560" i="2"/>
  <c r="X560" i="2"/>
  <c r="W560" i="2"/>
  <c r="V560" i="2"/>
  <c r="U560" i="2"/>
  <c r="T560" i="2"/>
  <c r="S560" i="2"/>
  <c r="R560" i="2"/>
  <c r="Q560" i="2"/>
  <c r="P560" i="2"/>
  <c r="O560" i="2"/>
  <c r="N560" i="2"/>
  <c r="M560" i="2"/>
  <c r="L560" i="2"/>
  <c r="K560" i="2"/>
  <c r="J560" i="2"/>
  <c r="I560" i="2"/>
  <c r="H560" i="2"/>
  <c r="G560" i="2"/>
  <c r="F560" i="2"/>
  <c r="E560" i="2"/>
  <c r="D560" i="2"/>
  <c r="C560" i="2"/>
  <c r="B560" i="2"/>
  <c r="A560" i="2"/>
  <c r="AE559" i="2"/>
  <c r="AD559" i="2"/>
  <c r="AC559" i="2"/>
  <c r="AB559" i="2"/>
  <c r="AA559" i="2"/>
  <c r="Z559" i="2"/>
  <c r="Y559" i="2"/>
  <c r="X559" i="2"/>
  <c r="W559" i="2"/>
  <c r="V559" i="2"/>
  <c r="U559" i="2"/>
  <c r="T559" i="2"/>
  <c r="S559" i="2"/>
  <c r="R559" i="2"/>
  <c r="Q559" i="2"/>
  <c r="P559" i="2"/>
  <c r="O559" i="2"/>
  <c r="N559" i="2"/>
  <c r="M559" i="2"/>
  <c r="L559" i="2"/>
  <c r="K559" i="2"/>
  <c r="J559" i="2"/>
  <c r="I559" i="2"/>
  <c r="H559" i="2"/>
  <c r="G559" i="2"/>
  <c r="F559" i="2"/>
  <c r="E559" i="2"/>
  <c r="D559" i="2"/>
  <c r="C559" i="2"/>
  <c r="B559" i="2"/>
  <c r="A559" i="2"/>
  <c r="AE558" i="2"/>
  <c r="AD558" i="2"/>
  <c r="AC558" i="2"/>
  <c r="AB558" i="2"/>
  <c r="AA558" i="2"/>
  <c r="Z558" i="2"/>
  <c r="Y558" i="2"/>
  <c r="X558" i="2"/>
  <c r="W558" i="2"/>
  <c r="V558" i="2"/>
  <c r="U558" i="2"/>
  <c r="T558" i="2"/>
  <c r="S558" i="2"/>
  <c r="R558" i="2"/>
  <c r="Q558" i="2"/>
  <c r="P558" i="2"/>
  <c r="O558" i="2"/>
  <c r="N558" i="2"/>
  <c r="M558" i="2"/>
  <c r="L558" i="2"/>
  <c r="K558" i="2"/>
  <c r="J558" i="2"/>
  <c r="I558" i="2"/>
  <c r="H558" i="2"/>
  <c r="G558" i="2"/>
  <c r="F558" i="2"/>
  <c r="E558" i="2"/>
  <c r="D558" i="2"/>
  <c r="C558" i="2"/>
  <c r="B558" i="2"/>
  <c r="A558" i="2"/>
  <c r="AE557" i="2"/>
  <c r="AD557" i="2"/>
  <c r="AC557" i="2"/>
  <c r="AB557" i="2"/>
  <c r="AA557" i="2"/>
  <c r="Z557" i="2"/>
  <c r="Y557" i="2"/>
  <c r="X557" i="2"/>
  <c r="W557" i="2"/>
  <c r="V557" i="2"/>
  <c r="U557" i="2"/>
  <c r="T557" i="2"/>
  <c r="S557" i="2"/>
  <c r="R557" i="2"/>
  <c r="Q557" i="2"/>
  <c r="P557" i="2"/>
  <c r="O557" i="2"/>
  <c r="N557" i="2"/>
  <c r="M557" i="2"/>
  <c r="L557" i="2"/>
  <c r="K557" i="2"/>
  <c r="J557" i="2"/>
  <c r="I557" i="2"/>
  <c r="H557" i="2"/>
  <c r="G557" i="2"/>
  <c r="F557" i="2"/>
  <c r="E557" i="2"/>
  <c r="D557" i="2"/>
  <c r="C557" i="2"/>
  <c r="B557" i="2"/>
  <c r="A557" i="2"/>
  <c r="AE556" i="2"/>
  <c r="AD556" i="2"/>
  <c r="AC556" i="2"/>
  <c r="AB556" i="2"/>
  <c r="AA556" i="2"/>
  <c r="Z556" i="2"/>
  <c r="Y556" i="2"/>
  <c r="X556" i="2"/>
  <c r="W556" i="2"/>
  <c r="V556" i="2"/>
  <c r="U556" i="2"/>
  <c r="T556" i="2"/>
  <c r="S556" i="2"/>
  <c r="R556" i="2"/>
  <c r="Q556" i="2"/>
  <c r="P556" i="2"/>
  <c r="O556" i="2"/>
  <c r="N556" i="2"/>
  <c r="M556" i="2"/>
  <c r="L556" i="2"/>
  <c r="K556" i="2"/>
  <c r="J556" i="2"/>
  <c r="I556" i="2"/>
  <c r="H556" i="2"/>
  <c r="G556" i="2"/>
  <c r="F556" i="2"/>
  <c r="E556" i="2"/>
  <c r="D556" i="2"/>
  <c r="C556" i="2"/>
  <c r="B556" i="2"/>
  <c r="A556" i="2"/>
  <c r="AE555" i="2"/>
  <c r="AD555" i="2"/>
  <c r="AC555" i="2"/>
  <c r="AB555" i="2"/>
  <c r="AA555" i="2"/>
  <c r="Z555" i="2"/>
  <c r="Y555" i="2"/>
  <c r="X555" i="2"/>
  <c r="W555" i="2"/>
  <c r="V555" i="2"/>
  <c r="U555" i="2"/>
  <c r="T555" i="2"/>
  <c r="S555" i="2"/>
  <c r="R555" i="2"/>
  <c r="Q555" i="2"/>
  <c r="P555" i="2"/>
  <c r="O555" i="2"/>
  <c r="N555" i="2"/>
  <c r="M555" i="2"/>
  <c r="L555" i="2"/>
  <c r="K555" i="2"/>
  <c r="J555" i="2"/>
  <c r="I555" i="2"/>
  <c r="H555" i="2"/>
  <c r="G555" i="2"/>
  <c r="F555" i="2"/>
  <c r="E555" i="2"/>
  <c r="D555" i="2"/>
  <c r="C555" i="2"/>
  <c r="B555" i="2"/>
  <c r="A555" i="2"/>
  <c r="AE554" i="2"/>
  <c r="AD554" i="2"/>
  <c r="AC554" i="2"/>
  <c r="AB554" i="2"/>
  <c r="AA554" i="2"/>
  <c r="Z554" i="2"/>
  <c r="Y554" i="2"/>
  <c r="X554" i="2"/>
  <c r="W554" i="2"/>
  <c r="V554" i="2"/>
  <c r="U554" i="2"/>
  <c r="T554" i="2"/>
  <c r="S554" i="2"/>
  <c r="R554" i="2"/>
  <c r="Q554" i="2"/>
  <c r="P554" i="2"/>
  <c r="O554" i="2"/>
  <c r="N554" i="2"/>
  <c r="M554" i="2"/>
  <c r="L554" i="2"/>
  <c r="K554" i="2"/>
  <c r="J554" i="2"/>
  <c r="I554" i="2"/>
  <c r="H554" i="2"/>
  <c r="G554" i="2"/>
  <c r="F554" i="2"/>
  <c r="E554" i="2"/>
  <c r="D554" i="2"/>
  <c r="C554" i="2"/>
  <c r="B554" i="2"/>
  <c r="A554" i="2"/>
  <c r="AE553" i="2"/>
  <c r="AD553" i="2"/>
  <c r="AC553" i="2"/>
  <c r="AB553" i="2"/>
  <c r="AA553" i="2"/>
  <c r="Z553" i="2"/>
  <c r="Y553" i="2"/>
  <c r="X553" i="2"/>
  <c r="W553" i="2"/>
  <c r="V553" i="2"/>
  <c r="U553" i="2"/>
  <c r="T553" i="2"/>
  <c r="S553" i="2"/>
  <c r="R553" i="2"/>
  <c r="Q553" i="2"/>
  <c r="P553" i="2"/>
  <c r="O553" i="2"/>
  <c r="N553" i="2"/>
  <c r="M553" i="2"/>
  <c r="L553" i="2"/>
  <c r="K553" i="2"/>
  <c r="J553" i="2"/>
  <c r="I553" i="2"/>
  <c r="H553" i="2"/>
  <c r="G553" i="2"/>
  <c r="F553" i="2"/>
  <c r="E553" i="2"/>
  <c r="D553" i="2"/>
  <c r="C553" i="2"/>
  <c r="B553" i="2"/>
  <c r="A553" i="2"/>
  <c r="AE552" i="2"/>
  <c r="AD552" i="2"/>
  <c r="AC552" i="2"/>
  <c r="AB552" i="2"/>
  <c r="AA552" i="2"/>
  <c r="Z552" i="2"/>
  <c r="Y552" i="2"/>
  <c r="X552" i="2"/>
  <c r="W552" i="2"/>
  <c r="V552" i="2"/>
  <c r="U552" i="2"/>
  <c r="T552" i="2"/>
  <c r="S552" i="2"/>
  <c r="R552" i="2"/>
  <c r="Q552" i="2"/>
  <c r="P552" i="2"/>
  <c r="O552" i="2"/>
  <c r="N552" i="2"/>
  <c r="M552" i="2"/>
  <c r="L552" i="2"/>
  <c r="K552" i="2"/>
  <c r="J552" i="2"/>
  <c r="I552" i="2"/>
  <c r="H552" i="2"/>
  <c r="G552" i="2"/>
  <c r="F552" i="2"/>
  <c r="E552" i="2"/>
  <c r="D552" i="2"/>
  <c r="C552" i="2"/>
  <c r="B552" i="2"/>
  <c r="A552" i="2"/>
  <c r="AE551" i="2"/>
  <c r="AD551" i="2"/>
  <c r="AC551" i="2"/>
  <c r="AB551" i="2"/>
  <c r="AA551" i="2"/>
  <c r="Z551" i="2"/>
  <c r="Y551" i="2"/>
  <c r="X551" i="2"/>
  <c r="W551" i="2"/>
  <c r="V551" i="2"/>
  <c r="U551" i="2"/>
  <c r="T551" i="2"/>
  <c r="S551" i="2"/>
  <c r="R551" i="2"/>
  <c r="Q551" i="2"/>
  <c r="P551" i="2"/>
  <c r="O551" i="2"/>
  <c r="N551" i="2"/>
  <c r="M551" i="2"/>
  <c r="L551" i="2"/>
  <c r="K551" i="2"/>
  <c r="J551" i="2"/>
  <c r="I551" i="2"/>
  <c r="H551" i="2"/>
  <c r="G551" i="2"/>
  <c r="F551" i="2"/>
  <c r="E551" i="2"/>
  <c r="D551" i="2"/>
  <c r="C551" i="2"/>
  <c r="B551" i="2"/>
  <c r="A551" i="2"/>
  <c r="AE550" i="2"/>
  <c r="AD550" i="2"/>
  <c r="AC550" i="2"/>
  <c r="AB550" i="2"/>
  <c r="AA550" i="2"/>
  <c r="Z550" i="2"/>
  <c r="Y550" i="2"/>
  <c r="X550" i="2"/>
  <c r="W550" i="2"/>
  <c r="V550" i="2"/>
  <c r="U550" i="2"/>
  <c r="T550" i="2"/>
  <c r="S550" i="2"/>
  <c r="R550" i="2"/>
  <c r="Q550" i="2"/>
  <c r="P550" i="2"/>
  <c r="O550" i="2"/>
  <c r="N550" i="2"/>
  <c r="M550" i="2"/>
  <c r="L550" i="2"/>
  <c r="K550" i="2"/>
  <c r="J550" i="2"/>
  <c r="I550" i="2"/>
  <c r="H550" i="2"/>
  <c r="G550" i="2"/>
  <c r="F550" i="2"/>
  <c r="E550" i="2"/>
  <c r="D550" i="2"/>
  <c r="C550" i="2"/>
  <c r="B550" i="2"/>
  <c r="A550" i="2"/>
  <c r="AE549" i="2"/>
  <c r="AD549" i="2"/>
  <c r="AC549" i="2"/>
  <c r="AB549" i="2"/>
  <c r="AA549" i="2"/>
  <c r="Z549" i="2"/>
  <c r="Y549" i="2"/>
  <c r="X549" i="2"/>
  <c r="W549" i="2"/>
  <c r="V549" i="2"/>
  <c r="U549" i="2"/>
  <c r="T549" i="2"/>
  <c r="S549" i="2"/>
  <c r="R549" i="2"/>
  <c r="Q549" i="2"/>
  <c r="P549" i="2"/>
  <c r="O549" i="2"/>
  <c r="N549" i="2"/>
  <c r="M549" i="2"/>
  <c r="L549" i="2"/>
  <c r="K549" i="2"/>
  <c r="J549" i="2"/>
  <c r="I549" i="2"/>
  <c r="H549" i="2"/>
  <c r="G549" i="2"/>
  <c r="F549" i="2"/>
  <c r="E549" i="2"/>
  <c r="D549" i="2"/>
  <c r="C549" i="2"/>
  <c r="B549" i="2"/>
  <c r="A549" i="2"/>
  <c r="AE548" i="2"/>
  <c r="AD548" i="2"/>
  <c r="AC548" i="2"/>
  <c r="AB548" i="2"/>
  <c r="AA548" i="2"/>
  <c r="Z548" i="2"/>
  <c r="Y548" i="2"/>
  <c r="X548" i="2"/>
  <c r="W548" i="2"/>
  <c r="V548" i="2"/>
  <c r="U548" i="2"/>
  <c r="T548" i="2"/>
  <c r="S548" i="2"/>
  <c r="R548" i="2"/>
  <c r="Q548" i="2"/>
  <c r="P548" i="2"/>
  <c r="O548" i="2"/>
  <c r="N548" i="2"/>
  <c r="M548" i="2"/>
  <c r="L548" i="2"/>
  <c r="K548" i="2"/>
  <c r="J548" i="2"/>
  <c r="I548" i="2"/>
  <c r="H548" i="2"/>
  <c r="G548" i="2"/>
  <c r="F548" i="2"/>
  <c r="E548" i="2"/>
  <c r="D548" i="2"/>
  <c r="C548" i="2"/>
  <c r="B548" i="2"/>
  <c r="A548" i="2"/>
  <c r="AE547" i="2"/>
  <c r="AD547" i="2"/>
  <c r="AC547" i="2"/>
  <c r="AB547" i="2"/>
  <c r="AA547" i="2"/>
  <c r="Z547" i="2"/>
  <c r="Y547" i="2"/>
  <c r="X547" i="2"/>
  <c r="W547" i="2"/>
  <c r="V547" i="2"/>
  <c r="U547" i="2"/>
  <c r="T547" i="2"/>
  <c r="S547" i="2"/>
  <c r="R547" i="2"/>
  <c r="Q547" i="2"/>
  <c r="P547" i="2"/>
  <c r="O547" i="2"/>
  <c r="N547" i="2"/>
  <c r="M547" i="2"/>
  <c r="L547" i="2"/>
  <c r="K547" i="2"/>
  <c r="J547" i="2"/>
  <c r="I547" i="2"/>
  <c r="H547" i="2"/>
  <c r="G547" i="2"/>
  <c r="F547" i="2"/>
  <c r="E547" i="2"/>
  <c r="D547" i="2"/>
  <c r="C547" i="2"/>
  <c r="B547" i="2"/>
  <c r="A547" i="2"/>
  <c r="AE546" i="2"/>
  <c r="AD546" i="2"/>
  <c r="AC546" i="2"/>
  <c r="AB546" i="2"/>
  <c r="AA546" i="2"/>
  <c r="Z546" i="2"/>
  <c r="Y546" i="2"/>
  <c r="X546" i="2"/>
  <c r="W546" i="2"/>
  <c r="V546" i="2"/>
  <c r="U546" i="2"/>
  <c r="T546" i="2"/>
  <c r="S546" i="2"/>
  <c r="R546" i="2"/>
  <c r="Q546" i="2"/>
  <c r="P546" i="2"/>
  <c r="O546" i="2"/>
  <c r="N546" i="2"/>
  <c r="M546" i="2"/>
  <c r="L546" i="2"/>
  <c r="K546" i="2"/>
  <c r="J546" i="2"/>
  <c r="I546" i="2"/>
  <c r="H546" i="2"/>
  <c r="G546" i="2"/>
  <c r="F546" i="2"/>
  <c r="E546" i="2"/>
  <c r="D546" i="2"/>
  <c r="C546" i="2"/>
  <c r="B546" i="2"/>
  <c r="A546" i="2"/>
  <c r="AE545" i="2"/>
  <c r="AD545" i="2"/>
  <c r="AC545" i="2"/>
  <c r="AB545" i="2"/>
  <c r="AA545" i="2"/>
  <c r="Z545" i="2"/>
  <c r="Y545" i="2"/>
  <c r="X545" i="2"/>
  <c r="W545" i="2"/>
  <c r="V545" i="2"/>
  <c r="U545" i="2"/>
  <c r="T545" i="2"/>
  <c r="S545" i="2"/>
  <c r="R545" i="2"/>
  <c r="Q545" i="2"/>
  <c r="P545" i="2"/>
  <c r="O545" i="2"/>
  <c r="N545" i="2"/>
  <c r="M545" i="2"/>
  <c r="L545" i="2"/>
  <c r="K545" i="2"/>
  <c r="J545" i="2"/>
  <c r="I545" i="2"/>
  <c r="H545" i="2"/>
  <c r="G545" i="2"/>
  <c r="F545" i="2"/>
  <c r="E545" i="2"/>
  <c r="D545" i="2"/>
  <c r="C545" i="2"/>
  <c r="B545" i="2"/>
  <c r="A545" i="2"/>
  <c r="AE544" i="2"/>
  <c r="AD544" i="2"/>
  <c r="AC544" i="2"/>
  <c r="AB544" i="2"/>
  <c r="AA544" i="2"/>
  <c r="Z544" i="2"/>
  <c r="Y544" i="2"/>
  <c r="X544" i="2"/>
  <c r="W544" i="2"/>
  <c r="V544" i="2"/>
  <c r="U544" i="2"/>
  <c r="T544" i="2"/>
  <c r="S544" i="2"/>
  <c r="R544" i="2"/>
  <c r="Q544" i="2"/>
  <c r="P544" i="2"/>
  <c r="O544" i="2"/>
  <c r="N544" i="2"/>
  <c r="M544" i="2"/>
  <c r="L544" i="2"/>
  <c r="K544" i="2"/>
  <c r="J544" i="2"/>
  <c r="I544" i="2"/>
  <c r="H544" i="2"/>
  <c r="G544" i="2"/>
  <c r="F544" i="2"/>
  <c r="E544" i="2"/>
  <c r="D544" i="2"/>
  <c r="C544" i="2"/>
  <c r="B544" i="2"/>
  <c r="A544" i="2"/>
  <c r="AE543" i="2"/>
  <c r="AD543" i="2"/>
  <c r="AC543" i="2"/>
  <c r="AB543" i="2"/>
  <c r="AA543" i="2"/>
  <c r="Z543" i="2"/>
  <c r="Y543" i="2"/>
  <c r="X543" i="2"/>
  <c r="W543" i="2"/>
  <c r="V543" i="2"/>
  <c r="U543" i="2"/>
  <c r="T543" i="2"/>
  <c r="S543" i="2"/>
  <c r="R543" i="2"/>
  <c r="Q543" i="2"/>
  <c r="P543" i="2"/>
  <c r="O543" i="2"/>
  <c r="N543" i="2"/>
  <c r="M543" i="2"/>
  <c r="L543" i="2"/>
  <c r="K543" i="2"/>
  <c r="J543" i="2"/>
  <c r="I543" i="2"/>
  <c r="H543" i="2"/>
  <c r="G543" i="2"/>
  <c r="F543" i="2"/>
  <c r="E543" i="2"/>
  <c r="D543" i="2"/>
  <c r="C543" i="2"/>
  <c r="B543" i="2"/>
  <c r="A543" i="2"/>
  <c r="AE542" i="2"/>
  <c r="AD542" i="2"/>
  <c r="AC542" i="2"/>
  <c r="AB542" i="2"/>
  <c r="AA542" i="2"/>
  <c r="Z542" i="2"/>
  <c r="Y542" i="2"/>
  <c r="X542" i="2"/>
  <c r="W542" i="2"/>
  <c r="V542" i="2"/>
  <c r="U542" i="2"/>
  <c r="T542" i="2"/>
  <c r="S542" i="2"/>
  <c r="R542" i="2"/>
  <c r="Q542" i="2"/>
  <c r="P542" i="2"/>
  <c r="O542" i="2"/>
  <c r="N542" i="2"/>
  <c r="M542" i="2"/>
  <c r="L542" i="2"/>
  <c r="K542" i="2"/>
  <c r="J542" i="2"/>
  <c r="I542" i="2"/>
  <c r="H542" i="2"/>
  <c r="G542" i="2"/>
  <c r="F542" i="2"/>
  <c r="E542" i="2"/>
  <c r="D542" i="2"/>
  <c r="C542" i="2"/>
  <c r="B542" i="2"/>
  <c r="A542" i="2"/>
  <c r="AE541" i="2"/>
  <c r="AD541" i="2"/>
  <c r="AC541" i="2"/>
  <c r="AB541" i="2"/>
  <c r="AA541" i="2"/>
  <c r="Z541" i="2"/>
  <c r="Y541" i="2"/>
  <c r="X541" i="2"/>
  <c r="W541" i="2"/>
  <c r="V541" i="2"/>
  <c r="U541" i="2"/>
  <c r="T541" i="2"/>
  <c r="S541" i="2"/>
  <c r="R541" i="2"/>
  <c r="Q541" i="2"/>
  <c r="P541" i="2"/>
  <c r="O541" i="2"/>
  <c r="N541" i="2"/>
  <c r="M541" i="2"/>
  <c r="L541" i="2"/>
  <c r="K541" i="2"/>
  <c r="J541" i="2"/>
  <c r="I541" i="2"/>
  <c r="H541" i="2"/>
  <c r="G541" i="2"/>
  <c r="F541" i="2"/>
  <c r="E541" i="2"/>
  <c r="D541" i="2"/>
  <c r="C541" i="2"/>
  <c r="B541" i="2"/>
  <c r="A541" i="2"/>
  <c r="AE540" i="2"/>
  <c r="AD540" i="2"/>
  <c r="AC540" i="2"/>
  <c r="AB540" i="2"/>
  <c r="AA540" i="2"/>
  <c r="Z540" i="2"/>
  <c r="Y540" i="2"/>
  <c r="X540" i="2"/>
  <c r="W540" i="2"/>
  <c r="V540" i="2"/>
  <c r="U540" i="2"/>
  <c r="T540" i="2"/>
  <c r="S540" i="2"/>
  <c r="R540" i="2"/>
  <c r="Q540" i="2"/>
  <c r="P540" i="2"/>
  <c r="O540" i="2"/>
  <c r="N540" i="2"/>
  <c r="M540" i="2"/>
  <c r="L540" i="2"/>
  <c r="K540" i="2"/>
  <c r="J540" i="2"/>
  <c r="I540" i="2"/>
  <c r="H540" i="2"/>
  <c r="G540" i="2"/>
  <c r="F540" i="2"/>
  <c r="E540" i="2"/>
  <c r="D540" i="2"/>
  <c r="C540" i="2"/>
  <c r="B540" i="2"/>
  <c r="A540" i="2"/>
  <c r="AE539" i="2"/>
  <c r="AD539" i="2"/>
  <c r="AC539" i="2"/>
  <c r="AB539" i="2"/>
  <c r="AA539" i="2"/>
  <c r="Z539" i="2"/>
  <c r="Y539" i="2"/>
  <c r="X539" i="2"/>
  <c r="W539" i="2"/>
  <c r="V539" i="2"/>
  <c r="U539" i="2"/>
  <c r="T539" i="2"/>
  <c r="S539" i="2"/>
  <c r="R539" i="2"/>
  <c r="Q539" i="2"/>
  <c r="P539" i="2"/>
  <c r="O539" i="2"/>
  <c r="N539" i="2"/>
  <c r="M539" i="2"/>
  <c r="L539" i="2"/>
  <c r="K539" i="2"/>
  <c r="J539" i="2"/>
  <c r="I539" i="2"/>
  <c r="H539" i="2"/>
  <c r="G539" i="2"/>
  <c r="F539" i="2"/>
  <c r="E539" i="2"/>
  <c r="D539" i="2"/>
  <c r="C539" i="2"/>
  <c r="B539" i="2"/>
  <c r="A539" i="2"/>
  <c r="AE538" i="2"/>
  <c r="AD538" i="2"/>
  <c r="AC538" i="2"/>
  <c r="AB538" i="2"/>
  <c r="AA538" i="2"/>
  <c r="Z538" i="2"/>
  <c r="Y538" i="2"/>
  <c r="X538" i="2"/>
  <c r="W538" i="2"/>
  <c r="V538" i="2"/>
  <c r="U538" i="2"/>
  <c r="T538" i="2"/>
  <c r="S538" i="2"/>
  <c r="R538" i="2"/>
  <c r="Q538" i="2"/>
  <c r="P538" i="2"/>
  <c r="O538" i="2"/>
  <c r="N538" i="2"/>
  <c r="M538" i="2"/>
  <c r="L538" i="2"/>
  <c r="K538" i="2"/>
  <c r="J538" i="2"/>
  <c r="I538" i="2"/>
  <c r="H538" i="2"/>
  <c r="G538" i="2"/>
  <c r="F538" i="2"/>
  <c r="E538" i="2"/>
  <c r="D538" i="2"/>
  <c r="C538" i="2"/>
  <c r="B538" i="2"/>
  <c r="A538" i="2"/>
  <c r="AE537" i="2"/>
  <c r="AD537" i="2"/>
  <c r="AC537" i="2"/>
  <c r="AB537" i="2"/>
  <c r="AA537" i="2"/>
  <c r="Z537" i="2"/>
  <c r="Y537" i="2"/>
  <c r="X537" i="2"/>
  <c r="W537" i="2"/>
  <c r="V537" i="2"/>
  <c r="U537" i="2"/>
  <c r="T537" i="2"/>
  <c r="S537" i="2"/>
  <c r="R537" i="2"/>
  <c r="Q537" i="2"/>
  <c r="P537" i="2"/>
  <c r="O537" i="2"/>
  <c r="N537" i="2"/>
  <c r="M537" i="2"/>
  <c r="L537" i="2"/>
  <c r="K537" i="2"/>
  <c r="J537" i="2"/>
  <c r="I537" i="2"/>
  <c r="H537" i="2"/>
  <c r="G537" i="2"/>
  <c r="F537" i="2"/>
  <c r="E537" i="2"/>
  <c r="D537" i="2"/>
  <c r="C537" i="2"/>
  <c r="B537" i="2"/>
  <c r="A537" i="2"/>
  <c r="AE536" i="2"/>
  <c r="AD536" i="2"/>
  <c r="AC536" i="2"/>
  <c r="AB536" i="2"/>
  <c r="AA536" i="2"/>
  <c r="Z536" i="2"/>
  <c r="Y536" i="2"/>
  <c r="X536" i="2"/>
  <c r="W536" i="2"/>
  <c r="V536" i="2"/>
  <c r="U536" i="2"/>
  <c r="T536" i="2"/>
  <c r="S536" i="2"/>
  <c r="R536" i="2"/>
  <c r="Q536" i="2"/>
  <c r="P536" i="2"/>
  <c r="O536" i="2"/>
  <c r="N536" i="2"/>
  <c r="M536" i="2"/>
  <c r="L536" i="2"/>
  <c r="K536" i="2"/>
  <c r="J536" i="2"/>
  <c r="I536" i="2"/>
  <c r="H536" i="2"/>
  <c r="G536" i="2"/>
  <c r="F536" i="2"/>
  <c r="E536" i="2"/>
  <c r="D536" i="2"/>
  <c r="C536" i="2"/>
  <c r="B536" i="2"/>
  <c r="A536" i="2"/>
  <c r="AE535" i="2"/>
  <c r="AD535" i="2"/>
  <c r="AC535" i="2"/>
  <c r="AB535" i="2"/>
  <c r="AA535" i="2"/>
  <c r="Z535" i="2"/>
  <c r="Y535" i="2"/>
  <c r="X535" i="2"/>
  <c r="W535" i="2"/>
  <c r="V535" i="2"/>
  <c r="U535" i="2"/>
  <c r="T535" i="2"/>
  <c r="S535" i="2"/>
  <c r="R535" i="2"/>
  <c r="Q535" i="2"/>
  <c r="P535" i="2"/>
  <c r="O535" i="2"/>
  <c r="N535" i="2"/>
  <c r="M535" i="2"/>
  <c r="L535" i="2"/>
  <c r="K535" i="2"/>
  <c r="J535" i="2"/>
  <c r="I535" i="2"/>
  <c r="H535" i="2"/>
  <c r="G535" i="2"/>
  <c r="F535" i="2"/>
  <c r="E535" i="2"/>
  <c r="D535" i="2"/>
  <c r="C535" i="2"/>
  <c r="B535" i="2"/>
  <c r="A535" i="2"/>
  <c r="AE534" i="2"/>
  <c r="AD534" i="2"/>
  <c r="AC534" i="2"/>
  <c r="AB534" i="2"/>
  <c r="AA534" i="2"/>
  <c r="Z534" i="2"/>
  <c r="Y534" i="2"/>
  <c r="X534" i="2"/>
  <c r="W534" i="2"/>
  <c r="V534" i="2"/>
  <c r="U534" i="2"/>
  <c r="T534" i="2"/>
  <c r="S534" i="2"/>
  <c r="R534" i="2"/>
  <c r="Q534" i="2"/>
  <c r="P534" i="2"/>
  <c r="O534" i="2"/>
  <c r="N534" i="2"/>
  <c r="M534" i="2"/>
  <c r="L534" i="2"/>
  <c r="K534" i="2"/>
  <c r="J534" i="2"/>
  <c r="I534" i="2"/>
  <c r="H534" i="2"/>
  <c r="G534" i="2"/>
  <c r="F534" i="2"/>
  <c r="E534" i="2"/>
  <c r="D534" i="2"/>
  <c r="C534" i="2"/>
  <c r="B534" i="2"/>
  <c r="A534" i="2"/>
  <c r="AE533" i="2"/>
  <c r="AD533" i="2"/>
  <c r="AC533" i="2"/>
  <c r="AB533" i="2"/>
  <c r="AA533" i="2"/>
  <c r="Z533" i="2"/>
  <c r="Y533" i="2"/>
  <c r="X533" i="2"/>
  <c r="W533" i="2"/>
  <c r="V533" i="2"/>
  <c r="U533" i="2"/>
  <c r="T533" i="2"/>
  <c r="S533" i="2"/>
  <c r="R533" i="2"/>
  <c r="Q533" i="2"/>
  <c r="P533" i="2"/>
  <c r="O533" i="2"/>
  <c r="N533" i="2"/>
  <c r="M533" i="2"/>
  <c r="L533" i="2"/>
  <c r="K533" i="2"/>
  <c r="J533" i="2"/>
  <c r="I533" i="2"/>
  <c r="H533" i="2"/>
  <c r="G533" i="2"/>
  <c r="F533" i="2"/>
  <c r="E533" i="2"/>
  <c r="D533" i="2"/>
  <c r="C533" i="2"/>
  <c r="B533" i="2"/>
  <c r="A533" i="2"/>
  <c r="AE532" i="2"/>
  <c r="AD532" i="2"/>
  <c r="AC532" i="2"/>
  <c r="AB532" i="2"/>
  <c r="AA532" i="2"/>
  <c r="Z532" i="2"/>
  <c r="Y532" i="2"/>
  <c r="X532" i="2"/>
  <c r="W532" i="2"/>
  <c r="V532" i="2"/>
  <c r="U532" i="2"/>
  <c r="T532" i="2"/>
  <c r="S532" i="2"/>
  <c r="R532" i="2"/>
  <c r="Q532" i="2"/>
  <c r="P532" i="2"/>
  <c r="O532" i="2"/>
  <c r="N532" i="2"/>
  <c r="M532" i="2"/>
  <c r="L532" i="2"/>
  <c r="K532" i="2"/>
  <c r="J532" i="2"/>
  <c r="I532" i="2"/>
  <c r="H532" i="2"/>
  <c r="G532" i="2"/>
  <c r="F532" i="2"/>
  <c r="E532" i="2"/>
  <c r="D532" i="2"/>
  <c r="C532" i="2"/>
  <c r="B532" i="2"/>
  <c r="A532" i="2"/>
  <c r="AE531" i="2"/>
  <c r="AD531" i="2"/>
  <c r="AC531" i="2"/>
  <c r="AB531" i="2"/>
  <c r="AA531" i="2"/>
  <c r="Z531" i="2"/>
  <c r="Y531" i="2"/>
  <c r="X531" i="2"/>
  <c r="W531" i="2"/>
  <c r="V531" i="2"/>
  <c r="U531" i="2"/>
  <c r="T531" i="2"/>
  <c r="S531" i="2"/>
  <c r="R531" i="2"/>
  <c r="Q531" i="2"/>
  <c r="P531" i="2"/>
  <c r="O531" i="2"/>
  <c r="N531" i="2"/>
  <c r="M531" i="2"/>
  <c r="L531" i="2"/>
  <c r="K531" i="2"/>
  <c r="J531" i="2"/>
  <c r="I531" i="2"/>
  <c r="H531" i="2"/>
  <c r="G531" i="2"/>
  <c r="F531" i="2"/>
  <c r="E531" i="2"/>
  <c r="D531" i="2"/>
  <c r="C531" i="2"/>
  <c r="B531" i="2"/>
  <c r="A531" i="2"/>
  <c r="AE530" i="2"/>
  <c r="AD530" i="2"/>
  <c r="AC530" i="2"/>
  <c r="AB530" i="2"/>
  <c r="AA530" i="2"/>
  <c r="Z530" i="2"/>
  <c r="Y530" i="2"/>
  <c r="X530" i="2"/>
  <c r="W530" i="2"/>
  <c r="V530" i="2"/>
  <c r="U530" i="2"/>
  <c r="T530" i="2"/>
  <c r="S530" i="2"/>
  <c r="R530" i="2"/>
  <c r="Q530" i="2"/>
  <c r="P530" i="2"/>
  <c r="O530" i="2"/>
  <c r="N530" i="2"/>
  <c r="M530" i="2"/>
  <c r="L530" i="2"/>
  <c r="K530" i="2"/>
  <c r="J530" i="2"/>
  <c r="I530" i="2"/>
  <c r="H530" i="2"/>
  <c r="G530" i="2"/>
  <c r="F530" i="2"/>
  <c r="E530" i="2"/>
  <c r="D530" i="2"/>
  <c r="C530" i="2"/>
  <c r="B530" i="2"/>
  <c r="A530" i="2"/>
  <c r="AE529" i="2"/>
  <c r="AD529" i="2"/>
  <c r="AC529" i="2"/>
  <c r="AB529" i="2"/>
  <c r="AA529" i="2"/>
  <c r="Z529" i="2"/>
  <c r="Y529" i="2"/>
  <c r="X529" i="2"/>
  <c r="W529" i="2"/>
  <c r="V529" i="2"/>
  <c r="U529" i="2"/>
  <c r="T529" i="2"/>
  <c r="S529" i="2"/>
  <c r="R529" i="2"/>
  <c r="Q529" i="2"/>
  <c r="P529" i="2"/>
  <c r="O529" i="2"/>
  <c r="N529" i="2"/>
  <c r="M529" i="2"/>
  <c r="L529" i="2"/>
  <c r="K529" i="2"/>
  <c r="J529" i="2"/>
  <c r="I529" i="2"/>
  <c r="H529" i="2"/>
  <c r="G529" i="2"/>
  <c r="F529" i="2"/>
  <c r="E529" i="2"/>
  <c r="D529" i="2"/>
  <c r="C529" i="2"/>
  <c r="B529" i="2"/>
  <c r="A529" i="2"/>
  <c r="AE528" i="2"/>
  <c r="AD528" i="2"/>
  <c r="AC528" i="2"/>
  <c r="AB528" i="2"/>
  <c r="AA528" i="2"/>
  <c r="Z528" i="2"/>
  <c r="Y528" i="2"/>
  <c r="X528" i="2"/>
  <c r="W528" i="2"/>
  <c r="V528" i="2"/>
  <c r="U528" i="2"/>
  <c r="T528" i="2"/>
  <c r="S528" i="2"/>
  <c r="R528" i="2"/>
  <c r="Q528" i="2"/>
  <c r="P528" i="2"/>
  <c r="O528" i="2"/>
  <c r="N528" i="2"/>
  <c r="M528" i="2"/>
  <c r="L528" i="2"/>
  <c r="K528" i="2"/>
  <c r="J528" i="2"/>
  <c r="I528" i="2"/>
  <c r="H528" i="2"/>
  <c r="G528" i="2"/>
  <c r="F528" i="2"/>
  <c r="E528" i="2"/>
  <c r="D528" i="2"/>
  <c r="C528" i="2"/>
  <c r="B528" i="2"/>
  <c r="A528" i="2"/>
  <c r="AE527" i="2"/>
  <c r="AD527" i="2"/>
  <c r="AC527" i="2"/>
  <c r="AB527" i="2"/>
  <c r="AA527" i="2"/>
  <c r="Z527" i="2"/>
  <c r="Y527" i="2"/>
  <c r="X527" i="2"/>
  <c r="W527" i="2"/>
  <c r="V527" i="2"/>
  <c r="U527" i="2"/>
  <c r="T527" i="2"/>
  <c r="S527" i="2"/>
  <c r="R527" i="2"/>
  <c r="Q527" i="2"/>
  <c r="P527" i="2"/>
  <c r="O527" i="2"/>
  <c r="N527" i="2"/>
  <c r="M527" i="2"/>
  <c r="L527" i="2"/>
  <c r="K527" i="2"/>
  <c r="J527" i="2"/>
  <c r="I527" i="2"/>
  <c r="H527" i="2"/>
  <c r="G527" i="2"/>
  <c r="F527" i="2"/>
  <c r="E527" i="2"/>
  <c r="D527" i="2"/>
  <c r="C527" i="2"/>
  <c r="B527" i="2"/>
  <c r="A527" i="2"/>
  <c r="AE526" i="2"/>
  <c r="AD526" i="2"/>
  <c r="AC526" i="2"/>
  <c r="AB526" i="2"/>
  <c r="AA526" i="2"/>
  <c r="Z526" i="2"/>
  <c r="Y526" i="2"/>
  <c r="X526" i="2"/>
  <c r="W526" i="2"/>
  <c r="V526" i="2"/>
  <c r="U526" i="2"/>
  <c r="T526" i="2"/>
  <c r="S526" i="2"/>
  <c r="R526" i="2"/>
  <c r="Q526" i="2"/>
  <c r="P526" i="2"/>
  <c r="O526" i="2"/>
  <c r="N526" i="2"/>
  <c r="M526" i="2"/>
  <c r="L526" i="2"/>
  <c r="K526" i="2"/>
  <c r="J526" i="2"/>
  <c r="I526" i="2"/>
  <c r="H526" i="2"/>
  <c r="G526" i="2"/>
  <c r="F526" i="2"/>
  <c r="E526" i="2"/>
  <c r="D526" i="2"/>
  <c r="C526" i="2"/>
  <c r="B526" i="2"/>
  <c r="A526" i="2"/>
  <c r="AE525" i="2"/>
  <c r="AD525" i="2"/>
  <c r="AC525" i="2"/>
  <c r="AB525" i="2"/>
  <c r="AA525" i="2"/>
  <c r="Z525" i="2"/>
  <c r="Y525" i="2"/>
  <c r="X525" i="2"/>
  <c r="W525" i="2"/>
  <c r="V525" i="2"/>
  <c r="U525" i="2"/>
  <c r="T525" i="2"/>
  <c r="S525" i="2"/>
  <c r="R525" i="2"/>
  <c r="Q525" i="2"/>
  <c r="P525" i="2"/>
  <c r="O525" i="2"/>
  <c r="N525" i="2"/>
  <c r="M525" i="2"/>
  <c r="L525" i="2"/>
  <c r="K525" i="2"/>
  <c r="J525" i="2"/>
  <c r="I525" i="2"/>
  <c r="H525" i="2"/>
  <c r="G525" i="2"/>
  <c r="F525" i="2"/>
  <c r="E525" i="2"/>
  <c r="D525" i="2"/>
  <c r="C525" i="2"/>
  <c r="B525" i="2"/>
  <c r="A525" i="2"/>
  <c r="AE524" i="2"/>
  <c r="AD524" i="2"/>
  <c r="AC524" i="2"/>
  <c r="AB524" i="2"/>
  <c r="AA524" i="2"/>
  <c r="Z524" i="2"/>
  <c r="Y524" i="2"/>
  <c r="X524" i="2"/>
  <c r="W524" i="2"/>
  <c r="V524" i="2"/>
  <c r="U524" i="2"/>
  <c r="T524" i="2"/>
  <c r="S524" i="2"/>
  <c r="R524" i="2"/>
  <c r="Q524" i="2"/>
  <c r="P524" i="2"/>
  <c r="O524" i="2"/>
  <c r="N524" i="2"/>
  <c r="M524" i="2"/>
  <c r="L524" i="2"/>
  <c r="K524" i="2"/>
  <c r="J524" i="2"/>
  <c r="I524" i="2"/>
  <c r="H524" i="2"/>
  <c r="G524" i="2"/>
  <c r="F524" i="2"/>
  <c r="E524" i="2"/>
  <c r="D524" i="2"/>
  <c r="C524" i="2"/>
  <c r="B524" i="2"/>
  <c r="A524" i="2"/>
  <c r="AE523" i="2"/>
  <c r="AD523" i="2"/>
  <c r="AC523" i="2"/>
  <c r="AB523" i="2"/>
  <c r="AA523" i="2"/>
  <c r="Z523" i="2"/>
  <c r="Y523" i="2"/>
  <c r="X523" i="2"/>
  <c r="W523" i="2"/>
  <c r="V523" i="2"/>
  <c r="U523" i="2"/>
  <c r="T523" i="2"/>
  <c r="S523" i="2"/>
  <c r="R523" i="2"/>
  <c r="Q523" i="2"/>
  <c r="P523" i="2"/>
  <c r="O523" i="2"/>
  <c r="N523" i="2"/>
  <c r="M523" i="2"/>
  <c r="L523" i="2"/>
  <c r="K523" i="2"/>
  <c r="J523" i="2"/>
  <c r="I523" i="2"/>
  <c r="H523" i="2"/>
  <c r="G523" i="2"/>
  <c r="F523" i="2"/>
  <c r="E523" i="2"/>
  <c r="D523" i="2"/>
  <c r="C523" i="2"/>
  <c r="B523" i="2"/>
  <c r="A523" i="2"/>
  <c r="AE522" i="2"/>
  <c r="AD522" i="2"/>
  <c r="AC522" i="2"/>
  <c r="AB522" i="2"/>
  <c r="AA522" i="2"/>
  <c r="Z522" i="2"/>
  <c r="Y522" i="2"/>
  <c r="X522" i="2"/>
  <c r="W522" i="2"/>
  <c r="V522" i="2"/>
  <c r="U522" i="2"/>
  <c r="T522" i="2"/>
  <c r="S522" i="2"/>
  <c r="R522" i="2"/>
  <c r="Q522" i="2"/>
  <c r="P522" i="2"/>
  <c r="O522" i="2"/>
  <c r="N522" i="2"/>
  <c r="M522" i="2"/>
  <c r="L522" i="2"/>
  <c r="K522" i="2"/>
  <c r="J522" i="2"/>
  <c r="I522" i="2"/>
  <c r="H522" i="2"/>
  <c r="G522" i="2"/>
  <c r="F522" i="2"/>
  <c r="E522" i="2"/>
  <c r="D522" i="2"/>
  <c r="C522" i="2"/>
  <c r="B522" i="2"/>
  <c r="A522" i="2"/>
  <c r="AE521" i="2"/>
  <c r="AD521" i="2"/>
  <c r="AC521" i="2"/>
  <c r="AB521" i="2"/>
  <c r="AA521" i="2"/>
  <c r="Z521" i="2"/>
  <c r="Y521" i="2"/>
  <c r="X521" i="2"/>
  <c r="W521" i="2"/>
  <c r="V521" i="2"/>
  <c r="U521" i="2"/>
  <c r="T521" i="2"/>
  <c r="S521" i="2"/>
  <c r="R521" i="2"/>
  <c r="Q521" i="2"/>
  <c r="P521" i="2"/>
  <c r="O521" i="2"/>
  <c r="N521" i="2"/>
  <c r="M521" i="2"/>
  <c r="L521" i="2"/>
  <c r="K521" i="2"/>
  <c r="J521" i="2"/>
  <c r="I521" i="2"/>
  <c r="H521" i="2"/>
  <c r="G521" i="2"/>
  <c r="F521" i="2"/>
  <c r="E521" i="2"/>
  <c r="D521" i="2"/>
  <c r="C521" i="2"/>
  <c r="B521" i="2"/>
  <c r="A521" i="2"/>
  <c r="AE520" i="2"/>
  <c r="AD520" i="2"/>
  <c r="AC520" i="2"/>
  <c r="AB520" i="2"/>
  <c r="AA520" i="2"/>
  <c r="Z520" i="2"/>
  <c r="Y520" i="2"/>
  <c r="X520" i="2"/>
  <c r="W520" i="2"/>
  <c r="V520" i="2"/>
  <c r="U520" i="2"/>
  <c r="T520" i="2"/>
  <c r="S520" i="2"/>
  <c r="R520" i="2"/>
  <c r="Q520" i="2"/>
  <c r="P520" i="2"/>
  <c r="O520" i="2"/>
  <c r="N520" i="2"/>
  <c r="M520" i="2"/>
  <c r="L520" i="2"/>
  <c r="K520" i="2"/>
  <c r="J520" i="2"/>
  <c r="I520" i="2"/>
  <c r="H520" i="2"/>
  <c r="G520" i="2"/>
  <c r="F520" i="2"/>
  <c r="E520" i="2"/>
  <c r="D520" i="2"/>
  <c r="C520" i="2"/>
  <c r="B520" i="2"/>
  <c r="A520" i="2"/>
  <c r="AE519" i="2"/>
  <c r="AD519" i="2"/>
  <c r="AC519" i="2"/>
  <c r="AB519" i="2"/>
  <c r="AA519" i="2"/>
  <c r="Z519" i="2"/>
  <c r="Y519" i="2"/>
  <c r="X519" i="2"/>
  <c r="W519" i="2"/>
  <c r="V519" i="2"/>
  <c r="U519" i="2"/>
  <c r="T519" i="2"/>
  <c r="S519" i="2"/>
  <c r="R519" i="2"/>
  <c r="Q519" i="2"/>
  <c r="P519" i="2"/>
  <c r="O519" i="2"/>
  <c r="N519" i="2"/>
  <c r="M519" i="2"/>
  <c r="L519" i="2"/>
  <c r="K519" i="2"/>
  <c r="J519" i="2"/>
  <c r="I519" i="2"/>
  <c r="H519" i="2"/>
  <c r="G519" i="2"/>
  <c r="F519" i="2"/>
  <c r="E519" i="2"/>
  <c r="D519" i="2"/>
  <c r="C519" i="2"/>
  <c r="B519" i="2"/>
  <c r="A519" i="2"/>
  <c r="AE518" i="2"/>
  <c r="AD518" i="2"/>
  <c r="AC518" i="2"/>
  <c r="AB518" i="2"/>
  <c r="AA518" i="2"/>
  <c r="Z518" i="2"/>
  <c r="Y518" i="2"/>
  <c r="X518" i="2"/>
  <c r="W518" i="2"/>
  <c r="V518" i="2"/>
  <c r="U518" i="2"/>
  <c r="T518" i="2"/>
  <c r="S518" i="2"/>
  <c r="R518" i="2"/>
  <c r="Q518" i="2"/>
  <c r="P518" i="2"/>
  <c r="O518" i="2"/>
  <c r="N518" i="2"/>
  <c r="M518" i="2"/>
  <c r="L518" i="2"/>
  <c r="K518" i="2"/>
  <c r="J518" i="2"/>
  <c r="I518" i="2"/>
  <c r="H518" i="2"/>
  <c r="G518" i="2"/>
  <c r="F518" i="2"/>
  <c r="E518" i="2"/>
  <c r="D518" i="2"/>
  <c r="C518" i="2"/>
  <c r="B518" i="2"/>
  <c r="A518" i="2"/>
  <c r="AE517" i="2"/>
  <c r="AD517" i="2"/>
  <c r="AC517" i="2"/>
  <c r="AB517" i="2"/>
  <c r="AA517" i="2"/>
  <c r="Z517" i="2"/>
  <c r="Y517" i="2"/>
  <c r="X517" i="2"/>
  <c r="W517" i="2"/>
  <c r="V517" i="2"/>
  <c r="U517" i="2"/>
  <c r="T517" i="2"/>
  <c r="S517" i="2"/>
  <c r="R517" i="2"/>
  <c r="Q517" i="2"/>
  <c r="P517" i="2"/>
  <c r="O517" i="2"/>
  <c r="N517" i="2"/>
  <c r="M517" i="2"/>
  <c r="L517" i="2"/>
  <c r="K517" i="2"/>
  <c r="J517" i="2"/>
  <c r="I517" i="2"/>
  <c r="H517" i="2"/>
  <c r="G517" i="2"/>
  <c r="F517" i="2"/>
  <c r="E517" i="2"/>
  <c r="D517" i="2"/>
  <c r="C517" i="2"/>
  <c r="B517" i="2"/>
  <c r="A517" i="2"/>
  <c r="AE516" i="2"/>
  <c r="AD516" i="2"/>
  <c r="AC516" i="2"/>
  <c r="AB516" i="2"/>
  <c r="AA516" i="2"/>
  <c r="Z516" i="2"/>
  <c r="Y516" i="2"/>
  <c r="X516" i="2"/>
  <c r="W516" i="2"/>
  <c r="V516" i="2"/>
  <c r="U516" i="2"/>
  <c r="T516" i="2"/>
  <c r="S516" i="2"/>
  <c r="R516" i="2"/>
  <c r="Q516" i="2"/>
  <c r="P516" i="2"/>
  <c r="O516" i="2"/>
  <c r="N516" i="2"/>
  <c r="M516" i="2"/>
  <c r="L516" i="2"/>
  <c r="K516" i="2"/>
  <c r="J516" i="2"/>
  <c r="I516" i="2"/>
  <c r="H516" i="2"/>
  <c r="G516" i="2"/>
  <c r="F516" i="2"/>
  <c r="E516" i="2"/>
  <c r="D516" i="2"/>
  <c r="C516" i="2"/>
  <c r="B516" i="2"/>
  <c r="A516" i="2"/>
  <c r="AE515" i="2"/>
  <c r="AD515" i="2"/>
  <c r="AC515" i="2"/>
  <c r="AB515" i="2"/>
  <c r="AA515" i="2"/>
  <c r="Z515" i="2"/>
  <c r="Y515" i="2"/>
  <c r="X515" i="2"/>
  <c r="W515" i="2"/>
  <c r="V515" i="2"/>
  <c r="U515" i="2"/>
  <c r="T515" i="2"/>
  <c r="S515" i="2"/>
  <c r="R515" i="2"/>
  <c r="Q515" i="2"/>
  <c r="P515" i="2"/>
  <c r="O515" i="2"/>
  <c r="N515" i="2"/>
  <c r="M515" i="2"/>
  <c r="L515" i="2"/>
  <c r="K515" i="2"/>
  <c r="J515" i="2"/>
  <c r="I515" i="2"/>
  <c r="H515" i="2"/>
  <c r="G515" i="2"/>
  <c r="F515" i="2"/>
  <c r="E515" i="2"/>
  <c r="D515" i="2"/>
  <c r="C515" i="2"/>
  <c r="B515" i="2"/>
  <c r="A515" i="2"/>
  <c r="AE514" i="2"/>
  <c r="AD514" i="2"/>
  <c r="AC514" i="2"/>
  <c r="AB514" i="2"/>
  <c r="AA514" i="2"/>
  <c r="Z514" i="2"/>
  <c r="Y514" i="2"/>
  <c r="X514" i="2"/>
  <c r="W514" i="2"/>
  <c r="V514" i="2"/>
  <c r="U514" i="2"/>
  <c r="T514" i="2"/>
  <c r="S514" i="2"/>
  <c r="R514" i="2"/>
  <c r="Q514" i="2"/>
  <c r="P514" i="2"/>
  <c r="O514" i="2"/>
  <c r="N514" i="2"/>
  <c r="M514" i="2"/>
  <c r="L514" i="2"/>
  <c r="K514" i="2"/>
  <c r="J514" i="2"/>
  <c r="I514" i="2"/>
  <c r="H514" i="2"/>
  <c r="G514" i="2"/>
  <c r="F514" i="2"/>
  <c r="E514" i="2"/>
  <c r="D514" i="2"/>
  <c r="C514" i="2"/>
  <c r="B514" i="2"/>
  <c r="A514" i="2"/>
  <c r="AE513" i="2"/>
  <c r="AD513" i="2"/>
  <c r="AC513" i="2"/>
  <c r="AB513" i="2"/>
  <c r="AA513" i="2"/>
  <c r="Z513" i="2"/>
  <c r="Y513" i="2"/>
  <c r="X513" i="2"/>
  <c r="W513" i="2"/>
  <c r="V513" i="2"/>
  <c r="U513" i="2"/>
  <c r="T513" i="2"/>
  <c r="S513" i="2"/>
  <c r="R513" i="2"/>
  <c r="Q513" i="2"/>
  <c r="P513" i="2"/>
  <c r="O513" i="2"/>
  <c r="N513" i="2"/>
  <c r="M513" i="2"/>
  <c r="L513" i="2"/>
  <c r="K513" i="2"/>
  <c r="J513" i="2"/>
  <c r="I513" i="2"/>
  <c r="H513" i="2"/>
  <c r="G513" i="2"/>
  <c r="F513" i="2"/>
  <c r="E513" i="2"/>
  <c r="D513" i="2"/>
  <c r="C513" i="2"/>
  <c r="B513" i="2"/>
  <c r="A513" i="2"/>
  <c r="AE512" i="2"/>
  <c r="AD512" i="2"/>
  <c r="AC512" i="2"/>
  <c r="AB512" i="2"/>
  <c r="AA512" i="2"/>
  <c r="Z512" i="2"/>
  <c r="Y512" i="2"/>
  <c r="X512" i="2"/>
  <c r="W512" i="2"/>
  <c r="V512" i="2"/>
  <c r="U512" i="2"/>
  <c r="T512" i="2"/>
  <c r="S512" i="2"/>
  <c r="R512" i="2"/>
  <c r="Q512" i="2"/>
  <c r="P512" i="2"/>
  <c r="O512" i="2"/>
  <c r="N512" i="2"/>
  <c r="M512" i="2"/>
  <c r="L512" i="2"/>
  <c r="K512" i="2"/>
  <c r="J512" i="2"/>
  <c r="I512" i="2"/>
  <c r="H512" i="2"/>
  <c r="G512" i="2"/>
  <c r="F512" i="2"/>
  <c r="E512" i="2"/>
  <c r="D512" i="2"/>
  <c r="C512" i="2"/>
  <c r="B512" i="2"/>
  <c r="A512" i="2"/>
  <c r="AE511" i="2"/>
  <c r="AD511" i="2"/>
  <c r="AC511" i="2"/>
  <c r="AB511" i="2"/>
  <c r="AA511" i="2"/>
  <c r="Z511" i="2"/>
  <c r="Y511" i="2"/>
  <c r="X511" i="2"/>
  <c r="W511" i="2"/>
  <c r="V511" i="2"/>
  <c r="U511" i="2"/>
  <c r="T511" i="2"/>
  <c r="S511" i="2"/>
  <c r="R511" i="2"/>
  <c r="Q511" i="2"/>
  <c r="P511" i="2"/>
  <c r="O511" i="2"/>
  <c r="N511" i="2"/>
  <c r="M511" i="2"/>
  <c r="L511" i="2"/>
  <c r="K511" i="2"/>
  <c r="J511" i="2"/>
  <c r="I511" i="2"/>
  <c r="H511" i="2"/>
  <c r="G511" i="2"/>
  <c r="F511" i="2"/>
  <c r="E511" i="2"/>
  <c r="D511" i="2"/>
  <c r="C511" i="2"/>
  <c r="B511" i="2"/>
  <c r="A511" i="2"/>
  <c r="AE510" i="2"/>
  <c r="AD510" i="2"/>
  <c r="AC510" i="2"/>
  <c r="AB510" i="2"/>
  <c r="AA510" i="2"/>
  <c r="Z510" i="2"/>
  <c r="Y510" i="2"/>
  <c r="X510" i="2"/>
  <c r="W510" i="2"/>
  <c r="V510" i="2"/>
  <c r="U510" i="2"/>
  <c r="T510" i="2"/>
  <c r="S510" i="2"/>
  <c r="R510" i="2"/>
  <c r="Q510" i="2"/>
  <c r="P510" i="2"/>
  <c r="O510" i="2"/>
  <c r="N510" i="2"/>
  <c r="M510" i="2"/>
  <c r="L510" i="2"/>
  <c r="K510" i="2"/>
  <c r="J510" i="2"/>
  <c r="I510" i="2"/>
  <c r="H510" i="2"/>
  <c r="G510" i="2"/>
  <c r="F510" i="2"/>
  <c r="E510" i="2"/>
  <c r="D510" i="2"/>
  <c r="C510" i="2"/>
  <c r="B510" i="2"/>
  <c r="A510" i="2"/>
  <c r="AE509" i="2"/>
  <c r="AD509" i="2"/>
  <c r="AC509" i="2"/>
  <c r="AB509" i="2"/>
  <c r="AA509" i="2"/>
  <c r="Z509" i="2"/>
  <c r="Y509" i="2"/>
  <c r="X509" i="2"/>
  <c r="W509" i="2"/>
  <c r="V509" i="2"/>
  <c r="U509" i="2"/>
  <c r="T509" i="2"/>
  <c r="S509" i="2"/>
  <c r="R509" i="2"/>
  <c r="Q509" i="2"/>
  <c r="P509" i="2"/>
  <c r="O509" i="2"/>
  <c r="N509" i="2"/>
  <c r="M509" i="2"/>
  <c r="L509" i="2"/>
  <c r="K509" i="2"/>
  <c r="J509" i="2"/>
  <c r="I509" i="2"/>
  <c r="H509" i="2"/>
  <c r="G509" i="2"/>
  <c r="F509" i="2"/>
  <c r="E509" i="2"/>
  <c r="D509" i="2"/>
  <c r="C509" i="2"/>
  <c r="B509" i="2"/>
  <c r="A509" i="2"/>
  <c r="AE508" i="2"/>
  <c r="AD508" i="2"/>
  <c r="AC508" i="2"/>
  <c r="AB508" i="2"/>
  <c r="AA508" i="2"/>
  <c r="Z508" i="2"/>
  <c r="Y508" i="2"/>
  <c r="X508" i="2"/>
  <c r="W508" i="2"/>
  <c r="V508" i="2"/>
  <c r="U508" i="2"/>
  <c r="T508" i="2"/>
  <c r="S508" i="2"/>
  <c r="R508" i="2"/>
  <c r="Q508" i="2"/>
  <c r="P508" i="2"/>
  <c r="O508" i="2"/>
  <c r="N508" i="2"/>
  <c r="M508" i="2"/>
  <c r="L508" i="2"/>
  <c r="K508" i="2"/>
  <c r="J508" i="2"/>
  <c r="I508" i="2"/>
  <c r="H508" i="2"/>
  <c r="G508" i="2"/>
  <c r="F508" i="2"/>
  <c r="E508" i="2"/>
  <c r="D508" i="2"/>
  <c r="C508" i="2"/>
  <c r="B508" i="2"/>
  <c r="A508" i="2"/>
  <c r="AE507" i="2"/>
  <c r="AD507" i="2"/>
  <c r="AC507" i="2"/>
  <c r="AB507" i="2"/>
  <c r="AA507" i="2"/>
  <c r="Z507" i="2"/>
  <c r="Y507" i="2"/>
  <c r="X507" i="2"/>
  <c r="W507" i="2"/>
  <c r="V507" i="2"/>
  <c r="U507" i="2"/>
  <c r="T507" i="2"/>
  <c r="S507" i="2"/>
  <c r="R507" i="2"/>
  <c r="Q507" i="2"/>
  <c r="P507" i="2"/>
  <c r="O507" i="2"/>
  <c r="N507" i="2"/>
  <c r="M507" i="2"/>
  <c r="L507" i="2"/>
  <c r="K507" i="2"/>
  <c r="J507" i="2"/>
  <c r="I507" i="2"/>
  <c r="H507" i="2"/>
  <c r="G507" i="2"/>
  <c r="F507" i="2"/>
  <c r="E507" i="2"/>
  <c r="D507" i="2"/>
  <c r="C507" i="2"/>
  <c r="B507" i="2"/>
  <c r="A507" i="2"/>
  <c r="AE506" i="2"/>
  <c r="AD506" i="2"/>
  <c r="AC506" i="2"/>
  <c r="AB506" i="2"/>
  <c r="AA506" i="2"/>
  <c r="Z506" i="2"/>
  <c r="Y506" i="2"/>
  <c r="X506" i="2"/>
  <c r="W506" i="2"/>
  <c r="V506" i="2"/>
  <c r="U506" i="2"/>
  <c r="T506" i="2"/>
  <c r="S506" i="2"/>
  <c r="R506" i="2"/>
  <c r="Q506" i="2"/>
  <c r="P506" i="2"/>
  <c r="O506" i="2"/>
  <c r="N506" i="2"/>
  <c r="M506" i="2"/>
  <c r="L506" i="2"/>
  <c r="K506" i="2"/>
  <c r="J506" i="2"/>
  <c r="I506" i="2"/>
  <c r="H506" i="2"/>
  <c r="G506" i="2"/>
  <c r="F506" i="2"/>
  <c r="E506" i="2"/>
  <c r="D506" i="2"/>
  <c r="C506" i="2"/>
  <c r="B506" i="2"/>
  <c r="A506" i="2"/>
  <c r="AE505" i="2"/>
  <c r="AD505" i="2"/>
  <c r="AC505" i="2"/>
  <c r="AB505" i="2"/>
  <c r="AA505" i="2"/>
  <c r="Z505" i="2"/>
  <c r="Y505" i="2"/>
  <c r="X505" i="2"/>
  <c r="W505" i="2"/>
  <c r="V505" i="2"/>
  <c r="U505" i="2"/>
  <c r="T505" i="2"/>
  <c r="S505" i="2"/>
  <c r="R505" i="2"/>
  <c r="Q505" i="2"/>
  <c r="P505" i="2"/>
  <c r="O505" i="2"/>
  <c r="N505" i="2"/>
  <c r="M505" i="2"/>
  <c r="L505" i="2"/>
  <c r="K505" i="2"/>
  <c r="J505" i="2"/>
  <c r="I505" i="2"/>
  <c r="H505" i="2"/>
  <c r="G505" i="2"/>
  <c r="F505" i="2"/>
  <c r="E505" i="2"/>
  <c r="D505" i="2"/>
  <c r="C505" i="2"/>
  <c r="B505" i="2"/>
  <c r="A505" i="2"/>
  <c r="AE504" i="2"/>
  <c r="AD504" i="2"/>
  <c r="AC504" i="2"/>
  <c r="AB504" i="2"/>
  <c r="AA504" i="2"/>
  <c r="Z504" i="2"/>
  <c r="Y504" i="2"/>
  <c r="X504" i="2"/>
  <c r="W504" i="2"/>
  <c r="V504" i="2"/>
  <c r="U504" i="2"/>
  <c r="T504" i="2"/>
  <c r="S504" i="2"/>
  <c r="R504" i="2"/>
  <c r="Q504" i="2"/>
  <c r="P504" i="2"/>
  <c r="O504" i="2"/>
  <c r="N504" i="2"/>
  <c r="M504" i="2"/>
  <c r="L504" i="2"/>
  <c r="K504" i="2"/>
  <c r="J504" i="2"/>
  <c r="I504" i="2"/>
  <c r="H504" i="2"/>
  <c r="G504" i="2"/>
  <c r="F504" i="2"/>
  <c r="E504" i="2"/>
  <c r="D504" i="2"/>
  <c r="C504" i="2"/>
  <c r="B504" i="2"/>
  <c r="A504" i="2"/>
  <c r="AE503" i="2"/>
  <c r="AD503" i="2"/>
  <c r="AC503" i="2"/>
  <c r="AB503" i="2"/>
  <c r="AA503" i="2"/>
  <c r="Z503" i="2"/>
  <c r="Y503" i="2"/>
  <c r="X503" i="2"/>
  <c r="W503" i="2"/>
  <c r="V503" i="2"/>
  <c r="U503" i="2"/>
  <c r="T503" i="2"/>
  <c r="S503" i="2"/>
  <c r="R503" i="2"/>
  <c r="Q503" i="2"/>
  <c r="P503" i="2"/>
  <c r="O503" i="2"/>
  <c r="N503" i="2"/>
  <c r="M503" i="2"/>
  <c r="L503" i="2"/>
  <c r="K503" i="2"/>
  <c r="J503" i="2"/>
  <c r="I503" i="2"/>
  <c r="H503" i="2"/>
  <c r="G503" i="2"/>
  <c r="F503" i="2"/>
  <c r="E503" i="2"/>
  <c r="D503" i="2"/>
  <c r="C503" i="2"/>
  <c r="B503" i="2"/>
  <c r="A503" i="2"/>
  <c r="AE502" i="2"/>
  <c r="AD502" i="2"/>
  <c r="AC502" i="2"/>
  <c r="AB502" i="2"/>
  <c r="AA502" i="2"/>
  <c r="Z502" i="2"/>
  <c r="Y502" i="2"/>
  <c r="X502" i="2"/>
  <c r="W502" i="2"/>
  <c r="V502" i="2"/>
  <c r="U502" i="2"/>
  <c r="T502" i="2"/>
  <c r="S502" i="2"/>
  <c r="R502" i="2"/>
  <c r="Q502" i="2"/>
  <c r="P502" i="2"/>
  <c r="O502" i="2"/>
  <c r="N502" i="2"/>
  <c r="M502" i="2"/>
  <c r="L502" i="2"/>
  <c r="K502" i="2"/>
  <c r="J502" i="2"/>
  <c r="I502" i="2"/>
  <c r="H502" i="2"/>
  <c r="G502" i="2"/>
  <c r="F502" i="2"/>
  <c r="E502" i="2"/>
  <c r="D502" i="2"/>
  <c r="C502" i="2"/>
  <c r="B502" i="2"/>
  <c r="A502" i="2"/>
  <c r="AE501" i="2"/>
  <c r="AD501" i="2"/>
  <c r="AC501" i="2"/>
  <c r="AB501" i="2"/>
  <c r="AA501" i="2"/>
  <c r="Z501" i="2"/>
  <c r="Y501" i="2"/>
  <c r="X501" i="2"/>
  <c r="W501" i="2"/>
  <c r="V501" i="2"/>
  <c r="U501" i="2"/>
  <c r="T501" i="2"/>
  <c r="S501" i="2"/>
  <c r="R501" i="2"/>
  <c r="Q501" i="2"/>
  <c r="P501" i="2"/>
  <c r="O501" i="2"/>
  <c r="N501" i="2"/>
  <c r="M501" i="2"/>
  <c r="L501" i="2"/>
  <c r="K501" i="2"/>
  <c r="J501" i="2"/>
  <c r="I501" i="2"/>
  <c r="H501" i="2"/>
  <c r="G501" i="2"/>
  <c r="F501" i="2"/>
  <c r="E501" i="2"/>
  <c r="D501" i="2"/>
  <c r="C501" i="2"/>
  <c r="B501" i="2"/>
  <c r="A501" i="2"/>
  <c r="AE500" i="2"/>
  <c r="AD500" i="2"/>
  <c r="AC500" i="2"/>
  <c r="AB500" i="2"/>
  <c r="AA500" i="2"/>
  <c r="Z500" i="2"/>
  <c r="Y500" i="2"/>
  <c r="X500" i="2"/>
  <c r="W500" i="2"/>
  <c r="V500" i="2"/>
  <c r="U500" i="2"/>
  <c r="T500" i="2"/>
  <c r="S500" i="2"/>
  <c r="R500" i="2"/>
  <c r="Q500" i="2"/>
  <c r="P500" i="2"/>
  <c r="O500" i="2"/>
  <c r="N500" i="2"/>
  <c r="M500" i="2"/>
  <c r="L500" i="2"/>
  <c r="K500" i="2"/>
  <c r="J500" i="2"/>
  <c r="I500" i="2"/>
  <c r="H500" i="2"/>
  <c r="G500" i="2"/>
  <c r="F500" i="2"/>
  <c r="E500" i="2"/>
  <c r="D500" i="2"/>
  <c r="C500" i="2"/>
  <c r="B500" i="2"/>
  <c r="A500" i="2"/>
  <c r="AE499" i="2"/>
  <c r="AD499" i="2"/>
  <c r="AC499" i="2"/>
  <c r="AB499" i="2"/>
  <c r="AA499" i="2"/>
  <c r="Z499" i="2"/>
  <c r="Y499" i="2"/>
  <c r="X499" i="2"/>
  <c r="W499" i="2"/>
  <c r="V499" i="2"/>
  <c r="U499" i="2"/>
  <c r="T499" i="2"/>
  <c r="S499" i="2"/>
  <c r="R499" i="2"/>
  <c r="Q499" i="2"/>
  <c r="P499" i="2"/>
  <c r="O499" i="2"/>
  <c r="N499" i="2"/>
  <c r="M499" i="2"/>
  <c r="L499" i="2"/>
  <c r="K499" i="2"/>
  <c r="J499" i="2"/>
  <c r="I499" i="2"/>
  <c r="H499" i="2"/>
  <c r="G499" i="2"/>
  <c r="F499" i="2"/>
  <c r="E499" i="2"/>
  <c r="D499" i="2"/>
  <c r="C499" i="2"/>
  <c r="B499" i="2"/>
  <c r="A499" i="2"/>
  <c r="AE498" i="2"/>
  <c r="AD498" i="2"/>
  <c r="AC498" i="2"/>
  <c r="AB498" i="2"/>
  <c r="AA498" i="2"/>
  <c r="Z498" i="2"/>
  <c r="Y498" i="2"/>
  <c r="X498" i="2"/>
  <c r="W498" i="2"/>
  <c r="V498" i="2"/>
  <c r="U498" i="2"/>
  <c r="T498" i="2"/>
  <c r="S498" i="2"/>
  <c r="R498" i="2"/>
  <c r="Q498" i="2"/>
  <c r="P498" i="2"/>
  <c r="O498" i="2"/>
  <c r="N498" i="2"/>
  <c r="M498" i="2"/>
  <c r="L498" i="2"/>
  <c r="K498" i="2"/>
  <c r="J498" i="2"/>
  <c r="I498" i="2"/>
  <c r="H498" i="2"/>
  <c r="G498" i="2"/>
  <c r="F498" i="2"/>
  <c r="E498" i="2"/>
  <c r="D498" i="2"/>
  <c r="C498" i="2"/>
  <c r="B498" i="2"/>
  <c r="A498" i="2"/>
  <c r="AE497" i="2"/>
  <c r="AD497" i="2"/>
  <c r="AC497" i="2"/>
  <c r="AB497" i="2"/>
  <c r="AA497" i="2"/>
  <c r="Z497" i="2"/>
  <c r="Y497" i="2"/>
  <c r="X497" i="2"/>
  <c r="W497" i="2"/>
  <c r="V497" i="2"/>
  <c r="U497" i="2"/>
  <c r="T497" i="2"/>
  <c r="S497" i="2"/>
  <c r="R497" i="2"/>
  <c r="Q497" i="2"/>
  <c r="P497" i="2"/>
  <c r="O497" i="2"/>
  <c r="N497" i="2"/>
  <c r="M497" i="2"/>
  <c r="L497" i="2"/>
  <c r="K497" i="2"/>
  <c r="J497" i="2"/>
  <c r="I497" i="2"/>
  <c r="H497" i="2"/>
  <c r="G497" i="2"/>
  <c r="F497" i="2"/>
  <c r="E497" i="2"/>
  <c r="D497" i="2"/>
  <c r="C497" i="2"/>
  <c r="B497" i="2"/>
  <c r="A497" i="2"/>
  <c r="AE496" i="2"/>
  <c r="AD496" i="2"/>
  <c r="AC496" i="2"/>
  <c r="AB496" i="2"/>
  <c r="AA496" i="2"/>
  <c r="Z496" i="2"/>
  <c r="Y496" i="2"/>
  <c r="X496" i="2"/>
  <c r="W496" i="2"/>
  <c r="V496" i="2"/>
  <c r="U496" i="2"/>
  <c r="T496" i="2"/>
  <c r="S496" i="2"/>
  <c r="R496" i="2"/>
  <c r="Q496" i="2"/>
  <c r="P496" i="2"/>
  <c r="O496" i="2"/>
  <c r="N496" i="2"/>
  <c r="M496" i="2"/>
  <c r="L496" i="2"/>
  <c r="K496" i="2"/>
  <c r="J496" i="2"/>
  <c r="I496" i="2"/>
  <c r="H496" i="2"/>
  <c r="G496" i="2"/>
  <c r="F496" i="2"/>
  <c r="E496" i="2"/>
  <c r="D496" i="2"/>
  <c r="C496" i="2"/>
  <c r="B496" i="2"/>
  <c r="A496" i="2"/>
  <c r="AE495" i="2"/>
  <c r="AD495" i="2"/>
  <c r="AC495" i="2"/>
  <c r="AB495" i="2"/>
  <c r="AA495" i="2"/>
  <c r="Z495" i="2"/>
  <c r="Y495" i="2"/>
  <c r="X495" i="2"/>
  <c r="W495" i="2"/>
  <c r="V495" i="2"/>
  <c r="U495" i="2"/>
  <c r="T495" i="2"/>
  <c r="S495" i="2"/>
  <c r="R495" i="2"/>
  <c r="Q495" i="2"/>
  <c r="P495" i="2"/>
  <c r="O495" i="2"/>
  <c r="N495" i="2"/>
  <c r="M495" i="2"/>
  <c r="L495" i="2"/>
  <c r="K495" i="2"/>
  <c r="J495" i="2"/>
  <c r="I495" i="2"/>
  <c r="H495" i="2"/>
  <c r="G495" i="2"/>
  <c r="F495" i="2"/>
  <c r="E495" i="2"/>
  <c r="D495" i="2"/>
  <c r="C495" i="2"/>
  <c r="B495" i="2"/>
  <c r="A495" i="2"/>
  <c r="AE494" i="2"/>
  <c r="AD494" i="2"/>
  <c r="AC494" i="2"/>
  <c r="AB494" i="2"/>
  <c r="AA494" i="2"/>
  <c r="Z494" i="2"/>
  <c r="Y494" i="2"/>
  <c r="X494" i="2"/>
  <c r="W494" i="2"/>
  <c r="V494" i="2"/>
  <c r="U494" i="2"/>
  <c r="T494" i="2"/>
  <c r="S494" i="2"/>
  <c r="R494" i="2"/>
  <c r="Q494" i="2"/>
  <c r="P494" i="2"/>
  <c r="O494" i="2"/>
  <c r="N494" i="2"/>
  <c r="M494" i="2"/>
  <c r="L494" i="2"/>
  <c r="K494" i="2"/>
  <c r="J494" i="2"/>
  <c r="I494" i="2"/>
  <c r="H494" i="2"/>
  <c r="G494" i="2"/>
  <c r="F494" i="2"/>
  <c r="E494" i="2"/>
  <c r="D494" i="2"/>
  <c r="C494" i="2"/>
  <c r="B494" i="2"/>
  <c r="A494" i="2"/>
  <c r="AE493" i="2"/>
  <c r="AD493" i="2"/>
  <c r="AC493" i="2"/>
  <c r="AB493" i="2"/>
  <c r="AA493" i="2"/>
  <c r="Z493" i="2"/>
  <c r="Y493" i="2"/>
  <c r="X493" i="2"/>
  <c r="W493" i="2"/>
  <c r="V493" i="2"/>
  <c r="U493" i="2"/>
  <c r="T493" i="2"/>
  <c r="S493" i="2"/>
  <c r="R493" i="2"/>
  <c r="Q493" i="2"/>
  <c r="P493" i="2"/>
  <c r="O493" i="2"/>
  <c r="N493" i="2"/>
  <c r="M493" i="2"/>
  <c r="L493" i="2"/>
  <c r="K493" i="2"/>
  <c r="J493" i="2"/>
  <c r="I493" i="2"/>
  <c r="H493" i="2"/>
  <c r="G493" i="2"/>
  <c r="F493" i="2"/>
  <c r="E493" i="2"/>
  <c r="D493" i="2"/>
  <c r="C493" i="2"/>
  <c r="B493" i="2"/>
  <c r="A493" i="2"/>
  <c r="AE492" i="2"/>
  <c r="AD492" i="2"/>
  <c r="AC492" i="2"/>
  <c r="AB492" i="2"/>
  <c r="AA492" i="2"/>
  <c r="Z492" i="2"/>
  <c r="Y492" i="2"/>
  <c r="X492" i="2"/>
  <c r="W492" i="2"/>
  <c r="V492" i="2"/>
  <c r="U492" i="2"/>
  <c r="T492" i="2"/>
  <c r="S492" i="2"/>
  <c r="R492" i="2"/>
  <c r="Q492" i="2"/>
  <c r="P492" i="2"/>
  <c r="O492" i="2"/>
  <c r="N492" i="2"/>
  <c r="M492" i="2"/>
  <c r="L492" i="2"/>
  <c r="K492" i="2"/>
  <c r="J492" i="2"/>
  <c r="I492" i="2"/>
  <c r="H492" i="2"/>
  <c r="G492" i="2"/>
  <c r="F492" i="2"/>
  <c r="E492" i="2"/>
  <c r="D492" i="2"/>
  <c r="C492" i="2"/>
  <c r="B492" i="2"/>
  <c r="A492" i="2"/>
  <c r="AE491" i="2"/>
  <c r="AD491" i="2"/>
  <c r="AC491" i="2"/>
  <c r="AB491" i="2"/>
  <c r="AA491" i="2"/>
  <c r="Z491" i="2"/>
  <c r="Y491" i="2"/>
  <c r="X491" i="2"/>
  <c r="W491" i="2"/>
  <c r="V491" i="2"/>
  <c r="U491" i="2"/>
  <c r="T491" i="2"/>
  <c r="S491" i="2"/>
  <c r="R491" i="2"/>
  <c r="Q491" i="2"/>
  <c r="P491" i="2"/>
  <c r="O491" i="2"/>
  <c r="N491" i="2"/>
  <c r="M491" i="2"/>
  <c r="L491" i="2"/>
  <c r="K491" i="2"/>
  <c r="J491" i="2"/>
  <c r="I491" i="2"/>
  <c r="H491" i="2"/>
  <c r="G491" i="2"/>
  <c r="F491" i="2"/>
  <c r="E491" i="2"/>
  <c r="D491" i="2"/>
  <c r="C491" i="2"/>
  <c r="B491" i="2"/>
  <c r="A491" i="2"/>
  <c r="AE490" i="2"/>
  <c r="AD490" i="2"/>
  <c r="AC490" i="2"/>
  <c r="AB490" i="2"/>
  <c r="AA490" i="2"/>
  <c r="Z490" i="2"/>
  <c r="Y490" i="2"/>
  <c r="X490" i="2"/>
  <c r="W490" i="2"/>
  <c r="V490" i="2"/>
  <c r="U490" i="2"/>
  <c r="T490" i="2"/>
  <c r="S490" i="2"/>
  <c r="R490" i="2"/>
  <c r="Q490" i="2"/>
  <c r="P490" i="2"/>
  <c r="O490" i="2"/>
  <c r="N490" i="2"/>
  <c r="M490" i="2"/>
  <c r="L490" i="2"/>
  <c r="K490" i="2"/>
  <c r="J490" i="2"/>
  <c r="I490" i="2"/>
  <c r="H490" i="2"/>
  <c r="G490" i="2"/>
  <c r="F490" i="2"/>
  <c r="E490" i="2"/>
  <c r="D490" i="2"/>
  <c r="C490" i="2"/>
  <c r="B490" i="2"/>
  <c r="A490" i="2"/>
  <c r="AE489" i="2"/>
  <c r="AD489" i="2"/>
  <c r="AC489" i="2"/>
  <c r="AB489" i="2"/>
  <c r="AA489" i="2"/>
  <c r="Z489" i="2"/>
  <c r="Y489" i="2"/>
  <c r="X489" i="2"/>
  <c r="W489" i="2"/>
  <c r="V489" i="2"/>
  <c r="U489" i="2"/>
  <c r="T489" i="2"/>
  <c r="S489" i="2"/>
  <c r="R489" i="2"/>
  <c r="Q489" i="2"/>
  <c r="P489" i="2"/>
  <c r="O489" i="2"/>
  <c r="N489" i="2"/>
  <c r="M489" i="2"/>
  <c r="L489" i="2"/>
  <c r="K489" i="2"/>
  <c r="J489" i="2"/>
  <c r="I489" i="2"/>
  <c r="H489" i="2"/>
  <c r="G489" i="2"/>
  <c r="F489" i="2"/>
  <c r="E489" i="2"/>
  <c r="D489" i="2"/>
  <c r="C489" i="2"/>
  <c r="B489" i="2"/>
  <c r="A489" i="2"/>
  <c r="AE488" i="2"/>
  <c r="AD488" i="2"/>
  <c r="AC488" i="2"/>
  <c r="AB488" i="2"/>
  <c r="AA488" i="2"/>
  <c r="Z488" i="2"/>
  <c r="Y488" i="2"/>
  <c r="X488" i="2"/>
  <c r="W488" i="2"/>
  <c r="V488" i="2"/>
  <c r="U488" i="2"/>
  <c r="T488" i="2"/>
  <c r="S488" i="2"/>
  <c r="R488" i="2"/>
  <c r="Q488" i="2"/>
  <c r="P488" i="2"/>
  <c r="O488" i="2"/>
  <c r="N488" i="2"/>
  <c r="M488" i="2"/>
  <c r="L488" i="2"/>
  <c r="K488" i="2"/>
  <c r="J488" i="2"/>
  <c r="I488" i="2"/>
  <c r="H488" i="2"/>
  <c r="G488" i="2"/>
  <c r="F488" i="2"/>
  <c r="E488" i="2"/>
  <c r="D488" i="2"/>
  <c r="C488" i="2"/>
  <c r="B488" i="2"/>
  <c r="A488" i="2"/>
  <c r="AE487" i="2"/>
  <c r="AD487" i="2"/>
  <c r="AC487" i="2"/>
  <c r="AB487" i="2"/>
  <c r="AA487" i="2"/>
  <c r="Z487" i="2"/>
  <c r="Y487" i="2"/>
  <c r="X487" i="2"/>
  <c r="W487" i="2"/>
  <c r="V487" i="2"/>
  <c r="U487" i="2"/>
  <c r="T487" i="2"/>
  <c r="S487" i="2"/>
  <c r="R487" i="2"/>
  <c r="Q487" i="2"/>
  <c r="P487" i="2"/>
  <c r="O487" i="2"/>
  <c r="N487" i="2"/>
  <c r="M487" i="2"/>
  <c r="L487" i="2"/>
  <c r="K487" i="2"/>
  <c r="J487" i="2"/>
  <c r="I487" i="2"/>
  <c r="H487" i="2"/>
  <c r="G487" i="2"/>
  <c r="F487" i="2"/>
  <c r="E487" i="2"/>
  <c r="D487" i="2"/>
  <c r="C487" i="2"/>
  <c r="B487" i="2"/>
  <c r="A487" i="2"/>
  <c r="AE486" i="2"/>
  <c r="AD486" i="2"/>
  <c r="AC486" i="2"/>
  <c r="AB486" i="2"/>
  <c r="AA486" i="2"/>
  <c r="Z486" i="2"/>
  <c r="Y486" i="2"/>
  <c r="X486" i="2"/>
  <c r="W486" i="2"/>
  <c r="V486" i="2"/>
  <c r="U486" i="2"/>
  <c r="T486" i="2"/>
  <c r="S486" i="2"/>
  <c r="R486" i="2"/>
  <c r="Q486" i="2"/>
  <c r="P486" i="2"/>
  <c r="O486" i="2"/>
  <c r="N486" i="2"/>
  <c r="M486" i="2"/>
  <c r="L486" i="2"/>
  <c r="K486" i="2"/>
  <c r="J486" i="2"/>
  <c r="I486" i="2"/>
  <c r="H486" i="2"/>
  <c r="G486" i="2"/>
  <c r="F486" i="2"/>
  <c r="E486" i="2"/>
  <c r="D486" i="2"/>
  <c r="C486" i="2"/>
  <c r="B486" i="2"/>
  <c r="A486" i="2"/>
  <c r="AE485" i="2"/>
  <c r="AD485" i="2"/>
  <c r="AC485" i="2"/>
  <c r="AB485" i="2"/>
  <c r="AA485" i="2"/>
  <c r="Z485" i="2"/>
  <c r="Y485" i="2"/>
  <c r="X485" i="2"/>
  <c r="W485" i="2"/>
  <c r="V485" i="2"/>
  <c r="U485" i="2"/>
  <c r="T485" i="2"/>
  <c r="S485" i="2"/>
  <c r="R485" i="2"/>
  <c r="Q485" i="2"/>
  <c r="P485" i="2"/>
  <c r="O485" i="2"/>
  <c r="N485" i="2"/>
  <c r="M485" i="2"/>
  <c r="L485" i="2"/>
  <c r="K485" i="2"/>
  <c r="J485" i="2"/>
  <c r="I485" i="2"/>
  <c r="H485" i="2"/>
  <c r="G485" i="2"/>
  <c r="F485" i="2"/>
  <c r="E485" i="2"/>
  <c r="D485" i="2"/>
  <c r="C485" i="2"/>
  <c r="B485" i="2"/>
  <c r="A485" i="2"/>
  <c r="AE484" i="2"/>
  <c r="AD484" i="2"/>
  <c r="AC484" i="2"/>
  <c r="AB484" i="2"/>
  <c r="AA484" i="2"/>
  <c r="Z484" i="2"/>
  <c r="Y484" i="2"/>
  <c r="X484" i="2"/>
  <c r="W484" i="2"/>
  <c r="V484" i="2"/>
  <c r="U484" i="2"/>
  <c r="T484" i="2"/>
  <c r="S484" i="2"/>
  <c r="R484" i="2"/>
  <c r="Q484" i="2"/>
  <c r="P484" i="2"/>
  <c r="O484" i="2"/>
  <c r="N484" i="2"/>
  <c r="M484" i="2"/>
  <c r="L484" i="2"/>
  <c r="K484" i="2"/>
  <c r="J484" i="2"/>
  <c r="I484" i="2"/>
  <c r="H484" i="2"/>
  <c r="G484" i="2"/>
  <c r="F484" i="2"/>
  <c r="E484" i="2"/>
  <c r="D484" i="2"/>
  <c r="C484" i="2"/>
  <c r="B484" i="2"/>
  <c r="A484" i="2"/>
  <c r="AE483" i="2"/>
  <c r="AD483" i="2"/>
  <c r="AC483" i="2"/>
  <c r="AB483" i="2"/>
  <c r="AA483" i="2"/>
  <c r="Z483" i="2"/>
  <c r="Y483" i="2"/>
  <c r="X483" i="2"/>
  <c r="W483" i="2"/>
  <c r="V483" i="2"/>
  <c r="U483" i="2"/>
  <c r="T483" i="2"/>
  <c r="S483" i="2"/>
  <c r="R483" i="2"/>
  <c r="Q483" i="2"/>
  <c r="P483" i="2"/>
  <c r="O483" i="2"/>
  <c r="N483" i="2"/>
  <c r="M483" i="2"/>
  <c r="L483" i="2"/>
  <c r="K483" i="2"/>
  <c r="J483" i="2"/>
  <c r="I483" i="2"/>
  <c r="H483" i="2"/>
  <c r="G483" i="2"/>
  <c r="F483" i="2"/>
  <c r="E483" i="2"/>
  <c r="D483" i="2"/>
  <c r="C483" i="2"/>
  <c r="B483" i="2"/>
  <c r="A483" i="2"/>
  <c r="AE482" i="2"/>
  <c r="AD482" i="2"/>
  <c r="AC482" i="2"/>
  <c r="AB482" i="2"/>
  <c r="AA482" i="2"/>
  <c r="Z482" i="2"/>
  <c r="Y482" i="2"/>
  <c r="X482" i="2"/>
  <c r="W482" i="2"/>
  <c r="V482" i="2"/>
  <c r="U482" i="2"/>
  <c r="T482" i="2"/>
  <c r="S482" i="2"/>
  <c r="R482" i="2"/>
  <c r="Q482" i="2"/>
  <c r="P482" i="2"/>
  <c r="O482" i="2"/>
  <c r="N482" i="2"/>
  <c r="M482" i="2"/>
  <c r="L482" i="2"/>
  <c r="K482" i="2"/>
  <c r="J482" i="2"/>
  <c r="I482" i="2"/>
  <c r="H482" i="2"/>
  <c r="G482" i="2"/>
  <c r="F482" i="2"/>
  <c r="E482" i="2"/>
  <c r="D482" i="2"/>
  <c r="C482" i="2"/>
  <c r="B482" i="2"/>
  <c r="A482" i="2"/>
  <c r="AE481" i="2"/>
  <c r="AD481" i="2"/>
  <c r="AC481" i="2"/>
  <c r="AB481" i="2"/>
  <c r="AA481" i="2"/>
  <c r="Z481" i="2"/>
  <c r="Y481" i="2"/>
  <c r="X481" i="2"/>
  <c r="W481" i="2"/>
  <c r="V481" i="2"/>
  <c r="U481" i="2"/>
  <c r="T481" i="2"/>
  <c r="S481" i="2"/>
  <c r="R481" i="2"/>
  <c r="Q481" i="2"/>
  <c r="P481" i="2"/>
  <c r="O481" i="2"/>
  <c r="N481" i="2"/>
  <c r="M481" i="2"/>
  <c r="L481" i="2"/>
  <c r="K481" i="2"/>
  <c r="J481" i="2"/>
  <c r="I481" i="2"/>
  <c r="H481" i="2"/>
  <c r="G481" i="2"/>
  <c r="F481" i="2"/>
  <c r="E481" i="2"/>
  <c r="D481" i="2"/>
  <c r="C481" i="2"/>
  <c r="B481" i="2"/>
  <c r="A481" i="2"/>
  <c r="AE480" i="2"/>
  <c r="AD480" i="2"/>
  <c r="AC480" i="2"/>
  <c r="AB480" i="2"/>
  <c r="AA480" i="2"/>
  <c r="Z480" i="2"/>
  <c r="Y480" i="2"/>
  <c r="X480" i="2"/>
  <c r="W480" i="2"/>
  <c r="V480" i="2"/>
  <c r="U480" i="2"/>
  <c r="T480" i="2"/>
  <c r="S480" i="2"/>
  <c r="R480" i="2"/>
  <c r="Q480" i="2"/>
  <c r="P480" i="2"/>
  <c r="O480" i="2"/>
  <c r="N480" i="2"/>
  <c r="M480" i="2"/>
  <c r="L480" i="2"/>
  <c r="K480" i="2"/>
  <c r="J480" i="2"/>
  <c r="I480" i="2"/>
  <c r="H480" i="2"/>
  <c r="G480" i="2"/>
  <c r="F480" i="2"/>
  <c r="E480" i="2"/>
  <c r="D480" i="2"/>
  <c r="C480" i="2"/>
  <c r="B480" i="2"/>
  <c r="A480" i="2"/>
  <c r="AE479" i="2"/>
  <c r="AD479" i="2"/>
  <c r="AC479" i="2"/>
  <c r="AB479" i="2"/>
  <c r="AA479" i="2"/>
  <c r="Z479" i="2"/>
  <c r="Y479" i="2"/>
  <c r="X479" i="2"/>
  <c r="W479" i="2"/>
  <c r="V479" i="2"/>
  <c r="U479" i="2"/>
  <c r="T479" i="2"/>
  <c r="S479" i="2"/>
  <c r="R479" i="2"/>
  <c r="Q479" i="2"/>
  <c r="P479" i="2"/>
  <c r="O479" i="2"/>
  <c r="N479" i="2"/>
  <c r="M479" i="2"/>
  <c r="L479" i="2"/>
  <c r="K479" i="2"/>
  <c r="J479" i="2"/>
  <c r="I479" i="2"/>
  <c r="H479" i="2"/>
  <c r="G479" i="2"/>
  <c r="F479" i="2"/>
  <c r="E479" i="2"/>
  <c r="D479" i="2"/>
  <c r="C479" i="2"/>
  <c r="B479" i="2"/>
  <c r="A479" i="2"/>
  <c r="AE478" i="2"/>
  <c r="AD478" i="2"/>
  <c r="AC478" i="2"/>
  <c r="AB478" i="2"/>
  <c r="AA478" i="2"/>
  <c r="Z478" i="2"/>
  <c r="Y478" i="2"/>
  <c r="X478" i="2"/>
  <c r="W478" i="2"/>
  <c r="V478" i="2"/>
  <c r="U478" i="2"/>
  <c r="T478" i="2"/>
  <c r="S478" i="2"/>
  <c r="R478" i="2"/>
  <c r="Q478" i="2"/>
  <c r="P478" i="2"/>
  <c r="O478" i="2"/>
  <c r="N478" i="2"/>
  <c r="M478" i="2"/>
  <c r="L478" i="2"/>
  <c r="K478" i="2"/>
  <c r="J478" i="2"/>
  <c r="I478" i="2"/>
  <c r="H478" i="2"/>
  <c r="G478" i="2"/>
  <c r="F478" i="2"/>
  <c r="E478" i="2"/>
  <c r="D478" i="2"/>
  <c r="C478" i="2"/>
  <c r="B478" i="2"/>
  <c r="A478" i="2"/>
  <c r="AE477" i="2"/>
  <c r="AD477" i="2"/>
  <c r="AC477" i="2"/>
  <c r="AB477" i="2"/>
  <c r="AA477" i="2"/>
  <c r="Z477" i="2"/>
  <c r="Y477" i="2"/>
  <c r="X477" i="2"/>
  <c r="W477" i="2"/>
  <c r="V477" i="2"/>
  <c r="U477" i="2"/>
  <c r="T477" i="2"/>
  <c r="S477" i="2"/>
  <c r="R477" i="2"/>
  <c r="Q477" i="2"/>
  <c r="P477" i="2"/>
  <c r="O477" i="2"/>
  <c r="N477" i="2"/>
  <c r="M477" i="2"/>
  <c r="L477" i="2"/>
  <c r="K477" i="2"/>
  <c r="J477" i="2"/>
  <c r="I477" i="2"/>
  <c r="H477" i="2"/>
  <c r="G477" i="2"/>
  <c r="F477" i="2"/>
  <c r="E477" i="2"/>
  <c r="D477" i="2"/>
  <c r="C477" i="2"/>
  <c r="B477" i="2"/>
  <c r="A477" i="2"/>
  <c r="AE476" i="2"/>
  <c r="AD476" i="2"/>
  <c r="AC476" i="2"/>
  <c r="AB476" i="2"/>
  <c r="AA476" i="2"/>
  <c r="Z476" i="2"/>
  <c r="Y476" i="2"/>
  <c r="X476" i="2"/>
  <c r="W476" i="2"/>
  <c r="V476" i="2"/>
  <c r="U476" i="2"/>
  <c r="T476" i="2"/>
  <c r="S476" i="2"/>
  <c r="R476" i="2"/>
  <c r="Q476" i="2"/>
  <c r="P476" i="2"/>
  <c r="O476" i="2"/>
  <c r="N476" i="2"/>
  <c r="M476" i="2"/>
  <c r="L476" i="2"/>
  <c r="K476" i="2"/>
  <c r="J476" i="2"/>
  <c r="I476" i="2"/>
  <c r="H476" i="2"/>
  <c r="G476" i="2"/>
  <c r="F476" i="2"/>
  <c r="E476" i="2"/>
  <c r="D476" i="2"/>
  <c r="C476" i="2"/>
  <c r="B476" i="2"/>
  <c r="A476" i="2"/>
  <c r="AE475" i="2"/>
  <c r="AD475" i="2"/>
  <c r="AC475" i="2"/>
  <c r="AB475" i="2"/>
  <c r="AA475" i="2"/>
  <c r="Z475" i="2"/>
  <c r="Y475" i="2"/>
  <c r="X475" i="2"/>
  <c r="W475" i="2"/>
  <c r="V475" i="2"/>
  <c r="U475" i="2"/>
  <c r="T475" i="2"/>
  <c r="S475" i="2"/>
  <c r="R475" i="2"/>
  <c r="Q475" i="2"/>
  <c r="P475" i="2"/>
  <c r="O475" i="2"/>
  <c r="N475" i="2"/>
  <c r="M475" i="2"/>
  <c r="L475" i="2"/>
  <c r="K475" i="2"/>
  <c r="J475" i="2"/>
  <c r="I475" i="2"/>
  <c r="H475" i="2"/>
  <c r="G475" i="2"/>
  <c r="F475" i="2"/>
  <c r="E475" i="2"/>
  <c r="D475" i="2"/>
  <c r="C475" i="2"/>
  <c r="B475" i="2"/>
  <c r="A475" i="2"/>
  <c r="AE474" i="2"/>
  <c r="AD474" i="2"/>
  <c r="AC474" i="2"/>
  <c r="AB474" i="2"/>
  <c r="AA474" i="2"/>
  <c r="Z474" i="2"/>
  <c r="Y474" i="2"/>
  <c r="X474" i="2"/>
  <c r="W474" i="2"/>
  <c r="V474" i="2"/>
  <c r="U474" i="2"/>
  <c r="T474" i="2"/>
  <c r="S474" i="2"/>
  <c r="R474" i="2"/>
  <c r="Q474" i="2"/>
  <c r="P474" i="2"/>
  <c r="O474" i="2"/>
  <c r="N474" i="2"/>
  <c r="M474" i="2"/>
  <c r="L474" i="2"/>
  <c r="K474" i="2"/>
  <c r="J474" i="2"/>
  <c r="I474" i="2"/>
  <c r="H474" i="2"/>
  <c r="G474" i="2"/>
  <c r="F474" i="2"/>
  <c r="E474" i="2"/>
  <c r="D474" i="2"/>
  <c r="C474" i="2"/>
  <c r="B474" i="2"/>
  <c r="A474" i="2"/>
  <c r="AE473" i="2"/>
  <c r="AD473" i="2"/>
  <c r="AC473" i="2"/>
  <c r="AB473" i="2"/>
  <c r="AA473" i="2"/>
  <c r="Z473" i="2"/>
  <c r="Y473" i="2"/>
  <c r="X473" i="2"/>
  <c r="W473" i="2"/>
  <c r="V473" i="2"/>
  <c r="U473" i="2"/>
  <c r="T473" i="2"/>
  <c r="S473" i="2"/>
  <c r="R473" i="2"/>
  <c r="Q473" i="2"/>
  <c r="P473" i="2"/>
  <c r="O473" i="2"/>
  <c r="N473" i="2"/>
  <c r="M473" i="2"/>
  <c r="L473" i="2"/>
  <c r="K473" i="2"/>
  <c r="J473" i="2"/>
  <c r="I473" i="2"/>
  <c r="H473" i="2"/>
  <c r="G473" i="2"/>
  <c r="F473" i="2"/>
  <c r="E473" i="2"/>
  <c r="D473" i="2"/>
  <c r="C473" i="2"/>
  <c r="B473" i="2"/>
  <c r="A473" i="2"/>
  <c r="AE472" i="2"/>
  <c r="AD472" i="2"/>
  <c r="AC472" i="2"/>
  <c r="AB472" i="2"/>
  <c r="AA472" i="2"/>
  <c r="Z472" i="2"/>
  <c r="Y472" i="2"/>
  <c r="X472" i="2"/>
  <c r="W472" i="2"/>
  <c r="V472" i="2"/>
  <c r="U472" i="2"/>
  <c r="T472" i="2"/>
  <c r="S472" i="2"/>
  <c r="R472" i="2"/>
  <c r="Q472" i="2"/>
  <c r="P472" i="2"/>
  <c r="O472" i="2"/>
  <c r="N472" i="2"/>
  <c r="M472" i="2"/>
  <c r="L472" i="2"/>
  <c r="K472" i="2"/>
  <c r="J472" i="2"/>
  <c r="I472" i="2"/>
  <c r="H472" i="2"/>
  <c r="G472" i="2"/>
  <c r="F472" i="2"/>
  <c r="E472" i="2"/>
  <c r="D472" i="2"/>
  <c r="C472" i="2"/>
  <c r="B472" i="2"/>
  <c r="A472" i="2"/>
  <c r="AE471" i="2"/>
  <c r="AD471" i="2"/>
  <c r="AC471" i="2"/>
  <c r="AB471" i="2"/>
  <c r="AA471" i="2"/>
  <c r="Z471" i="2"/>
  <c r="Y471" i="2"/>
  <c r="X471" i="2"/>
  <c r="W471" i="2"/>
  <c r="V471" i="2"/>
  <c r="U471" i="2"/>
  <c r="T471" i="2"/>
  <c r="S471" i="2"/>
  <c r="R471" i="2"/>
  <c r="Q471" i="2"/>
  <c r="P471" i="2"/>
  <c r="O471" i="2"/>
  <c r="N471" i="2"/>
  <c r="M471" i="2"/>
  <c r="L471" i="2"/>
  <c r="K471" i="2"/>
  <c r="J471" i="2"/>
  <c r="I471" i="2"/>
  <c r="H471" i="2"/>
  <c r="G471" i="2"/>
  <c r="F471" i="2"/>
  <c r="E471" i="2"/>
  <c r="D471" i="2"/>
  <c r="C471" i="2"/>
  <c r="B471" i="2"/>
  <c r="A471" i="2"/>
  <c r="AE470" i="2"/>
  <c r="AD470" i="2"/>
  <c r="AC470" i="2"/>
  <c r="AB470" i="2"/>
  <c r="AA470" i="2"/>
  <c r="Z470" i="2"/>
  <c r="Y470" i="2"/>
  <c r="X470" i="2"/>
  <c r="W470" i="2"/>
  <c r="V470" i="2"/>
  <c r="U470" i="2"/>
  <c r="T470" i="2"/>
  <c r="S470" i="2"/>
  <c r="R470" i="2"/>
  <c r="Q470" i="2"/>
  <c r="P470" i="2"/>
  <c r="O470" i="2"/>
  <c r="N470" i="2"/>
  <c r="M470" i="2"/>
  <c r="L470" i="2"/>
  <c r="K470" i="2"/>
  <c r="J470" i="2"/>
  <c r="I470" i="2"/>
  <c r="H470" i="2"/>
  <c r="G470" i="2"/>
  <c r="F470" i="2"/>
  <c r="E470" i="2"/>
  <c r="D470" i="2"/>
  <c r="C470" i="2"/>
  <c r="B470" i="2"/>
  <c r="A470" i="2"/>
  <c r="AE469" i="2"/>
  <c r="AD469" i="2"/>
  <c r="AC469" i="2"/>
  <c r="AB469" i="2"/>
  <c r="AA469" i="2"/>
  <c r="Z469" i="2"/>
  <c r="Y469" i="2"/>
  <c r="X469" i="2"/>
  <c r="W469" i="2"/>
  <c r="V469" i="2"/>
  <c r="U469" i="2"/>
  <c r="T469" i="2"/>
  <c r="S469" i="2"/>
  <c r="R469" i="2"/>
  <c r="Q469" i="2"/>
  <c r="P469" i="2"/>
  <c r="O469" i="2"/>
  <c r="N469" i="2"/>
  <c r="M469" i="2"/>
  <c r="L469" i="2"/>
  <c r="K469" i="2"/>
  <c r="J469" i="2"/>
  <c r="I469" i="2"/>
  <c r="H469" i="2"/>
  <c r="G469" i="2"/>
  <c r="F469" i="2"/>
  <c r="E469" i="2"/>
  <c r="D469" i="2"/>
  <c r="C469" i="2"/>
  <c r="B469" i="2"/>
  <c r="A469" i="2"/>
  <c r="AE468" i="2"/>
  <c r="AD468" i="2"/>
  <c r="AC468" i="2"/>
  <c r="AB468" i="2"/>
  <c r="AA468" i="2"/>
  <c r="Z468" i="2"/>
  <c r="Y468" i="2"/>
  <c r="X468" i="2"/>
  <c r="W468" i="2"/>
  <c r="V468" i="2"/>
  <c r="U468" i="2"/>
  <c r="T468" i="2"/>
  <c r="S468" i="2"/>
  <c r="R468" i="2"/>
  <c r="Q468" i="2"/>
  <c r="P468" i="2"/>
  <c r="O468" i="2"/>
  <c r="N468" i="2"/>
  <c r="M468" i="2"/>
  <c r="L468" i="2"/>
  <c r="K468" i="2"/>
  <c r="J468" i="2"/>
  <c r="I468" i="2"/>
  <c r="H468" i="2"/>
  <c r="G468" i="2"/>
  <c r="F468" i="2"/>
  <c r="E468" i="2"/>
  <c r="D468" i="2"/>
  <c r="C468" i="2"/>
  <c r="B468" i="2"/>
  <c r="A468" i="2"/>
  <c r="AE467" i="2"/>
  <c r="AD467" i="2"/>
  <c r="AC467" i="2"/>
  <c r="AB467" i="2"/>
  <c r="AA467" i="2"/>
  <c r="Z467" i="2"/>
  <c r="Y467" i="2"/>
  <c r="X467" i="2"/>
  <c r="W467" i="2"/>
  <c r="V467" i="2"/>
  <c r="U467" i="2"/>
  <c r="T467" i="2"/>
  <c r="S467" i="2"/>
  <c r="R467" i="2"/>
  <c r="Q467" i="2"/>
  <c r="P467" i="2"/>
  <c r="O467" i="2"/>
  <c r="N467" i="2"/>
  <c r="M467" i="2"/>
  <c r="L467" i="2"/>
  <c r="K467" i="2"/>
  <c r="J467" i="2"/>
  <c r="I467" i="2"/>
  <c r="H467" i="2"/>
  <c r="G467" i="2"/>
  <c r="F467" i="2"/>
  <c r="E467" i="2"/>
  <c r="D467" i="2"/>
  <c r="C467" i="2"/>
  <c r="B467" i="2"/>
  <c r="A467" i="2"/>
  <c r="AE466" i="2"/>
  <c r="AD466" i="2"/>
  <c r="AC466" i="2"/>
  <c r="AB466" i="2"/>
  <c r="AA466" i="2"/>
  <c r="Z466" i="2"/>
  <c r="Y466" i="2"/>
  <c r="X466" i="2"/>
  <c r="W466" i="2"/>
  <c r="V466" i="2"/>
  <c r="U466" i="2"/>
  <c r="T466" i="2"/>
  <c r="S466" i="2"/>
  <c r="R466" i="2"/>
  <c r="Q466" i="2"/>
  <c r="P466" i="2"/>
  <c r="O466" i="2"/>
  <c r="N466" i="2"/>
  <c r="M466" i="2"/>
  <c r="L466" i="2"/>
  <c r="K466" i="2"/>
  <c r="J466" i="2"/>
  <c r="I466" i="2"/>
  <c r="H466" i="2"/>
  <c r="G466" i="2"/>
  <c r="F466" i="2"/>
  <c r="E466" i="2"/>
  <c r="D466" i="2"/>
  <c r="C466" i="2"/>
  <c r="B466" i="2"/>
  <c r="A466" i="2"/>
  <c r="AE465" i="2"/>
  <c r="AD465" i="2"/>
  <c r="AC465" i="2"/>
  <c r="AB465" i="2"/>
  <c r="AA465" i="2"/>
  <c r="Z465" i="2"/>
  <c r="Y465" i="2"/>
  <c r="X465" i="2"/>
  <c r="W465" i="2"/>
  <c r="V465" i="2"/>
  <c r="U465" i="2"/>
  <c r="T465" i="2"/>
  <c r="S465" i="2"/>
  <c r="R465" i="2"/>
  <c r="Q465" i="2"/>
  <c r="P465" i="2"/>
  <c r="O465" i="2"/>
  <c r="N465" i="2"/>
  <c r="M465" i="2"/>
  <c r="L465" i="2"/>
  <c r="K465" i="2"/>
  <c r="J465" i="2"/>
  <c r="I465" i="2"/>
  <c r="H465" i="2"/>
  <c r="G465" i="2"/>
  <c r="F465" i="2"/>
  <c r="E465" i="2"/>
  <c r="D465" i="2"/>
  <c r="C465" i="2"/>
  <c r="B465" i="2"/>
  <c r="A465" i="2"/>
  <c r="AE464" i="2"/>
  <c r="AD464" i="2"/>
  <c r="AC464" i="2"/>
  <c r="AB464" i="2"/>
  <c r="AA464" i="2"/>
  <c r="Z464" i="2"/>
  <c r="Y464" i="2"/>
  <c r="X464" i="2"/>
  <c r="W464" i="2"/>
  <c r="V464" i="2"/>
  <c r="U464" i="2"/>
  <c r="T464" i="2"/>
  <c r="S464" i="2"/>
  <c r="R464" i="2"/>
  <c r="Q464" i="2"/>
  <c r="P464" i="2"/>
  <c r="O464" i="2"/>
  <c r="N464" i="2"/>
  <c r="M464" i="2"/>
  <c r="L464" i="2"/>
  <c r="K464" i="2"/>
  <c r="J464" i="2"/>
  <c r="I464" i="2"/>
  <c r="H464" i="2"/>
  <c r="G464" i="2"/>
  <c r="F464" i="2"/>
  <c r="E464" i="2"/>
  <c r="D464" i="2"/>
  <c r="C464" i="2"/>
  <c r="B464" i="2"/>
  <c r="A464" i="2"/>
  <c r="AE463" i="2"/>
  <c r="AD463" i="2"/>
  <c r="AC463" i="2"/>
  <c r="AB463" i="2"/>
  <c r="AA463" i="2"/>
  <c r="Z463" i="2"/>
  <c r="Y463" i="2"/>
  <c r="X463" i="2"/>
  <c r="W463" i="2"/>
  <c r="V463" i="2"/>
  <c r="U463" i="2"/>
  <c r="T463" i="2"/>
  <c r="S463" i="2"/>
  <c r="R463" i="2"/>
  <c r="Q463" i="2"/>
  <c r="P463" i="2"/>
  <c r="O463" i="2"/>
  <c r="N463" i="2"/>
  <c r="M463" i="2"/>
  <c r="L463" i="2"/>
  <c r="K463" i="2"/>
  <c r="J463" i="2"/>
  <c r="I463" i="2"/>
  <c r="H463" i="2"/>
  <c r="G463" i="2"/>
  <c r="F463" i="2"/>
  <c r="E463" i="2"/>
  <c r="D463" i="2"/>
  <c r="C463" i="2"/>
  <c r="B463" i="2"/>
  <c r="A463" i="2"/>
  <c r="AE462" i="2"/>
  <c r="AD462" i="2"/>
  <c r="AC462" i="2"/>
  <c r="AB462" i="2"/>
  <c r="AA462" i="2"/>
  <c r="Z462" i="2"/>
  <c r="Y462" i="2"/>
  <c r="X462" i="2"/>
  <c r="W462" i="2"/>
  <c r="V462" i="2"/>
  <c r="U462" i="2"/>
  <c r="T462" i="2"/>
  <c r="S462" i="2"/>
  <c r="R462" i="2"/>
  <c r="Q462" i="2"/>
  <c r="P462" i="2"/>
  <c r="O462" i="2"/>
  <c r="N462" i="2"/>
  <c r="M462" i="2"/>
  <c r="L462" i="2"/>
  <c r="K462" i="2"/>
  <c r="J462" i="2"/>
  <c r="I462" i="2"/>
  <c r="H462" i="2"/>
  <c r="G462" i="2"/>
  <c r="F462" i="2"/>
  <c r="E462" i="2"/>
  <c r="D462" i="2"/>
  <c r="C462" i="2"/>
  <c r="B462" i="2"/>
  <c r="A462" i="2"/>
  <c r="AE461" i="2"/>
  <c r="AD461" i="2"/>
  <c r="AC461" i="2"/>
  <c r="AB461" i="2"/>
  <c r="AA461" i="2"/>
  <c r="Z461" i="2"/>
  <c r="Y461" i="2"/>
  <c r="X461" i="2"/>
  <c r="W461" i="2"/>
  <c r="V461" i="2"/>
  <c r="U461" i="2"/>
  <c r="T461" i="2"/>
  <c r="S461" i="2"/>
  <c r="R461" i="2"/>
  <c r="Q461" i="2"/>
  <c r="P461" i="2"/>
  <c r="O461" i="2"/>
  <c r="N461" i="2"/>
  <c r="M461" i="2"/>
  <c r="L461" i="2"/>
  <c r="K461" i="2"/>
  <c r="J461" i="2"/>
  <c r="I461" i="2"/>
  <c r="H461" i="2"/>
  <c r="G461" i="2"/>
  <c r="F461" i="2"/>
  <c r="E461" i="2"/>
  <c r="D461" i="2"/>
  <c r="C461" i="2"/>
  <c r="B461" i="2"/>
  <c r="A461" i="2"/>
  <c r="AE460" i="2"/>
  <c r="AD460" i="2"/>
  <c r="AC460" i="2"/>
  <c r="AB460" i="2"/>
  <c r="AA460" i="2"/>
  <c r="Z460" i="2"/>
  <c r="Y460" i="2"/>
  <c r="X460" i="2"/>
  <c r="W460" i="2"/>
  <c r="V460" i="2"/>
  <c r="U460" i="2"/>
  <c r="T460" i="2"/>
  <c r="S460" i="2"/>
  <c r="R460" i="2"/>
  <c r="Q460" i="2"/>
  <c r="P460" i="2"/>
  <c r="O460" i="2"/>
  <c r="N460" i="2"/>
  <c r="M460" i="2"/>
  <c r="L460" i="2"/>
  <c r="K460" i="2"/>
  <c r="J460" i="2"/>
  <c r="I460" i="2"/>
  <c r="H460" i="2"/>
  <c r="G460" i="2"/>
  <c r="F460" i="2"/>
  <c r="E460" i="2"/>
  <c r="D460" i="2"/>
  <c r="C460" i="2"/>
  <c r="B460" i="2"/>
  <c r="A460" i="2"/>
  <c r="AE459" i="2"/>
  <c r="AD459" i="2"/>
  <c r="AC459" i="2"/>
  <c r="AB459" i="2"/>
  <c r="AA459" i="2"/>
  <c r="Z459" i="2"/>
  <c r="Y459" i="2"/>
  <c r="X459" i="2"/>
  <c r="W459" i="2"/>
  <c r="V459" i="2"/>
  <c r="U459" i="2"/>
  <c r="T459" i="2"/>
  <c r="S459" i="2"/>
  <c r="R459" i="2"/>
  <c r="Q459" i="2"/>
  <c r="P459" i="2"/>
  <c r="O459" i="2"/>
  <c r="N459" i="2"/>
  <c r="M459" i="2"/>
  <c r="L459" i="2"/>
  <c r="K459" i="2"/>
  <c r="J459" i="2"/>
  <c r="I459" i="2"/>
  <c r="H459" i="2"/>
  <c r="G459" i="2"/>
  <c r="F459" i="2"/>
  <c r="E459" i="2"/>
  <c r="D459" i="2"/>
  <c r="C459" i="2"/>
  <c r="B459" i="2"/>
  <c r="A459" i="2"/>
  <c r="AE458" i="2"/>
  <c r="AD458" i="2"/>
  <c r="AC458" i="2"/>
  <c r="AB458" i="2"/>
  <c r="AA458" i="2"/>
  <c r="Z458" i="2"/>
  <c r="Y458" i="2"/>
  <c r="X458" i="2"/>
  <c r="W458" i="2"/>
  <c r="V458" i="2"/>
  <c r="U458" i="2"/>
  <c r="T458" i="2"/>
  <c r="S458" i="2"/>
  <c r="R458" i="2"/>
  <c r="Q458" i="2"/>
  <c r="P458" i="2"/>
  <c r="O458" i="2"/>
  <c r="N458" i="2"/>
  <c r="M458" i="2"/>
  <c r="L458" i="2"/>
  <c r="K458" i="2"/>
  <c r="J458" i="2"/>
  <c r="I458" i="2"/>
  <c r="H458" i="2"/>
  <c r="G458" i="2"/>
  <c r="F458" i="2"/>
  <c r="E458" i="2"/>
  <c r="D458" i="2"/>
  <c r="C458" i="2"/>
  <c r="B458" i="2"/>
  <c r="A458" i="2"/>
  <c r="AE457" i="2"/>
  <c r="AD457" i="2"/>
  <c r="AC457" i="2"/>
  <c r="AB457" i="2"/>
  <c r="AA457" i="2"/>
  <c r="Z457" i="2"/>
  <c r="Y457" i="2"/>
  <c r="X457" i="2"/>
  <c r="W457" i="2"/>
  <c r="V457" i="2"/>
  <c r="U457" i="2"/>
  <c r="T457" i="2"/>
  <c r="S457" i="2"/>
  <c r="R457" i="2"/>
  <c r="Q457" i="2"/>
  <c r="P457" i="2"/>
  <c r="O457" i="2"/>
  <c r="N457" i="2"/>
  <c r="M457" i="2"/>
  <c r="L457" i="2"/>
  <c r="K457" i="2"/>
  <c r="J457" i="2"/>
  <c r="I457" i="2"/>
  <c r="H457" i="2"/>
  <c r="G457" i="2"/>
  <c r="F457" i="2"/>
  <c r="E457" i="2"/>
  <c r="D457" i="2"/>
  <c r="C457" i="2"/>
  <c r="B457" i="2"/>
  <c r="A457" i="2"/>
  <c r="AE456" i="2"/>
  <c r="AD456" i="2"/>
  <c r="AC456" i="2"/>
  <c r="AB456" i="2"/>
  <c r="AA456" i="2"/>
  <c r="Z456" i="2"/>
  <c r="Y456" i="2"/>
  <c r="X456" i="2"/>
  <c r="W456" i="2"/>
  <c r="V456" i="2"/>
  <c r="U456" i="2"/>
  <c r="T456" i="2"/>
  <c r="S456" i="2"/>
  <c r="R456" i="2"/>
  <c r="Q456" i="2"/>
  <c r="P456" i="2"/>
  <c r="O456" i="2"/>
  <c r="N456" i="2"/>
  <c r="M456" i="2"/>
  <c r="L456" i="2"/>
  <c r="K456" i="2"/>
  <c r="J456" i="2"/>
  <c r="I456" i="2"/>
  <c r="H456" i="2"/>
  <c r="G456" i="2"/>
  <c r="F456" i="2"/>
  <c r="E456" i="2"/>
  <c r="D456" i="2"/>
  <c r="C456" i="2"/>
  <c r="B456" i="2"/>
  <c r="A456" i="2"/>
  <c r="AE455" i="2"/>
  <c r="AD455" i="2"/>
  <c r="AC455" i="2"/>
  <c r="AB455" i="2"/>
  <c r="AA455" i="2"/>
  <c r="Z455" i="2"/>
  <c r="Y455" i="2"/>
  <c r="X455" i="2"/>
  <c r="W455" i="2"/>
  <c r="V455" i="2"/>
  <c r="U455" i="2"/>
  <c r="T455" i="2"/>
  <c r="S455" i="2"/>
  <c r="R455" i="2"/>
  <c r="Q455" i="2"/>
  <c r="P455" i="2"/>
  <c r="O455" i="2"/>
  <c r="N455" i="2"/>
  <c r="M455" i="2"/>
  <c r="L455" i="2"/>
  <c r="K455" i="2"/>
  <c r="J455" i="2"/>
  <c r="I455" i="2"/>
  <c r="H455" i="2"/>
  <c r="G455" i="2"/>
  <c r="F455" i="2"/>
  <c r="E455" i="2"/>
  <c r="D455" i="2"/>
  <c r="C455" i="2"/>
  <c r="B455" i="2"/>
  <c r="A455" i="2"/>
  <c r="AE454" i="2"/>
  <c r="AD454" i="2"/>
  <c r="AC454" i="2"/>
  <c r="AB454" i="2"/>
  <c r="AA454" i="2"/>
  <c r="Z454" i="2"/>
  <c r="Y454" i="2"/>
  <c r="X454" i="2"/>
  <c r="W454" i="2"/>
  <c r="V454" i="2"/>
  <c r="U454" i="2"/>
  <c r="T454" i="2"/>
  <c r="S454" i="2"/>
  <c r="R454" i="2"/>
  <c r="Q454" i="2"/>
  <c r="P454" i="2"/>
  <c r="O454" i="2"/>
  <c r="N454" i="2"/>
  <c r="M454" i="2"/>
  <c r="L454" i="2"/>
  <c r="K454" i="2"/>
  <c r="J454" i="2"/>
  <c r="I454" i="2"/>
  <c r="H454" i="2"/>
  <c r="G454" i="2"/>
  <c r="F454" i="2"/>
  <c r="E454" i="2"/>
  <c r="D454" i="2"/>
  <c r="C454" i="2"/>
  <c r="B454" i="2"/>
  <c r="A454" i="2"/>
  <c r="AE453" i="2"/>
  <c r="AD453" i="2"/>
  <c r="AC453" i="2"/>
  <c r="AB453" i="2"/>
  <c r="AA453" i="2"/>
  <c r="Z453" i="2"/>
  <c r="Y453" i="2"/>
  <c r="X453" i="2"/>
  <c r="W453" i="2"/>
  <c r="V453" i="2"/>
  <c r="U453" i="2"/>
  <c r="T453" i="2"/>
  <c r="S453" i="2"/>
  <c r="R453" i="2"/>
  <c r="Q453" i="2"/>
  <c r="P453" i="2"/>
  <c r="O453" i="2"/>
  <c r="N453" i="2"/>
  <c r="M453" i="2"/>
  <c r="L453" i="2"/>
  <c r="K453" i="2"/>
  <c r="J453" i="2"/>
  <c r="I453" i="2"/>
  <c r="H453" i="2"/>
  <c r="G453" i="2"/>
  <c r="F453" i="2"/>
  <c r="E453" i="2"/>
  <c r="D453" i="2"/>
  <c r="C453" i="2"/>
  <c r="B453" i="2"/>
  <c r="A453" i="2"/>
  <c r="AE452" i="2"/>
  <c r="AD452" i="2"/>
  <c r="AC452" i="2"/>
  <c r="AB452" i="2"/>
  <c r="AA452" i="2"/>
  <c r="Z452" i="2"/>
  <c r="Y452" i="2"/>
  <c r="X452" i="2"/>
  <c r="W452" i="2"/>
  <c r="V452" i="2"/>
  <c r="U452" i="2"/>
  <c r="T452" i="2"/>
  <c r="S452" i="2"/>
  <c r="R452" i="2"/>
  <c r="Q452" i="2"/>
  <c r="P452" i="2"/>
  <c r="O452" i="2"/>
  <c r="N452" i="2"/>
  <c r="M452" i="2"/>
  <c r="L452" i="2"/>
  <c r="K452" i="2"/>
  <c r="J452" i="2"/>
  <c r="I452" i="2"/>
  <c r="H452" i="2"/>
  <c r="G452" i="2"/>
  <c r="F452" i="2"/>
  <c r="E452" i="2"/>
  <c r="D452" i="2"/>
  <c r="C452" i="2"/>
  <c r="B452" i="2"/>
  <c r="A452" i="2"/>
  <c r="AE451" i="2"/>
  <c r="AD451" i="2"/>
  <c r="AC451" i="2"/>
  <c r="AB451" i="2"/>
  <c r="AA451" i="2"/>
  <c r="Z451" i="2"/>
  <c r="Y451" i="2"/>
  <c r="X451" i="2"/>
  <c r="W451" i="2"/>
  <c r="V451" i="2"/>
  <c r="U451" i="2"/>
  <c r="T451" i="2"/>
  <c r="S451" i="2"/>
  <c r="R451" i="2"/>
  <c r="Q451" i="2"/>
  <c r="P451" i="2"/>
  <c r="O451" i="2"/>
  <c r="N451" i="2"/>
  <c r="M451" i="2"/>
  <c r="L451" i="2"/>
  <c r="K451" i="2"/>
  <c r="J451" i="2"/>
  <c r="I451" i="2"/>
  <c r="H451" i="2"/>
  <c r="G451" i="2"/>
  <c r="F451" i="2"/>
  <c r="E451" i="2"/>
  <c r="D451" i="2"/>
  <c r="C451" i="2"/>
  <c r="B451" i="2"/>
  <c r="A451" i="2"/>
  <c r="AE450" i="2"/>
  <c r="AD450" i="2"/>
  <c r="AC450" i="2"/>
  <c r="AB450" i="2"/>
  <c r="AA450" i="2"/>
  <c r="Z450" i="2"/>
  <c r="Y450" i="2"/>
  <c r="X450" i="2"/>
  <c r="W450" i="2"/>
  <c r="V450" i="2"/>
  <c r="U450" i="2"/>
  <c r="T450" i="2"/>
  <c r="S450" i="2"/>
  <c r="R450" i="2"/>
  <c r="Q450" i="2"/>
  <c r="P450" i="2"/>
  <c r="O450" i="2"/>
  <c r="N450" i="2"/>
  <c r="M450" i="2"/>
  <c r="L450" i="2"/>
  <c r="K450" i="2"/>
  <c r="J450" i="2"/>
  <c r="I450" i="2"/>
  <c r="H450" i="2"/>
  <c r="G450" i="2"/>
  <c r="F450" i="2"/>
  <c r="E450" i="2"/>
  <c r="D450" i="2"/>
  <c r="C450" i="2"/>
  <c r="B450" i="2"/>
  <c r="A450" i="2"/>
  <c r="AE449" i="2"/>
  <c r="AD449" i="2"/>
  <c r="AC449" i="2"/>
  <c r="AB449" i="2"/>
  <c r="AA449" i="2"/>
  <c r="Z449" i="2"/>
  <c r="Y449" i="2"/>
  <c r="X449" i="2"/>
  <c r="W449" i="2"/>
  <c r="V449" i="2"/>
  <c r="U449" i="2"/>
  <c r="T449" i="2"/>
  <c r="S449" i="2"/>
  <c r="R449" i="2"/>
  <c r="Q449" i="2"/>
  <c r="P449" i="2"/>
  <c r="O449" i="2"/>
  <c r="N449" i="2"/>
  <c r="M449" i="2"/>
  <c r="L449" i="2"/>
  <c r="K449" i="2"/>
  <c r="J449" i="2"/>
  <c r="I449" i="2"/>
  <c r="H449" i="2"/>
  <c r="G449" i="2"/>
  <c r="F449" i="2"/>
  <c r="E449" i="2"/>
  <c r="D449" i="2"/>
  <c r="C449" i="2"/>
  <c r="B449" i="2"/>
  <c r="A449" i="2"/>
  <c r="AE448" i="2"/>
  <c r="AD448" i="2"/>
  <c r="AC448" i="2"/>
  <c r="AB448" i="2"/>
  <c r="AA448" i="2"/>
  <c r="Z448" i="2"/>
  <c r="Y448" i="2"/>
  <c r="X448" i="2"/>
  <c r="W448" i="2"/>
  <c r="V448" i="2"/>
  <c r="U448" i="2"/>
  <c r="T448" i="2"/>
  <c r="S448" i="2"/>
  <c r="R448" i="2"/>
  <c r="Q448" i="2"/>
  <c r="P448" i="2"/>
  <c r="O448" i="2"/>
  <c r="N448" i="2"/>
  <c r="M448" i="2"/>
  <c r="L448" i="2"/>
  <c r="K448" i="2"/>
  <c r="J448" i="2"/>
  <c r="I448" i="2"/>
  <c r="H448" i="2"/>
  <c r="G448" i="2"/>
  <c r="F448" i="2"/>
  <c r="E448" i="2"/>
  <c r="D448" i="2"/>
  <c r="C448" i="2"/>
  <c r="B448" i="2"/>
  <c r="A448" i="2"/>
  <c r="AE447" i="2"/>
  <c r="AD447" i="2"/>
  <c r="AC447" i="2"/>
  <c r="AB447" i="2"/>
  <c r="AA447" i="2"/>
  <c r="Z447" i="2"/>
  <c r="Y447" i="2"/>
  <c r="X447" i="2"/>
  <c r="W447" i="2"/>
  <c r="V447" i="2"/>
  <c r="U447" i="2"/>
  <c r="T447" i="2"/>
  <c r="S447" i="2"/>
  <c r="R447" i="2"/>
  <c r="Q447" i="2"/>
  <c r="P447" i="2"/>
  <c r="O447" i="2"/>
  <c r="N447" i="2"/>
  <c r="M447" i="2"/>
  <c r="L447" i="2"/>
  <c r="K447" i="2"/>
  <c r="J447" i="2"/>
  <c r="I447" i="2"/>
  <c r="H447" i="2"/>
  <c r="G447" i="2"/>
  <c r="F447" i="2"/>
  <c r="E447" i="2"/>
  <c r="D447" i="2"/>
  <c r="C447" i="2"/>
  <c r="B447" i="2"/>
  <c r="A447" i="2"/>
  <c r="AE446" i="2"/>
  <c r="AD446" i="2"/>
  <c r="AC446" i="2"/>
  <c r="AB446" i="2"/>
  <c r="AA446" i="2"/>
  <c r="Z446" i="2"/>
  <c r="Y446" i="2"/>
  <c r="X446" i="2"/>
  <c r="W446" i="2"/>
  <c r="V446" i="2"/>
  <c r="U446" i="2"/>
  <c r="T446" i="2"/>
  <c r="S446" i="2"/>
  <c r="R446" i="2"/>
  <c r="Q446" i="2"/>
  <c r="P446" i="2"/>
  <c r="O446" i="2"/>
  <c r="N446" i="2"/>
  <c r="M446" i="2"/>
  <c r="L446" i="2"/>
  <c r="K446" i="2"/>
  <c r="J446" i="2"/>
  <c r="I446" i="2"/>
  <c r="H446" i="2"/>
  <c r="G446" i="2"/>
  <c r="F446" i="2"/>
  <c r="E446" i="2"/>
  <c r="D446" i="2"/>
  <c r="C446" i="2"/>
  <c r="B446" i="2"/>
  <c r="A446" i="2"/>
  <c r="AE445" i="2"/>
  <c r="AD445" i="2"/>
  <c r="AC445" i="2"/>
  <c r="AB445" i="2"/>
  <c r="AA445" i="2"/>
  <c r="Z445" i="2"/>
  <c r="Y445" i="2"/>
  <c r="X445" i="2"/>
  <c r="W445" i="2"/>
  <c r="V445" i="2"/>
  <c r="U445" i="2"/>
  <c r="T445" i="2"/>
  <c r="S445" i="2"/>
  <c r="R445" i="2"/>
  <c r="Q445" i="2"/>
  <c r="P445" i="2"/>
  <c r="O445" i="2"/>
  <c r="N445" i="2"/>
  <c r="M445" i="2"/>
  <c r="L445" i="2"/>
  <c r="K445" i="2"/>
  <c r="J445" i="2"/>
  <c r="I445" i="2"/>
  <c r="H445" i="2"/>
  <c r="G445" i="2"/>
  <c r="F445" i="2"/>
  <c r="E445" i="2"/>
  <c r="D445" i="2"/>
  <c r="C445" i="2"/>
  <c r="B445" i="2"/>
  <c r="A445" i="2"/>
  <c r="AE444" i="2"/>
  <c r="AD444" i="2"/>
  <c r="AC444" i="2"/>
  <c r="AB444" i="2"/>
  <c r="AA444" i="2"/>
  <c r="Z444" i="2"/>
  <c r="Y444" i="2"/>
  <c r="X444" i="2"/>
  <c r="W444" i="2"/>
  <c r="V444" i="2"/>
  <c r="U444" i="2"/>
  <c r="T444" i="2"/>
  <c r="S444" i="2"/>
  <c r="R444" i="2"/>
  <c r="Q444" i="2"/>
  <c r="P444" i="2"/>
  <c r="O444" i="2"/>
  <c r="N444" i="2"/>
  <c r="M444" i="2"/>
  <c r="L444" i="2"/>
  <c r="K444" i="2"/>
  <c r="J444" i="2"/>
  <c r="I444" i="2"/>
  <c r="H444" i="2"/>
  <c r="G444" i="2"/>
  <c r="F444" i="2"/>
  <c r="E444" i="2"/>
  <c r="D444" i="2"/>
  <c r="C444" i="2"/>
  <c r="B444" i="2"/>
  <c r="A444" i="2"/>
  <c r="AE443" i="2"/>
  <c r="AD443" i="2"/>
  <c r="AC443" i="2"/>
  <c r="AB443" i="2"/>
  <c r="AA443" i="2"/>
  <c r="Z443" i="2"/>
  <c r="Y443" i="2"/>
  <c r="X443" i="2"/>
  <c r="W443" i="2"/>
  <c r="V443" i="2"/>
  <c r="U443" i="2"/>
  <c r="T443" i="2"/>
  <c r="S443" i="2"/>
  <c r="R443" i="2"/>
  <c r="Q443" i="2"/>
  <c r="P443" i="2"/>
  <c r="O443" i="2"/>
  <c r="N443" i="2"/>
  <c r="M443" i="2"/>
  <c r="L443" i="2"/>
  <c r="K443" i="2"/>
  <c r="J443" i="2"/>
  <c r="I443" i="2"/>
  <c r="H443" i="2"/>
  <c r="G443" i="2"/>
  <c r="F443" i="2"/>
  <c r="E443" i="2"/>
  <c r="D443" i="2"/>
  <c r="C443" i="2"/>
  <c r="B443" i="2"/>
  <c r="A443" i="2"/>
  <c r="AE442" i="2"/>
  <c r="AD442" i="2"/>
  <c r="AC442" i="2"/>
  <c r="AB442" i="2"/>
  <c r="AA442" i="2"/>
  <c r="Z442" i="2"/>
  <c r="Y442" i="2"/>
  <c r="X442" i="2"/>
  <c r="W442" i="2"/>
  <c r="V442" i="2"/>
  <c r="U442" i="2"/>
  <c r="T442" i="2"/>
  <c r="S442" i="2"/>
  <c r="R442" i="2"/>
  <c r="Q442" i="2"/>
  <c r="P442" i="2"/>
  <c r="O442" i="2"/>
  <c r="N442" i="2"/>
  <c r="M442" i="2"/>
  <c r="L442" i="2"/>
  <c r="K442" i="2"/>
  <c r="J442" i="2"/>
  <c r="I442" i="2"/>
  <c r="H442" i="2"/>
  <c r="G442" i="2"/>
  <c r="F442" i="2"/>
  <c r="E442" i="2"/>
  <c r="D442" i="2"/>
  <c r="C442" i="2"/>
  <c r="B442" i="2"/>
  <c r="A442" i="2"/>
  <c r="AE441" i="2"/>
  <c r="AD441" i="2"/>
  <c r="AC441" i="2"/>
  <c r="AB441" i="2"/>
  <c r="AA441" i="2"/>
  <c r="Z441" i="2"/>
  <c r="Y441" i="2"/>
  <c r="X441" i="2"/>
  <c r="W441" i="2"/>
  <c r="V441" i="2"/>
  <c r="U441" i="2"/>
  <c r="T441" i="2"/>
  <c r="S441" i="2"/>
  <c r="R441" i="2"/>
  <c r="Q441" i="2"/>
  <c r="P441" i="2"/>
  <c r="O441" i="2"/>
  <c r="N441" i="2"/>
  <c r="M441" i="2"/>
  <c r="L441" i="2"/>
  <c r="K441" i="2"/>
  <c r="J441" i="2"/>
  <c r="I441" i="2"/>
  <c r="H441" i="2"/>
  <c r="G441" i="2"/>
  <c r="F441" i="2"/>
  <c r="E441" i="2"/>
  <c r="D441" i="2"/>
  <c r="C441" i="2"/>
  <c r="B441" i="2"/>
  <c r="A441" i="2"/>
  <c r="AE440" i="2"/>
  <c r="AD440" i="2"/>
  <c r="AC440" i="2"/>
  <c r="AB440" i="2"/>
  <c r="AA440" i="2"/>
  <c r="Z440" i="2"/>
  <c r="Y440" i="2"/>
  <c r="X440" i="2"/>
  <c r="W440" i="2"/>
  <c r="V440" i="2"/>
  <c r="U440" i="2"/>
  <c r="T440" i="2"/>
  <c r="S440" i="2"/>
  <c r="R440" i="2"/>
  <c r="Q440" i="2"/>
  <c r="P440" i="2"/>
  <c r="O440" i="2"/>
  <c r="N440" i="2"/>
  <c r="M440" i="2"/>
  <c r="L440" i="2"/>
  <c r="K440" i="2"/>
  <c r="J440" i="2"/>
  <c r="I440" i="2"/>
  <c r="H440" i="2"/>
  <c r="G440" i="2"/>
  <c r="F440" i="2"/>
  <c r="E440" i="2"/>
  <c r="D440" i="2"/>
  <c r="C440" i="2"/>
  <c r="B440" i="2"/>
  <c r="A440" i="2"/>
  <c r="AE439" i="2"/>
  <c r="AD439" i="2"/>
  <c r="AC439" i="2"/>
  <c r="AB439" i="2"/>
  <c r="AA439" i="2"/>
  <c r="Z439" i="2"/>
  <c r="Y439" i="2"/>
  <c r="X439" i="2"/>
  <c r="W439" i="2"/>
  <c r="V439" i="2"/>
  <c r="U439" i="2"/>
  <c r="T439" i="2"/>
  <c r="S439" i="2"/>
  <c r="R439" i="2"/>
  <c r="Q439" i="2"/>
  <c r="P439" i="2"/>
  <c r="O439" i="2"/>
  <c r="N439" i="2"/>
  <c r="M439" i="2"/>
  <c r="L439" i="2"/>
  <c r="K439" i="2"/>
  <c r="J439" i="2"/>
  <c r="I439" i="2"/>
  <c r="H439" i="2"/>
  <c r="G439" i="2"/>
  <c r="F439" i="2"/>
  <c r="E439" i="2"/>
  <c r="D439" i="2"/>
  <c r="C439" i="2"/>
  <c r="B439" i="2"/>
  <c r="A439" i="2"/>
  <c r="AE438" i="2"/>
  <c r="AD438" i="2"/>
  <c r="AC438" i="2"/>
  <c r="AB438" i="2"/>
  <c r="AA438" i="2"/>
  <c r="Z438" i="2"/>
  <c r="Y438" i="2"/>
  <c r="X438" i="2"/>
  <c r="W438" i="2"/>
  <c r="V438" i="2"/>
  <c r="U438" i="2"/>
  <c r="T438" i="2"/>
  <c r="S438" i="2"/>
  <c r="R438" i="2"/>
  <c r="Q438" i="2"/>
  <c r="P438" i="2"/>
  <c r="O438" i="2"/>
  <c r="N438" i="2"/>
  <c r="M438" i="2"/>
  <c r="L438" i="2"/>
  <c r="K438" i="2"/>
  <c r="J438" i="2"/>
  <c r="I438" i="2"/>
  <c r="H438" i="2"/>
  <c r="G438" i="2"/>
  <c r="F438" i="2"/>
  <c r="E438" i="2"/>
  <c r="D438" i="2"/>
  <c r="C438" i="2"/>
  <c r="B438" i="2"/>
  <c r="A438" i="2"/>
  <c r="AE437" i="2"/>
  <c r="AD437" i="2"/>
  <c r="AC437" i="2"/>
  <c r="AB437" i="2"/>
  <c r="AA437" i="2"/>
  <c r="Z437" i="2"/>
  <c r="Y437" i="2"/>
  <c r="X437" i="2"/>
  <c r="W437" i="2"/>
  <c r="V437" i="2"/>
  <c r="U437" i="2"/>
  <c r="T437" i="2"/>
  <c r="S437" i="2"/>
  <c r="R437" i="2"/>
  <c r="Q437" i="2"/>
  <c r="P437" i="2"/>
  <c r="O437" i="2"/>
  <c r="N437" i="2"/>
  <c r="M437" i="2"/>
  <c r="L437" i="2"/>
  <c r="K437" i="2"/>
  <c r="J437" i="2"/>
  <c r="I437" i="2"/>
  <c r="H437" i="2"/>
  <c r="G437" i="2"/>
  <c r="F437" i="2"/>
  <c r="E437" i="2"/>
  <c r="D437" i="2"/>
  <c r="C437" i="2"/>
  <c r="B437" i="2"/>
  <c r="A437" i="2"/>
  <c r="AE436" i="2"/>
  <c r="AD436" i="2"/>
  <c r="AC436" i="2"/>
  <c r="AB436" i="2"/>
  <c r="AA436" i="2"/>
  <c r="Z436" i="2"/>
  <c r="Y436" i="2"/>
  <c r="X436" i="2"/>
  <c r="W436" i="2"/>
  <c r="V436" i="2"/>
  <c r="U436" i="2"/>
  <c r="T436" i="2"/>
  <c r="S436" i="2"/>
  <c r="R436" i="2"/>
  <c r="Q436" i="2"/>
  <c r="P436" i="2"/>
  <c r="O436" i="2"/>
  <c r="N436" i="2"/>
  <c r="M436" i="2"/>
  <c r="L436" i="2"/>
  <c r="K436" i="2"/>
  <c r="J436" i="2"/>
  <c r="I436" i="2"/>
  <c r="H436" i="2"/>
  <c r="G436" i="2"/>
  <c r="F436" i="2"/>
  <c r="E436" i="2"/>
  <c r="D436" i="2"/>
  <c r="C436" i="2"/>
  <c r="B436" i="2"/>
  <c r="A436" i="2"/>
  <c r="AE435" i="2"/>
  <c r="AD435" i="2"/>
  <c r="AC435" i="2"/>
  <c r="AB435" i="2"/>
  <c r="AA435" i="2"/>
  <c r="Z435" i="2"/>
  <c r="Y435" i="2"/>
  <c r="X435" i="2"/>
  <c r="W435" i="2"/>
  <c r="V435" i="2"/>
  <c r="U435" i="2"/>
  <c r="T435" i="2"/>
  <c r="S435" i="2"/>
  <c r="R435" i="2"/>
  <c r="Q435" i="2"/>
  <c r="P435" i="2"/>
  <c r="O435" i="2"/>
  <c r="N435" i="2"/>
  <c r="M435" i="2"/>
  <c r="L435" i="2"/>
  <c r="K435" i="2"/>
  <c r="J435" i="2"/>
  <c r="I435" i="2"/>
  <c r="H435" i="2"/>
  <c r="G435" i="2"/>
  <c r="F435" i="2"/>
  <c r="E435" i="2"/>
  <c r="D435" i="2"/>
  <c r="C435" i="2"/>
  <c r="B435" i="2"/>
  <c r="A435" i="2"/>
  <c r="AE434" i="2"/>
  <c r="AD434" i="2"/>
  <c r="AC434" i="2"/>
  <c r="AB434" i="2"/>
  <c r="AA434" i="2"/>
  <c r="Z434" i="2"/>
  <c r="Y434" i="2"/>
  <c r="X434" i="2"/>
  <c r="W434" i="2"/>
  <c r="V434" i="2"/>
  <c r="U434" i="2"/>
  <c r="T434" i="2"/>
  <c r="S434" i="2"/>
  <c r="R434" i="2"/>
  <c r="Q434" i="2"/>
  <c r="P434" i="2"/>
  <c r="O434" i="2"/>
  <c r="N434" i="2"/>
  <c r="M434" i="2"/>
  <c r="L434" i="2"/>
  <c r="K434" i="2"/>
  <c r="J434" i="2"/>
  <c r="I434" i="2"/>
  <c r="H434" i="2"/>
  <c r="G434" i="2"/>
  <c r="F434" i="2"/>
  <c r="E434" i="2"/>
  <c r="D434" i="2"/>
  <c r="C434" i="2"/>
  <c r="B434" i="2"/>
  <c r="A434" i="2"/>
  <c r="AE433" i="2"/>
  <c r="AD433" i="2"/>
  <c r="AC433" i="2"/>
  <c r="AB433" i="2"/>
  <c r="AA433" i="2"/>
  <c r="Z433" i="2"/>
  <c r="Y433" i="2"/>
  <c r="X433" i="2"/>
  <c r="W433" i="2"/>
  <c r="V433" i="2"/>
  <c r="U433" i="2"/>
  <c r="T433" i="2"/>
  <c r="S433" i="2"/>
  <c r="R433" i="2"/>
  <c r="Q433" i="2"/>
  <c r="P433" i="2"/>
  <c r="O433" i="2"/>
  <c r="N433" i="2"/>
  <c r="M433" i="2"/>
  <c r="L433" i="2"/>
  <c r="K433" i="2"/>
  <c r="J433" i="2"/>
  <c r="I433" i="2"/>
  <c r="H433" i="2"/>
  <c r="G433" i="2"/>
  <c r="F433" i="2"/>
  <c r="E433" i="2"/>
  <c r="D433" i="2"/>
  <c r="C433" i="2"/>
  <c r="B433" i="2"/>
  <c r="A433" i="2"/>
  <c r="AE432" i="2"/>
  <c r="AD432" i="2"/>
  <c r="AC432" i="2"/>
  <c r="AB432" i="2"/>
  <c r="AA432" i="2"/>
  <c r="Z432" i="2"/>
  <c r="Y432" i="2"/>
  <c r="X432" i="2"/>
  <c r="W432" i="2"/>
  <c r="V432" i="2"/>
  <c r="U432" i="2"/>
  <c r="T432" i="2"/>
  <c r="S432" i="2"/>
  <c r="R432" i="2"/>
  <c r="Q432" i="2"/>
  <c r="P432" i="2"/>
  <c r="O432" i="2"/>
  <c r="N432" i="2"/>
  <c r="M432" i="2"/>
  <c r="L432" i="2"/>
  <c r="K432" i="2"/>
  <c r="J432" i="2"/>
  <c r="I432" i="2"/>
  <c r="H432" i="2"/>
  <c r="G432" i="2"/>
  <c r="F432" i="2"/>
  <c r="E432" i="2"/>
  <c r="D432" i="2"/>
  <c r="C432" i="2"/>
  <c r="B432" i="2"/>
  <c r="A432" i="2"/>
  <c r="AE431" i="2"/>
  <c r="AD431" i="2"/>
  <c r="AC431" i="2"/>
  <c r="AB431" i="2"/>
  <c r="AA431" i="2"/>
  <c r="Z431" i="2"/>
  <c r="Y431" i="2"/>
  <c r="X431" i="2"/>
  <c r="W431" i="2"/>
  <c r="V431" i="2"/>
  <c r="U431" i="2"/>
  <c r="T431" i="2"/>
  <c r="S431" i="2"/>
  <c r="R431" i="2"/>
  <c r="Q431" i="2"/>
  <c r="P431" i="2"/>
  <c r="O431" i="2"/>
  <c r="N431" i="2"/>
  <c r="M431" i="2"/>
  <c r="L431" i="2"/>
  <c r="K431" i="2"/>
  <c r="J431" i="2"/>
  <c r="I431" i="2"/>
  <c r="H431" i="2"/>
  <c r="G431" i="2"/>
  <c r="F431" i="2"/>
  <c r="E431" i="2"/>
  <c r="D431" i="2"/>
  <c r="C431" i="2"/>
  <c r="B431" i="2"/>
  <c r="A431" i="2"/>
  <c r="AE430" i="2"/>
  <c r="AD430" i="2"/>
  <c r="AC430" i="2"/>
  <c r="AB430" i="2"/>
  <c r="AA430" i="2"/>
  <c r="Z430" i="2"/>
  <c r="Y430" i="2"/>
  <c r="X430" i="2"/>
  <c r="W430" i="2"/>
  <c r="V430" i="2"/>
  <c r="U430" i="2"/>
  <c r="T430" i="2"/>
  <c r="S430" i="2"/>
  <c r="R430" i="2"/>
  <c r="Q430" i="2"/>
  <c r="P430" i="2"/>
  <c r="O430" i="2"/>
  <c r="N430" i="2"/>
  <c r="M430" i="2"/>
  <c r="L430" i="2"/>
  <c r="K430" i="2"/>
  <c r="J430" i="2"/>
  <c r="I430" i="2"/>
  <c r="H430" i="2"/>
  <c r="G430" i="2"/>
  <c r="F430" i="2"/>
  <c r="E430" i="2"/>
  <c r="D430" i="2"/>
  <c r="C430" i="2"/>
  <c r="B430" i="2"/>
  <c r="A430" i="2"/>
  <c r="AE429" i="2"/>
  <c r="AD429" i="2"/>
  <c r="AC429" i="2"/>
  <c r="AB429" i="2"/>
  <c r="AA429" i="2"/>
  <c r="Z429" i="2"/>
  <c r="Y429" i="2"/>
  <c r="X429" i="2"/>
  <c r="W429" i="2"/>
  <c r="V429" i="2"/>
  <c r="U429" i="2"/>
  <c r="T429" i="2"/>
  <c r="S429" i="2"/>
  <c r="R429" i="2"/>
  <c r="Q429" i="2"/>
  <c r="P429" i="2"/>
  <c r="O429" i="2"/>
  <c r="N429" i="2"/>
  <c r="M429" i="2"/>
  <c r="L429" i="2"/>
  <c r="K429" i="2"/>
  <c r="J429" i="2"/>
  <c r="I429" i="2"/>
  <c r="H429" i="2"/>
  <c r="G429" i="2"/>
  <c r="F429" i="2"/>
  <c r="E429" i="2"/>
  <c r="D429" i="2"/>
  <c r="C429" i="2"/>
  <c r="B429" i="2"/>
  <c r="A429" i="2"/>
  <c r="AE428" i="2"/>
  <c r="AD428" i="2"/>
  <c r="AC428" i="2"/>
  <c r="AB428" i="2"/>
  <c r="AA428" i="2"/>
  <c r="Z428" i="2"/>
  <c r="Y428" i="2"/>
  <c r="X428" i="2"/>
  <c r="W428" i="2"/>
  <c r="V428" i="2"/>
  <c r="U428" i="2"/>
  <c r="T428" i="2"/>
  <c r="S428" i="2"/>
  <c r="R428" i="2"/>
  <c r="Q428" i="2"/>
  <c r="P428" i="2"/>
  <c r="O428" i="2"/>
  <c r="N428" i="2"/>
  <c r="M428" i="2"/>
  <c r="L428" i="2"/>
  <c r="K428" i="2"/>
  <c r="J428" i="2"/>
  <c r="I428" i="2"/>
  <c r="H428" i="2"/>
  <c r="G428" i="2"/>
  <c r="F428" i="2"/>
  <c r="E428" i="2"/>
  <c r="D428" i="2"/>
  <c r="C428" i="2"/>
  <c r="B428" i="2"/>
  <c r="A428" i="2"/>
  <c r="AE427" i="2"/>
  <c r="AD427" i="2"/>
  <c r="AC427" i="2"/>
  <c r="AB427" i="2"/>
  <c r="AA427" i="2"/>
  <c r="Z427" i="2"/>
  <c r="Y427" i="2"/>
  <c r="X427" i="2"/>
  <c r="W427" i="2"/>
  <c r="V427" i="2"/>
  <c r="U427" i="2"/>
  <c r="T427" i="2"/>
  <c r="S427" i="2"/>
  <c r="R427" i="2"/>
  <c r="Q427" i="2"/>
  <c r="P427" i="2"/>
  <c r="O427" i="2"/>
  <c r="N427" i="2"/>
  <c r="M427" i="2"/>
  <c r="L427" i="2"/>
  <c r="K427" i="2"/>
  <c r="J427" i="2"/>
  <c r="I427" i="2"/>
  <c r="H427" i="2"/>
  <c r="G427" i="2"/>
  <c r="F427" i="2"/>
  <c r="E427" i="2"/>
  <c r="D427" i="2"/>
  <c r="C427" i="2"/>
  <c r="B427" i="2"/>
  <c r="A427" i="2"/>
  <c r="AE426" i="2"/>
  <c r="AD426" i="2"/>
  <c r="AC426" i="2"/>
  <c r="AB426" i="2"/>
  <c r="AA426" i="2"/>
  <c r="Z426" i="2"/>
  <c r="Y426" i="2"/>
  <c r="X426" i="2"/>
  <c r="W426" i="2"/>
  <c r="V426" i="2"/>
  <c r="U426" i="2"/>
  <c r="T426" i="2"/>
  <c r="S426" i="2"/>
  <c r="R426" i="2"/>
  <c r="Q426" i="2"/>
  <c r="P426" i="2"/>
  <c r="O426" i="2"/>
  <c r="N426" i="2"/>
  <c r="M426" i="2"/>
  <c r="L426" i="2"/>
  <c r="K426" i="2"/>
  <c r="J426" i="2"/>
  <c r="I426" i="2"/>
  <c r="H426" i="2"/>
  <c r="G426" i="2"/>
  <c r="F426" i="2"/>
  <c r="E426" i="2"/>
  <c r="D426" i="2"/>
  <c r="C426" i="2"/>
  <c r="B426" i="2"/>
  <c r="A426" i="2"/>
  <c r="AE425" i="2"/>
  <c r="AD425" i="2"/>
  <c r="AC425" i="2"/>
  <c r="AB425" i="2"/>
  <c r="AA425" i="2"/>
  <c r="Z425" i="2"/>
  <c r="Y425" i="2"/>
  <c r="X425" i="2"/>
  <c r="W425" i="2"/>
  <c r="V425" i="2"/>
  <c r="U425" i="2"/>
  <c r="T425" i="2"/>
  <c r="S425" i="2"/>
  <c r="R425" i="2"/>
  <c r="Q425" i="2"/>
  <c r="P425" i="2"/>
  <c r="O425" i="2"/>
  <c r="N425" i="2"/>
  <c r="M425" i="2"/>
  <c r="L425" i="2"/>
  <c r="K425" i="2"/>
  <c r="J425" i="2"/>
  <c r="I425" i="2"/>
  <c r="H425" i="2"/>
  <c r="G425" i="2"/>
  <c r="F425" i="2"/>
  <c r="E425" i="2"/>
  <c r="D425" i="2"/>
  <c r="C425" i="2"/>
  <c r="B425" i="2"/>
  <c r="A425" i="2"/>
  <c r="AE424" i="2"/>
  <c r="AD424" i="2"/>
  <c r="AC424" i="2"/>
  <c r="AB424" i="2"/>
  <c r="AA424" i="2"/>
  <c r="Z424" i="2"/>
  <c r="Y424" i="2"/>
  <c r="X424" i="2"/>
  <c r="W424" i="2"/>
  <c r="V424" i="2"/>
  <c r="U424" i="2"/>
  <c r="T424" i="2"/>
  <c r="S424" i="2"/>
  <c r="R424" i="2"/>
  <c r="Q424" i="2"/>
  <c r="P424" i="2"/>
  <c r="O424" i="2"/>
  <c r="N424" i="2"/>
  <c r="M424" i="2"/>
  <c r="L424" i="2"/>
  <c r="K424" i="2"/>
  <c r="J424" i="2"/>
  <c r="I424" i="2"/>
  <c r="H424" i="2"/>
  <c r="G424" i="2"/>
  <c r="F424" i="2"/>
  <c r="E424" i="2"/>
  <c r="D424" i="2"/>
  <c r="C424" i="2"/>
  <c r="B424" i="2"/>
  <c r="A424" i="2"/>
  <c r="AE423" i="2"/>
  <c r="AD423" i="2"/>
  <c r="AC423" i="2"/>
  <c r="AB423" i="2"/>
  <c r="AA423" i="2"/>
  <c r="Z423" i="2"/>
  <c r="Y423" i="2"/>
  <c r="X423" i="2"/>
  <c r="W423" i="2"/>
  <c r="V423" i="2"/>
  <c r="U423" i="2"/>
  <c r="T423" i="2"/>
  <c r="S423" i="2"/>
  <c r="R423" i="2"/>
  <c r="Q423" i="2"/>
  <c r="P423" i="2"/>
  <c r="O423" i="2"/>
  <c r="N423" i="2"/>
  <c r="M423" i="2"/>
  <c r="L423" i="2"/>
  <c r="K423" i="2"/>
  <c r="J423" i="2"/>
  <c r="I423" i="2"/>
  <c r="H423" i="2"/>
  <c r="G423" i="2"/>
  <c r="F423" i="2"/>
  <c r="E423" i="2"/>
  <c r="D423" i="2"/>
  <c r="C423" i="2"/>
  <c r="B423" i="2"/>
  <c r="A423" i="2"/>
  <c r="AE422" i="2"/>
  <c r="AD422" i="2"/>
  <c r="AC422" i="2"/>
  <c r="AB422" i="2"/>
  <c r="AA422" i="2"/>
  <c r="Z422" i="2"/>
  <c r="Y422" i="2"/>
  <c r="X422" i="2"/>
  <c r="W422" i="2"/>
  <c r="V422" i="2"/>
  <c r="U422" i="2"/>
  <c r="T422" i="2"/>
  <c r="S422" i="2"/>
  <c r="R422" i="2"/>
  <c r="Q422" i="2"/>
  <c r="P422" i="2"/>
  <c r="O422" i="2"/>
  <c r="N422" i="2"/>
  <c r="M422" i="2"/>
  <c r="L422" i="2"/>
  <c r="K422" i="2"/>
  <c r="J422" i="2"/>
  <c r="I422" i="2"/>
  <c r="H422" i="2"/>
  <c r="G422" i="2"/>
  <c r="F422" i="2"/>
  <c r="E422" i="2"/>
  <c r="D422" i="2"/>
  <c r="C422" i="2"/>
  <c r="B422" i="2"/>
  <c r="A422" i="2"/>
  <c r="AE421" i="2"/>
  <c r="AD421" i="2"/>
  <c r="AC421" i="2"/>
  <c r="AB421" i="2"/>
  <c r="AA421" i="2"/>
  <c r="Z421" i="2"/>
  <c r="Y421" i="2"/>
  <c r="X421" i="2"/>
  <c r="W421" i="2"/>
  <c r="V421" i="2"/>
  <c r="U421" i="2"/>
  <c r="T421" i="2"/>
  <c r="S421" i="2"/>
  <c r="R421" i="2"/>
  <c r="Q421" i="2"/>
  <c r="P421" i="2"/>
  <c r="O421" i="2"/>
  <c r="N421" i="2"/>
  <c r="M421" i="2"/>
  <c r="L421" i="2"/>
  <c r="K421" i="2"/>
  <c r="J421" i="2"/>
  <c r="I421" i="2"/>
  <c r="H421" i="2"/>
  <c r="G421" i="2"/>
  <c r="F421" i="2"/>
  <c r="E421" i="2"/>
  <c r="D421" i="2"/>
  <c r="C421" i="2"/>
  <c r="B421" i="2"/>
  <c r="A421" i="2"/>
  <c r="AE420" i="2"/>
  <c r="AD420" i="2"/>
  <c r="AC420" i="2"/>
  <c r="AB420" i="2"/>
  <c r="AA420" i="2"/>
  <c r="Z420" i="2"/>
  <c r="Y420" i="2"/>
  <c r="X420" i="2"/>
  <c r="W420" i="2"/>
  <c r="V420" i="2"/>
  <c r="U420" i="2"/>
  <c r="T420" i="2"/>
  <c r="S420" i="2"/>
  <c r="R420" i="2"/>
  <c r="Q420" i="2"/>
  <c r="P420" i="2"/>
  <c r="O420" i="2"/>
  <c r="N420" i="2"/>
  <c r="M420" i="2"/>
  <c r="L420" i="2"/>
  <c r="K420" i="2"/>
  <c r="J420" i="2"/>
  <c r="I420" i="2"/>
  <c r="H420" i="2"/>
  <c r="G420" i="2"/>
  <c r="F420" i="2"/>
  <c r="E420" i="2"/>
  <c r="D420" i="2"/>
  <c r="C420" i="2"/>
  <c r="B420" i="2"/>
  <c r="A420" i="2"/>
  <c r="AE419" i="2"/>
  <c r="AD419" i="2"/>
  <c r="AC419" i="2"/>
  <c r="AB419" i="2"/>
  <c r="AA419" i="2"/>
  <c r="Z419" i="2"/>
  <c r="Y419" i="2"/>
  <c r="X419" i="2"/>
  <c r="W419" i="2"/>
  <c r="V419" i="2"/>
  <c r="U419" i="2"/>
  <c r="T419" i="2"/>
  <c r="S419" i="2"/>
  <c r="R419" i="2"/>
  <c r="Q419" i="2"/>
  <c r="P419" i="2"/>
  <c r="O419" i="2"/>
  <c r="N419" i="2"/>
  <c r="M419" i="2"/>
  <c r="L419" i="2"/>
  <c r="K419" i="2"/>
  <c r="J419" i="2"/>
  <c r="I419" i="2"/>
  <c r="H419" i="2"/>
  <c r="G419" i="2"/>
  <c r="F419" i="2"/>
  <c r="E419" i="2"/>
  <c r="D419" i="2"/>
  <c r="C419" i="2"/>
  <c r="B419" i="2"/>
  <c r="A419" i="2"/>
  <c r="AE418" i="2"/>
  <c r="AD418" i="2"/>
  <c r="AC418" i="2"/>
  <c r="AB418" i="2"/>
  <c r="AA418" i="2"/>
  <c r="Z418" i="2"/>
  <c r="Y418" i="2"/>
  <c r="X418" i="2"/>
  <c r="W418" i="2"/>
  <c r="V418" i="2"/>
  <c r="U418" i="2"/>
  <c r="T418" i="2"/>
  <c r="S418" i="2"/>
  <c r="R418" i="2"/>
  <c r="Q418" i="2"/>
  <c r="P418" i="2"/>
  <c r="O418" i="2"/>
  <c r="N418" i="2"/>
  <c r="M418" i="2"/>
  <c r="L418" i="2"/>
  <c r="K418" i="2"/>
  <c r="J418" i="2"/>
  <c r="I418" i="2"/>
  <c r="H418" i="2"/>
  <c r="G418" i="2"/>
  <c r="F418" i="2"/>
  <c r="E418" i="2"/>
  <c r="D418" i="2"/>
  <c r="C418" i="2"/>
  <c r="B418" i="2"/>
  <c r="A418" i="2"/>
  <c r="AE417" i="2"/>
  <c r="AD417" i="2"/>
  <c r="AC417" i="2"/>
  <c r="AB417" i="2"/>
  <c r="AA417" i="2"/>
  <c r="Z417" i="2"/>
  <c r="Y417" i="2"/>
  <c r="X417" i="2"/>
  <c r="W417" i="2"/>
  <c r="V417" i="2"/>
  <c r="U417" i="2"/>
  <c r="T417" i="2"/>
  <c r="S417" i="2"/>
  <c r="R417" i="2"/>
  <c r="Q417" i="2"/>
  <c r="P417" i="2"/>
  <c r="O417" i="2"/>
  <c r="N417" i="2"/>
  <c r="M417" i="2"/>
  <c r="L417" i="2"/>
  <c r="K417" i="2"/>
  <c r="J417" i="2"/>
  <c r="I417" i="2"/>
  <c r="H417" i="2"/>
  <c r="G417" i="2"/>
  <c r="F417" i="2"/>
  <c r="E417" i="2"/>
  <c r="D417" i="2"/>
  <c r="C417" i="2"/>
  <c r="B417" i="2"/>
  <c r="A417" i="2"/>
  <c r="AE416" i="2"/>
  <c r="AD416" i="2"/>
  <c r="AC416" i="2"/>
  <c r="AB416" i="2"/>
  <c r="AA416" i="2"/>
  <c r="Z416" i="2"/>
  <c r="Y416" i="2"/>
  <c r="X416" i="2"/>
  <c r="W416" i="2"/>
  <c r="V416" i="2"/>
  <c r="U416" i="2"/>
  <c r="T416" i="2"/>
  <c r="S416" i="2"/>
  <c r="R416" i="2"/>
  <c r="Q416" i="2"/>
  <c r="P416" i="2"/>
  <c r="O416" i="2"/>
  <c r="N416" i="2"/>
  <c r="M416" i="2"/>
  <c r="L416" i="2"/>
  <c r="K416" i="2"/>
  <c r="J416" i="2"/>
  <c r="I416" i="2"/>
  <c r="H416" i="2"/>
  <c r="G416" i="2"/>
  <c r="F416" i="2"/>
  <c r="E416" i="2"/>
  <c r="D416" i="2"/>
  <c r="C416" i="2"/>
  <c r="B416" i="2"/>
  <c r="A416" i="2"/>
  <c r="AE415" i="2"/>
  <c r="AD415" i="2"/>
  <c r="AC415" i="2"/>
  <c r="AB415" i="2"/>
  <c r="AA415" i="2"/>
  <c r="Z415" i="2"/>
  <c r="Y415" i="2"/>
  <c r="X415" i="2"/>
  <c r="W415" i="2"/>
  <c r="V415" i="2"/>
  <c r="U415" i="2"/>
  <c r="T415" i="2"/>
  <c r="S415" i="2"/>
  <c r="R415" i="2"/>
  <c r="Q415" i="2"/>
  <c r="P415" i="2"/>
  <c r="O415" i="2"/>
  <c r="N415" i="2"/>
  <c r="M415" i="2"/>
  <c r="L415" i="2"/>
  <c r="K415" i="2"/>
  <c r="J415" i="2"/>
  <c r="I415" i="2"/>
  <c r="H415" i="2"/>
  <c r="G415" i="2"/>
  <c r="F415" i="2"/>
  <c r="E415" i="2"/>
  <c r="D415" i="2"/>
  <c r="C415" i="2"/>
  <c r="B415" i="2"/>
  <c r="A415" i="2"/>
  <c r="AE414" i="2"/>
  <c r="AD414" i="2"/>
  <c r="AC414" i="2"/>
  <c r="AB414" i="2"/>
  <c r="AA414" i="2"/>
  <c r="Z414" i="2"/>
  <c r="Y414" i="2"/>
  <c r="X414" i="2"/>
  <c r="W414" i="2"/>
  <c r="V414" i="2"/>
  <c r="U414" i="2"/>
  <c r="T414" i="2"/>
  <c r="S414" i="2"/>
  <c r="R414" i="2"/>
  <c r="Q414" i="2"/>
  <c r="P414" i="2"/>
  <c r="O414" i="2"/>
  <c r="N414" i="2"/>
  <c r="M414" i="2"/>
  <c r="L414" i="2"/>
  <c r="K414" i="2"/>
  <c r="J414" i="2"/>
  <c r="I414" i="2"/>
  <c r="H414" i="2"/>
  <c r="G414" i="2"/>
  <c r="F414" i="2"/>
  <c r="E414" i="2"/>
  <c r="D414" i="2"/>
  <c r="C414" i="2"/>
  <c r="B414" i="2"/>
  <c r="A414" i="2"/>
  <c r="AE413" i="2"/>
  <c r="AD413" i="2"/>
  <c r="AC413" i="2"/>
  <c r="AB413" i="2"/>
  <c r="AA413" i="2"/>
  <c r="Z413" i="2"/>
  <c r="Y413" i="2"/>
  <c r="X413" i="2"/>
  <c r="W413" i="2"/>
  <c r="V413" i="2"/>
  <c r="U413" i="2"/>
  <c r="T413" i="2"/>
  <c r="S413" i="2"/>
  <c r="R413" i="2"/>
  <c r="Q413" i="2"/>
  <c r="P413" i="2"/>
  <c r="O413" i="2"/>
  <c r="N413" i="2"/>
  <c r="M413" i="2"/>
  <c r="L413" i="2"/>
  <c r="K413" i="2"/>
  <c r="J413" i="2"/>
  <c r="I413" i="2"/>
  <c r="H413" i="2"/>
  <c r="G413" i="2"/>
  <c r="F413" i="2"/>
  <c r="E413" i="2"/>
  <c r="D413" i="2"/>
  <c r="C413" i="2"/>
  <c r="B413" i="2"/>
  <c r="A413" i="2"/>
  <c r="AE412" i="2"/>
  <c r="AD412" i="2"/>
  <c r="AC412" i="2"/>
  <c r="AB412" i="2"/>
  <c r="AA412" i="2"/>
  <c r="Z412" i="2"/>
  <c r="Y412" i="2"/>
  <c r="X412" i="2"/>
  <c r="W412" i="2"/>
  <c r="V412" i="2"/>
  <c r="U412" i="2"/>
  <c r="T412" i="2"/>
  <c r="S412" i="2"/>
  <c r="R412" i="2"/>
  <c r="Q412" i="2"/>
  <c r="P412" i="2"/>
  <c r="O412" i="2"/>
  <c r="N412" i="2"/>
  <c r="M412" i="2"/>
  <c r="L412" i="2"/>
  <c r="K412" i="2"/>
  <c r="J412" i="2"/>
  <c r="I412" i="2"/>
  <c r="H412" i="2"/>
  <c r="G412" i="2"/>
  <c r="F412" i="2"/>
  <c r="E412" i="2"/>
  <c r="D412" i="2"/>
  <c r="C412" i="2"/>
  <c r="B412" i="2"/>
  <c r="A412" i="2"/>
  <c r="AE411" i="2"/>
  <c r="AD411" i="2"/>
  <c r="AC411" i="2"/>
  <c r="AB411" i="2"/>
  <c r="AA411" i="2"/>
  <c r="Z411" i="2"/>
  <c r="Y411" i="2"/>
  <c r="X411" i="2"/>
  <c r="W411" i="2"/>
  <c r="V411" i="2"/>
  <c r="U411" i="2"/>
  <c r="T411" i="2"/>
  <c r="S411" i="2"/>
  <c r="R411" i="2"/>
  <c r="Q411" i="2"/>
  <c r="P411" i="2"/>
  <c r="O411" i="2"/>
  <c r="N411" i="2"/>
  <c r="M411" i="2"/>
  <c r="L411" i="2"/>
  <c r="K411" i="2"/>
  <c r="J411" i="2"/>
  <c r="I411" i="2"/>
  <c r="H411" i="2"/>
  <c r="G411" i="2"/>
  <c r="F411" i="2"/>
  <c r="E411" i="2"/>
  <c r="D411" i="2"/>
  <c r="C411" i="2"/>
  <c r="B411" i="2"/>
  <c r="A411" i="2"/>
  <c r="AE410" i="2"/>
  <c r="AD410" i="2"/>
  <c r="AC410" i="2"/>
  <c r="AB410" i="2"/>
  <c r="AA410" i="2"/>
  <c r="Z410" i="2"/>
  <c r="Y410" i="2"/>
  <c r="X410" i="2"/>
  <c r="W410" i="2"/>
  <c r="V410" i="2"/>
  <c r="U410" i="2"/>
  <c r="T410" i="2"/>
  <c r="S410" i="2"/>
  <c r="R410" i="2"/>
  <c r="Q410" i="2"/>
  <c r="P410" i="2"/>
  <c r="O410" i="2"/>
  <c r="N410" i="2"/>
  <c r="M410" i="2"/>
  <c r="L410" i="2"/>
  <c r="K410" i="2"/>
  <c r="J410" i="2"/>
  <c r="I410" i="2"/>
  <c r="H410" i="2"/>
  <c r="G410" i="2"/>
  <c r="F410" i="2"/>
  <c r="E410" i="2"/>
  <c r="D410" i="2"/>
  <c r="C410" i="2"/>
  <c r="B410" i="2"/>
  <c r="A410" i="2"/>
  <c r="AE409" i="2"/>
  <c r="AD409" i="2"/>
  <c r="AC409" i="2"/>
  <c r="AB409" i="2"/>
  <c r="AA409" i="2"/>
  <c r="Z409" i="2"/>
  <c r="Y409" i="2"/>
  <c r="X409" i="2"/>
  <c r="W409" i="2"/>
  <c r="V409" i="2"/>
  <c r="U409" i="2"/>
  <c r="T409" i="2"/>
  <c r="S409" i="2"/>
  <c r="R409" i="2"/>
  <c r="Q409" i="2"/>
  <c r="P409" i="2"/>
  <c r="O409" i="2"/>
  <c r="N409" i="2"/>
  <c r="M409" i="2"/>
  <c r="L409" i="2"/>
  <c r="K409" i="2"/>
  <c r="J409" i="2"/>
  <c r="I409" i="2"/>
  <c r="H409" i="2"/>
  <c r="G409" i="2"/>
  <c r="F409" i="2"/>
  <c r="E409" i="2"/>
  <c r="D409" i="2"/>
  <c r="C409" i="2"/>
  <c r="B409" i="2"/>
  <c r="A409" i="2"/>
  <c r="AE408" i="2"/>
  <c r="AD408" i="2"/>
  <c r="AC408" i="2"/>
  <c r="AB408" i="2"/>
  <c r="AA408" i="2"/>
  <c r="Z408" i="2"/>
  <c r="Y408" i="2"/>
  <c r="X408" i="2"/>
  <c r="W408" i="2"/>
  <c r="V408" i="2"/>
  <c r="U408" i="2"/>
  <c r="T408" i="2"/>
  <c r="S408" i="2"/>
  <c r="R408" i="2"/>
  <c r="Q408" i="2"/>
  <c r="P408" i="2"/>
  <c r="O408" i="2"/>
  <c r="N408" i="2"/>
  <c r="M408" i="2"/>
  <c r="L408" i="2"/>
  <c r="K408" i="2"/>
  <c r="J408" i="2"/>
  <c r="I408" i="2"/>
  <c r="H408" i="2"/>
  <c r="G408" i="2"/>
  <c r="F408" i="2"/>
  <c r="E408" i="2"/>
  <c r="D408" i="2"/>
  <c r="C408" i="2"/>
  <c r="B408" i="2"/>
  <c r="A408" i="2"/>
  <c r="AE407" i="2"/>
  <c r="AD407" i="2"/>
  <c r="AC407" i="2"/>
  <c r="AB407" i="2"/>
  <c r="AA407" i="2"/>
  <c r="Z407" i="2"/>
  <c r="Y407" i="2"/>
  <c r="X407" i="2"/>
  <c r="W407" i="2"/>
  <c r="V407" i="2"/>
  <c r="U407" i="2"/>
  <c r="T407" i="2"/>
  <c r="S407" i="2"/>
  <c r="R407" i="2"/>
  <c r="Q407" i="2"/>
  <c r="P407" i="2"/>
  <c r="O407" i="2"/>
  <c r="N407" i="2"/>
  <c r="M407" i="2"/>
  <c r="L407" i="2"/>
  <c r="K407" i="2"/>
  <c r="J407" i="2"/>
  <c r="I407" i="2"/>
  <c r="H407" i="2"/>
  <c r="G407" i="2"/>
  <c r="F407" i="2"/>
  <c r="E407" i="2"/>
  <c r="D407" i="2"/>
  <c r="C407" i="2"/>
  <c r="B407" i="2"/>
  <c r="A407" i="2"/>
  <c r="AE406" i="2"/>
  <c r="AD406" i="2"/>
  <c r="AC406" i="2"/>
  <c r="AB406" i="2"/>
  <c r="AA406" i="2"/>
  <c r="Z406" i="2"/>
  <c r="Y406" i="2"/>
  <c r="X406" i="2"/>
  <c r="W406" i="2"/>
  <c r="V406" i="2"/>
  <c r="U406" i="2"/>
  <c r="T406" i="2"/>
  <c r="S406" i="2"/>
  <c r="R406" i="2"/>
  <c r="Q406" i="2"/>
  <c r="P406" i="2"/>
  <c r="O406" i="2"/>
  <c r="N406" i="2"/>
  <c r="M406" i="2"/>
  <c r="L406" i="2"/>
  <c r="K406" i="2"/>
  <c r="J406" i="2"/>
  <c r="I406" i="2"/>
  <c r="H406" i="2"/>
  <c r="G406" i="2"/>
  <c r="F406" i="2"/>
  <c r="E406" i="2"/>
  <c r="D406" i="2"/>
  <c r="C406" i="2"/>
  <c r="B406" i="2"/>
  <c r="A406" i="2"/>
  <c r="AE405" i="2"/>
  <c r="AD405" i="2"/>
  <c r="AC405" i="2"/>
  <c r="AB405" i="2"/>
  <c r="AA405" i="2"/>
  <c r="Z405" i="2"/>
  <c r="Y405" i="2"/>
  <c r="X405" i="2"/>
  <c r="W405" i="2"/>
  <c r="V405" i="2"/>
  <c r="U405" i="2"/>
  <c r="T405" i="2"/>
  <c r="S405" i="2"/>
  <c r="R405" i="2"/>
  <c r="Q405" i="2"/>
  <c r="P405" i="2"/>
  <c r="O405" i="2"/>
  <c r="N405" i="2"/>
  <c r="M405" i="2"/>
  <c r="L405" i="2"/>
  <c r="K405" i="2"/>
  <c r="J405" i="2"/>
  <c r="I405" i="2"/>
  <c r="H405" i="2"/>
  <c r="G405" i="2"/>
  <c r="F405" i="2"/>
  <c r="E405" i="2"/>
  <c r="D405" i="2"/>
  <c r="C405" i="2"/>
  <c r="B405" i="2"/>
  <c r="A405" i="2"/>
  <c r="AE404" i="2"/>
  <c r="AD404" i="2"/>
  <c r="AC404" i="2"/>
  <c r="AB404" i="2"/>
  <c r="AA404" i="2"/>
  <c r="Z404" i="2"/>
  <c r="Y404" i="2"/>
  <c r="X404" i="2"/>
  <c r="W404" i="2"/>
  <c r="V404" i="2"/>
  <c r="U404" i="2"/>
  <c r="T404" i="2"/>
  <c r="S404" i="2"/>
  <c r="R404" i="2"/>
  <c r="Q404" i="2"/>
  <c r="P404" i="2"/>
  <c r="O404" i="2"/>
  <c r="N404" i="2"/>
  <c r="M404" i="2"/>
  <c r="L404" i="2"/>
  <c r="K404" i="2"/>
  <c r="J404" i="2"/>
  <c r="I404" i="2"/>
  <c r="H404" i="2"/>
  <c r="G404" i="2"/>
  <c r="F404" i="2"/>
  <c r="E404" i="2"/>
  <c r="D404" i="2"/>
  <c r="C404" i="2"/>
  <c r="B404" i="2"/>
  <c r="A404" i="2"/>
  <c r="AE403" i="2"/>
  <c r="AD403" i="2"/>
  <c r="AC403" i="2"/>
  <c r="AB403" i="2"/>
  <c r="AA403" i="2"/>
  <c r="Z403" i="2"/>
  <c r="Y403" i="2"/>
  <c r="X403" i="2"/>
  <c r="W403" i="2"/>
  <c r="V403" i="2"/>
  <c r="U403" i="2"/>
  <c r="T403" i="2"/>
  <c r="S403" i="2"/>
  <c r="R403" i="2"/>
  <c r="Q403" i="2"/>
  <c r="P403" i="2"/>
  <c r="O403" i="2"/>
  <c r="N403" i="2"/>
  <c r="M403" i="2"/>
  <c r="L403" i="2"/>
  <c r="K403" i="2"/>
  <c r="J403" i="2"/>
  <c r="I403" i="2"/>
  <c r="H403" i="2"/>
  <c r="G403" i="2"/>
  <c r="F403" i="2"/>
  <c r="E403" i="2"/>
  <c r="D403" i="2"/>
  <c r="C403" i="2"/>
  <c r="B403" i="2"/>
  <c r="A403" i="2"/>
  <c r="AE402" i="2"/>
  <c r="AD402" i="2"/>
  <c r="AC402" i="2"/>
  <c r="AB402" i="2"/>
  <c r="AA402" i="2"/>
  <c r="Z402" i="2"/>
  <c r="Y402" i="2"/>
  <c r="X402" i="2"/>
  <c r="W402" i="2"/>
  <c r="V402" i="2"/>
  <c r="U402" i="2"/>
  <c r="T402" i="2"/>
  <c r="S402" i="2"/>
  <c r="R402" i="2"/>
  <c r="Q402" i="2"/>
  <c r="P402" i="2"/>
  <c r="O402" i="2"/>
  <c r="N402" i="2"/>
  <c r="M402" i="2"/>
  <c r="L402" i="2"/>
  <c r="K402" i="2"/>
  <c r="J402" i="2"/>
  <c r="I402" i="2"/>
  <c r="H402" i="2"/>
  <c r="G402" i="2"/>
  <c r="F402" i="2"/>
  <c r="E402" i="2"/>
  <c r="D402" i="2"/>
  <c r="C402" i="2"/>
  <c r="B402" i="2"/>
  <c r="A402" i="2"/>
  <c r="AE401" i="2"/>
  <c r="AD401" i="2"/>
  <c r="AC401" i="2"/>
  <c r="AB401" i="2"/>
  <c r="AA401" i="2"/>
  <c r="Z401" i="2"/>
  <c r="Y401" i="2"/>
  <c r="X401" i="2"/>
  <c r="W401" i="2"/>
  <c r="V401" i="2"/>
  <c r="U401" i="2"/>
  <c r="T401" i="2"/>
  <c r="S401" i="2"/>
  <c r="R401" i="2"/>
  <c r="Q401" i="2"/>
  <c r="P401" i="2"/>
  <c r="O401" i="2"/>
  <c r="N401" i="2"/>
  <c r="M401" i="2"/>
  <c r="L401" i="2"/>
  <c r="K401" i="2"/>
  <c r="J401" i="2"/>
  <c r="I401" i="2"/>
  <c r="H401" i="2"/>
  <c r="G401" i="2"/>
  <c r="F401" i="2"/>
  <c r="E401" i="2"/>
  <c r="D401" i="2"/>
  <c r="C401" i="2"/>
  <c r="B401" i="2"/>
  <c r="A401" i="2"/>
  <c r="AE400" i="2"/>
  <c r="AD400" i="2"/>
  <c r="AC400" i="2"/>
  <c r="AB400" i="2"/>
  <c r="AA400" i="2"/>
  <c r="Z400" i="2"/>
  <c r="Y400" i="2"/>
  <c r="X400" i="2"/>
  <c r="W400" i="2"/>
  <c r="V400" i="2"/>
  <c r="U400" i="2"/>
  <c r="T400" i="2"/>
  <c r="S400" i="2"/>
  <c r="R400" i="2"/>
  <c r="Q400" i="2"/>
  <c r="P400" i="2"/>
  <c r="O400" i="2"/>
  <c r="N400" i="2"/>
  <c r="M400" i="2"/>
  <c r="L400" i="2"/>
  <c r="K400" i="2"/>
  <c r="J400" i="2"/>
  <c r="I400" i="2"/>
  <c r="H400" i="2"/>
  <c r="G400" i="2"/>
  <c r="F400" i="2"/>
  <c r="E400" i="2"/>
  <c r="D400" i="2"/>
  <c r="C400" i="2"/>
  <c r="B400" i="2"/>
  <c r="A400" i="2"/>
  <c r="AE399" i="2"/>
  <c r="AD399" i="2"/>
  <c r="AC399" i="2"/>
  <c r="AB399" i="2"/>
  <c r="AA399" i="2"/>
  <c r="Z399" i="2"/>
  <c r="Y399" i="2"/>
  <c r="X399" i="2"/>
  <c r="W399" i="2"/>
  <c r="V399" i="2"/>
  <c r="U399" i="2"/>
  <c r="T399" i="2"/>
  <c r="S399" i="2"/>
  <c r="R399" i="2"/>
  <c r="Q399" i="2"/>
  <c r="P399" i="2"/>
  <c r="O399" i="2"/>
  <c r="N399" i="2"/>
  <c r="M399" i="2"/>
  <c r="L399" i="2"/>
  <c r="K399" i="2"/>
  <c r="J399" i="2"/>
  <c r="I399" i="2"/>
  <c r="H399" i="2"/>
  <c r="G399" i="2"/>
  <c r="F399" i="2"/>
  <c r="E399" i="2"/>
  <c r="D399" i="2"/>
  <c r="C399" i="2"/>
  <c r="B399" i="2"/>
  <c r="A399" i="2"/>
  <c r="AE398" i="2"/>
  <c r="AD398" i="2"/>
  <c r="AC398" i="2"/>
  <c r="AB398" i="2"/>
  <c r="AA398" i="2"/>
  <c r="Z398" i="2"/>
  <c r="Y398" i="2"/>
  <c r="X398" i="2"/>
  <c r="W398" i="2"/>
  <c r="V398" i="2"/>
  <c r="U398" i="2"/>
  <c r="T398" i="2"/>
  <c r="S398" i="2"/>
  <c r="R398" i="2"/>
  <c r="Q398" i="2"/>
  <c r="P398" i="2"/>
  <c r="O398" i="2"/>
  <c r="N398" i="2"/>
  <c r="M398" i="2"/>
  <c r="L398" i="2"/>
  <c r="K398" i="2"/>
  <c r="J398" i="2"/>
  <c r="I398" i="2"/>
  <c r="H398" i="2"/>
  <c r="G398" i="2"/>
  <c r="F398" i="2"/>
  <c r="E398" i="2"/>
  <c r="D398" i="2"/>
  <c r="C398" i="2"/>
  <c r="B398" i="2"/>
  <c r="A398" i="2"/>
  <c r="AE397" i="2"/>
  <c r="AD397" i="2"/>
  <c r="AC397" i="2"/>
  <c r="AB397" i="2"/>
  <c r="AA397" i="2"/>
  <c r="Z397" i="2"/>
  <c r="Y397" i="2"/>
  <c r="X397" i="2"/>
  <c r="W397" i="2"/>
  <c r="V397" i="2"/>
  <c r="U397" i="2"/>
  <c r="T397" i="2"/>
  <c r="S397" i="2"/>
  <c r="R397" i="2"/>
  <c r="Q397" i="2"/>
  <c r="P397" i="2"/>
  <c r="O397" i="2"/>
  <c r="N397" i="2"/>
  <c r="M397" i="2"/>
  <c r="L397" i="2"/>
  <c r="K397" i="2"/>
  <c r="J397" i="2"/>
  <c r="I397" i="2"/>
  <c r="H397" i="2"/>
  <c r="G397" i="2"/>
  <c r="F397" i="2"/>
  <c r="E397" i="2"/>
  <c r="D397" i="2"/>
  <c r="C397" i="2"/>
  <c r="B397" i="2"/>
  <c r="A397" i="2"/>
  <c r="AE396" i="2"/>
  <c r="AD396" i="2"/>
  <c r="AC396" i="2"/>
  <c r="AB396" i="2"/>
  <c r="AA396" i="2"/>
  <c r="Z396" i="2"/>
  <c r="Y396" i="2"/>
  <c r="X396" i="2"/>
  <c r="W396" i="2"/>
  <c r="V396" i="2"/>
  <c r="U396" i="2"/>
  <c r="T396" i="2"/>
  <c r="S396" i="2"/>
  <c r="R396" i="2"/>
  <c r="Q396" i="2"/>
  <c r="P396" i="2"/>
  <c r="O396" i="2"/>
  <c r="N396" i="2"/>
  <c r="M396" i="2"/>
  <c r="L396" i="2"/>
  <c r="K396" i="2"/>
  <c r="J396" i="2"/>
  <c r="I396" i="2"/>
  <c r="H396" i="2"/>
  <c r="G396" i="2"/>
  <c r="F396" i="2"/>
  <c r="E396" i="2"/>
  <c r="D396" i="2"/>
  <c r="C396" i="2"/>
  <c r="B396" i="2"/>
  <c r="A396" i="2"/>
  <c r="AE395" i="2"/>
  <c r="AD395" i="2"/>
  <c r="AC395" i="2"/>
  <c r="AB395" i="2"/>
  <c r="AA395" i="2"/>
  <c r="Z395" i="2"/>
  <c r="Y395" i="2"/>
  <c r="X395" i="2"/>
  <c r="W395" i="2"/>
  <c r="V395" i="2"/>
  <c r="U395" i="2"/>
  <c r="T395" i="2"/>
  <c r="S395" i="2"/>
  <c r="R395" i="2"/>
  <c r="Q395" i="2"/>
  <c r="P395" i="2"/>
  <c r="O395" i="2"/>
  <c r="N395" i="2"/>
  <c r="M395" i="2"/>
  <c r="L395" i="2"/>
  <c r="K395" i="2"/>
  <c r="J395" i="2"/>
  <c r="I395" i="2"/>
  <c r="H395" i="2"/>
  <c r="G395" i="2"/>
  <c r="F395" i="2"/>
  <c r="E395" i="2"/>
  <c r="D395" i="2"/>
  <c r="C395" i="2"/>
  <c r="B395" i="2"/>
  <c r="A395" i="2"/>
  <c r="AE394" i="2"/>
  <c r="AD394" i="2"/>
  <c r="AC394" i="2"/>
  <c r="AB394" i="2"/>
  <c r="AA394" i="2"/>
  <c r="Z394" i="2"/>
  <c r="Y394" i="2"/>
  <c r="X394" i="2"/>
  <c r="W394" i="2"/>
  <c r="V394" i="2"/>
  <c r="U394" i="2"/>
  <c r="T394" i="2"/>
  <c r="S394" i="2"/>
  <c r="R394" i="2"/>
  <c r="Q394" i="2"/>
  <c r="P394" i="2"/>
  <c r="O394" i="2"/>
  <c r="N394" i="2"/>
  <c r="M394" i="2"/>
  <c r="L394" i="2"/>
  <c r="K394" i="2"/>
  <c r="J394" i="2"/>
  <c r="I394" i="2"/>
  <c r="H394" i="2"/>
  <c r="G394" i="2"/>
  <c r="F394" i="2"/>
  <c r="E394" i="2"/>
  <c r="D394" i="2"/>
  <c r="C394" i="2"/>
  <c r="B394" i="2"/>
  <c r="A394" i="2"/>
  <c r="AE393" i="2"/>
  <c r="AD393" i="2"/>
  <c r="AC393" i="2"/>
  <c r="AB393" i="2"/>
  <c r="AA393" i="2"/>
  <c r="Z393" i="2"/>
  <c r="Y393" i="2"/>
  <c r="X393" i="2"/>
  <c r="W393" i="2"/>
  <c r="V393" i="2"/>
  <c r="U393" i="2"/>
  <c r="T393" i="2"/>
  <c r="S393" i="2"/>
  <c r="R393" i="2"/>
  <c r="Q393" i="2"/>
  <c r="P393" i="2"/>
  <c r="O393" i="2"/>
  <c r="N393" i="2"/>
  <c r="M393" i="2"/>
  <c r="L393" i="2"/>
  <c r="K393" i="2"/>
  <c r="J393" i="2"/>
  <c r="I393" i="2"/>
  <c r="H393" i="2"/>
  <c r="G393" i="2"/>
  <c r="F393" i="2"/>
  <c r="E393" i="2"/>
  <c r="D393" i="2"/>
  <c r="C393" i="2"/>
  <c r="B393" i="2"/>
  <c r="A393" i="2"/>
  <c r="AE392" i="2"/>
  <c r="AD392" i="2"/>
  <c r="AC392" i="2"/>
  <c r="AB392" i="2"/>
  <c r="AA392" i="2"/>
  <c r="Z392" i="2"/>
  <c r="Y392" i="2"/>
  <c r="X392" i="2"/>
  <c r="W392" i="2"/>
  <c r="V392" i="2"/>
  <c r="U392" i="2"/>
  <c r="T392" i="2"/>
  <c r="S392" i="2"/>
  <c r="R392" i="2"/>
  <c r="Q392" i="2"/>
  <c r="P392" i="2"/>
  <c r="O392" i="2"/>
  <c r="N392" i="2"/>
  <c r="M392" i="2"/>
  <c r="L392" i="2"/>
  <c r="K392" i="2"/>
  <c r="J392" i="2"/>
  <c r="I392" i="2"/>
  <c r="H392" i="2"/>
  <c r="G392" i="2"/>
  <c r="F392" i="2"/>
  <c r="E392" i="2"/>
  <c r="D392" i="2"/>
  <c r="C392" i="2"/>
  <c r="B392" i="2"/>
  <c r="A392" i="2"/>
  <c r="AE391" i="2"/>
  <c r="AD391" i="2"/>
  <c r="AC391" i="2"/>
  <c r="AB391" i="2"/>
  <c r="AA391" i="2"/>
  <c r="Z391" i="2"/>
  <c r="Y391" i="2"/>
  <c r="X391" i="2"/>
  <c r="W391" i="2"/>
  <c r="V391" i="2"/>
  <c r="U391" i="2"/>
  <c r="T391" i="2"/>
  <c r="S391" i="2"/>
  <c r="R391" i="2"/>
  <c r="Q391" i="2"/>
  <c r="P391" i="2"/>
  <c r="O391" i="2"/>
  <c r="N391" i="2"/>
  <c r="M391" i="2"/>
  <c r="L391" i="2"/>
  <c r="K391" i="2"/>
  <c r="J391" i="2"/>
  <c r="I391" i="2"/>
  <c r="H391" i="2"/>
  <c r="G391" i="2"/>
  <c r="F391" i="2"/>
  <c r="E391" i="2"/>
  <c r="D391" i="2"/>
  <c r="C391" i="2"/>
  <c r="B391" i="2"/>
  <c r="A391" i="2"/>
  <c r="AE390" i="2"/>
  <c r="AD390" i="2"/>
  <c r="AC390" i="2"/>
  <c r="AB390" i="2"/>
  <c r="AA390" i="2"/>
  <c r="Z390" i="2"/>
  <c r="Y390" i="2"/>
  <c r="X390" i="2"/>
  <c r="W390" i="2"/>
  <c r="V390" i="2"/>
  <c r="U390" i="2"/>
  <c r="T390" i="2"/>
  <c r="S390" i="2"/>
  <c r="R390" i="2"/>
  <c r="Q390" i="2"/>
  <c r="P390" i="2"/>
  <c r="O390" i="2"/>
  <c r="N390" i="2"/>
  <c r="M390" i="2"/>
  <c r="L390" i="2"/>
  <c r="K390" i="2"/>
  <c r="J390" i="2"/>
  <c r="I390" i="2"/>
  <c r="H390" i="2"/>
  <c r="G390" i="2"/>
  <c r="F390" i="2"/>
  <c r="E390" i="2"/>
  <c r="D390" i="2"/>
  <c r="C390" i="2"/>
  <c r="B390" i="2"/>
  <c r="A390" i="2"/>
  <c r="AE389" i="2"/>
  <c r="AD389" i="2"/>
  <c r="AC389" i="2"/>
  <c r="AB389" i="2"/>
  <c r="AA389" i="2"/>
  <c r="Z389" i="2"/>
  <c r="Y389" i="2"/>
  <c r="X389" i="2"/>
  <c r="W389" i="2"/>
  <c r="V389" i="2"/>
  <c r="U389" i="2"/>
  <c r="T389" i="2"/>
  <c r="S389" i="2"/>
  <c r="R389" i="2"/>
  <c r="Q389" i="2"/>
  <c r="P389" i="2"/>
  <c r="O389" i="2"/>
  <c r="N389" i="2"/>
  <c r="M389" i="2"/>
  <c r="L389" i="2"/>
  <c r="K389" i="2"/>
  <c r="J389" i="2"/>
  <c r="I389" i="2"/>
  <c r="H389" i="2"/>
  <c r="G389" i="2"/>
  <c r="F389" i="2"/>
  <c r="E389" i="2"/>
  <c r="D389" i="2"/>
  <c r="C389" i="2"/>
  <c r="B389" i="2"/>
  <c r="A389" i="2"/>
  <c r="AE388" i="2"/>
  <c r="AD388" i="2"/>
  <c r="AC388" i="2"/>
  <c r="AB388" i="2"/>
  <c r="AA388" i="2"/>
  <c r="Z388" i="2"/>
  <c r="Y388" i="2"/>
  <c r="X388" i="2"/>
  <c r="W388" i="2"/>
  <c r="V388" i="2"/>
  <c r="U388" i="2"/>
  <c r="T388" i="2"/>
  <c r="S388" i="2"/>
  <c r="R388" i="2"/>
  <c r="Q388" i="2"/>
  <c r="P388" i="2"/>
  <c r="O388" i="2"/>
  <c r="N388" i="2"/>
  <c r="M388" i="2"/>
  <c r="L388" i="2"/>
  <c r="K388" i="2"/>
  <c r="J388" i="2"/>
  <c r="I388" i="2"/>
  <c r="H388" i="2"/>
  <c r="G388" i="2"/>
  <c r="F388" i="2"/>
  <c r="E388" i="2"/>
  <c r="D388" i="2"/>
  <c r="C388" i="2"/>
  <c r="B388" i="2"/>
  <c r="A388" i="2"/>
  <c r="AE387" i="2"/>
  <c r="AD387" i="2"/>
  <c r="AC387" i="2"/>
  <c r="AB387" i="2"/>
  <c r="AA387" i="2"/>
  <c r="Z387" i="2"/>
  <c r="Y387" i="2"/>
  <c r="X387" i="2"/>
  <c r="W387" i="2"/>
  <c r="V387" i="2"/>
  <c r="U387" i="2"/>
  <c r="T387" i="2"/>
  <c r="S387" i="2"/>
  <c r="R387" i="2"/>
  <c r="Q387" i="2"/>
  <c r="P387" i="2"/>
  <c r="O387" i="2"/>
  <c r="N387" i="2"/>
  <c r="M387" i="2"/>
  <c r="L387" i="2"/>
  <c r="K387" i="2"/>
  <c r="J387" i="2"/>
  <c r="I387" i="2"/>
  <c r="H387" i="2"/>
  <c r="G387" i="2"/>
  <c r="F387" i="2"/>
  <c r="E387" i="2"/>
  <c r="D387" i="2"/>
  <c r="C387" i="2"/>
  <c r="B387" i="2"/>
  <c r="A387" i="2"/>
  <c r="AE386" i="2"/>
  <c r="AD386" i="2"/>
  <c r="AC386" i="2"/>
  <c r="AB386" i="2"/>
  <c r="AA386" i="2"/>
  <c r="Z386" i="2"/>
  <c r="Y386" i="2"/>
  <c r="X386" i="2"/>
  <c r="W386" i="2"/>
  <c r="V386" i="2"/>
  <c r="U386" i="2"/>
  <c r="T386" i="2"/>
  <c r="S386" i="2"/>
  <c r="R386" i="2"/>
  <c r="Q386" i="2"/>
  <c r="P386" i="2"/>
  <c r="O386" i="2"/>
  <c r="N386" i="2"/>
  <c r="M386" i="2"/>
  <c r="L386" i="2"/>
  <c r="K386" i="2"/>
  <c r="J386" i="2"/>
  <c r="I386" i="2"/>
  <c r="H386" i="2"/>
  <c r="G386" i="2"/>
  <c r="F386" i="2"/>
  <c r="E386" i="2"/>
  <c r="D386" i="2"/>
  <c r="C386" i="2"/>
  <c r="B386" i="2"/>
  <c r="A386" i="2"/>
  <c r="AE385" i="2"/>
  <c r="AD385" i="2"/>
  <c r="AC385" i="2"/>
  <c r="AB385" i="2"/>
  <c r="AA385" i="2"/>
  <c r="Z385" i="2"/>
  <c r="Y385" i="2"/>
  <c r="X385" i="2"/>
  <c r="W385" i="2"/>
  <c r="V385" i="2"/>
  <c r="U385" i="2"/>
  <c r="T385" i="2"/>
  <c r="S385" i="2"/>
  <c r="R385" i="2"/>
  <c r="Q385" i="2"/>
  <c r="P385" i="2"/>
  <c r="O385" i="2"/>
  <c r="N385" i="2"/>
  <c r="M385" i="2"/>
  <c r="L385" i="2"/>
  <c r="K385" i="2"/>
  <c r="J385" i="2"/>
  <c r="I385" i="2"/>
  <c r="H385" i="2"/>
  <c r="G385" i="2"/>
  <c r="F385" i="2"/>
  <c r="E385" i="2"/>
  <c r="D385" i="2"/>
  <c r="C385" i="2"/>
  <c r="B385" i="2"/>
  <c r="A385" i="2"/>
  <c r="AE384" i="2"/>
  <c r="AD384" i="2"/>
  <c r="AC384" i="2"/>
  <c r="AB384" i="2"/>
  <c r="AA384" i="2"/>
  <c r="Z384" i="2"/>
  <c r="Y384" i="2"/>
  <c r="X384" i="2"/>
  <c r="W384" i="2"/>
  <c r="V384" i="2"/>
  <c r="U384" i="2"/>
  <c r="T384" i="2"/>
  <c r="S384" i="2"/>
  <c r="R384" i="2"/>
  <c r="Q384" i="2"/>
  <c r="P384" i="2"/>
  <c r="O384" i="2"/>
  <c r="N384" i="2"/>
  <c r="M384" i="2"/>
  <c r="L384" i="2"/>
  <c r="K384" i="2"/>
  <c r="J384" i="2"/>
  <c r="I384" i="2"/>
  <c r="H384" i="2"/>
  <c r="G384" i="2"/>
  <c r="F384" i="2"/>
  <c r="E384" i="2"/>
  <c r="D384" i="2"/>
  <c r="C384" i="2"/>
  <c r="B384" i="2"/>
  <c r="A384" i="2"/>
  <c r="AE383" i="2"/>
  <c r="AD383" i="2"/>
  <c r="AC383" i="2"/>
  <c r="AB383" i="2"/>
  <c r="AA383" i="2"/>
  <c r="Z383" i="2"/>
  <c r="Y383" i="2"/>
  <c r="X383" i="2"/>
  <c r="W383" i="2"/>
  <c r="V383" i="2"/>
  <c r="U383" i="2"/>
  <c r="T383" i="2"/>
  <c r="S383" i="2"/>
  <c r="R383" i="2"/>
  <c r="Q383" i="2"/>
  <c r="P383" i="2"/>
  <c r="O383" i="2"/>
  <c r="N383" i="2"/>
  <c r="M383" i="2"/>
  <c r="L383" i="2"/>
  <c r="K383" i="2"/>
  <c r="J383" i="2"/>
  <c r="I383" i="2"/>
  <c r="H383" i="2"/>
  <c r="G383" i="2"/>
  <c r="F383" i="2"/>
  <c r="E383" i="2"/>
  <c r="D383" i="2"/>
  <c r="C383" i="2"/>
  <c r="B383" i="2"/>
  <c r="A383" i="2"/>
  <c r="AE382" i="2"/>
  <c r="AD382" i="2"/>
  <c r="AC382" i="2"/>
  <c r="AB382" i="2"/>
  <c r="AA382" i="2"/>
  <c r="Z382" i="2"/>
  <c r="Y382" i="2"/>
  <c r="X382" i="2"/>
  <c r="W382" i="2"/>
  <c r="V382" i="2"/>
  <c r="U382" i="2"/>
  <c r="T382" i="2"/>
  <c r="S382" i="2"/>
  <c r="R382" i="2"/>
  <c r="Q382" i="2"/>
  <c r="P382" i="2"/>
  <c r="O382" i="2"/>
  <c r="N382" i="2"/>
  <c r="M382" i="2"/>
  <c r="L382" i="2"/>
  <c r="K382" i="2"/>
  <c r="J382" i="2"/>
  <c r="I382" i="2"/>
  <c r="H382" i="2"/>
  <c r="G382" i="2"/>
  <c r="F382" i="2"/>
  <c r="E382" i="2"/>
  <c r="D382" i="2"/>
  <c r="C382" i="2"/>
  <c r="B382" i="2"/>
  <c r="A382" i="2"/>
  <c r="AE381" i="2"/>
  <c r="AD381" i="2"/>
  <c r="AC381" i="2"/>
  <c r="AB381" i="2"/>
  <c r="AA381" i="2"/>
  <c r="Z381" i="2"/>
  <c r="Y381" i="2"/>
  <c r="X381" i="2"/>
  <c r="W381" i="2"/>
  <c r="V381" i="2"/>
  <c r="U381" i="2"/>
  <c r="T381" i="2"/>
  <c r="S381" i="2"/>
  <c r="R381" i="2"/>
  <c r="Q381" i="2"/>
  <c r="P381" i="2"/>
  <c r="O381" i="2"/>
  <c r="N381" i="2"/>
  <c r="M381" i="2"/>
  <c r="L381" i="2"/>
  <c r="K381" i="2"/>
  <c r="J381" i="2"/>
  <c r="I381" i="2"/>
  <c r="H381" i="2"/>
  <c r="G381" i="2"/>
  <c r="F381" i="2"/>
  <c r="E381" i="2"/>
  <c r="D381" i="2"/>
  <c r="C381" i="2"/>
  <c r="B381" i="2"/>
  <c r="A381" i="2"/>
  <c r="AE380" i="2"/>
  <c r="AD380" i="2"/>
  <c r="AC380" i="2"/>
  <c r="AB380" i="2"/>
  <c r="AA380" i="2"/>
  <c r="Z380" i="2"/>
  <c r="Y380" i="2"/>
  <c r="X380" i="2"/>
  <c r="W380" i="2"/>
  <c r="V380" i="2"/>
  <c r="U380" i="2"/>
  <c r="T380" i="2"/>
  <c r="S380" i="2"/>
  <c r="R380" i="2"/>
  <c r="Q380" i="2"/>
  <c r="P380" i="2"/>
  <c r="O380" i="2"/>
  <c r="N380" i="2"/>
  <c r="M380" i="2"/>
  <c r="L380" i="2"/>
  <c r="K380" i="2"/>
  <c r="J380" i="2"/>
  <c r="I380" i="2"/>
  <c r="H380" i="2"/>
  <c r="G380" i="2"/>
  <c r="F380" i="2"/>
  <c r="E380" i="2"/>
  <c r="D380" i="2"/>
  <c r="C380" i="2"/>
  <c r="B380" i="2"/>
  <c r="A380" i="2"/>
  <c r="AE379" i="2"/>
  <c r="AD379" i="2"/>
  <c r="AC379" i="2"/>
  <c r="AB379" i="2"/>
  <c r="AA379" i="2"/>
  <c r="Z379" i="2"/>
  <c r="Y379" i="2"/>
  <c r="X379" i="2"/>
  <c r="W379" i="2"/>
  <c r="V379" i="2"/>
  <c r="U379" i="2"/>
  <c r="T379" i="2"/>
  <c r="S379" i="2"/>
  <c r="R379" i="2"/>
  <c r="Q379" i="2"/>
  <c r="P379" i="2"/>
  <c r="O379" i="2"/>
  <c r="N379" i="2"/>
  <c r="M379" i="2"/>
  <c r="L379" i="2"/>
  <c r="K379" i="2"/>
  <c r="J379" i="2"/>
  <c r="I379" i="2"/>
  <c r="H379" i="2"/>
  <c r="G379" i="2"/>
  <c r="F379" i="2"/>
  <c r="E379" i="2"/>
  <c r="D379" i="2"/>
  <c r="C379" i="2"/>
  <c r="B379" i="2"/>
  <c r="A379" i="2"/>
  <c r="AE378" i="2"/>
  <c r="AD378" i="2"/>
  <c r="AC378" i="2"/>
  <c r="AB378" i="2"/>
  <c r="AA378" i="2"/>
  <c r="Z378" i="2"/>
  <c r="Y378" i="2"/>
  <c r="X378" i="2"/>
  <c r="W378" i="2"/>
  <c r="V378" i="2"/>
  <c r="U378" i="2"/>
  <c r="T378" i="2"/>
  <c r="S378" i="2"/>
  <c r="R378" i="2"/>
  <c r="Q378" i="2"/>
  <c r="P378" i="2"/>
  <c r="O378" i="2"/>
  <c r="N378" i="2"/>
  <c r="M378" i="2"/>
  <c r="L378" i="2"/>
  <c r="K378" i="2"/>
  <c r="J378" i="2"/>
  <c r="I378" i="2"/>
  <c r="H378" i="2"/>
  <c r="G378" i="2"/>
  <c r="F378" i="2"/>
  <c r="E378" i="2"/>
  <c r="D378" i="2"/>
  <c r="C378" i="2"/>
  <c r="B378" i="2"/>
  <c r="A378" i="2"/>
  <c r="AE377" i="2"/>
  <c r="AD377" i="2"/>
  <c r="AC377" i="2"/>
  <c r="AB377" i="2"/>
  <c r="AA377" i="2"/>
  <c r="Z377" i="2"/>
  <c r="Y377" i="2"/>
  <c r="X377" i="2"/>
  <c r="W377" i="2"/>
  <c r="V377" i="2"/>
  <c r="U377" i="2"/>
  <c r="T377" i="2"/>
  <c r="S377" i="2"/>
  <c r="R377" i="2"/>
  <c r="Q377" i="2"/>
  <c r="P377" i="2"/>
  <c r="O377" i="2"/>
  <c r="N377" i="2"/>
  <c r="M377" i="2"/>
  <c r="L377" i="2"/>
  <c r="K377" i="2"/>
  <c r="J377" i="2"/>
  <c r="I377" i="2"/>
  <c r="H377" i="2"/>
  <c r="G377" i="2"/>
  <c r="F377" i="2"/>
  <c r="E377" i="2"/>
  <c r="D377" i="2"/>
  <c r="C377" i="2"/>
  <c r="B377" i="2"/>
  <c r="A377" i="2"/>
  <c r="AE376" i="2"/>
  <c r="AD376" i="2"/>
  <c r="AC376" i="2"/>
  <c r="AB376" i="2"/>
  <c r="AA376" i="2"/>
  <c r="Z376" i="2"/>
  <c r="Y376" i="2"/>
  <c r="X376" i="2"/>
  <c r="W376" i="2"/>
  <c r="V376" i="2"/>
  <c r="U376" i="2"/>
  <c r="T376" i="2"/>
  <c r="S376" i="2"/>
  <c r="R376" i="2"/>
  <c r="Q376" i="2"/>
  <c r="P376" i="2"/>
  <c r="O376" i="2"/>
  <c r="N376" i="2"/>
  <c r="M376" i="2"/>
  <c r="L376" i="2"/>
  <c r="K376" i="2"/>
  <c r="J376" i="2"/>
  <c r="I376" i="2"/>
  <c r="H376" i="2"/>
  <c r="G376" i="2"/>
  <c r="F376" i="2"/>
  <c r="E376" i="2"/>
  <c r="D376" i="2"/>
  <c r="C376" i="2"/>
  <c r="B376" i="2"/>
  <c r="A376" i="2"/>
  <c r="AE375" i="2"/>
  <c r="AD375" i="2"/>
  <c r="AC375" i="2"/>
  <c r="AB375" i="2"/>
  <c r="AA375" i="2"/>
  <c r="Z375" i="2"/>
  <c r="Y375" i="2"/>
  <c r="X375" i="2"/>
  <c r="W375" i="2"/>
  <c r="V375" i="2"/>
  <c r="U375" i="2"/>
  <c r="T375" i="2"/>
  <c r="S375" i="2"/>
  <c r="R375" i="2"/>
  <c r="Q375" i="2"/>
  <c r="P375" i="2"/>
  <c r="O375" i="2"/>
  <c r="N375" i="2"/>
  <c r="M375" i="2"/>
  <c r="L375" i="2"/>
  <c r="K375" i="2"/>
  <c r="J375" i="2"/>
  <c r="I375" i="2"/>
  <c r="H375" i="2"/>
  <c r="G375" i="2"/>
  <c r="F375" i="2"/>
  <c r="E375" i="2"/>
  <c r="D375" i="2"/>
  <c r="C375" i="2"/>
  <c r="B375" i="2"/>
  <c r="A375" i="2"/>
  <c r="AE374" i="2"/>
  <c r="AD374" i="2"/>
  <c r="AC374" i="2"/>
  <c r="AB374" i="2"/>
  <c r="AA374" i="2"/>
  <c r="Z374" i="2"/>
  <c r="Y374" i="2"/>
  <c r="X374" i="2"/>
  <c r="W374" i="2"/>
  <c r="V374" i="2"/>
  <c r="U374" i="2"/>
  <c r="T374" i="2"/>
  <c r="S374" i="2"/>
  <c r="R374" i="2"/>
  <c r="Q374" i="2"/>
  <c r="P374" i="2"/>
  <c r="O374" i="2"/>
  <c r="N374" i="2"/>
  <c r="M374" i="2"/>
  <c r="L374" i="2"/>
  <c r="K374" i="2"/>
  <c r="J374" i="2"/>
  <c r="I374" i="2"/>
  <c r="H374" i="2"/>
  <c r="G374" i="2"/>
  <c r="F374" i="2"/>
  <c r="E374" i="2"/>
  <c r="D374" i="2"/>
  <c r="C374" i="2"/>
  <c r="B374" i="2"/>
  <c r="A374" i="2"/>
  <c r="AE373" i="2"/>
  <c r="AD373" i="2"/>
  <c r="AC373" i="2"/>
  <c r="AB373" i="2"/>
  <c r="AA373" i="2"/>
  <c r="Z373" i="2"/>
  <c r="Y373" i="2"/>
  <c r="X373" i="2"/>
  <c r="W373" i="2"/>
  <c r="V373" i="2"/>
  <c r="U373" i="2"/>
  <c r="T373" i="2"/>
  <c r="S373" i="2"/>
  <c r="R373" i="2"/>
  <c r="Q373" i="2"/>
  <c r="P373" i="2"/>
  <c r="O373" i="2"/>
  <c r="N373" i="2"/>
  <c r="M373" i="2"/>
  <c r="L373" i="2"/>
  <c r="K373" i="2"/>
  <c r="J373" i="2"/>
  <c r="I373" i="2"/>
  <c r="H373" i="2"/>
  <c r="G373" i="2"/>
  <c r="F373" i="2"/>
  <c r="E373" i="2"/>
  <c r="D373" i="2"/>
  <c r="C373" i="2"/>
  <c r="B373" i="2"/>
  <c r="A373" i="2"/>
  <c r="AE372" i="2"/>
  <c r="AD372" i="2"/>
  <c r="AC372" i="2"/>
  <c r="AB372" i="2"/>
  <c r="AA372" i="2"/>
  <c r="Z372" i="2"/>
  <c r="Y372" i="2"/>
  <c r="X372" i="2"/>
  <c r="W372" i="2"/>
  <c r="V372" i="2"/>
  <c r="U372" i="2"/>
  <c r="T372" i="2"/>
  <c r="S372" i="2"/>
  <c r="R372" i="2"/>
  <c r="Q372" i="2"/>
  <c r="P372" i="2"/>
  <c r="O372" i="2"/>
  <c r="N372" i="2"/>
  <c r="M372" i="2"/>
  <c r="L372" i="2"/>
  <c r="K372" i="2"/>
  <c r="J372" i="2"/>
  <c r="I372" i="2"/>
  <c r="H372" i="2"/>
  <c r="G372" i="2"/>
  <c r="F372" i="2"/>
  <c r="E372" i="2"/>
  <c r="D372" i="2"/>
  <c r="C372" i="2"/>
  <c r="B372" i="2"/>
  <c r="A372" i="2"/>
  <c r="AE371" i="2"/>
  <c r="AD371" i="2"/>
  <c r="AC371" i="2"/>
  <c r="AB371" i="2"/>
  <c r="AA371" i="2"/>
  <c r="Z371" i="2"/>
  <c r="Y371" i="2"/>
  <c r="X371" i="2"/>
  <c r="W371" i="2"/>
  <c r="V371" i="2"/>
  <c r="U371" i="2"/>
  <c r="T371" i="2"/>
  <c r="S371" i="2"/>
  <c r="R371" i="2"/>
  <c r="Q371" i="2"/>
  <c r="P371" i="2"/>
  <c r="O371" i="2"/>
  <c r="N371" i="2"/>
  <c r="M371" i="2"/>
  <c r="L371" i="2"/>
  <c r="K371" i="2"/>
  <c r="J371" i="2"/>
  <c r="I371" i="2"/>
  <c r="H371" i="2"/>
  <c r="G371" i="2"/>
  <c r="F371" i="2"/>
  <c r="E371" i="2"/>
  <c r="D371" i="2"/>
  <c r="C371" i="2"/>
  <c r="B371" i="2"/>
  <c r="A371" i="2"/>
  <c r="AE370" i="2"/>
  <c r="AD370" i="2"/>
  <c r="AC370" i="2"/>
  <c r="AB370" i="2"/>
  <c r="AA370" i="2"/>
  <c r="Z370" i="2"/>
  <c r="Y370" i="2"/>
  <c r="X370" i="2"/>
  <c r="W370" i="2"/>
  <c r="V370" i="2"/>
  <c r="U370" i="2"/>
  <c r="T370" i="2"/>
  <c r="S370" i="2"/>
  <c r="R370" i="2"/>
  <c r="Q370" i="2"/>
  <c r="P370" i="2"/>
  <c r="O370" i="2"/>
  <c r="N370" i="2"/>
  <c r="M370" i="2"/>
  <c r="L370" i="2"/>
  <c r="K370" i="2"/>
  <c r="J370" i="2"/>
  <c r="I370" i="2"/>
  <c r="H370" i="2"/>
  <c r="G370" i="2"/>
  <c r="F370" i="2"/>
  <c r="E370" i="2"/>
  <c r="D370" i="2"/>
  <c r="C370" i="2"/>
  <c r="B370" i="2"/>
  <c r="A370" i="2"/>
  <c r="AE369" i="2"/>
  <c r="AD369" i="2"/>
  <c r="AC369" i="2"/>
  <c r="AB369" i="2"/>
  <c r="AA369" i="2"/>
  <c r="Z369" i="2"/>
  <c r="Y369" i="2"/>
  <c r="X369" i="2"/>
  <c r="W369" i="2"/>
  <c r="V369" i="2"/>
  <c r="U369" i="2"/>
  <c r="T369" i="2"/>
  <c r="S369" i="2"/>
  <c r="R369" i="2"/>
  <c r="Q369" i="2"/>
  <c r="P369" i="2"/>
  <c r="O369" i="2"/>
  <c r="N369" i="2"/>
  <c r="M369" i="2"/>
  <c r="L369" i="2"/>
  <c r="K369" i="2"/>
  <c r="J369" i="2"/>
  <c r="I369" i="2"/>
  <c r="H369" i="2"/>
  <c r="G369" i="2"/>
  <c r="F369" i="2"/>
  <c r="E369" i="2"/>
  <c r="D369" i="2"/>
  <c r="C369" i="2"/>
  <c r="B369" i="2"/>
  <c r="A369" i="2"/>
  <c r="AE368" i="2"/>
  <c r="AD368" i="2"/>
  <c r="AC368" i="2"/>
  <c r="AB368" i="2"/>
  <c r="AA368" i="2"/>
  <c r="Z368" i="2"/>
  <c r="Y368" i="2"/>
  <c r="X368" i="2"/>
  <c r="W368" i="2"/>
  <c r="V368" i="2"/>
  <c r="U368" i="2"/>
  <c r="T368" i="2"/>
  <c r="S368" i="2"/>
  <c r="R368" i="2"/>
  <c r="Q368" i="2"/>
  <c r="P368" i="2"/>
  <c r="O368" i="2"/>
  <c r="N368" i="2"/>
  <c r="M368" i="2"/>
  <c r="L368" i="2"/>
  <c r="K368" i="2"/>
  <c r="J368" i="2"/>
  <c r="I368" i="2"/>
  <c r="H368" i="2"/>
  <c r="G368" i="2"/>
  <c r="F368" i="2"/>
  <c r="E368" i="2"/>
  <c r="D368" i="2"/>
  <c r="C368" i="2"/>
  <c r="B368" i="2"/>
  <c r="A368" i="2"/>
  <c r="AE367" i="2"/>
  <c r="AD367" i="2"/>
  <c r="AC367" i="2"/>
  <c r="AB367" i="2"/>
  <c r="AA367" i="2"/>
  <c r="Z367" i="2"/>
  <c r="Y367" i="2"/>
  <c r="X367" i="2"/>
  <c r="W367" i="2"/>
  <c r="V367" i="2"/>
  <c r="U367" i="2"/>
  <c r="T367" i="2"/>
  <c r="S367" i="2"/>
  <c r="R367" i="2"/>
  <c r="Q367" i="2"/>
  <c r="P367" i="2"/>
  <c r="O367" i="2"/>
  <c r="N367" i="2"/>
  <c r="M367" i="2"/>
  <c r="L367" i="2"/>
  <c r="K367" i="2"/>
  <c r="J367" i="2"/>
  <c r="I367" i="2"/>
  <c r="H367" i="2"/>
  <c r="G367" i="2"/>
  <c r="F367" i="2"/>
  <c r="E367" i="2"/>
  <c r="D367" i="2"/>
  <c r="C367" i="2"/>
  <c r="B367" i="2"/>
  <c r="A367" i="2"/>
  <c r="AE366" i="2"/>
  <c r="AD366" i="2"/>
  <c r="AC366" i="2"/>
  <c r="AB366" i="2"/>
  <c r="AA366" i="2"/>
  <c r="Z366" i="2"/>
  <c r="Y366" i="2"/>
  <c r="X366" i="2"/>
  <c r="W366" i="2"/>
  <c r="V366" i="2"/>
  <c r="U366" i="2"/>
  <c r="T366" i="2"/>
  <c r="S366" i="2"/>
  <c r="R366" i="2"/>
  <c r="Q366" i="2"/>
  <c r="P366" i="2"/>
  <c r="O366" i="2"/>
  <c r="N366" i="2"/>
  <c r="M366" i="2"/>
  <c r="L366" i="2"/>
  <c r="K366" i="2"/>
  <c r="J366" i="2"/>
  <c r="I366" i="2"/>
  <c r="H366" i="2"/>
  <c r="G366" i="2"/>
  <c r="F366" i="2"/>
  <c r="E366" i="2"/>
  <c r="D366" i="2"/>
  <c r="C366" i="2"/>
  <c r="B366" i="2"/>
  <c r="A366" i="2"/>
  <c r="AE365" i="2"/>
  <c r="AD365" i="2"/>
  <c r="AC365" i="2"/>
  <c r="AB365" i="2"/>
  <c r="AA365" i="2"/>
  <c r="Z365" i="2"/>
  <c r="Y365" i="2"/>
  <c r="X365" i="2"/>
  <c r="W365" i="2"/>
  <c r="V365" i="2"/>
  <c r="U365" i="2"/>
  <c r="T365" i="2"/>
  <c r="S365" i="2"/>
  <c r="R365" i="2"/>
  <c r="Q365" i="2"/>
  <c r="P365" i="2"/>
  <c r="O365" i="2"/>
  <c r="N365" i="2"/>
  <c r="M365" i="2"/>
  <c r="L365" i="2"/>
  <c r="K365" i="2"/>
  <c r="J365" i="2"/>
  <c r="I365" i="2"/>
  <c r="H365" i="2"/>
  <c r="G365" i="2"/>
  <c r="F365" i="2"/>
  <c r="E365" i="2"/>
  <c r="D365" i="2"/>
  <c r="C365" i="2"/>
  <c r="B365" i="2"/>
  <c r="A365" i="2"/>
  <c r="AE364" i="2"/>
  <c r="AD364" i="2"/>
  <c r="AC364" i="2"/>
  <c r="AB364" i="2"/>
  <c r="AA364" i="2"/>
  <c r="Z364" i="2"/>
  <c r="Y364" i="2"/>
  <c r="X364" i="2"/>
  <c r="W364" i="2"/>
  <c r="V364" i="2"/>
  <c r="U364" i="2"/>
  <c r="T364" i="2"/>
  <c r="S364" i="2"/>
  <c r="R364" i="2"/>
  <c r="Q364" i="2"/>
  <c r="P364" i="2"/>
  <c r="O364" i="2"/>
  <c r="N364" i="2"/>
  <c r="M364" i="2"/>
  <c r="L364" i="2"/>
  <c r="K364" i="2"/>
  <c r="J364" i="2"/>
  <c r="I364" i="2"/>
  <c r="H364" i="2"/>
  <c r="G364" i="2"/>
  <c r="F364" i="2"/>
  <c r="E364" i="2"/>
  <c r="D364" i="2"/>
  <c r="C364" i="2"/>
  <c r="B364" i="2"/>
  <c r="A364" i="2"/>
  <c r="AE363" i="2"/>
  <c r="AD363" i="2"/>
  <c r="AC363" i="2"/>
  <c r="AB363" i="2"/>
  <c r="AA363" i="2"/>
  <c r="Z363" i="2"/>
  <c r="Y363" i="2"/>
  <c r="X363" i="2"/>
  <c r="W363" i="2"/>
  <c r="V363" i="2"/>
  <c r="U363" i="2"/>
  <c r="T363" i="2"/>
  <c r="S363" i="2"/>
  <c r="R363" i="2"/>
  <c r="Q363" i="2"/>
  <c r="P363" i="2"/>
  <c r="O363" i="2"/>
  <c r="N363" i="2"/>
  <c r="M363" i="2"/>
  <c r="L363" i="2"/>
  <c r="K363" i="2"/>
  <c r="J363" i="2"/>
  <c r="I363" i="2"/>
  <c r="H363" i="2"/>
  <c r="G363" i="2"/>
  <c r="F363" i="2"/>
  <c r="E363" i="2"/>
  <c r="D363" i="2"/>
  <c r="C363" i="2"/>
  <c r="B363" i="2"/>
  <c r="A363" i="2"/>
  <c r="AE362" i="2"/>
  <c r="AD362" i="2"/>
  <c r="AC362" i="2"/>
  <c r="AB362" i="2"/>
  <c r="AA362" i="2"/>
  <c r="Z362" i="2"/>
  <c r="Y362" i="2"/>
  <c r="X362" i="2"/>
  <c r="W362" i="2"/>
  <c r="V362" i="2"/>
  <c r="U362" i="2"/>
  <c r="T362" i="2"/>
  <c r="S362" i="2"/>
  <c r="R362" i="2"/>
  <c r="Q362" i="2"/>
  <c r="P362" i="2"/>
  <c r="O362" i="2"/>
  <c r="N362" i="2"/>
  <c r="M362" i="2"/>
  <c r="L362" i="2"/>
  <c r="K362" i="2"/>
  <c r="J362" i="2"/>
  <c r="I362" i="2"/>
  <c r="H362" i="2"/>
  <c r="G362" i="2"/>
  <c r="F362" i="2"/>
  <c r="E362" i="2"/>
  <c r="D362" i="2"/>
  <c r="C362" i="2"/>
  <c r="B362" i="2"/>
  <c r="A362" i="2"/>
  <c r="AE361" i="2"/>
  <c r="AD361" i="2"/>
  <c r="AC361" i="2"/>
  <c r="AB361" i="2"/>
  <c r="AA361" i="2"/>
  <c r="Z361" i="2"/>
  <c r="Y361" i="2"/>
  <c r="X361" i="2"/>
  <c r="W361" i="2"/>
  <c r="V361" i="2"/>
  <c r="U361" i="2"/>
  <c r="T361" i="2"/>
  <c r="S361" i="2"/>
  <c r="R361" i="2"/>
  <c r="Q361" i="2"/>
  <c r="P361" i="2"/>
  <c r="O361" i="2"/>
  <c r="N361" i="2"/>
  <c r="M361" i="2"/>
  <c r="L361" i="2"/>
  <c r="K361" i="2"/>
  <c r="J361" i="2"/>
  <c r="I361" i="2"/>
  <c r="H361" i="2"/>
  <c r="G361" i="2"/>
  <c r="F361" i="2"/>
  <c r="E361" i="2"/>
  <c r="D361" i="2"/>
  <c r="C361" i="2"/>
  <c r="B361" i="2"/>
  <c r="A361" i="2"/>
  <c r="AE360" i="2"/>
  <c r="AD360" i="2"/>
  <c r="AC360" i="2"/>
  <c r="AB360" i="2"/>
  <c r="AA360" i="2"/>
  <c r="Z360" i="2"/>
  <c r="Y360" i="2"/>
  <c r="X360" i="2"/>
  <c r="W360" i="2"/>
  <c r="V360" i="2"/>
  <c r="U360" i="2"/>
  <c r="T360" i="2"/>
  <c r="S360" i="2"/>
  <c r="R360" i="2"/>
  <c r="Q360" i="2"/>
  <c r="P360" i="2"/>
  <c r="O360" i="2"/>
  <c r="N360" i="2"/>
  <c r="M360" i="2"/>
  <c r="L360" i="2"/>
  <c r="K360" i="2"/>
  <c r="J360" i="2"/>
  <c r="I360" i="2"/>
  <c r="H360" i="2"/>
  <c r="G360" i="2"/>
  <c r="F360" i="2"/>
  <c r="E360" i="2"/>
  <c r="D360" i="2"/>
  <c r="C360" i="2"/>
  <c r="B360" i="2"/>
  <c r="A360" i="2"/>
  <c r="AE359" i="2"/>
  <c r="AD359" i="2"/>
  <c r="AC359" i="2"/>
  <c r="AB359" i="2"/>
  <c r="AA359" i="2"/>
  <c r="Z359" i="2"/>
  <c r="Y359" i="2"/>
  <c r="X359" i="2"/>
  <c r="W359" i="2"/>
  <c r="V359" i="2"/>
  <c r="U359" i="2"/>
  <c r="T359" i="2"/>
  <c r="S359" i="2"/>
  <c r="R359" i="2"/>
  <c r="Q359" i="2"/>
  <c r="P359" i="2"/>
  <c r="O359" i="2"/>
  <c r="N359" i="2"/>
  <c r="M359" i="2"/>
  <c r="L359" i="2"/>
  <c r="K359" i="2"/>
  <c r="J359" i="2"/>
  <c r="I359" i="2"/>
  <c r="H359" i="2"/>
  <c r="G359" i="2"/>
  <c r="F359" i="2"/>
  <c r="E359" i="2"/>
  <c r="D359" i="2"/>
  <c r="C359" i="2"/>
  <c r="B359" i="2"/>
  <c r="A359" i="2"/>
  <c r="AE358" i="2"/>
  <c r="AD358" i="2"/>
  <c r="AC358" i="2"/>
  <c r="AB358" i="2"/>
  <c r="AA358" i="2"/>
  <c r="Z358" i="2"/>
  <c r="Y358" i="2"/>
  <c r="X358" i="2"/>
  <c r="W358" i="2"/>
  <c r="V358" i="2"/>
  <c r="U358" i="2"/>
  <c r="T358" i="2"/>
  <c r="S358" i="2"/>
  <c r="R358" i="2"/>
  <c r="Q358" i="2"/>
  <c r="P358" i="2"/>
  <c r="O358" i="2"/>
  <c r="N358" i="2"/>
  <c r="M358" i="2"/>
  <c r="L358" i="2"/>
  <c r="K358" i="2"/>
  <c r="J358" i="2"/>
  <c r="I358" i="2"/>
  <c r="H358" i="2"/>
  <c r="G358" i="2"/>
  <c r="F358" i="2"/>
  <c r="E358" i="2"/>
  <c r="D358" i="2"/>
  <c r="C358" i="2"/>
  <c r="B358" i="2"/>
  <c r="A358" i="2"/>
  <c r="AE357" i="2"/>
  <c r="AD357" i="2"/>
  <c r="AC357" i="2"/>
  <c r="AB357" i="2"/>
  <c r="AA357" i="2"/>
  <c r="Z357" i="2"/>
  <c r="Y357" i="2"/>
  <c r="X357" i="2"/>
  <c r="W357" i="2"/>
  <c r="V357" i="2"/>
  <c r="U357" i="2"/>
  <c r="T357" i="2"/>
  <c r="S357" i="2"/>
  <c r="R357" i="2"/>
  <c r="Q357" i="2"/>
  <c r="P357" i="2"/>
  <c r="O357" i="2"/>
  <c r="N357" i="2"/>
  <c r="M357" i="2"/>
  <c r="L357" i="2"/>
  <c r="K357" i="2"/>
  <c r="J357" i="2"/>
  <c r="I357" i="2"/>
  <c r="H357" i="2"/>
  <c r="G357" i="2"/>
  <c r="F357" i="2"/>
  <c r="E357" i="2"/>
  <c r="D357" i="2"/>
  <c r="C357" i="2"/>
  <c r="B357" i="2"/>
  <c r="A357" i="2"/>
  <c r="AE356" i="2"/>
  <c r="AD356" i="2"/>
  <c r="AC356" i="2"/>
  <c r="AB356" i="2"/>
  <c r="AA356" i="2"/>
  <c r="Z356" i="2"/>
  <c r="Y356" i="2"/>
  <c r="X356" i="2"/>
  <c r="W356" i="2"/>
  <c r="V356" i="2"/>
  <c r="U356" i="2"/>
  <c r="T356" i="2"/>
  <c r="S356" i="2"/>
  <c r="R356" i="2"/>
  <c r="Q356" i="2"/>
  <c r="P356" i="2"/>
  <c r="O356" i="2"/>
  <c r="N356" i="2"/>
  <c r="M356" i="2"/>
  <c r="L356" i="2"/>
  <c r="K356" i="2"/>
  <c r="J356" i="2"/>
  <c r="I356" i="2"/>
  <c r="H356" i="2"/>
  <c r="G356" i="2"/>
  <c r="F356" i="2"/>
  <c r="E356" i="2"/>
  <c r="D356" i="2"/>
  <c r="C356" i="2"/>
  <c r="B356" i="2"/>
  <c r="A356" i="2"/>
  <c r="AE355" i="2"/>
  <c r="AD355" i="2"/>
  <c r="AC355" i="2"/>
  <c r="AB355" i="2"/>
  <c r="AA355" i="2"/>
  <c r="Z355" i="2"/>
  <c r="Y355" i="2"/>
  <c r="X355" i="2"/>
  <c r="W355" i="2"/>
  <c r="V355" i="2"/>
  <c r="U355" i="2"/>
  <c r="T355" i="2"/>
  <c r="S355" i="2"/>
  <c r="R355" i="2"/>
  <c r="Q355" i="2"/>
  <c r="P355" i="2"/>
  <c r="O355" i="2"/>
  <c r="N355" i="2"/>
  <c r="M355" i="2"/>
  <c r="L355" i="2"/>
  <c r="K355" i="2"/>
  <c r="J355" i="2"/>
  <c r="I355" i="2"/>
  <c r="H355" i="2"/>
  <c r="G355" i="2"/>
  <c r="F355" i="2"/>
  <c r="E355" i="2"/>
  <c r="D355" i="2"/>
  <c r="C355" i="2"/>
  <c r="B355" i="2"/>
  <c r="A355" i="2"/>
  <c r="AE354" i="2"/>
  <c r="AD354" i="2"/>
  <c r="AC354" i="2"/>
  <c r="AB354" i="2"/>
  <c r="AA354" i="2"/>
  <c r="Z354" i="2"/>
  <c r="Y354" i="2"/>
  <c r="X354" i="2"/>
  <c r="W354" i="2"/>
  <c r="V354" i="2"/>
  <c r="U354" i="2"/>
  <c r="T354" i="2"/>
  <c r="S354" i="2"/>
  <c r="R354" i="2"/>
  <c r="Q354" i="2"/>
  <c r="P354" i="2"/>
  <c r="O354" i="2"/>
  <c r="N354" i="2"/>
  <c r="M354" i="2"/>
  <c r="L354" i="2"/>
  <c r="K354" i="2"/>
  <c r="J354" i="2"/>
  <c r="I354" i="2"/>
  <c r="H354" i="2"/>
  <c r="G354" i="2"/>
  <c r="F354" i="2"/>
  <c r="E354" i="2"/>
  <c r="D354" i="2"/>
  <c r="C354" i="2"/>
  <c r="B354" i="2"/>
  <c r="A354" i="2"/>
  <c r="AE353" i="2"/>
  <c r="AD353" i="2"/>
  <c r="AC353" i="2"/>
  <c r="AB353" i="2"/>
  <c r="AA353" i="2"/>
  <c r="Z353" i="2"/>
  <c r="Y353" i="2"/>
  <c r="X353" i="2"/>
  <c r="W353" i="2"/>
  <c r="V353" i="2"/>
  <c r="U353" i="2"/>
  <c r="T353" i="2"/>
  <c r="S353" i="2"/>
  <c r="R353" i="2"/>
  <c r="Q353" i="2"/>
  <c r="P353" i="2"/>
  <c r="O353" i="2"/>
  <c r="N353" i="2"/>
  <c r="M353" i="2"/>
  <c r="L353" i="2"/>
  <c r="K353" i="2"/>
  <c r="J353" i="2"/>
  <c r="I353" i="2"/>
  <c r="H353" i="2"/>
  <c r="G353" i="2"/>
  <c r="F353" i="2"/>
  <c r="E353" i="2"/>
  <c r="D353" i="2"/>
  <c r="C353" i="2"/>
  <c r="B353" i="2"/>
  <c r="A353" i="2"/>
  <c r="AE352" i="2"/>
  <c r="AD352" i="2"/>
  <c r="AC352" i="2"/>
  <c r="AB352" i="2"/>
  <c r="AA352" i="2"/>
  <c r="Z352" i="2"/>
  <c r="Y352" i="2"/>
  <c r="X352" i="2"/>
  <c r="W352" i="2"/>
  <c r="V352" i="2"/>
  <c r="U352" i="2"/>
  <c r="T352" i="2"/>
  <c r="S352" i="2"/>
  <c r="R352" i="2"/>
  <c r="Q352" i="2"/>
  <c r="P352" i="2"/>
  <c r="O352" i="2"/>
  <c r="N352" i="2"/>
  <c r="M352" i="2"/>
  <c r="L352" i="2"/>
  <c r="K352" i="2"/>
  <c r="J352" i="2"/>
  <c r="I352" i="2"/>
  <c r="H352" i="2"/>
  <c r="G352" i="2"/>
  <c r="F352" i="2"/>
  <c r="E352" i="2"/>
  <c r="D352" i="2"/>
  <c r="C352" i="2"/>
  <c r="B352" i="2"/>
  <c r="A352" i="2"/>
  <c r="AE351" i="2"/>
  <c r="AD351" i="2"/>
  <c r="AC351" i="2"/>
  <c r="AB351" i="2"/>
  <c r="AA351" i="2"/>
  <c r="Z351" i="2"/>
  <c r="Y351" i="2"/>
  <c r="X351" i="2"/>
  <c r="W351" i="2"/>
  <c r="V351" i="2"/>
  <c r="U351" i="2"/>
  <c r="T351" i="2"/>
  <c r="S351" i="2"/>
  <c r="R351" i="2"/>
  <c r="Q351" i="2"/>
  <c r="P351" i="2"/>
  <c r="O351" i="2"/>
  <c r="N351" i="2"/>
  <c r="M351" i="2"/>
  <c r="L351" i="2"/>
  <c r="K351" i="2"/>
  <c r="J351" i="2"/>
  <c r="I351" i="2"/>
  <c r="H351" i="2"/>
  <c r="G351" i="2"/>
  <c r="F351" i="2"/>
  <c r="E351" i="2"/>
  <c r="D351" i="2"/>
  <c r="C351" i="2"/>
  <c r="B351" i="2"/>
  <c r="A351" i="2"/>
  <c r="AE350" i="2"/>
  <c r="AD350" i="2"/>
  <c r="AC350" i="2"/>
  <c r="AB350" i="2"/>
  <c r="AA350" i="2"/>
  <c r="Z350" i="2"/>
  <c r="Y350" i="2"/>
  <c r="X350" i="2"/>
  <c r="W350" i="2"/>
  <c r="V350" i="2"/>
  <c r="U350" i="2"/>
  <c r="T350" i="2"/>
  <c r="S350" i="2"/>
  <c r="R350" i="2"/>
  <c r="Q350" i="2"/>
  <c r="P350" i="2"/>
  <c r="O350" i="2"/>
  <c r="N350" i="2"/>
  <c r="M350" i="2"/>
  <c r="L350" i="2"/>
  <c r="K350" i="2"/>
  <c r="J350" i="2"/>
  <c r="I350" i="2"/>
  <c r="H350" i="2"/>
  <c r="G350" i="2"/>
  <c r="F350" i="2"/>
  <c r="E350" i="2"/>
  <c r="D350" i="2"/>
  <c r="C350" i="2"/>
  <c r="B350" i="2"/>
  <c r="A350" i="2"/>
  <c r="AE349" i="2"/>
  <c r="AD349" i="2"/>
  <c r="AC349" i="2"/>
  <c r="AB349" i="2"/>
  <c r="AA349" i="2"/>
  <c r="Z349" i="2"/>
  <c r="Y349" i="2"/>
  <c r="X349" i="2"/>
  <c r="W349" i="2"/>
  <c r="V349" i="2"/>
  <c r="U349" i="2"/>
  <c r="T349" i="2"/>
  <c r="S349" i="2"/>
  <c r="R349" i="2"/>
  <c r="Q349" i="2"/>
  <c r="P349" i="2"/>
  <c r="O349" i="2"/>
  <c r="N349" i="2"/>
  <c r="M349" i="2"/>
  <c r="L349" i="2"/>
  <c r="K349" i="2"/>
  <c r="J349" i="2"/>
  <c r="I349" i="2"/>
  <c r="H349" i="2"/>
  <c r="G349" i="2"/>
  <c r="F349" i="2"/>
  <c r="E349" i="2"/>
  <c r="D349" i="2"/>
  <c r="C349" i="2"/>
  <c r="B349" i="2"/>
  <c r="A349" i="2"/>
  <c r="AE348" i="2"/>
  <c r="AD348" i="2"/>
  <c r="AC348" i="2"/>
  <c r="AB348" i="2"/>
  <c r="AA348" i="2"/>
  <c r="Z348" i="2"/>
  <c r="Y348" i="2"/>
  <c r="X348" i="2"/>
  <c r="W348" i="2"/>
  <c r="V348" i="2"/>
  <c r="U348" i="2"/>
  <c r="T348" i="2"/>
  <c r="S348" i="2"/>
  <c r="R348" i="2"/>
  <c r="Q348" i="2"/>
  <c r="P348" i="2"/>
  <c r="O348" i="2"/>
  <c r="N348" i="2"/>
  <c r="M348" i="2"/>
  <c r="L348" i="2"/>
  <c r="K348" i="2"/>
  <c r="J348" i="2"/>
  <c r="I348" i="2"/>
  <c r="H348" i="2"/>
  <c r="G348" i="2"/>
  <c r="F348" i="2"/>
  <c r="E348" i="2"/>
  <c r="D348" i="2"/>
  <c r="C348" i="2"/>
  <c r="B348" i="2"/>
  <c r="A348" i="2"/>
  <c r="AE347" i="2"/>
  <c r="AD347" i="2"/>
  <c r="AC347" i="2"/>
  <c r="AB347" i="2"/>
  <c r="AA347" i="2"/>
  <c r="Z347" i="2"/>
  <c r="Y347" i="2"/>
  <c r="X347" i="2"/>
  <c r="W347" i="2"/>
  <c r="V347" i="2"/>
  <c r="U347" i="2"/>
  <c r="T347" i="2"/>
  <c r="S347" i="2"/>
  <c r="R347" i="2"/>
  <c r="Q347" i="2"/>
  <c r="P347" i="2"/>
  <c r="O347" i="2"/>
  <c r="N347" i="2"/>
  <c r="M347" i="2"/>
  <c r="L347" i="2"/>
  <c r="K347" i="2"/>
  <c r="J347" i="2"/>
  <c r="I347" i="2"/>
  <c r="H347" i="2"/>
  <c r="G347" i="2"/>
  <c r="F347" i="2"/>
  <c r="E347" i="2"/>
  <c r="D347" i="2"/>
  <c r="C347" i="2"/>
  <c r="B347" i="2"/>
  <c r="A347" i="2"/>
  <c r="AE346" i="2"/>
  <c r="AD346" i="2"/>
  <c r="AC346" i="2"/>
  <c r="AB346" i="2"/>
  <c r="AA346" i="2"/>
  <c r="Z346" i="2"/>
  <c r="Y346" i="2"/>
  <c r="X346" i="2"/>
  <c r="W346" i="2"/>
  <c r="V346" i="2"/>
  <c r="U346" i="2"/>
  <c r="T346" i="2"/>
  <c r="S346" i="2"/>
  <c r="R346" i="2"/>
  <c r="Q346" i="2"/>
  <c r="P346" i="2"/>
  <c r="O346" i="2"/>
  <c r="N346" i="2"/>
  <c r="M346" i="2"/>
  <c r="L346" i="2"/>
  <c r="K346" i="2"/>
  <c r="J346" i="2"/>
  <c r="I346" i="2"/>
  <c r="H346" i="2"/>
  <c r="G346" i="2"/>
  <c r="F346" i="2"/>
  <c r="E346" i="2"/>
  <c r="D346" i="2"/>
  <c r="C346" i="2"/>
  <c r="B346" i="2"/>
  <c r="A346" i="2"/>
  <c r="AE345" i="2"/>
  <c r="AD345" i="2"/>
  <c r="AC345" i="2"/>
  <c r="AB345" i="2"/>
  <c r="AA345" i="2"/>
  <c r="Z345" i="2"/>
  <c r="Y345" i="2"/>
  <c r="X345" i="2"/>
  <c r="W345" i="2"/>
  <c r="V345" i="2"/>
  <c r="U345" i="2"/>
  <c r="T345" i="2"/>
  <c r="S345" i="2"/>
  <c r="R345" i="2"/>
  <c r="Q345" i="2"/>
  <c r="P345" i="2"/>
  <c r="O345" i="2"/>
  <c r="N345" i="2"/>
  <c r="M345" i="2"/>
  <c r="L345" i="2"/>
  <c r="K345" i="2"/>
  <c r="J345" i="2"/>
  <c r="I345" i="2"/>
  <c r="H345" i="2"/>
  <c r="G345" i="2"/>
  <c r="F345" i="2"/>
  <c r="E345" i="2"/>
  <c r="D345" i="2"/>
  <c r="C345" i="2"/>
  <c r="B345" i="2"/>
  <c r="A345" i="2"/>
  <c r="AE344" i="2"/>
  <c r="AD344" i="2"/>
  <c r="AC344" i="2"/>
  <c r="AB344" i="2"/>
  <c r="AA344" i="2"/>
  <c r="Z344" i="2"/>
  <c r="Y344" i="2"/>
  <c r="X344" i="2"/>
  <c r="W344" i="2"/>
  <c r="V344" i="2"/>
  <c r="U344" i="2"/>
  <c r="T344" i="2"/>
  <c r="S344" i="2"/>
  <c r="R344" i="2"/>
  <c r="Q344" i="2"/>
  <c r="P344" i="2"/>
  <c r="O344" i="2"/>
  <c r="N344" i="2"/>
  <c r="M344" i="2"/>
  <c r="L344" i="2"/>
  <c r="K344" i="2"/>
  <c r="J344" i="2"/>
  <c r="I344" i="2"/>
  <c r="H344" i="2"/>
  <c r="G344" i="2"/>
  <c r="F344" i="2"/>
  <c r="E344" i="2"/>
  <c r="D344" i="2"/>
  <c r="C344" i="2"/>
  <c r="B344" i="2"/>
  <c r="A344" i="2"/>
  <c r="AE343" i="2"/>
  <c r="AD343" i="2"/>
  <c r="AC343" i="2"/>
  <c r="AB343" i="2"/>
  <c r="AA343" i="2"/>
  <c r="Z343" i="2"/>
  <c r="Y343" i="2"/>
  <c r="X343" i="2"/>
  <c r="W343" i="2"/>
  <c r="V343" i="2"/>
  <c r="U343" i="2"/>
  <c r="T343" i="2"/>
  <c r="S343" i="2"/>
  <c r="R343" i="2"/>
  <c r="Q343" i="2"/>
  <c r="P343" i="2"/>
  <c r="O343" i="2"/>
  <c r="N343" i="2"/>
  <c r="M343" i="2"/>
  <c r="L343" i="2"/>
  <c r="K343" i="2"/>
  <c r="J343" i="2"/>
  <c r="I343" i="2"/>
  <c r="H343" i="2"/>
  <c r="G343" i="2"/>
  <c r="F343" i="2"/>
  <c r="E343" i="2"/>
  <c r="D343" i="2"/>
  <c r="C343" i="2"/>
  <c r="B343" i="2"/>
  <c r="A343" i="2"/>
  <c r="AE342" i="2"/>
  <c r="AD342" i="2"/>
  <c r="AC342" i="2"/>
  <c r="AB342" i="2"/>
  <c r="AA342" i="2"/>
  <c r="Z342" i="2"/>
  <c r="Y342" i="2"/>
  <c r="X342" i="2"/>
  <c r="W342" i="2"/>
  <c r="V342" i="2"/>
  <c r="U342" i="2"/>
  <c r="T342" i="2"/>
  <c r="S342" i="2"/>
  <c r="R342" i="2"/>
  <c r="Q342" i="2"/>
  <c r="P342" i="2"/>
  <c r="O342" i="2"/>
  <c r="N342" i="2"/>
  <c r="M342" i="2"/>
  <c r="L342" i="2"/>
  <c r="K342" i="2"/>
  <c r="J342" i="2"/>
  <c r="I342" i="2"/>
  <c r="H342" i="2"/>
  <c r="G342" i="2"/>
  <c r="F342" i="2"/>
  <c r="E342" i="2"/>
  <c r="D342" i="2"/>
  <c r="C342" i="2"/>
  <c r="B342" i="2"/>
  <c r="A342" i="2"/>
  <c r="AE341" i="2"/>
  <c r="AD341" i="2"/>
  <c r="AC341" i="2"/>
  <c r="AB341" i="2"/>
  <c r="AA341" i="2"/>
  <c r="Z341" i="2"/>
  <c r="Y341" i="2"/>
  <c r="X341" i="2"/>
  <c r="W341" i="2"/>
  <c r="V341" i="2"/>
  <c r="U341" i="2"/>
  <c r="T341" i="2"/>
  <c r="S341" i="2"/>
  <c r="R341" i="2"/>
  <c r="Q341" i="2"/>
  <c r="P341" i="2"/>
  <c r="O341" i="2"/>
  <c r="N341" i="2"/>
  <c r="M341" i="2"/>
  <c r="L341" i="2"/>
  <c r="K341" i="2"/>
  <c r="J341" i="2"/>
  <c r="I341" i="2"/>
  <c r="H341" i="2"/>
  <c r="G341" i="2"/>
  <c r="F341" i="2"/>
  <c r="E341" i="2"/>
  <c r="D341" i="2"/>
  <c r="C341" i="2"/>
  <c r="B341" i="2"/>
  <c r="A341" i="2"/>
  <c r="AE340" i="2"/>
  <c r="AD340" i="2"/>
  <c r="AC340" i="2"/>
  <c r="AB340" i="2"/>
  <c r="AA340" i="2"/>
  <c r="Z340" i="2"/>
  <c r="Y340" i="2"/>
  <c r="X340" i="2"/>
  <c r="W340" i="2"/>
  <c r="V340" i="2"/>
  <c r="U340" i="2"/>
  <c r="T340" i="2"/>
  <c r="S340" i="2"/>
  <c r="R340" i="2"/>
  <c r="Q340" i="2"/>
  <c r="P340" i="2"/>
  <c r="O340" i="2"/>
  <c r="N340" i="2"/>
  <c r="M340" i="2"/>
  <c r="L340" i="2"/>
  <c r="K340" i="2"/>
  <c r="J340" i="2"/>
  <c r="I340" i="2"/>
  <c r="H340" i="2"/>
  <c r="G340" i="2"/>
  <c r="F340" i="2"/>
  <c r="E340" i="2"/>
  <c r="D340" i="2"/>
  <c r="C340" i="2"/>
  <c r="B340" i="2"/>
  <c r="A340" i="2"/>
  <c r="AE339" i="2"/>
  <c r="AD339" i="2"/>
  <c r="AC339" i="2"/>
  <c r="AB339" i="2"/>
  <c r="AA339" i="2"/>
  <c r="Z339" i="2"/>
  <c r="Y339" i="2"/>
  <c r="X339" i="2"/>
  <c r="W339" i="2"/>
  <c r="V339" i="2"/>
  <c r="U339" i="2"/>
  <c r="T339" i="2"/>
  <c r="S339" i="2"/>
  <c r="R339" i="2"/>
  <c r="Q339" i="2"/>
  <c r="P339" i="2"/>
  <c r="O339" i="2"/>
  <c r="N339" i="2"/>
  <c r="M339" i="2"/>
  <c r="L339" i="2"/>
  <c r="K339" i="2"/>
  <c r="J339" i="2"/>
  <c r="I339" i="2"/>
  <c r="H339" i="2"/>
  <c r="G339" i="2"/>
  <c r="F339" i="2"/>
  <c r="E339" i="2"/>
  <c r="D339" i="2"/>
  <c r="C339" i="2"/>
  <c r="B339" i="2"/>
  <c r="A339" i="2"/>
  <c r="AE338" i="2"/>
  <c r="AD338" i="2"/>
  <c r="AC338" i="2"/>
  <c r="AB338" i="2"/>
  <c r="AA338" i="2"/>
  <c r="Z338" i="2"/>
  <c r="Y338" i="2"/>
  <c r="X338" i="2"/>
  <c r="W338" i="2"/>
  <c r="V338" i="2"/>
  <c r="U338" i="2"/>
  <c r="T338" i="2"/>
  <c r="S338" i="2"/>
  <c r="R338" i="2"/>
  <c r="Q338" i="2"/>
  <c r="P338" i="2"/>
  <c r="O338" i="2"/>
  <c r="N338" i="2"/>
  <c r="M338" i="2"/>
  <c r="L338" i="2"/>
  <c r="K338" i="2"/>
  <c r="J338" i="2"/>
  <c r="I338" i="2"/>
  <c r="H338" i="2"/>
  <c r="G338" i="2"/>
  <c r="F338" i="2"/>
  <c r="E338" i="2"/>
  <c r="D338" i="2"/>
  <c r="C338" i="2"/>
  <c r="B338" i="2"/>
  <c r="A338" i="2"/>
  <c r="AE337" i="2"/>
  <c r="AD337" i="2"/>
  <c r="AC337" i="2"/>
  <c r="AB337" i="2"/>
  <c r="AA337" i="2"/>
  <c r="Z337" i="2"/>
  <c r="Y337" i="2"/>
  <c r="X337" i="2"/>
  <c r="W337" i="2"/>
  <c r="V337" i="2"/>
  <c r="U337" i="2"/>
  <c r="T337" i="2"/>
  <c r="S337" i="2"/>
  <c r="R337" i="2"/>
  <c r="Q337" i="2"/>
  <c r="P337" i="2"/>
  <c r="O337" i="2"/>
  <c r="N337" i="2"/>
  <c r="M337" i="2"/>
  <c r="L337" i="2"/>
  <c r="K337" i="2"/>
  <c r="J337" i="2"/>
  <c r="I337" i="2"/>
  <c r="H337" i="2"/>
  <c r="G337" i="2"/>
  <c r="F337" i="2"/>
  <c r="E337" i="2"/>
  <c r="D337" i="2"/>
  <c r="C337" i="2"/>
  <c r="B337" i="2"/>
  <c r="A337" i="2"/>
  <c r="AE336" i="2"/>
  <c r="AD336" i="2"/>
  <c r="AC336" i="2"/>
  <c r="AB336" i="2"/>
  <c r="AA336" i="2"/>
  <c r="Z336" i="2"/>
  <c r="Y336" i="2"/>
  <c r="X336" i="2"/>
  <c r="W336" i="2"/>
  <c r="V336" i="2"/>
  <c r="U336" i="2"/>
  <c r="T336" i="2"/>
  <c r="S336" i="2"/>
  <c r="R336" i="2"/>
  <c r="Q336" i="2"/>
  <c r="P336" i="2"/>
  <c r="O336" i="2"/>
  <c r="N336" i="2"/>
  <c r="M336" i="2"/>
  <c r="L336" i="2"/>
  <c r="K336" i="2"/>
  <c r="J336" i="2"/>
  <c r="I336" i="2"/>
  <c r="H336" i="2"/>
  <c r="G336" i="2"/>
  <c r="F336" i="2"/>
  <c r="E336" i="2"/>
  <c r="D336" i="2"/>
  <c r="C336" i="2"/>
  <c r="B336" i="2"/>
  <c r="A336" i="2"/>
  <c r="AE335" i="2"/>
  <c r="AD335" i="2"/>
  <c r="AC335" i="2"/>
  <c r="AB335" i="2"/>
  <c r="AA335" i="2"/>
  <c r="Z335" i="2"/>
  <c r="Y335" i="2"/>
  <c r="X335" i="2"/>
  <c r="W335" i="2"/>
  <c r="V335" i="2"/>
  <c r="U335" i="2"/>
  <c r="T335" i="2"/>
  <c r="S335" i="2"/>
  <c r="R335" i="2"/>
  <c r="Q335" i="2"/>
  <c r="P335" i="2"/>
  <c r="O335" i="2"/>
  <c r="N335" i="2"/>
  <c r="M335" i="2"/>
  <c r="L335" i="2"/>
  <c r="K335" i="2"/>
  <c r="J335" i="2"/>
  <c r="I335" i="2"/>
  <c r="H335" i="2"/>
  <c r="G335" i="2"/>
  <c r="F335" i="2"/>
  <c r="E335" i="2"/>
  <c r="D335" i="2"/>
  <c r="C335" i="2"/>
  <c r="B335" i="2"/>
  <c r="A335" i="2"/>
  <c r="AE334" i="2"/>
  <c r="AD334" i="2"/>
  <c r="AC334" i="2"/>
  <c r="AB334" i="2"/>
  <c r="AA334" i="2"/>
  <c r="Z334" i="2"/>
  <c r="Y334" i="2"/>
  <c r="X334" i="2"/>
  <c r="W334" i="2"/>
  <c r="V334" i="2"/>
  <c r="U334" i="2"/>
  <c r="T334" i="2"/>
  <c r="S334" i="2"/>
  <c r="R334" i="2"/>
  <c r="Q334" i="2"/>
  <c r="P334" i="2"/>
  <c r="O334" i="2"/>
  <c r="N334" i="2"/>
  <c r="M334" i="2"/>
  <c r="L334" i="2"/>
  <c r="K334" i="2"/>
  <c r="J334" i="2"/>
  <c r="I334" i="2"/>
  <c r="H334" i="2"/>
  <c r="G334" i="2"/>
  <c r="F334" i="2"/>
  <c r="E334" i="2"/>
  <c r="D334" i="2"/>
  <c r="C334" i="2"/>
  <c r="B334" i="2"/>
  <c r="A334" i="2"/>
  <c r="AE333" i="2"/>
  <c r="AD333" i="2"/>
  <c r="AC333" i="2"/>
  <c r="AB333" i="2"/>
  <c r="AA333" i="2"/>
  <c r="Z333" i="2"/>
  <c r="Y333" i="2"/>
  <c r="X333" i="2"/>
  <c r="W333" i="2"/>
  <c r="V333" i="2"/>
  <c r="U333" i="2"/>
  <c r="T333" i="2"/>
  <c r="S333" i="2"/>
  <c r="R333" i="2"/>
  <c r="Q333" i="2"/>
  <c r="P333" i="2"/>
  <c r="O333" i="2"/>
  <c r="N333" i="2"/>
  <c r="M333" i="2"/>
  <c r="L333" i="2"/>
  <c r="K333" i="2"/>
  <c r="J333" i="2"/>
  <c r="I333" i="2"/>
  <c r="H333" i="2"/>
  <c r="G333" i="2"/>
  <c r="F333" i="2"/>
  <c r="E333" i="2"/>
  <c r="D333" i="2"/>
  <c r="C333" i="2"/>
  <c r="B333" i="2"/>
  <c r="A333" i="2"/>
  <c r="AE332" i="2"/>
  <c r="AD332" i="2"/>
  <c r="AC332" i="2"/>
  <c r="AB332" i="2"/>
  <c r="AA332" i="2"/>
  <c r="Z332" i="2"/>
  <c r="Y332" i="2"/>
  <c r="X332" i="2"/>
  <c r="W332" i="2"/>
  <c r="V332" i="2"/>
  <c r="U332" i="2"/>
  <c r="T332" i="2"/>
  <c r="S332" i="2"/>
  <c r="R332" i="2"/>
  <c r="Q332" i="2"/>
  <c r="P332" i="2"/>
  <c r="O332" i="2"/>
  <c r="N332" i="2"/>
  <c r="M332" i="2"/>
  <c r="L332" i="2"/>
  <c r="K332" i="2"/>
  <c r="J332" i="2"/>
  <c r="I332" i="2"/>
  <c r="H332" i="2"/>
  <c r="G332" i="2"/>
  <c r="F332" i="2"/>
  <c r="E332" i="2"/>
  <c r="D332" i="2"/>
  <c r="C332" i="2"/>
  <c r="B332" i="2"/>
  <c r="A332" i="2"/>
  <c r="AE331" i="2"/>
  <c r="AD331" i="2"/>
  <c r="AC331" i="2"/>
  <c r="AB331" i="2"/>
  <c r="AA331" i="2"/>
  <c r="Z331" i="2"/>
  <c r="Y331" i="2"/>
  <c r="X331" i="2"/>
  <c r="W331" i="2"/>
  <c r="V331" i="2"/>
  <c r="U331" i="2"/>
  <c r="T331" i="2"/>
  <c r="S331" i="2"/>
  <c r="R331" i="2"/>
  <c r="Q331" i="2"/>
  <c r="P331" i="2"/>
  <c r="O331" i="2"/>
  <c r="N331" i="2"/>
  <c r="M331" i="2"/>
  <c r="L331" i="2"/>
  <c r="K331" i="2"/>
  <c r="J331" i="2"/>
  <c r="I331" i="2"/>
  <c r="H331" i="2"/>
  <c r="G331" i="2"/>
  <c r="F331" i="2"/>
  <c r="E331" i="2"/>
  <c r="D331" i="2"/>
  <c r="C331" i="2"/>
  <c r="B331" i="2"/>
  <c r="A331" i="2"/>
  <c r="AE330" i="2"/>
  <c r="AD330" i="2"/>
  <c r="AC330" i="2"/>
  <c r="AB330" i="2"/>
  <c r="AA330" i="2"/>
  <c r="Z330" i="2"/>
  <c r="Y330" i="2"/>
  <c r="X330" i="2"/>
  <c r="W330" i="2"/>
  <c r="V330" i="2"/>
  <c r="U330" i="2"/>
  <c r="T330" i="2"/>
  <c r="S330" i="2"/>
  <c r="R330" i="2"/>
  <c r="Q330" i="2"/>
  <c r="P330" i="2"/>
  <c r="O330" i="2"/>
  <c r="N330" i="2"/>
  <c r="M330" i="2"/>
  <c r="L330" i="2"/>
  <c r="K330" i="2"/>
  <c r="J330" i="2"/>
  <c r="I330" i="2"/>
  <c r="H330" i="2"/>
  <c r="G330" i="2"/>
  <c r="F330" i="2"/>
  <c r="E330" i="2"/>
  <c r="D330" i="2"/>
  <c r="C330" i="2"/>
  <c r="B330" i="2"/>
  <c r="A330" i="2"/>
  <c r="AE329" i="2"/>
  <c r="AD329" i="2"/>
  <c r="AC329" i="2"/>
  <c r="AB329" i="2"/>
  <c r="AA329" i="2"/>
  <c r="Z329" i="2"/>
  <c r="Y329" i="2"/>
  <c r="X329" i="2"/>
  <c r="W329" i="2"/>
  <c r="V329" i="2"/>
  <c r="U329" i="2"/>
  <c r="T329" i="2"/>
  <c r="S329" i="2"/>
  <c r="R329" i="2"/>
  <c r="Q329" i="2"/>
  <c r="P329" i="2"/>
  <c r="O329" i="2"/>
  <c r="N329" i="2"/>
  <c r="M329" i="2"/>
  <c r="L329" i="2"/>
  <c r="K329" i="2"/>
  <c r="J329" i="2"/>
  <c r="I329" i="2"/>
  <c r="H329" i="2"/>
  <c r="G329" i="2"/>
  <c r="F329" i="2"/>
  <c r="E329" i="2"/>
  <c r="D329" i="2"/>
  <c r="C329" i="2"/>
  <c r="B329" i="2"/>
  <c r="A329" i="2"/>
  <c r="AE328" i="2"/>
  <c r="AD328" i="2"/>
  <c r="AC328" i="2"/>
  <c r="AB328" i="2"/>
  <c r="AA328" i="2"/>
  <c r="Z328" i="2"/>
  <c r="Y328" i="2"/>
  <c r="X328" i="2"/>
  <c r="W328" i="2"/>
  <c r="V328" i="2"/>
  <c r="U328" i="2"/>
  <c r="T328" i="2"/>
  <c r="S328" i="2"/>
  <c r="R328" i="2"/>
  <c r="Q328" i="2"/>
  <c r="P328" i="2"/>
  <c r="O328" i="2"/>
  <c r="N328" i="2"/>
  <c r="M328" i="2"/>
  <c r="L328" i="2"/>
  <c r="K328" i="2"/>
  <c r="J328" i="2"/>
  <c r="I328" i="2"/>
  <c r="H328" i="2"/>
  <c r="G328" i="2"/>
  <c r="F328" i="2"/>
  <c r="E328" i="2"/>
  <c r="D328" i="2"/>
  <c r="C328" i="2"/>
  <c r="B328" i="2"/>
  <c r="A328" i="2"/>
  <c r="AE327" i="2"/>
  <c r="AD327" i="2"/>
  <c r="AC327" i="2"/>
  <c r="AB327" i="2"/>
  <c r="AA327" i="2"/>
  <c r="Z327" i="2"/>
  <c r="Y327" i="2"/>
  <c r="X327" i="2"/>
  <c r="W327" i="2"/>
  <c r="V327" i="2"/>
  <c r="U327" i="2"/>
  <c r="T327" i="2"/>
  <c r="S327" i="2"/>
  <c r="R327" i="2"/>
  <c r="Q327" i="2"/>
  <c r="P327" i="2"/>
  <c r="O327" i="2"/>
  <c r="N327" i="2"/>
  <c r="M327" i="2"/>
  <c r="L327" i="2"/>
  <c r="K327" i="2"/>
  <c r="J327" i="2"/>
  <c r="I327" i="2"/>
  <c r="H327" i="2"/>
  <c r="G327" i="2"/>
  <c r="F327" i="2"/>
  <c r="E327" i="2"/>
  <c r="D327" i="2"/>
  <c r="C327" i="2"/>
  <c r="B327" i="2"/>
  <c r="A327" i="2"/>
  <c r="AE326" i="2"/>
  <c r="AD326" i="2"/>
  <c r="AC326" i="2"/>
  <c r="AB326" i="2"/>
  <c r="AA326" i="2"/>
  <c r="Z326" i="2"/>
  <c r="Y326" i="2"/>
  <c r="X326" i="2"/>
  <c r="W326" i="2"/>
  <c r="V326" i="2"/>
  <c r="U326" i="2"/>
  <c r="T326" i="2"/>
  <c r="S326" i="2"/>
  <c r="R326" i="2"/>
  <c r="Q326" i="2"/>
  <c r="P326" i="2"/>
  <c r="O326" i="2"/>
  <c r="N326" i="2"/>
  <c r="M326" i="2"/>
  <c r="L326" i="2"/>
  <c r="K326" i="2"/>
  <c r="J326" i="2"/>
  <c r="I326" i="2"/>
  <c r="H326" i="2"/>
  <c r="G326" i="2"/>
  <c r="F326" i="2"/>
  <c r="E326" i="2"/>
  <c r="D326" i="2"/>
  <c r="C326" i="2"/>
  <c r="B326" i="2"/>
  <c r="A326" i="2"/>
  <c r="AE325" i="2"/>
  <c r="AD325" i="2"/>
  <c r="AC325" i="2"/>
  <c r="AB325" i="2"/>
  <c r="AA325" i="2"/>
  <c r="Z325" i="2"/>
  <c r="Y325" i="2"/>
  <c r="X325" i="2"/>
  <c r="W325" i="2"/>
  <c r="V325" i="2"/>
  <c r="U325" i="2"/>
  <c r="T325" i="2"/>
  <c r="S325" i="2"/>
  <c r="R325" i="2"/>
  <c r="Q325" i="2"/>
  <c r="P325" i="2"/>
  <c r="O325" i="2"/>
  <c r="N325" i="2"/>
  <c r="M325" i="2"/>
  <c r="L325" i="2"/>
  <c r="K325" i="2"/>
  <c r="J325" i="2"/>
  <c r="I325" i="2"/>
  <c r="H325" i="2"/>
  <c r="G325" i="2"/>
  <c r="F325" i="2"/>
  <c r="E325" i="2"/>
  <c r="D325" i="2"/>
  <c r="C325" i="2"/>
  <c r="B325" i="2"/>
  <c r="A325" i="2"/>
  <c r="AE324" i="2"/>
  <c r="AD324" i="2"/>
  <c r="AC324" i="2"/>
  <c r="AB324" i="2"/>
  <c r="AA324" i="2"/>
  <c r="Z324" i="2"/>
  <c r="Y324" i="2"/>
  <c r="X324" i="2"/>
  <c r="W324" i="2"/>
  <c r="V324" i="2"/>
  <c r="U324" i="2"/>
  <c r="T324" i="2"/>
  <c r="S324" i="2"/>
  <c r="R324" i="2"/>
  <c r="Q324" i="2"/>
  <c r="P324" i="2"/>
  <c r="O324" i="2"/>
  <c r="N324" i="2"/>
  <c r="M324" i="2"/>
  <c r="L324" i="2"/>
  <c r="K324" i="2"/>
  <c r="J324" i="2"/>
  <c r="I324" i="2"/>
  <c r="H324" i="2"/>
  <c r="G324" i="2"/>
  <c r="F324" i="2"/>
  <c r="E324" i="2"/>
  <c r="D324" i="2"/>
  <c r="C324" i="2"/>
  <c r="B324" i="2"/>
  <c r="A324" i="2"/>
  <c r="AE323" i="2"/>
  <c r="AD323" i="2"/>
  <c r="AC323" i="2"/>
  <c r="AB323" i="2"/>
  <c r="AA323" i="2"/>
  <c r="Z323" i="2"/>
  <c r="Y323" i="2"/>
  <c r="X323" i="2"/>
  <c r="W323" i="2"/>
  <c r="V323" i="2"/>
  <c r="U323" i="2"/>
  <c r="T323" i="2"/>
  <c r="S323" i="2"/>
  <c r="R323" i="2"/>
  <c r="Q323" i="2"/>
  <c r="P323" i="2"/>
  <c r="O323" i="2"/>
  <c r="N323" i="2"/>
  <c r="M323" i="2"/>
  <c r="L323" i="2"/>
  <c r="K323" i="2"/>
  <c r="J323" i="2"/>
  <c r="I323" i="2"/>
  <c r="H323" i="2"/>
  <c r="G323" i="2"/>
  <c r="F323" i="2"/>
  <c r="E323" i="2"/>
  <c r="D323" i="2"/>
  <c r="C323" i="2"/>
  <c r="B323" i="2"/>
  <c r="A323" i="2"/>
  <c r="AE322" i="2"/>
  <c r="AD322" i="2"/>
  <c r="AC322" i="2"/>
  <c r="AB322" i="2"/>
  <c r="AA322" i="2"/>
  <c r="Z322" i="2"/>
  <c r="Y322" i="2"/>
  <c r="X322" i="2"/>
  <c r="W322" i="2"/>
  <c r="V322" i="2"/>
  <c r="U322" i="2"/>
  <c r="T322" i="2"/>
  <c r="S322" i="2"/>
  <c r="R322" i="2"/>
  <c r="Q322" i="2"/>
  <c r="P322" i="2"/>
  <c r="O322" i="2"/>
  <c r="N322" i="2"/>
  <c r="M322" i="2"/>
  <c r="L322" i="2"/>
  <c r="K322" i="2"/>
  <c r="J322" i="2"/>
  <c r="I322" i="2"/>
  <c r="H322" i="2"/>
  <c r="G322" i="2"/>
  <c r="F322" i="2"/>
  <c r="E322" i="2"/>
  <c r="D322" i="2"/>
  <c r="C322" i="2"/>
  <c r="B322" i="2"/>
  <c r="A322" i="2"/>
  <c r="AE321" i="2"/>
  <c r="AD321" i="2"/>
  <c r="AC321" i="2"/>
  <c r="AB321" i="2"/>
  <c r="AA321" i="2"/>
  <c r="Z321" i="2"/>
  <c r="Y321" i="2"/>
  <c r="X321" i="2"/>
  <c r="W321" i="2"/>
  <c r="V321" i="2"/>
  <c r="U321" i="2"/>
  <c r="T321" i="2"/>
  <c r="S321" i="2"/>
  <c r="R321" i="2"/>
  <c r="Q321" i="2"/>
  <c r="P321" i="2"/>
  <c r="O321" i="2"/>
  <c r="N321" i="2"/>
  <c r="M321" i="2"/>
  <c r="L321" i="2"/>
  <c r="K321" i="2"/>
  <c r="J321" i="2"/>
  <c r="I321" i="2"/>
  <c r="H321" i="2"/>
  <c r="G321" i="2"/>
  <c r="F321" i="2"/>
  <c r="E321" i="2"/>
  <c r="D321" i="2"/>
  <c r="C321" i="2"/>
  <c r="B321" i="2"/>
  <c r="A321" i="2"/>
  <c r="AE320" i="2"/>
  <c r="AD320" i="2"/>
  <c r="AC320" i="2"/>
  <c r="AB320" i="2"/>
  <c r="AA320" i="2"/>
  <c r="Z320" i="2"/>
  <c r="Y320" i="2"/>
  <c r="X320" i="2"/>
  <c r="W320" i="2"/>
  <c r="V320" i="2"/>
  <c r="U320" i="2"/>
  <c r="T320" i="2"/>
  <c r="S320" i="2"/>
  <c r="R320" i="2"/>
  <c r="Q320" i="2"/>
  <c r="P320" i="2"/>
  <c r="O320" i="2"/>
  <c r="N320" i="2"/>
  <c r="M320" i="2"/>
  <c r="L320" i="2"/>
  <c r="K320" i="2"/>
  <c r="J320" i="2"/>
  <c r="I320" i="2"/>
  <c r="H320" i="2"/>
  <c r="G320" i="2"/>
  <c r="F320" i="2"/>
  <c r="E320" i="2"/>
  <c r="D320" i="2"/>
  <c r="C320" i="2"/>
  <c r="B320" i="2"/>
  <c r="A320" i="2"/>
  <c r="AE319" i="2"/>
  <c r="AD319" i="2"/>
  <c r="AC319" i="2"/>
  <c r="AB319" i="2"/>
  <c r="AA319" i="2"/>
  <c r="Z319" i="2"/>
  <c r="Y319" i="2"/>
  <c r="X319" i="2"/>
  <c r="W319" i="2"/>
  <c r="V319" i="2"/>
  <c r="U319" i="2"/>
  <c r="T319" i="2"/>
  <c r="S319" i="2"/>
  <c r="R319" i="2"/>
  <c r="Q319" i="2"/>
  <c r="P319" i="2"/>
  <c r="O319" i="2"/>
  <c r="N319" i="2"/>
  <c r="M319" i="2"/>
  <c r="L319" i="2"/>
  <c r="K319" i="2"/>
  <c r="J319" i="2"/>
  <c r="I319" i="2"/>
  <c r="H319" i="2"/>
  <c r="G319" i="2"/>
  <c r="F319" i="2"/>
  <c r="E319" i="2"/>
  <c r="D319" i="2"/>
  <c r="C319" i="2"/>
  <c r="B319" i="2"/>
  <c r="A319" i="2"/>
  <c r="AE318" i="2"/>
  <c r="AD318" i="2"/>
  <c r="AC318" i="2"/>
  <c r="AB318" i="2"/>
  <c r="AA318" i="2"/>
  <c r="Z318" i="2"/>
  <c r="Y318" i="2"/>
  <c r="X318" i="2"/>
  <c r="W318" i="2"/>
  <c r="V318" i="2"/>
  <c r="U318" i="2"/>
  <c r="T318" i="2"/>
  <c r="S318" i="2"/>
  <c r="R318" i="2"/>
  <c r="Q318" i="2"/>
  <c r="P318" i="2"/>
  <c r="O318" i="2"/>
  <c r="N318" i="2"/>
  <c r="M318" i="2"/>
  <c r="L318" i="2"/>
  <c r="K318" i="2"/>
  <c r="J318" i="2"/>
  <c r="I318" i="2"/>
  <c r="H318" i="2"/>
  <c r="G318" i="2"/>
  <c r="F318" i="2"/>
  <c r="E318" i="2"/>
  <c r="D318" i="2"/>
  <c r="C318" i="2"/>
  <c r="B318" i="2"/>
  <c r="A318" i="2"/>
  <c r="AE317" i="2"/>
  <c r="AD317" i="2"/>
  <c r="AC317" i="2"/>
  <c r="AB317" i="2"/>
  <c r="AA317" i="2"/>
  <c r="Z317" i="2"/>
  <c r="Y317" i="2"/>
  <c r="X317" i="2"/>
  <c r="W317" i="2"/>
  <c r="V317" i="2"/>
  <c r="U317" i="2"/>
  <c r="T317" i="2"/>
  <c r="S317" i="2"/>
  <c r="R317" i="2"/>
  <c r="Q317" i="2"/>
  <c r="P317" i="2"/>
  <c r="O317" i="2"/>
  <c r="N317" i="2"/>
  <c r="M317" i="2"/>
  <c r="L317" i="2"/>
  <c r="K317" i="2"/>
  <c r="J317" i="2"/>
  <c r="I317" i="2"/>
  <c r="H317" i="2"/>
  <c r="G317" i="2"/>
  <c r="F317" i="2"/>
  <c r="E317" i="2"/>
  <c r="D317" i="2"/>
  <c r="C317" i="2"/>
  <c r="B317" i="2"/>
  <c r="A317" i="2"/>
  <c r="AE316" i="2"/>
  <c r="AD316" i="2"/>
  <c r="AC316" i="2"/>
  <c r="AB316" i="2"/>
  <c r="AA316" i="2"/>
  <c r="Z316" i="2"/>
  <c r="Y316" i="2"/>
  <c r="X316" i="2"/>
  <c r="W316" i="2"/>
  <c r="V316" i="2"/>
  <c r="U316" i="2"/>
  <c r="T316" i="2"/>
  <c r="S316" i="2"/>
  <c r="R316" i="2"/>
  <c r="Q316" i="2"/>
  <c r="P316" i="2"/>
  <c r="O316" i="2"/>
  <c r="N316" i="2"/>
  <c r="M316" i="2"/>
  <c r="L316" i="2"/>
  <c r="K316" i="2"/>
  <c r="J316" i="2"/>
  <c r="I316" i="2"/>
  <c r="H316" i="2"/>
  <c r="G316" i="2"/>
  <c r="F316" i="2"/>
  <c r="E316" i="2"/>
  <c r="D316" i="2"/>
  <c r="C316" i="2"/>
  <c r="B316" i="2"/>
  <c r="A316" i="2"/>
  <c r="AE315" i="2"/>
  <c r="AD315" i="2"/>
  <c r="AC315" i="2"/>
  <c r="AB315" i="2"/>
  <c r="AA315" i="2"/>
  <c r="Z315" i="2"/>
  <c r="Y315" i="2"/>
  <c r="X315" i="2"/>
  <c r="W315" i="2"/>
  <c r="V315" i="2"/>
  <c r="U315" i="2"/>
  <c r="T315" i="2"/>
  <c r="S315" i="2"/>
  <c r="R315" i="2"/>
  <c r="Q315" i="2"/>
  <c r="P315" i="2"/>
  <c r="O315" i="2"/>
  <c r="N315" i="2"/>
  <c r="M315" i="2"/>
  <c r="L315" i="2"/>
  <c r="K315" i="2"/>
  <c r="J315" i="2"/>
  <c r="I315" i="2"/>
  <c r="H315" i="2"/>
  <c r="G315" i="2"/>
  <c r="F315" i="2"/>
  <c r="E315" i="2"/>
  <c r="D315" i="2"/>
  <c r="C315" i="2"/>
  <c r="B315" i="2"/>
  <c r="A315" i="2"/>
  <c r="AE314" i="2"/>
  <c r="AD314" i="2"/>
  <c r="AC314" i="2"/>
  <c r="AB314" i="2"/>
  <c r="AA314" i="2"/>
  <c r="Z314" i="2"/>
  <c r="Y314" i="2"/>
  <c r="X314" i="2"/>
  <c r="W314" i="2"/>
  <c r="V314" i="2"/>
  <c r="U314" i="2"/>
  <c r="T314" i="2"/>
  <c r="S314" i="2"/>
  <c r="R314" i="2"/>
  <c r="Q314" i="2"/>
  <c r="P314" i="2"/>
  <c r="O314" i="2"/>
  <c r="N314" i="2"/>
  <c r="M314" i="2"/>
  <c r="L314" i="2"/>
  <c r="K314" i="2"/>
  <c r="J314" i="2"/>
  <c r="I314" i="2"/>
  <c r="H314" i="2"/>
  <c r="G314" i="2"/>
  <c r="F314" i="2"/>
  <c r="E314" i="2"/>
  <c r="D314" i="2"/>
  <c r="C314" i="2"/>
  <c r="B314" i="2"/>
  <c r="A314" i="2"/>
  <c r="AE313" i="2"/>
  <c r="AD313" i="2"/>
  <c r="AC313" i="2"/>
  <c r="AB313" i="2"/>
  <c r="AA313" i="2"/>
  <c r="Z313" i="2"/>
  <c r="Y313" i="2"/>
  <c r="X313" i="2"/>
  <c r="W313" i="2"/>
  <c r="V313" i="2"/>
  <c r="U313" i="2"/>
  <c r="T313" i="2"/>
  <c r="S313" i="2"/>
  <c r="R313" i="2"/>
  <c r="Q313" i="2"/>
  <c r="P313" i="2"/>
  <c r="O313" i="2"/>
  <c r="N313" i="2"/>
  <c r="M313" i="2"/>
  <c r="L313" i="2"/>
  <c r="K313" i="2"/>
  <c r="J313" i="2"/>
  <c r="I313" i="2"/>
  <c r="H313" i="2"/>
  <c r="G313" i="2"/>
  <c r="F313" i="2"/>
  <c r="E313" i="2"/>
  <c r="D313" i="2"/>
  <c r="C313" i="2"/>
  <c r="B313" i="2"/>
  <c r="A313" i="2"/>
  <c r="AE312" i="2"/>
  <c r="AD312" i="2"/>
  <c r="AC312" i="2"/>
  <c r="AB312" i="2"/>
  <c r="AA312" i="2"/>
  <c r="Z312" i="2"/>
  <c r="Y312" i="2"/>
  <c r="X312" i="2"/>
  <c r="W312" i="2"/>
  <c r="V312" i="2"/>
  <c r="U312" i="2"/>
  <c r="T312" i="2"/>
  <c r="S312" i="2"/>
  <c r="R312" i="2"/>
  <c r="Q312" i="2"/>
  <c r="P312" i="2"/>
  <c r="O312" i="2"/>
  <c r="N312" i="2"/>
  <c r="M312" i="2"/>
  <c r="L312" i="2"/>
  <c r="K312" i="2"/>
  <c r="J312" i="2"/>
  <c r="I312" i="2"/>
  <c r="H312" i="2"/>
  <c r="G312" i="2"/>
  <c r="F312" i="2"/>
  <c r="E312" i="2"/>
  <c r="D312" i="2"/>
  <c r="C312" i="2"/>
  <c r="B312" i="2"/>
  <c r="A312" i="2"/>
  <c r="AE311" i="2"/>
  <c r="AD311" i="2"/>
  <c r="AC311" i="2"/>
  <c r="AB311" i="2"/>
  <c r="AA311" i="2"/>
  <c r="Z311" i="2"/>
  <c r="Y311" i="2"/>
  <c r="X311" i="2"/>
  <c r="W311" i="2"/>
  <c r="V311" i="2"/>
  <c r="U311" i="2"/>
  <c r="T311" i="2"/>
  <c r="S311" i="2"/>
  <c r="R311" i="2"/>
  <c r="Q311" i="2"/>
  <c r="P311" i="2"/>
  <c r="O311" i="2"/>
  <c r="N311" i="2"/>
  <c r="M311" i="2"/>
  <c r="L311" i="2"/>
  <c r="K311" i="2"/>
  <c r="J311" i="2"/>
  <c r="I311" i="2"/>
  <c r="H311" i="2"/>
  <c r="G311" i="2"/>
  <c r="F311" i="2"/>
  <c r="E311" i="2"/>
  <c r="D311" i="2"/>
  <c r="C311" i="2"/>
  <c r="B311" i="2"/>
  <c r="A311" i="2"/>
  <c r="AE310" i="2"/>
  <c r="AD310" i="2"/>
  <c r="AC310" i="2"/>
  <c r="AB310" i="2"/>
  <c r="AA310" i="2"/>
  <c r="Z310" i="2"/>
  <c r="Y310" i="2"/>
  <c r="X310" i="2"/>
  <c r="W310" i="2"/>
  <c r="V310" i="2"/>
  <c r="U310" i="2"/>
  <c r="T310" i="2"/>
  <c r="S310" i="2"/>
  <c r="R310" i="2"/>
  <c r="Q310" i="2"/>
  <c r="P310" i="2"/>
  <c r="O310" i="2"/>
  <c r="N310" i="2"/>
  <c r="M310" i="2"/>
  <c r="L310" i="2"/>
  <c r="K310" i="2"/>
  <c r="J310" i="2"/>
  <c r="I310" i="2"/>
  <c r="H310" i="2"/>
  <c r="G310" i="2"/>
  <c r="F310" i="2"/>
  <c r="E310" i="2"/>
  <c r="D310" i="2"/>
  <c r="C310" i="2"/>
  <c r="B310" i="2"/>
  <c r="A310" i="2"/>
  <c r="AE309" i="2"/>
  <c r="AD309" i="2"/>
  <c r="AC309" i="2"/>
  <c r="AB309" i="2"/>
  <c r="AA309" i="2"/>
  <c r="Z309" i="2"/>
  <c r="Y309" i="2"/>
  <c r="X309" i="2"/>
  <c r="W309" i="2"/>
  <c r="V309" i="2"/>
  <c r="U309" i="2"/>
  <c r="T309" i="2"/>
  <c r="S309" i="2"/>
  <c r="R309" i="2"/>
  <c r="Q309" i="2"/>
  <c r="P309" i="2"/>
  <c r="O309" i="2"/>
  <c r="N309" i="2"/>
  <c r="M309" i="2"/>
  <c r="L309" i="2"/>
  <c r="K309" i="2"/>
  <c r="J309" i="2"/>
  <c r="I309" i="2"/>
  <c r="H309" i="2"/>
  <c r="G309" i="2"/>
  <c r="F309" i="2"/>
  <c r="E309" i="2"/>
  <c r="D309" i="2"/>
  <c r="C309" i="2"/>
  <c r="B309" i="2"/>
  <c r="A309" i="2"/>
  <c r="AE308" i="2"/>
  <c r="AD308" i="2"/>
  <c r="AC308" i="2"/>
  <c r="AB308" i="2"/>
  <c r="AA308" i="2"/>
  <c r="Z308" i="2"/>
  <c r="Y308" i="2"/>
  <c r="X308" i="2"/>
  <c r="W308" i="2"/>
  <c r="V308" i="2"/>
  <c r="U308" i="2"/>
  <c r="T308" i="2"/>
  <c r="S308" i="2"/>
  <c r="R308" i="2"/>
  <c r="Q308" i="2"/>
  <c r="P308" i="2"/>
  <c r="O308" i="2"/>
  <c r="N308" i="2"/>
  <c r="M308" i="2"/>
  <c r="L308" i="2"/>
  <c r="K308" i="2"/>
  <c r="J308" i="2"/>
  <c r="I308" i="2"/>
  <c r="H308" i="2"/>
  <c r="G308" i="2"/>
  <c r="F308" i="2"/>
  <c r="E308" i="2"/>
  <c r="D308" i="2"/>
  <c r="C308" i="2"/>
  <c r="B308" i="2"/>
  <c r="A308" i="2"/>
  <c r="AE307" i="2"/>
  <c r="AD307" i="2"/>
  <c r="AC307" i="2"/>
  <c r="AB307" i="2"/>
  <c r="AA307" i="2"/>
  <c r="Z307" i="2"/>
  <c r="Y307" i="2"/>
  <c r="X307" i="2"/>
  <c r="W307" i="2"/>
  <c r="V307" i="2"/>
  <c r="U307" i="2"/>
  <c r="T307" i="2"/>
  <c r="S307" i="2"/>
  <c r="R307" i="2"/>
  <c r="Q307" i="2"/>
  <c r="P307" i="2"/>
  <c r="O307" i="2"/>
  <c r="N307" i="2"/>
  <c r="M307" i="2"/>
  <c r="L307" i="2"/>
  <c r="K307" i="2"/>
  <c r="J307" i="2"/>
  <c r="I307" i="2"/>
  <c r="H307" i="2"/>
  <c r="G307" i="2"/>
  <c r="F307" i="2"/>
  <c r="E307" i="2"/>
  <c r="D307" i="2"/>
  <c r="C307" i="2"/>
  <c r="B307" i="2"/>
  <c r="A307" i="2"/>
  <c r="AE306" i="2"/>
  <c r="AD306" i="2"/>
  <c r="AC306" i="2"/>
  <c r="AB306" i="2"/>
  <c r="AA306" i="2"/>
  <c r="Z306" i="2"/>
  <c r="Y306" i="2"/>
  <c r="X306" i="2"/>
  <c r="W306" i="2"/>
  <c r="V306" i="2"/>
  <c r="U306" i="2"/>
  <c r="T306" i="2"/>
  <c r="S306" i="2"/>
  <c r="R306" i="2"/>
  <c r="Q306" i="2"/>
  <c r="P306" i="2"/>
  <c r="O306" i="2"/>
  <c r="N306" i="2"/>
  <c r="M306" i="2"/>
  <c r="L306" i="2"/>
  <c r="K306" i="2"/>
  <c r="J306" i="2"/>
  <c r="I306" i="2"/>
  <c r="H306" i="2"/>
  <c r="G306" i="2"/>
  <c r="F306" i="2"/>
  <c r="E306" i="2"/>
  <c r="D306" i="2"/>
  <c r="C306" i="2"/>
  <c r="B306" i="2"/>
  <c r="A306" i="2"/>
  <c r="AE305" i="2"/>
  <c r="AD305" i="2"/>
  <c r="AC305" i="2"/>
  <c r="AB305" i="2"/>
  <c r="AA305" i="2"/>
  <c r="Z305" i="2"/>
  <c r="Y305" i="2"/>
  <c r="X305" i="2"/>
  <c r="W305" i="2"/>
  <c r="V305" i="2"/>
  <c r="U305" i="2"/>
  <c r="T305" i="2"/>
  <c r="S305" i="2"/>
  <c r="R305" i="2"/>
  <c r="Q305" i="2"/>
  <c r="P305" i="2"/>
  <c r="O305" i="2"/>
  <c r="N305" i="2"/>
  <c r="M305" i="2"/>
  <c r="L305" i="2"/>
  <c r="K305" i="2"/>
  <c r="J305" i="2"/>
  <c r="I305" i="2"/>
  <c r="H305" i="2"/>
  <c r="G305" i="2"/>
  <c r="F305" i="2"/>
  <c r="E305" i="2"/>
  <c r="D305" i="2"/>
  <c r="C305" i="2"/>
  <c r="B305" i="2"/>
  <c r="A305" i="2"/>
  <c r="AE304" i="2"/>
  <c r="AD304" i="2"/>
  <c r="AC304" i="2"/>
  <c r="AB304" i="2"/>
  <c r="AA304" i="2"/>
  <c r="Z304" i="2"/>
  <c r="Y304" i="2"/>
  <c r="X304" i="2"/>
  <c r="W304" i="2"/>
  <c r="V304" i="2"/>
  <c r="U304" i="2"/>
  <c r="T304" i="2"/>
  <c r="S304" i="2"/>
  <c r="R304" i="2"/>
  <c r="Q304" i="2"/>
  <c r="P304" i="2"/>
  <c r="O304" i="2"/>
  <c r="N304" i="2"/>
  <c r="M304" i="2"/>
  <c r="L304" i="2"/>
  <c r="K304" i="2"/>
  <c r="J304" i="2"/>
  <c r="I304" i="2"/>
  <c r="H304" i="2"/>
  <c r="G304" i="2"/>
  <c r="F304" i="2"/>
  <c r="E304" i="2"/>
  <c r="D304" i="2"/>
  <c r="C304" i="2"/>
  <c r="B304" i="2"/>
  <c r="A304" i="2"/>
  <c r="AE303" i="2"/>
  <c r="AD303" i="2"/>
  <c r="AC303" i="2"/>
  <c r="AB303" i="2"/>
  <c r="AA303" i="2"/>
  <c r="Z303" i="2"/>
  <c r="Y303" i="2"/>
  <c r="X303" i="2"/>
  <c r="W303" i="2"/>
  <c r="V303" i="2"/>
  <c r="U303" i="2"/>
  <c r="T303" i="2"/>
  <c r="S303" i="2"/>
  <c r="R303" i="2"/>
  <c r="Q303" i="2"/>
  <c r="P303" i="2"/>
  <c r="O303" i="2"/>
  <c r="N303" i="2"/>
  <c r="M303" i="2"/>
  <c r="L303" i="2"/>
  <c r="K303" i="2"/>
  <c r="J303" i="2"/>
  <c r="I303" i="2"/>
  <c r="H303" i="2"/>
  <c r="G303" i="2"/>
  <c r="F303" i="2"/>
  <c r="E303" i="2"/>
  <c r="D303" i="2"/>
  <c r="C303" i="2"/>
  <c r="B303" i="2"/>
  <c r="A303" i="2"/>
  <c r="AE302" i="2"/>
  <c r="AD302" i="2"/>
  <c r="AC302" i="2"/>
  <c r="AB302" i="2"/>
  <c r="AA302" i="2"/>
  <c r="Z302" i="2"/>
  <c r="Y302" i="2"/>
  <c r="X302" i="2"/>
  <c r="W302" i="2"/>
  <c r="V302" i="2"/>
  <c r="U302" i="2"/>
  <c r="T302" i="2"/>
  <c r="S302" i="2"/>
  <c r="R302" i="2"/>
  <c r="Q302" i="2"/>
  <c r="P302" i="2"/>
  <c r="O302" i="2"/>
  <c r="N302" i="2"/>
  <c r="M302" i="2"/>
  <c r="L302" i="2"/>
  <c r="K302" i="2"/>
  <c r="J302" i="2"/>
  <c r="I302" i="2"/>
  <c r="H302" i="2"/>
  <c r="G302" i="2"/>
  <c r="F302" i="2"/>
  <c r="E302" i="2"/>
  <c r="D302" i="2"/>
  <c r="C302" i="2"/>
  <c r="B302" i="2"/>
  <c r="A302" i="2"/>
  <c r="AE301" i="2"/>
  <c r="AD301" i="2"/>
  <c r="AC301" i="2"/>
  <c r="AB301" i="2"/>
  <c r="AA301" i="2"/>
  <c r="Z301" i="2"/>
  <c r="Y301" i="2"/>
  <c r="X301" i="2"/>
  <c r="W301" i="2"/>
  <c r="V301" i="2"/>
  <c r="U301" i="2"/>
  <c r="T301" i="2"/>
  <c r="S301" i="2"/>
  <c r="R301" i="2"/>
  <c r="Q301" i="2"/>
  <c r="P301" i="2"/>
  <c r="O301" i="2"/>
  <c r="N301" i="2"/>
  <c r="M301" i="2"/>
  <c r="L301" i="2"/>
  <c r="K301" i="2"/>
  <c r="J301" i="2"/>
  <c r="I301" i="2"/>
  <c r="H301" i="2"/>
  <c r="G301" i="2"/>
  <c r="F301" i="2"/>
  <c r="E301" i="2"/>
  <c r="D301" i="2"/>
  <c r="C301" i="2"/>
  <c r="B301" i="2"/>
  <c r="A301" i="2"/>
  <c r="AE300" i="2"/>
  <c r="AD300" i="2"/>
  <c r="AC300" i="2"/>
  <c r="AB300" i="2"/>
  <c r="AA300" i="2"/>
  <c r="Z300" i="2"/>
  <c r="Y300" i="2"/>
  <c r="X300" i="2"/>
  <c r="W300" i="2"/>
  <c r="V300" i="2"/>
  <c r="U300" i="2"/>
  <c r="T300" i="2"/>
  <c r="S300" i="2"/>
  <c r="R300" i="2"/>
  <c r="Q300" i="2"/>
  <c r="P300" i="2"/>
  <c r="O300" i="2"/>
  <c r="N300" i="2"/>
  <c r="M300" i="2"/>
  <c r="L300" i="2"/>
  <c r="K300" i="2"/>
  <c r="J300" i="2"/>
  <c r="I300" i="2"/>
  <c r="H300" i="2"/>
  <c r="G300" i="2"/>
  <c r="F300" i="2"/>
  <c r="E300" i="2"/>
  <c r="D300" i="2"/>
  <c r="C300" i="2"/>
  <c r="B300" i="2"/>
  <c r="A300" i="2"/>
  <c r="AE299" i="2"/>
  <c r="AD299" i="2"/>
  <c r="AC299" i="2"/>
  <c r="AB299" i="2"/>
  <c r="AA299" i="2"/>
  <c r="Z299" i="2"/>
  <c r="Y299" i="2"/>
  <c r="X299" i="2"/>
  <c r="W299" i="2"/>
  <c r="V299" i="2"/>
  <c r="U299" i="2"/>
  <c r="T299" i="2"/>
  <c r="S299" i="2"/>
  <c r="R299" i="2"/>
  <c r="Q299" i="2"/>
  <c r="P299" i="2"/>
  <c r="O299" i="2"/>
  <c r="N299" i="2"/>
  <c r="M299" i="2"/>
  <c r="L299" i="2"/>
  <c r="K299" i="2"/>
  <c r="J299" i="2"/>
  <c r="I299" i="2"/>
  <c r="H299" i="2"/>
  <c r="G299" i="2"/>
  <c r="F299" i="2"/>
  <c r="E299" i="2"/>
  <c r="D299" i="2"/>
  <c r="C299" i="2"/>
  <c r="B299" i="2"/>
  <c r="A299" i="2"/>
  <c r="AE298" i="2"/>
  <c r="AD298" i="2"/>
  <c r="AC298" i="2"/>
  <c r="AB298" i="2"/>
  <c r="AA298" i="2"/>
  <c r="Z298" i="2"/>
  <c r="Y298" i="2"/>
  <c r="X298" i="2"/>
  <c r="W298" i="2"/>
  <c r="V298" i="2"/>
  <c r="U298" i="2"/>
  <c r="T298" i="2"/>
  <c r="S298" i="2"/>
  <c r="R298" i="2"/>
  <c r="Q298" i="2"/>
  <c r="P298" i="2"/>
  <c r="O298" i="2"/>
  <c r="N298" i="2"/>
  <c r="M298" i="2"/>
  <c r="L298" i="2"/>
  <c r="K298" i="2"/>
  <c r="J298" i="2"/>
  <c r="I298" i="2"/>
  <c r="H298" i="2"/>
  <c r="G298" i="2"/>
  <c r="F298" i="2"/>
  <c r="E298" i="2"/>
  <c r="D298" i="2"/>
  <c r="C298" i="2"/>
  <c r="B298" i="2"/>
  <c r="A298" i="2"/>
  <c r="AE297" i="2"/>
  <c r="AD297" i="2"/>
  <c r="AC297" i="2"/>
  <c r="AB297" i="2"/>
  <c r="AA297" i="2"/>
  <c r="Z297" i="2"/>
  <c r="Y297" i="2"/>
  <c r="X297" i="2"/>
  <c r="W297" i="2"/>
  <c r="V297" i="2"/>
  <c r="U297" i="2"/>
  <c r="T297" i="2"/>
  <c r="S297" i="2"/>
  <c r="R297" i="2"/>
  <c r="Q297" i="2"/>
  <c r="P297" i="2"/>
  <c r="O297" i="2"/>
  <c r="N297" i="2"/>
  <c r="M297" i="2"/>
  <c r="L297" i="2"/>
  <c r="K297" i="2"/>
  <c r="J297" i="2"/>
  <c r="I297" i="2"/>
  <c r="H297" i="2"/>
  <c r="G297" i="2"/>
  <c r="F297" i="2"/>
  <c r="E297" i="2"/>
  <c r="D297" i="2"/>
  <c r="C297" i="2"/>
  <c r="B297" i="2"/>
  <c r="A297" i="2"/>
  <c r="AE296" i="2"/>
  <c r="AD296" i="2"/>
  <c r="AC296" i="2"/>
  <c r="AB296" i="2"/>
  <c r="AA296" i="2"/>
  <c r="Z296" i="2"/>
  <c r="Y296" i="2"/>
  <c r="X296" i="2"/>
  <c r="W296" i="2"/>
  <c r="V296" i="2"/>
  <c r="U296" i="2"/>
  <c r="T296" i="2"/>
  <c r="S296" i="2"/>
  <c r="R296" i="2"/>
  <c r="Q296" i="2"/>
  <c r="P296" i="2"/>
  <c r="O296" i="2"/>
  <c r="N296" i="2"/>
  <c r="M296" i="2"/>
  <c r="L296" i="2"/>
  <c r="K296" i="2"/>
  <c r="J296" i="2"/>
  <c r="I296" i="2"/>
  <c r="H296" i="2"/>
  <c r="G296" i="2"/>
  <c r="F296" i="2"/>
  <c r="E296" i="2"/>
  <c r="D296" i="2"/>
  <c r="C296" i="2"/>
  <c r="B296" i="2"/>
  <c r="A296" i="2"/>
  <c r="AE295" i="2"/>
  <c r="AD295" i="2"/>
  <c r="AC295" i="2"/>
  <c r="AB295" i="2"/>
  <c r="AA295" i="2"/>
  <c r="Z295" i="2"/>
  <c r="Y295" i="2"/>
  <c r="X295" i="2"/>
  <c r="W295" i="2"/>
  <c r="V295" i="2"/>
  <c r="U295" i="2"/>
  <c r="T295" i="2"/>
  <c r="S295" i="2"/>
  <c r="R295" i="2"/>
  <c r="Q295" i="2"/>
  <c r="P295" i="2"/>
  <c r="O295" i="2"/>
  <c r="N295" i="2"/>
  <c r="M295" i="2"/>
  <c r="L295" i="2"/>
  <c r="K295" i="2"/>
  <c r="J295" i="2"/>
  <c r="I295" i="2"/>
  <c r="H295" i="2"/>
  <c r="G295" i="2"/>
  <c r="F295" i="2"/>
  <c r="E295" i="2"/>
  <c r="D295" i="2"/>
  <c r="C295" i="2"/>
  <c r="B295" i="2"/>
  <c r="A295" i="2"/>
  <c r="AE294" i="2"/>
  <c r="AD294" i="2"/>
  <c r="AC294" i="2"/>
  <c r="AB294" i="2"/>
  <c r="AA294" i="2"/>
  <c r="Z294" i="2"/>
  <c r="Y294" i="2"/>
  <c r="X294" i="2"/>
  <c r="W294" i="2"/>
  <c r="V294" i="2"/>
  <c r="U294" i="2"/>
  <c r="T294" i="2"/>
  <c r="S294" i="2"/>
  <c r="R294" i="2"/>
  <c r="Q294" i="2"/>
  <c r="P294" i="2"/>
  <c r="O294" i="2"/>
  <c r="N294" i="2"/>
  <c r="M294" i="2"/>
  <c r="L294" i="2"/>
  <c r="K294" i="2"/>
  <c r="J294" i="2"/>
  <c r="I294" i="2"/>
  <c r="H294" i="2"/>
  <c r="G294" i="2"/>
  <c r="F294" i="2"/>
  <c r="E294" i="2"/>
  <c r="D294" i="2"/>
  <c r="C294" i="2"/>
  <c r="B294" i="2"/>
  <c r="A294" i="2"/>
  <c r="AE293" i="2"/>
  <c r="AD293" i="2"/>
  <c r="AC293" i="2"/>
  <c r="AB293" i="2"/>
  <c r="AA293" i="2"/>
  <c r="Z293" i="2"/>
  <c r="Y293" i="2"/>
  <c r="X293" i="2"/>
  <c r="W293" i="2"/>
  <c r="V293" i="2"/>
  <c r="U293" i="2"/>
  <c r="T293" i="2"/>
  <c r="S293" i="2"/>
  <c r="R293" i="2"/>
  <c r="Q293" i="2"/>
  <c r="P293" i="2"/>
  <c r="O293" i="2"/>
  <c r="N293" i="2"/>
  <c r="M293" i="2"/>
  <c r="L293" i="2"/>
  <c r="K293" i="2"/>
  <c r="J293" i="2"/>
  <c r="I293" i="2"/>
  <c r="H293" i="2"/>
  <c r="G293" i="2"/>
  <c r="F293" i="2"/>
  <c r="E293" i="2"/>
  <c r="D293" i="2"/>
  <c r="C293" i="2"/>
  <c r="B293" i="2"/>
  <c r="A293" i="2"/>
  <c r="AE292" i="2"/>
  <c r="AD292" i="2"/>
  <c r="AC292" i="2"/>
  <c r="AB292" i="2"/>
  <c r="AA292" i="2"/>
  <c r="Z292" i="2"/>
  <c r="Y292" i="2"/>
  <c r="X292" i="2"/>
  <c r="W292" i="2"/>
  <c r="V292" i="2"/>
  <c r="U292" i="2"/>
  <c r="T292" i="2"/>
  <c r="S292" i="2"/>
  <c r="R292" i="2"/>
  <c r="Q292" i="2"/>
  <c r="P292" i="2"/>
  <c r="O292" i="2"/>
  <c r="N292" i="2"/>
  <c r="M292" i="2"/>
  <c r="L292" i="2"/>
  <c r="K292" i="2"/>
  <c r="J292" i="2"/>
  <c r="I292" i="2"/>
  <c r="H292" i="2"/>
  <c r="G292" i="2"/>
  <c r="F292" i="2"/>
  <c r="E292" i="2"/>
  <c r="D292" i="2"/>
  <c r="C292" i="2"/>
  <c r="B292" i="2"/>
  <c r="A292" i="2"/>
  <c r="AE291" i="2"/>
  <c r="AD291" i="2"/>
  <c r="AC291" i="2"/>
  <c r="AB291" i="2"/>
  <c r="AA291" i="2"/>
  <c r="Z291" i="2"/>
  <c r="Y291" i="2"/>
  <c r="X291" i="2"/>
  <c r="W291" i="2"/>
  <c r="V291" i="2"/>
  <c r="U291" i="2"/>
  <c r="T291" i="2"/>
  <c r="S291" i="2"/>
  <c r="R291" i="2"/>
  <c r="Q291" i="2"/>
  <c r="P291" i="2"/>
  <c r="O291" i="2"/>
  <c r="N291" i="2"/>
  <c r="M291" i="2"/>
  <c r="L291" i="2"/>
  <c r="K291" i="2"/>
  <c r="J291" i="2"/>
  <c r="I291" i="2"/>
  <c r="H291" i="2"/>
  <c r="G291" i="2"/>
  <c r="F291" i="2"/>
  <c r="E291" i="2"/>
  <c r="D291" i="2"/>
  <c r="C291" i="2"/>
  <c r="B291" i="2"/>
  <c r="A291" i="2"/>
  <c r="AE290" i="2"/>
  <c r="AD290" i="2"/>
  <c r="AC290" i="2"/>
  <c r="AB290" i="2"/>
  <c r="AA290" i="2"/>
  <c r="Z290" i="2"/>
  <c r="Y290" i="2"/>
  <c r="X290" i="2"/>
  <c r="W290" i="2"/>
  <c r="V290" i="2"/>
  <c r="U290" i="2"/>
  <c r="T290" i="2"/>
  <c r="S290" i="2"/>
  <c r="R290" i="2"/>
  <c r="Q290" i="2"/>
  <c r="P290" i="2"/>
  <c r="O290" i="2"/>
  <c r="N290" i="2"/>
  <c r="M290" i="2"/>
  <c r="L290" i="2"/>
  <c r="K290" i="2"/>
  <c r="J290" i="2"/>
  <c r="I290" i="2"/>
  <c r="H290" i="2"/>
  <c r="G290" i="2"/>
  <c r="F290" i="2"/>
  <c r="E290" i="2"/>
  <c r="D290" i="2"/>
  <c r="C290" i="2"/>
  <c r="B290" i="2"/>
  <c r="A290" i="2"/>
  <c r="AE289" i="2"/>
  <c r="AD289" i="2"/>
  <c r="AC289" i="2"/>
  <c r="AB289" i="2"/>
  <c r="AA289" i="2"/>
  <c r="Z289" i="2"/>
  <c r="Y289" i="2"/>
  <c r="X289" i="2"/>
  <c r="W289" i="2"/>
  <c r="V289" i="2"/>
  <c r="U289" i="2"/>
  <c r="T289" i="2"/>
  <c r="S289" i="2"/>
  <c r="R289" i="2"/>
  <c r="Q289" i="2"/>
  <c r="P289" i="2"/>
  <c r="O289" i="2"/>
  <c r="N289" i="2"/>
  <c r="M289" i="2"/>
  <c r="L289" i="2"/>
  <c r="K289" i="2"/>
  <c r="J289" i="2"/>
  <c r="I289" i="2"/>
  <c r="H289" i="2"/>
  <c r="G289" i="2"/>
  <c r="F289" i="2"/>
  <c r="E289" i="2"/>
  <c r="D289" i="2"/>
  <c r="C289" i="2"/>
  <c r="B289" i="2"/>
  <c r="A289" i="2"/>
  <c r="AE288" i="2"/>
  <c r="AD288" i="2"/>
  <c r="AC288" i="2"/>
  <c r="AB288" i="2"/>
  <c r="AA288" i="2"/>
  <c r="Z288" i="2"/>
  <c r="Y288" i="2"/>
  <c r="X288" i="2"/>
  <c r="W288" i="2"/>
  <c r="V288" i="2"/>
  <c r="U288" i="2"/>
  <c r="T288" i="2"/>
  <c r="S288" i="2"/>
  <c r="R288" i="2"/>
  <c r="Q288" i="2"/>
  <c r="P288" i="2"/>
  <c r="O288" i="2"/>
  <c r="N288" i="2"/>
  <c r="M288" i="2"/>
  <c r="L288" i="2"/>
  <c r="K288" i="2"/>
  <c r="J288" i="2"/>
  <c r="I288" i="2"/>
  <c r="H288" i="2"/>
  <c r="G288" i="2"/>
  <c r="F288" i="2"/>
  <c r="E288" i="2"/>
  <c r="D288" i="2"/>
  <c r="C288" i="2"/>
  <c r="B288" i="2"/>
  <c r="A288" i="2"/>
  <c r="AE287" i="2"/>
  <c r="AD287" i="2"/>
  <c r="AC287" i="2"/>
  <c r="AB287" i="2"/>
  <c r="AA287" i="2"/>
  <c r="Z287" i="2"/>
  <c r="Y287" i="2"/>
  <c r="X287" i="2"/>
  <c r="W287" i="2"/>
  <c r="V287" i="2"/>
  <c r="U287" i="2"/>
  <c r="T287" i="2"/>
  <c r="S287" i="2"/>
  <c r="R287" i="2"/>
  <c r="Q287" i="2"/>
  <c r="P287" i="2"/>
  <c r="O287" i="2"/>
  <c r="N287" i="2"/>
  <c r="M287" i="2"/>
  <c r="L287" i="2"/>
  <c r="K287" i="2"/>
  <c r="J287" i="2"/>
  <c r="I287" i="2"/>
  <c r="H287" i="2"/>
  <c r="G287" i="2"/>
  <c r="F287" i="2"/>
  <c r="E287" i="2"/>
  <c r="D287" i="2"/>
  <c r="C287" i="2"/>
  <c r="B287" i="2"/>
  <c r="A287" i="2"/>
  <c r="AE286" i="2"/>
  <c r="AD286" i="2"/>
  <c r="AC286" i="2"/>
  <c r="AB286" i="2"/>
  <c r="AA286" i="2"/>
  <c r="Z286" i="2"/>
  <c r="Y286" i="2"/>
  <c r="X286" i="2"/>
  <c r="W286" i="2"/>
  <c r="V286" i="2"/>
  <c r="U286" i="2"/>
  <c r="T286" i="2"/>
  <c r="S286" i="2"/>
  <c r="R286" i="2"/>
  <c r="Q286" i="2"/>
  <c r="P286" i="2"/>
  <c r="O286" i="2"/>
  <c r="N286" i="2"/>
  <c r="M286" i="2"/>
  <c r="L286" i="2"/>
  <c r="K286" i="2"/>
  <c r="J286" i="2"/>
  <c r="I286" i="2"/>
  <c r="H286" i="2"/>
  <c r="G286" i="2"/>
  <c r="F286" i="2"/>
  <c r="E286" i="2"/>
  <c r="D286" i="2"/>
  <c r="C286" i="2"/>
  <c r="B286" i="2"/>
  <c r="A286" i="2"/>
  <c r="AE285" i="2"/>
  <c r="AD285" i="2"/>
  <c r="AC285" i="2"/>
  <c r="AB285" i="2"/>
  <c r="AA285" i="2"/>
  <c r="Z285" i="2"/>
  <c r="Y285" i="2"/>
  <c r="X285" i="2"/>
  <c r="W285" i="2"/>
  <c r="V285" i="2"/>
  <c r="U285" i="2"/>
  <c r="T285" i="2"/>
  <c r="S285" i="2"/>
  <c r="R285" i="2"/>
  <c r="Q285" i="2"/>
  <c r="P285" i="2"/>
  <c r="O285" i="2"/>
  <c r="N285" i="2"/>
  <c r="M285" i="2"/>
  <c r="L285" i="2"/>
  <c r="K285" i="2"/>
  <c r="J285" i="2"/>
  <c r="I285" i="2"/>
  <c r="H285" i="2"/>
  <c r="G285" i="2"/>
  <c r="F285" i="2"/>
  <c r="E285" i="2"/>
  <c r="D285" i="2"/>
  <c r="C285" i="2"/>
  <c r="B285" i="2"/>
  <c r="A285" i="2"/>
  <c r="AE284" i="2"/>
  <c r="AD284" i="2"/>
  <c r="AC284" i="2"/>
  <c r="AB284" i="2"/>
  <c r="AA284" i="2"/>
  <c r="Z284" i="2"/>
  <c r="Y284" i="2"/>
  <c r="X284" i="2"/>
  <c r="W284" i="2"/>
  <c r="V284" i="2"/>
  <c r="U284" i="2"/>
  <c r="T284" i="2"/>
  <c r="S284" i="2"/>
  <c r="R284" i="2"/>
  <c r="Q284" i="2"/>
  <c r="P284" i="2"/>
  <c r="O284" i="2"/>
  <c r="N284" i="2"/>
  <c r="M284" i="2"/>
  <c r="L284" i="2"/>
  <c r="K284" i="2"/>
  <c r="J284" i="2"/>
  <c r="I284" i="2"/>
  <c r="H284" i="2"/>
  <c r="G284" i="2"/>
  <c r="F284" i="2"/>
  <c r="E284" i="2"/>
  <c r="D284" i="2"/>
  <c r="C284" i="2"/>
  <c r="B284" i="2"/>
  <c r="A284" i="2"/>
  <c r="AE283" i="2"/>
  <c r="AD283" i="2"/>
  <c r="AC283" i="2"/>
  <c r="AB283" i="2"/>
  <c r="AA283" i="2"/>
  <c r="Z283" i="2"/>
  <c r="Y283" i="2"/>
  <c r="X283" i="2"/>
  <c r="W283" i="2"/>
  <c r="V283" i="2"/>
  <c r="U283" i="2"/>
  <c r="T283" i="2"/>
  <c r="S283" i="2"/>
  <c r="R283" i="2"/>
  <c r="Q283" i="2"/>
  <c r="P283" i="2"/>
  <c r="O283" i="2"/>
  <c r="N283" i="2"/>
  <c r="M283" i="2"/>
  <c r="L283" i="2"/>
  <c r="K283" i="2"/>
  <c r="J283" i="2"/>
  <c r="I283" i="2"/>
  <c r="H283" i="2"/>
  <c r="G283" i="2"/>
  <c r="F283" i="2"/>
  <c r="E283" i="2"/>
  <c r="D283" i="2"/>
  <c r="C283" i="2"/>
  <c r="B283" i="2"/>
  <c r="A283" i="2"/>
  <c r="AE282" i="2"/>
  <c r="AD282" i="2"/>
  <c r="AC282" i="2"/>
  <c r="AB282" i="2"/>
  <c r="AA282" i="2"/>
  <c r="Z282" i="2"/>
  <c r="Y282" i="2"/>
  <c r="X282" i="2"/>
  <c r="W282" i="2"/>
  <c r="V282" i="2"/>
  <c r="U282" i="2"/>
  <c r="T282" i="2"/>
  <c r="S282" i="2"/>
  <c r="R282" i="2"/>
  <c r="Q282" i="2"/>
  <c r="P282" i="2"/>
  <c r="O282" i="2"/>
  <c r="N282" i="2"/>
  <c r="M282" i="2"/>
  <c r="L282" i="2"/>
  <c r="K282" i="2"/>
  <c r="J282" i="2"/>
  <c r="I282" i="2"/>
  <c r="H282" i="2"/>
  <c r="G282" i="2"/>
  <c r="F282" i="2"/>
  <c r="E282" i="2"/>
  <c r="D282" i="2"/>
  <c r="C282" i="2"/>
  <c r="B282" i="2"/>
  <c r="A282" i="2"/>
  <c r="AE281" i="2"/>
  <c r="AD281" i="2"/>
  <c r="AC281" i="2"/>
  <c r="AB281" i="2"/>
  <c r="AA281" i="2"/>
  <c r="Z281" i="2"/>
  <c r="Y281" i="2"/>
  <c r="X281" i="2"/>
  <c r="W281" i="2"/>
  <c r="V281" i="2"/>
  <c r="U281" i="2"/>
  <c r="T281" i="2"/>
  <c r="S281" i="2"/>
  <c r="R281" i="2"/>
  <c r="Q281" i="2"/>
  <c r="P281" i="2"/>
  <c r="O281" i="2"/>
  <c r="N281" i="2"/>
  <c r="M281" i="2"/>
  <c r="L281" i="2"/>
  <c r="K281" i="2"/>
  <c r="J281" i="2"/>
  <c r="I281" i="2"/>
  <c r="H281" i="2"/>
  <c r="G281" i="2"/>
  <c r="F281" i="2"/>
  <c r="E281" i="2"/>
  <c r="D281" i="2"/>
  <c r="C281" i="2"/>
  <c r="B281" i="2"/>
  <c r="A281" i="2"/>
  <c r="AE280" i="2"/>
  <c r="AD280" i="2"/>
  <c r="AC280" i="2"/>
  <c r="AB280" i="2"/>
  <c r="AA280" i="2"/>
  <c r="Z280" i="2"/>
  <c r="Y280" i="2"/>
  <c r="X280" i="2"/>
  <c r="W280" i="2"/>
  <c r="V280" i="2"/>
  <c r="U280" i="2"/>
  <c r="T280" i="2"/>
  <c r="S280" i="2"/>
  <c r="R280" i="2"/>
  <c r="Q280" i="2"/>
  <c r="P280" i="2"/>
  <c r="O280" i="2"/>
  <c r="N280" i="2"/>
  <c r="M280" i="2"/>
  <c r="L280" i="2"/>
  <c r="K280" i="2"/>
  <c r="J280" i="2"/>
  <c r="I280" i="2"/>
  <c r="H280" i="2"/>
  <c r="G280" i="2"/>
  <c r="F280" i="2"/>
  <c r="E280" i="2"/>
  <c r="D280" i="2"/>
  <c r="C280" i="2"/>
  <c r="B280" i="2"/>
  <c r="A280" i="2"/>
  <c r="AE279" i="2"/>
  <c r="AD279" i="2"/>
  <c r="AC279" i="2"/>
  <c r="AB279" i="2"/>
  <c r="AA279" i="2"/>
  <c r="Z279" i="2"/>
  <c r="Y279" i="2"/>
  <c r="X279" i="2"/>
  <c r="W279" i="2"/>
  <c r="V279" i="2"/>
  <c r="U279" i="2"/>
  <c r="T279" i="2"/>
  <c r="S279" i="2"/>
  <c r="R279" i="2"/>
  <c r="Q279" i="2"/>
  <c r="P279" i="2"/>
  <c r="O279" i="2"/>
  <c r="N279" i="2"/>
  <c r="M279" i="2"/>
  <c r="L279" i="2"/>
  <c r="K279" i="2"/>
  <c r="J279" i="2"/>
  <c r="I279" i="2"/>
  <c r="H279" i="2"/>
  <c r="G279" i="2"/>
  <c r="F279" i="2"/>
  <c r="E279" i="2"/>
  <c r="D279" i="2"/>
  <c r="C279" i="2"/>
  <c r="B279" i="2"/>
  <c r="A279" i="2"/>
  <c r="AE278" i="2"/>
  <c r="AD278" i="2"/>
  <c r="AC278" i="2"/>
  <c r="AB278" i="2"/>
  <c r="AA278" i="2"/>
  <c r="Z278" i="2"/>
  <c r="Y278" i="2"/>
  <c r="X278" i="2"/>
  <c r="W278" i="2"/>
  <c r="V278" i="2"/>
  <c r="U278" i="2"/>
  <c r="T278" i="2"/>
  <c r="S278" i="2"/>
  <c r="R278" i="2"/>
  <c r="Q278" i="2"/>
  <c r="P278" i="2"/>
  <c r="O278" i="2"/>
  <c r="N278" i="2"/>
  <c r="M278" i="2"/>
  <c r="L278" i="2"/>
  <c r="K278" i="2"/>
  <c r="J278" i="2"/>
  <c r="I278" i="2"/>
  <c r="H278" i="2"/>
  <c r="G278" i="2"/>
  <c r="F278" i="2"/>
  <c r="E278" i="2"/>
  <c r="D278" i="2"/>
  <c r="C278" i="2"/>
  <c r="B278" i="2"/>
  <c r="A278" i="2"/>
  <c r="AE277" i="2"/>
  <c r="AD277" i="2"/>
  <c r="AC277" i="2"/>
  <c r="AB277" i="2"/>
  <c r="AA277" i="2"/>
  <c r="Z277" i="2"/>
  <c r="Y277" i="2"/>
  <c r="X277" i="2"/>
  <c r="W277" i="2"/>
  <c r="V277" i="2"/>
  <c r="U277" i="2"/>
  <c r="T277" i="2"/>
  <c r="S277" i="2"/>
  <c r="R277" i="2"/>
  <c r="Q277" i="2"/>
  <c r="P277" i="2"/>
  <c r="O277" i="2"/>
  <c r="N277" i="2"/>
  <c r="M277" i="2"/>
  <c r="L277" i="2"/>
  <c r="K277" i="2"/>
  <c r="J277" i="2"/>
  <c r="I277" i="2"/>
  <c r="H277" i="2"/>
  <c r="G277" i="2"/>
  <c r="F277" i="2"/>
  <c r="E277" i="2"/>
  <c r="D277" i="2"/>
  <c r="C277" i="2"/>
  <c r="B277" i="2"/>
  <c r="A277" i="2"/>
  <c r="AE276" i="2"/>
  <c r="AD276" i="2"/>
  <c r="AC276" i="2"/>
  <c r="AB276" i="2"/>
  <c r="AA276" i="2"/>
  <c r="Z276" i="2"/>
  <c r="Y276" i="2"/>
  <c r="X276" i="2"/>
  <c r="W276" i="2"/>
  <c r="V276" i="2"/>
  <c r="U276" i="2"/>
  <c r="T276" i="2"/>
  <c r="S276" i="2"/>
  <c r="R276" i="2"/>
  <c r="Q276" i="2"/>
  <c r="P276" i="2"/>
  <c r="O276" i="2"/>
  <c r="N276" i="2"/>
  <c r="M276" i="2"/>
  <c r="L276" i="2"/>
  <c r="K276" i="2"/>
  <c r="J276" i="2"/>
  <c r="I276" i="2"/>
  <c r="H276" i="2"/>
  <c r="G276" i="2"/>
  <c r="F276" i="2"/>
  <c r="E276" i="2"/>
  <c r="D276" i="2"/>
  <c r="C276" i="2"/>
  <c r="B276" i="2"/>
  <c r="A276" i="2"/>
  <c r="AE275" i="2"/>
  <c r="AD275" i="2"/>
  <c r="AC275" i="2"/>
  <c r="AB275" i="2"/>
  <c r="AA275" i="2"/>
  <c r="Z275" i="2"/>
  <c r="Y275" i="2"/>
  <c r="X275" i="2"/>
  <c r="W275" i="2"/>
  <c r="V275" i="2"/>
  <c r="U275" i="2"/>
  <c r="T275" i="2"/>
  <c r="S275" i="2"/>
  <c r="R275" i="2"/>
  <c r="Q275" i="2"/>
  <c r="P275" i="2"/>
  <c r="O275" i="2"/>
  <c r="N275" i="2"/>
  <c r="M275" i="2"/>
  <c r="L275" i="2"/>
  <c r="K275" i="2"/>
  <c r="J275" i="2"/>
  <c r="I275" i="2"/>
  <c r="H275" i="2"/>
  <c r="G275" i="2"/>
  <c r="F275" i="2"/>
  <c r="E275" i="2"/>
  <c r="D275" i="2"/>
  <c r="C275" i="2"/>
  <c r="B275" i="2"/>
  <c r="A275" i="2"/>
  <c r="AE274" i="2"/>
  <c r="AD274" i="2"/>
  <c r="AC274" i="2"/>
  <c r="AB274" i="2"/>
  <c r="AA274" i="2"/>
  <c r="Z274" i="2"/>
  <c r="Y274" i="2"/>
  <c r="X274" i="2"/>
  <c r="W274" i="2"/>
  <c r="V274" i="2"/>
  <c r="U274" i="2"/>
  <c r="T274" i="2"/>
  <c r="S274" i="2"/>
  <c r="R274" i="2"/>
  <c r="Q274" i="2"/>
  <c r="P274" i="2"/>
  <c r="O274" i="2"/>
  <c r="N274" i="2"/>
  <c r="M274" i="2"/>
  <c r="L274" i="2"/>
  <c r="K274" i="2"/>
  <c r="J274" i="2"/>
  <c r="I274" i="2"/>
  <c r="H274" i="2"/>
  <c r="G274" i="2"/>
  <c r="F274" i="2"/>
  <c r="E274" i="2"/>
  <c r="D274" i="2"/>
  <c r="C274" i="2"/>
  <c r="B274" i="2"/>
  <c r="A274" i="2"/>
  <c r="AE273" i="2"/>
  <c r="AD273" i="2"/>
  <c r="AC273" i="2"/>
  <c r="AB273" i="2"/>
  <c r="AA273" i="2"/>
  <c r="Z273" i="2"/>
  <c r="Y273" i="2"/>
  <c r="X273" i="2"/>
  <c r="W273" i="2"/>
  <c r="V273" i="2"/>
  <c r="U273" i="2"/>
  <c r="T273" i="2"/>
  <c r="S273" i="2"/>
  <c r="R273" i="2"/>
  <c r="Q273" i="2"/>
  <c r="P273" i="2"/>
  <c r="O273" i="2"/>
  <c r="N273" i="2"/>
  <c r="M273" i="2"/>
  <c r="L273" i="2"/>
  <c r="K273" i="2"/>
  <c r="J273" i="2"/>
  <c r="I273" i="2"/>
  <c r="H273" i="2"/>
  <c r="G273" i="2"/>
  <c r="F273" i="2"/>
  <c r="E273" i="2"/>
  <c r="D273" i="2"/>
  <c r="C273" i="2"/>
  <c r="B273" i="2"/>
  <c r="A273" i="2"/>
  <c r="AE272" i="2"/>
  <c r="AD272" i="2"/>
  <c r="AC272" i="2"/>
  <c r="AB272" i="2"/>
  <c r="AA272" i="2"/>
  <c r="Z272" i="2"/>
  <c r="Y272" i="2"/>
  <c r="X272" i="2"/>
  <c r="W272" i="2"/>
  <c r="V272" i="2"/>
  <c r="U272" i="2"/>
  <c r="T272" i="2"/>
  <c r="S272" i="2"/>
  <c r="R272" i="2"/>
  <c r="Q272" i="2"/>
  <c r="P272" i="2"/>
  <c r="O272" i="2"/>
  <c r="N272" i="2"/>
  <c r="M272" i="2"/>
  <c r="L272" i="2"/>
  <c r="K272" i="2"/>
  <c r="J272" i="2"/>
  <c r="I272" i="2"/>
  <c r="H272" i="2"/>
  <c r="G272" i="2"/>
  <c r="F272" i="2"/>
  <c r="E272" i="2"/>
  <c r="D272" i="2"/>
  <c r="C272" i="2"/>
  <c r="B272" i="2"/>
  <c r="A272" i="2"/>
  <c r="AE271" i="2"/>
  <c r="AD271" i="2"/>
  <c r="AC271" i="2"/>
  <c r="AB271" i="2"/>
  <c r="AA271" i="2"/>
  <c r="Z271" i="2"/>
  <c r="Y271" i="2"/>
  <c r="X271" i="2"/>
  <c r="W271" i="2"/>
  <c r="V271" i="2"/>
  <c r="U271" i="2"/>
  <c r="T271" i="2"/>
  <c r="S271" i="2"/>
  <c r="R271" i="2"/>
  <c r="Q271" i="2"/>
  <c r="P271" i="2"/>
  <c r="O271" i="2"/>
  <c r="N271" i="2"/>
  <c r="M271" i="2"/>
  <c r="L271" i="2"/>
  <c r="K271" i="2"/>
  <c r="J271" i="2"/>
  <c r="I271" i="2"/>
  <c r="H271" i="2"/>
  <c r="G271" i="2"/>
  <c r="F271" i="2"/>
  <c r="E271" i="2"/>
  <c r="D271" i="2"/>
  <c r="C271" i="2"/>
  <c r="B271" i="2"/>
  <c r="A271" i="2"/>
  <c r="AE270" i="2"/>
  <c r="AD270" i="2"/>
  <c r="AC270" i="2"/>
  <c r="AB270" i="2"/>
  <c r="AA270" i="2"/>
  <c r="Z270" i="2"/>
  <c r="Y270" i="2"/>
  <c r="X270" i="2"/>
  <c r="W270" i="2"/>
  <c r="V270" i="2"/>
  <c r="U270" i="2"/>
  <c r="T270" i="2"/>
  <c r="S270" i="2"/>
  <c r="R270" i="2"/>
  <c r="Q270" i="2"/>
  <c r="P270" i="2"/>
  <c r="O270" i="2"/>
  <c r="N270" i="2"/>
  <c r="M270" i="2"/>
  <c r="L270" i="2"/>
  <c r="K270" i="2"/>
  <c r="J270" i="2"/>
  <c r="I270" i="2"/>
  <c r="H270" i="2"/>
  <c r="G270" i="2"/>
  <c r="F270" i="2"/>
  <c r="E270" i="2"/>
  <c r="D270" i="2"/>
  <c r="C270" i="2"/>
  <c r="B270" i="2"/>
  <c r="A270" i="2"/>
  <c r="AE269" i="2"/>
  <c r="AD269" i="2"/>
  <c r="AC269" i="2"/>
  <c r="AB269" i="2"/>
  <c r="AA269" i="2"/>
  <c r="Z269" i="2"/>
  <c r="Y269" i="2"/>
  <c r="X269" i="2"/>
  <c r="W269" i="2"/>
  <c r="V269" i="2"/>
  <c r="U269" i="2"/>
  <c r="T269" i="2"/>
  <c r="S269" i="2"/>
  <c r="R269" i="2"/>
  <c r="Q269" i="2"/>
  <c r="P269" i="2"/>
  <c r="O269" i="2"/>
  <c r="N269" i="2"/>
  <c r="M269" i="2"/>
  <c r="L269" i="2"/>
  <c r="K269" i="2"/>
  <c r="J269" i="2"/>
  <c r="I269" i="2"/>
  <c r="H269" i="2"/>
  <c r="G269" i="2"/>
  <c r="F269" i="2"/>
  <c r="E269" i="2"/>
  <c r="D269" i="2"/>
  <c r="C269" i="2"/>
  <c r="B269" i="2"/>
  <c r="A269" i="2"/>
  <c r="AE268" i="2"/>
  <c r="AD268" i="2"/>
  <c r="AC268" i="2"/>
  <c r="AB268" i="2"/>
  <c r="AA268" i="2"/>
  <c r="Z268" i="2"/>
  <c r="Y268" i="2"/>
  <c r="X268" i="2"/>
  <c r="W268" i="2"/>
  <c r="V268" i="2"/>
  <c r="U268" i="2"/>
  <c r="T268" i="2"/>
  <c r="S268" i="2"/>
  <c r="R268" i="2"/>
  <c r="Q268" i="2"/>
  <c r="P268" i="2"/>
  <c r="O268" i="2"/>
  <c r="N268" i="2"/>
  <c r="M268" i="2"/>
  <c r="L268" i="2"/>
  <c r="K268" i="2"/>
  <c r="J268" i="2"/>
  <c r="I268" i="2"/>
  <c r="H268" i="2"/>
  <c r="G268" i="2"/>
  <c r="F268" i="2"/>
  <c r="E268" i="2"/>
  <c r="D268" i="2"/>
  <c r="C268" i="2"/>
  <c r="B268" i="2"/>
  <c r="A268" i="2"/>
  <c r="AE267" i="2"/>
  <c r="AD267" i="2"/>
  <c r="AC267" i="2"/>
  <c r="AB267" i="2"/>
  <c r="AA267" i="2"/>
  <c r="Z267" i="2"/>
  <c r="Y267" i="2"/>
  <c r="X267" i="2"/>
  <c r="W267" i="2"/>
  <c r="V267" i="2"/>
  <c r="U267" i="2"/>
  <c r="T267" i="2"/>
  <c r="S267" i="2"/>
  <c r="R267" i="2"/>
  <c r="Q267" i="2"/>
  <c r="P267" i="2"/>
  <c r="O267" i="2"/>
  <c r="N267" i="2"/>
  <c r="M267" i="2"/>
  <c r="L267" i="2"/>
  <c r="K267" i="2"/>
  <c r="J267" i="2"/>
  <c r="I267" i="2"/>
  <c r="H267" i="2"/>
  <c r="G267" i="2"/>
  <c r="F267" i="2"/>
  <c r="E267" i="2"/>
  <c r="D267" i="2"/>
  <c r="C267" i="2"/>
  <c r="B267" i="2"/>
  <c r="A267" i="2"/>
  <c r="AE266" i="2"/>
  <c r="AD266" i="2"/>
  <c r="AC266" i="2"/>
  <c r="AB266" i="2"/>
  <c r="AA266" i="2"/>
  <c r="Z266" i="2"/>
  <c r="Y266" i="2"/>
  <c r="X266" i="2"/>
  <c r="W266" i="2"/>
  <c r="V266" i="2"/>
  <c r="U266" i="2"/>
  <c r="T266" i="2"/>
  <c r="S266" i="2"/>
  <c r="R266" i="2"/>
  <c r="Q266" i="2"/>
  <c r="P266" i="2"/>
  <c r="O266" i="2"/>
  <c r="N266" i="2"/>
  <c r="M266" i="2"/>
  <c r="L266" i="2"/>
  <c r="K266" i="2"/>
  <c r="J266" i="2"/>
  <c r="I266" i="2"/>
  <c r="H266" i="2"/>
  <c r="G266" i="2"/>
  <c r="F266" i="2"/>
  <c r="E266" i="2"/>
  <c r="D266" i="2"/>
  <c r="C266" i="2"/>
  <c r="B266" i="2"/>
  <c r="A266" i="2"/>
  <c r="AE265" i="2"/>
  <c r="AD265" i="2"/>
  <c r="AC265" i="2"/>
  <c r="AB265" i="2"/>
  <c r="AA265" i="2"/>
  <c r="Z265" i="2"/>
  <c r="Y265" i="2"/>
  <c r="X265" i="2"/>
  <c r="W265" i="2"/>
  <c r="V265" i="2"/>
  <c r="U265" i="2"/>
  <c r="T265" i="2"/>
  <c r="S265" i="2"/>
  <c r="R265" i="2"/>
  <c r="Q265" i="2"/>
  <c r="P265" i="2"/>
  <c r="O265" i="2"/>
  <c r="N265" i="2"/>
  <c r="M265" i="2"/>
  <c r="L265" i="2"/>
  <c r="K265" i="2"/>
  <c r="J265" i="2"/>
  <c r="I265" i="2"/>
  <c r="H265" i="2"/>
  <c r="G265" i="2"/>
  <c r="F265" i="2"/>
  <c r="E265" i="2"/>
  <c r="D265" i="2"/>
  <c r="C265" i="2"/>
  <c r="B265" i="2"/>
  <c r="A265" i="2"/>
  <c r="AE264" i="2"/>
  <c r="AD264" i="2"/>
  <c r="AC264" i="2"/>
  <c r="AB264" i="2"/>
  <c r="AA264" i="2"/>
  <c r="Z264" i="2"/>
  <c r="Y264" i="2"/>
  <c r="X264" i="2"/>
  <c r="W264" i="2"/>
  <c r="V264" i="2"/>
  <c r="U264" i="2"/>
  <c r="T264" i="2"/>
  <c r="S264" i="2"/>
  <c r="R264" i="2"/>
  <c r="Q264" i="2"/>
  <c r="P264" i="2"/>
  <c r="O264" i="2"/>
  <c r="N264" i="2"/>
  <c r="M264" i="2"/>
  <c r="L264" i="2"/>
  <c r="K264" i="2"/>
  <c r="J264" i="2"/>
  <c r="I264" i="2"/>
  <c r="H264" i="2"/>
  <c r="G264" i="2"/>
  <c r="F264" i="2"/>
  <c r="E264" i="2"/>
  <c r="D264" i="2"/>
  <c r="C264" i="2"/>
  <c r="B264" i="2"/>
  <c r="A264" i="2"/>
  <c r="AE263" i="2"/>
  <c r="AD263" i="2"/>
  <c r="AC263" i="2"/>
  <c r="AB263" i="2"/>
  <c r="AA263" i="2"/>
  <c r="Z263" i="2"/>
  <c r="Y263" i="2"/>
  <c r="X263" i="2"/>
  <c r="W263" i="2"/>
  <c r="V263" i="2"/>
  <c r="U263" i="2"/>
  <c r="T263" i="2"/>
  <c r="S263" i="2"/>
  <c r="R263" i="2"/>
  <c r="Q263" i="2"/>
  <c r="P263" i="2"/>
  <c r="O263" i="2"/>
  <c r="N263" i="2"/>
  <c r="M263" i="2"/>
  <c r="L263" i="2"/>
  <c r="K263" i="2"/>
  <c r="J263" i="2"/>
  <c r="I263" i="2"/>
  <c r="H263" i="2"/>
  <c r="G263" i="2"/>
  <c r="F263" i="2"/>
  <c r="E263" i="2"/>
  <c r="D263" i="2"/>
  <c r="C263" i="2"/>
  <c r="B263" i="2"/>
  <c r="A263" i="2"/>
  <c r="AE262" i="2"/>
  <c r="AD262" i="2"/>
  <c r="AC262" i="2"/>
  <c r="AB262" i="2"/>
  <c r="AA262" i="2"/>
  <c r="Z262" i="2"/>
  <c r="Y262" i="2"/>
  <c r="X262" i="2"/>
  <c r="W262" i="2"/>
  <c r="V262" i="2"/>
  <c r="U262" i="2"/>
  <c r="T262" i="2"/>
  <c r="S262" i="2"/>
  <c r="R262" i="2"/>
  <c r="Q262" i="2"/>
  <c r="P262" i="2"/>
  <c r="O262" i="2"/>
  <c r="N262" i="2"/>
  <c r="M262" i="2"/>
  <c r="L262" i="2"/>
  <c r="K262" i="2"/>
  <c r="J262" i="2"/>
  <c r="I262" i="2"/>
  <c r="H262" i="2"/>
  <c r="G262" i="2"/>
  <c r="F262" i="2"/>
  <c r="E262" i="2"/>
  <c r="D262" i="2"/>
  <c r="C262" i="2"/>
  <c r="B262" i="2"/>
  <c r="A262" i="2"/>
  <c r="AE261" i="2"/>
  <c r="AD261" i="2"/>
  <c r="AC261" i="2"/>
  <c r="AB261" i="2"/>
  <c r="AA261" i="2"/>
  <c r="Z261" i="2"/>
  <c r="Y261" i="2"/>
  <c r="X261" i="2"/>
  <c r="W261" i="2"/>
  <c r="V261" i="2"/>
  <c r="U261" i="2"/>
  <c r="T261" i="2"/>
  <c r="S261" i="2"/>
  <c r="R261" i="2"/>
  <c r="Q261" i="2"/>
  <c r="P261" i="2"/>
  <c r="O261" i="2"/>
  <c r="N261" i="2"/>
  <c r="M261" i="2"/>
  <c r="L261" i="2"/>
  <c r="K261" i="2"/>
  <c r="J261" i="2"/>
  <c r="I261" i="2"/>
  <c r="H261" i="2"/>
  <c r="G261" i="2"/>
  <c r="F261" i="2"/>
  <c r="E261" i="2"/>
  <c r="D261" i="2"/>
  <c r="C261" i="2"/>
  <c r="B261" i="2"/>
  <c r="A261" i="2"/>
  <c r="AE260" i="2"/>
  <c r="AD260" i="2"/>
  <c r="AC260" i="2"/>
  <c r="AB260" i="2"/>
  <c r="AA260" i="2"/>
  <c r="Z260" i="2"/>
  <c r="Y260" i="2"/>
  <c r="X260" i="2"/>
  <c r="W260" i="2"/>
  <c r="V260" i="2"/>
  <c r="U260" i="2"/>
  <c r="T260" i="2"/>
  <c r="S260" i="2"/>
  <c r="R260" i="2"/>
  <c r="Q260" i="2"/>
  <c r="P260" i="2"/>
  <c r="O260" i="2"/>
  <c r="N260" i="2"/>
  <c r="M260" i="2"/>
  <c r="L260" i="2"/>
  <c r="K260" i="2"/>
  <c r="J260" i="2"/>
  <c r="I260" i="2"/>
  <c r="H260" i="2"/>
  <c r="G260" i="2"/>
  <c r="F260" i="2"/>
  <c r="E260" i="2"/>
  <c r="D260" i="2"/>
  <c r="C260" i="2"/>
  <c r="B260" i="2"/>
  <c r="A260" i="2"/>
  <c r="AE259" i="2"/>
  <c r="AD259" i="2"/>
  <c r="AC259" i="2"/>
  <c r="AB259" i="2"/>
  <c r="AA259" i="2"/>
  <c r="Z259" i="2"/>
  <c r="Y259" i="2"/>
  <c r="X259" i="2"/>
  <c r="W259" i="2"/>
  <c r="V259" i="2"/>
  <c r="U259" i="2"/>
  <c r="T259" i="2"/>
  <c r="S259" i="2"/>
  <c r="R259" i="2"/>
  <c r="Q259" i="2"/>
  <c r="P259" i="2"/>
  <c r="O259" i="2"/>
  <c r="N259" i="2"/>
  <c r="M259" i="2"/>
  <c r="L259" i="2"/>
  <c r="K259" i="2"/>
  <c r="J259" i="2"/>
  <c r="I259" i="2"/>
  <c r="H259" i="2"/>
  <c r="G259" i="2"/>
  <c r="F259" i="2"/>
  <c r="E259" i="2"/>
  <c r="D259" i="2"/>
  <c r="C259" i="2"/>
  <c r="B259" i="2"/>
  <c r="A259" i="2"/>
  <c r="AE258" i="2"/>
  <c r="AD258" i="2"/>
  <c r="AC258" i="2"/>
  <c r="AB258" i="2"/>
  <c r="AA258" i="2"/>
  <c r="Z258" i="2"/>
  <c r="Y258" i="2"/>
  <c r="X258" i="2"/>
  <c r="W258" i="2"/>
  <c r="V258" i="2"/>
  <c r="U258" i="2"/>
  <c r="T258" i="2"/>
  <c r="S258" i="2"/>
  <c r="R258" i="2"/>
  <c r="Q258" i="2"/>
  <c r="P258" i="2"/>
  <c r="O258" i="2"/>
  <c r="N258" i="2"/>
  <c r="M258" i="2"/>
  <c r="L258" i="2"/>
  <c r="K258" i="2"/>
  <c r="J258" i="2"/>
  <c r="I258" i="2"/>
  <c r="H258" i="2"/>
  <c r="G258" i="2"/>
  <c r="F258" i="2"/>
  <c r="E258" i="2"/>
  <c r="D258" i="2"/>
  <c r="C258" i="2"/>
  <c r="B258" i="2"/>
  <c r="A258" i="2"/>
  <c r="AE257" i="2"/>
  <c r="AD257" i="2"/>
  <c r="AC257" i="2"/>
  <c r="AB257" i="2"/>
  <c r="AA257" i="2"/>
  <c r="Z257" i="2"/>
  <c r="Y257" i="2"/>
  <c r="X257" i="2"/>
  <c r="W257" i="2"/>
  <c r="V257" i="2"/>
  <c r="U257" i="2"/>
  <c r="T257" i="2"/>
  <c r="S257" i="2"/>
  <c r="R257" i="2"/>
  <c r="Q257" i="2"/>
  <c r="P257" i="2"/>
  <c r="O257" i="2"/>
  <c r="N257" i="2"/>
  <c r="M257" i="2"/>
  <c r="L257" i="2"/>
  <c r="K257" i="2"/>
  <c r="J257" i="2"/>
  <c r="I257" i="2"/>
  <c r="H257" i="2"/>
  <c r="G257" i="2"/>
  <c r="F257" i="2"/>
  <c r="E257" i="2"/>
  <c r="D257" i="2"/>
  <c r="C257" i="2"/>
  <c r="B257" i="2"/>
  <c r="A257" i="2"/>
  <c r="AE256" i="2"/>
  <c r="AD256" i="2"/>
  <c r="AC256" i="2"/>
  <c r="AB256" i="2"/>
  <c r="AA256" i="2"/>
  <c r="Z256" i="2"/>
  <c r="Y256" i="2"/>
  <c r="X256" i="2"/>
  <c r="W256" i="2"/>
  <c r="V256" i="2"/>
  <c r="U256" i="2"/>
  <c r="T256" i="2"/>
  <c r="S256" i="2"/>
  <c r="R256" i="2"/>
  <c r="Q256" i="2"/>
  <c r="P256" i="2"/>
  <c r="O256" i="2"/>
  <c r="N256" i="2"/>
  <c r="M256" i="2"/>
  <c r="L256" i="2"/>
  <c r="K256" i="2"/>
  <c r="J256" i="2"/>
  <c r="I256" i="2"/>
  <c r="H256" i="2"/>
  <c r="G256" i="2"/>
  <c r="F256" i="2"/>
  <c r="E256" i="2"/>
  <c r="D256" i="2"/>
  <c r="C256" i="2"/>
  <c r="B256" i="2"/>
  <c r="A256" i="2"/>
  <c r="AE255" i="2"/>
  <c r="AD255" i="2"/>
  <c r="AC255" i="2"/>
  <c r="AB255" i="2"/>
  <c r="AA255" i="2"/>
  <c r="Z255" i="2"/>
  <c r="Y255" i="2"/>
  <c r="X255" i="2"/>
  <c r="W255" i="2"/>
  <c r="V255" i="2"/>
  <c r="U255" i="2"/>
  <c r="T255" i="2"/>
  <c r="S255" i="2"/>
  <c r="R255" i="2"/>
  <c r="Q255" i="2"/>
  <c r="P255" i="2"/>
  <c r="O255" i="2"/>
  <c r="N255" i="2"/>
  <c r="M255" i="2"/>
  <c r="L255" i="2"/>
  <c r="K255" i="2"/>
  <c r="J255" i="2"/>
  <c r="I255" i="2"/>
  <c r="H255" i="2"/>
  <c r="G255" i="2"/>
  <c r="F255" i="2"/>
  <c r="E255" i="2"/>
  <c r="D255" i="2"/>
  <c r="C255" i="2"/>
  <c r="B255" i="2"/>
  <c r="A255" i="2"/>
  <c r="AE254" i="2"/>
  <c r="AD254" i="2"/>
  <c r="AC254" i="2"/>
  <c r="AB254" i="2"/>
  <c r="AA254" i="2"/>
  <c r="Z254" i="2"/>
  <c r="Y254" i="2"/>
  <c r="X254" i="2"/>
  <c r="W254" i="2"/>
  <c r="V254" i="2"/>
  <c r="U254" i="2"/>
  <c r="T254" i="2"/>
  <c r="S254" i="2"/>
  <c r="R254" i="2"/>
  <c r="Q254" i="2"/>
  <c r="P254" i="2"/>
  <c r="O254" i="2"/>
  <c r="N254" i="2"/>
  <c r="M254" i="2"/>
  <c r="L254" i="2"/>
  <c r="K254" i="2"/>
  <c r="J254" i="2"/>
  <c r="I254" i="2"/>
  <c r="H254" i="2"/>
  <c r="G254" i="2"/>
  <c r="F254" i="2"/>
  <c r="E254" i="2"/>
  <c r="D254" i="2"/>
  <c r="C254" i="2"/>
  <c r="B254" i="2"/>
  <c r="A254" i="2"/>
  <c r="AE253" i="2"/>
  <c r="AD253" i="2"/>
  <c r="AC253" i="2"/>
  <c r="AB253" i="2"/>
  <c r="AA253" i="2"/>
  <c r="Z253" i="2"/>
  <c r="Y253" i="2"/>
  <c r="X253" i="2"/>
  <c r="W253" i="2"/>
  <c r="V253" i="2"/>
  <c r="U253" i="2"/>
  <c r="T253" i="2"/>
  <c r="S253" i="2"/>
  <c r="R253" i="2"/>
  <c r="Q253" i="2"/>
  <c r="P253" i="2"/>
  <c r="O253" i="2"/>
  <c r="N253" i="2"/>
  <c r="M253" i="2"/>
  <c r="L253" i="2"/>
  <c r="K253" i="2"/>
  <c r="J253" i="2"/>
  <c r="I253" i="2"/>
  <c r="H253" i="2"/>
  <c r="G253" i="2"/>
  <c r="F253" i="2"/>
  <c r="E253" i="2"/>
  <c r="D253" i="2"/>
  <c r="C253" i="2"/>
  <c r="B253" i="2"/>
  <c r="A253" i="2"/>
  <c r="AE252" i="2"/>
  <c r="AD252" i="2"/>
  <c r="AC252" i="2"/>
  <c r="AB252" i="2"/>
  <c r="AA252" i="2"/>
  <c r="Z252" i="2"/>
  <c r="Y252" i="2"/>
  <c r="X252" i="2"/>
  <c r="W252" i="2"/>
  <c r="V252" i="2"/>
  <c r="U252" i="2"/>
  <c r="T252" i="2"/>
  <c r="S252" i="2"/>
  <c r="R252" i="2"/>
  <c r="Q252" i="2"/>
  <c r="P252" i="2"/>
  <c r="O252" i="2"/>
  <c r="N252" i="2"/>
  <c r="M252" i="2"/>
  <c r="L252" i="2"/>
  <c r="K252" i="2"/>
  <c r="J252" i="2"/>
  <c r="I252" i="2"/>
  <c r="H252" i="2"/>
  <c r="G252" i="2"/>
  <c r="F252" i="2"/>
  <c r="E252" i="2"/>
  <c r="D252" i="2"/>
  <c r="C252" i="2"/>
  <c r="B252" i="2"/>
  <c r="A252" i="2"/>
  <c r="AE251" i="2"/>
  <c r="AD251" i="2"/>
  <c r="AC251" i="2"/>
  <c r="AB251" i="2"/>
  <c r="AA251" i="2"/>
  <c r="Z251" i="2"/>
  <c r="Y251" i="2"/>
  <c r="X251" i="2"/>
  <c r="W251" i="2"/>
  <c r="V251" i="2"/>
  <c r="U251" i="2"/>
  <c r="T251" i="2"/>
  <c r="S251" i="2"/>
  <c r="R251" i="2"/>
  <c r="Q251" i="2"/>
  <c r="P251" i="2"/>
  <c r="O251" i="2"/>
  <c r="N251" i="2"/>
  <c r="M251" i="2"/>
  <c r="L251" i="2"/>
  <c r="K251" i="2"/>
  <c r="J251" i="2"/>
  <c r="I251" i="2"/>
  <c r="H251" i="2"/>
  <c r="G251" i="2"/>
  <c r="F251" i="2"/>
  <c r="E251" i="2"/>
  <c r="D251" i="2"/>
  <c r="C251" i="2"/>
  <c r="B251" i="2"/>
  <c r="A251" i="2"/>
  <c r="AE250" i="2"/>
  <c r="AD250" i="2"/>
  <c r="AC250" i="2"/>
  <c r="AB250" i="2"/>
  <c r="AA250" i="2"/>
  <c r="Z250" i="2"/>
  <c r="Y250" i="2"/>
  <c r="X250" i="2"/>
  <c r="W250" i="2"/>
  <c r="V250" i="2"/>
  <c r="U250" i="2"/>
  <c r="T250" i="2"/>
  <c r="S250" i="2"/>
  <c r="R250" i="2"/>
  <c r="Q250" i="2"/>
  <c r="P250" i="2"/>
  <c r="O250" i="2"/>
  <c r="N250" i="2"/>
  <c r="M250" i="2"/>
  <c r="L250" i="2"/>
  <c r="K250" i="2"/>
  <c r="J250" i="2"/>
  <c r="I250" i="2"/>
  <c r="H250" i="2"/>
  <c r="G250" i="2"/>
  <c r="F250" i="2"/>
  <c r="E250" i="2"/>
  <c r="D250" i="2"/>
  <c r="C250" i="2"/>
  <c r="B250" i="2"/>
  <c r="A250" i="2"/>
  <c r="AE249" i="2"/>
  <c r="AD249" i="2"/>
  <c r="AC249" i="2"/>
  <c r="AB249" i="2"/>
  <c r="AA249" i="2"/>
  <c r="Z249" i="2"/>
  <c r="Y249" i="2"/>
  <c r="X249" i="2"/>
  <c r="W249" i="2"/>
  <c r="V249" i="2"/>
  <c r="U249" i="2"/>
  <c r="T249" i="2"/>
  <c r="S249" i="2"/>
  <c r="R249" i="2"/>
  <c r="Q249" i="2"/>
  <c r="P249" i="2"/>
  <c r="O249" i="2"/>
  <c r="N249" i="2"/>
  <c r="M249" i="2"/>
  <c r="L249" i="2"/>
  <c r="K249" i="2"/>
  <c r="J249" i="2"/>
  <c r="I249" i="2"/>
  <c r="H249" i="2"/>
  <c r="G249" i="2"/>
  <c r="F249" i="2"/>
  <c r="E249" i="2"/>
  <c r="D249" i="2"/>
  <c r="C249" i="2"/>
  <c r="B249" i="2"/>
  <c r="A249" i="2"/>
  <c r="AE248" i="2"/>
  <c r="AD248" i="2"/>
  <c r="AC248" i="2"/>
  <c r="AB248" i="2"/>
  <c r="AA248" i="2"/>
  <c r="Z248" i="2"/>
  <c r="Y248" i="2"/>
  <c r="X248" i="2"/>
  <c r="W248" i="2"/>
  <c r="V248" i="2"/>
  <c r="U248" i="2"/>
  <c r="T248" i="2"/>
  <c r="S248" i="2"/>
  <c r="R248" i="2"/>
  <c r="Q248" i="2"/>
  <c r="P248" i="2"/>
  <c r="O248" i="2"/>
  <c r="N248" i="2"/>
  <c r="M248" i="2"/>
  <c r="L248" i="2"/>
  <c r="K248" i="2"/>
  <c r="J248" i="2"/>
  <c r="I248" i="2"/>
  <c r="H248" i="2"/>
  <c r="G248" i="2"/>
  <c r="F248" i="2"/>
  <c r="E248" i="2"/>
  <c r="D248" i="2"/>
  <c r="C248" i="2"/>
  <c r="B248" i="2"/>
  <c r="A248" i="2"/>
  <c r="AE247" i="2"/>
  <c r="AD247" i="2"/>
  <c r="AC247" i="2"/>
  <c r="AB247" i="2"/>
  <c r="AA247" i="2"/>
  <c r="Z247" i="2"/>
  <c r="Y247" i="2"/>
  <c r="X247" i="2"/>
  <c r="W247" i="2"/>
  <c r="V247" i="2"/>
  <c r="U247" i="2"/>
  <c r="T247" i="2"/>
  <c r="S247" i="2"/>
  <c r="R247" i="2"/>
  <c r="Q247" i="2"/>
  <c r="P247" i="2"/>
  <c r="O247" i="2"/>
  <c r="N247" i="2"/>
  <c r="M247" i="2"/>
  <c r="L247" i="2"/>
  <c r="K247" i="2"/>
  <c r="J247" i="2"/>
  <c r="I247" i="2"/>
  <c r="H247" i="2"/>
  <c r="G247" i="2"/>
  <c r="F247" i="2"/>
  <c r="E247" i="2"/>
  <c r="D247" i="2"/>
  <c r="C247" i="2"/>
  <c r="B247" i="2"/>
  <c r="A247" i="2"/>
  <c r="AE246" i="2"/>
  <c r="AD246" i="2"/>
  <c r="AC246" i="2"/>
  <c r="AB246" i="2"/>
  <c r="AA246" i="2"/>
  <c r="Z246" i="2"/>
  <c r="Y246" i="2"/>
  <c r="X246" i="2"/>
  <c r="W246" i="2"/>
  <c r="V246" i="2"/>
  <c r="U246" i="2"/>
  <c r="T246" i="2"/>
  <c r="S246" i="2"/>
  <c r="R246" i="2"/>
  <c r="Q246" i="2"/>
  <c r="P246" i="2"/>
  <c r="O246" i="2"/>
  <c r="N246" i="2"/>
  <c r="M246" i="2"/>
  <c r="L246" i="2"/>
  <c r="K246" i="2"/>
  <c r="J246" i="2"/>
  <c r="I246" i="2"/>
  <c r="H246" i="2"/>
  <c r="G246" i="2"/>
  <c r="F246" i="2"/>
  <c r="E246" i="2"/>
  <c r="D246" i="2"/>
  <c r="C246" i="2"/>
  <c r="B246" i="2"/>
  <c r="A246" i="2"/>
  <c r="AE245" i="2"/>
  <c r="AD245" i="2"/>
  <c r="AC245" i="2"/>
  <c r="AB245" i="2"/>
  <c r="AA245" i="2"/>
  <c r="Z245" i="2"/>
  <c r="Y245" i="2"/>
  <c r="X245" i="2"/>
  <c r="W245" i="2"/>
  <c r="V245" i="2"/>
  <c r="U245" i="2"/>
  <c r="T245" i="2"/>
  <c r="S245" i="2"/>
  <c r="R245" i="2"/>
  <c r="Q245" i="2"/>
  <c r="P245" i="2"/>
  <c r="O245" i="2"/>
  <c r="N245" i="2"/>
  <c r="M245" i="2"/>
  <c r="L245" i="2"/>
  <c r="K245" i="2"/>
  <c r="J245" i="2"/>
  <c r="I245" i="2"/>
  <c r="H245" i="2"/>
  <c r="G245" i="2"/>
  <c r="F245" i="2"/>
  <c r="E245" i="2"/>
  <c r="D245" i="2"/>
  <c r="C245" i="2"/>
  <c r="B245" i="2"/>
  <c r="A245" i="2"/>
  <c r="AE244" i="2"/>
  <c r="AD244" i="2"/>
  <c r="AC244" i="2"/>
  <c r="AB244" i="2"/>
  <c r="AA244" i="2"/>
  <c r="Z244" i="2"/>
  <c r="Y244" i="2"/>
  <c r="X244" i="2"/>
  <c r="W244" i="2"/>
  <c r="V244" i="2"/>
  <c r="U244" i="2"/>
  <c r="T244" i="2"/>
  <c r="S244" i="2"/>
  <c r="R244" i="2"/>
  <c r="Q244" i="2"/>
  <c r="P244" i="2"/>
  <c r="O244" i="2"/>
  <c r="N244" i="2"/>
  <c r="M244" i="2"/>
  <c r="L244" i="2"/>
  <c r="K244" i="2"/>
  <c r="J244" i="2"/>
  <c r="I244" i="2"/>
  <c r="H244" i="2"/>
  <c r="G244" i="2"/>
  <c r="F244" i="2"/>
  <c r="E244" i="2"/>
  <c r="D244" i="2"/>
  <c r="C244" i="2"/>
  <c r="B244" i="2"/>
  <c r="A244" i="2"/>
  <c r="AE243" i="2"/>
  <c r="AD243" i="2"/>
  <c r="AC243" i="2"/>
  <c r="AB243" i="2"/>
  <c r="AA243" i="2"/>
  <c r="Z243" i="2"/>
  <c r="Y243" i="2"/>
  <c r="X243" i="2"/>
  <c r="W243" i="2"/>
  <c r="V243" i="2"/>
  <c r="U243" i="2"/>
  <c r="T243" i="2"/>
  <c r="S243" i="2"/>
  <c r="R243" i="2"/>
  <c r="Q243" i="2"/>
  <c r="P243" i="2"/>
  <c r="O243" i="2"/>
  <c r="N243" i="2"/>
  <c r="M243" i="2"/>
  <c r="L243" i="2"/>
  <c r="K243" i="2"/>
  <c r="J243" i="2"/>
  <c r="I243" i="2"/>
  <c r="H243" i="2"/>
  <c r="G243" i="2"/>
  <c r="F243" i="2"/>
  <c r="E243" i="2"/>
  <c r="D243" i="2"/>
  <c r="C243" i="2"/>
  <c r="B243" i="2"/>
  <c r="A243" i="2"/>
  <c r="AE242" i="2"/>
  <c r="AD242" i="2"/>
  <c r="AC242" i="2"/>
  <c r="AB242" i="2"/>
  <c r="AA242" i="2"/>
  <c r="Z242" i="2"/>
  <c r="Y242" i="2"/>
  <c r="X242" i="2"/>
  <c r="W242" i="2"/>
  <c r="V242" i="2"/>
  <c r="U242" i="2"/>
  <c r="T242" i="2"/>
  <c r="S242" i="2"/>
  <c r="R242" i="2"/>
  <c r="Q242" i="2"/>
  <c r="P242" i="2"/>
  <c r="O242" i="2"/>
  <c r="N242" i="2"/>
  <c r="M242" i="2"/>
  <c r="L242" i="2"/>
  <c r="K242" i="2"/>
  <c r="J242" i="2"/>
  <c r="I242" i="2"/>
  <c r="H242" i="2"/>
  <c r="G242" i="2"/>
  <c r="F242" i="2"/>
  <c r="E242" i="2"/>
  <c r="D242" i="2"/>
  <c r="C242" i="2"/>
  <c r="B242" i="2"/>
  <c r="A242" i="2"/>
  <c r="AE241" i="2"/>
  <c r="AD241" i="2"/>
  <c r="AC241" i="2"/>
  <c r="AB241" i="2"/>
  <c r="AA241" i="2"/>
  <c r="Z241" i="2"/>
  <c r="Y241" i="2"/>
  <c r="X241" i="2"/>
  <c r="W241" i="2"/>
  <c r="V241" i="2"/>
  <c r="U241" i="2"/>
  <c r="T241" i="2"/>
  <c r="S241" i="2"/>
  <c r="R241" i="2"/>
  <c r="Q241" i="2"/>
  <c r="P241" i="2"/>
  <c r="O241" i="2"/>
  <c r="N241" i="2"/>
  <c r="M241" i="2"/>
  <c r="L241" i="2"/>
  <c r="K241" i="2"/>
  <c r="J241" i="2"/>
  <c r="I241" i="2"/>
  <c r="H241" i="2"/>
  <c r="G241" i="2"/>
  <c r="F241" i="2"/>
  <c r="E241" i="2"/>
  <c r="D241" i="2"/>
  <c r="C241" i="2"/>
  <c r="B241" i="2"/>
  <c r="A241" i="2"/>
  <c r="AE240" i="2"/>
  <c r="AD240" i="2"/>
  <c r="AC240" i="2"/>
  <c r="AB240" i="2"/>
  <c r="AA240" i="2"/>
  <c r="Z240" i="2"/>
  <c r="Y240" i="2"/>
  <c r="X240" i="2"/>
  <c r="W240" i="2"/>
  <c r="V240" i="2"/>
  <c r="U240" i="2"/>
  <c r="T240" i="2"/>
  <c r="S240" i="2"/>
  <c r="R240" i="2"/>
  <c r="Q240" i="2"/>
  <c r="P240" i="2"/>
  <c r="O240" i="2"/>
  <c r="N240" i="2"/>
  <c r="M240" i="2"/>
  <c r="L240" i="2"/>
  <c r="K240" i="2"/>
  <c r="J240" i="2"/>
  <c r="I240" i="2"/>
  <c r="H240" i="2"/>
  <c r="G240" i="2"/>
  <c r="F240" i="2"/>
  <c r="E240" i="2"/>
  <c r="D240" i="2"/>
  <c r="C240" i="2"/>
  <c r="B240" i="2"/>
  <c r="A240" i="2"/>
  <c r="AE239" i="2"/>
  <c r="AD239" i="2"/>
  <c r="AC239" i="2"/>
  <c r="AB239" i="2"/>
  <c r="AA239" i="2"/>
  <c r="Z239" i="2"/>
  <c r="Y239" i="2"/>
  <c r="X239" i="2"/>
  <c r="W239" i="2"/>
  <c r="V239" i="2"/>
  <c r="U239" i="2"/>
  <c r="T239" i="2"/>
  <c r="S239" i="2"/>
  <c r="R239" i="2"/>
  <c r="Q239" i="2"/>
  <c r="P239" i="2"/>
  <c r="O239" i="2"/>
  <c r="N239" i="2"/>
  <c r="M239" i="2"/>
  <c r="L239" i="2"/>
  <c r="K239" i="2"/>
  <c r="J239" i="2"/>
  <c r="I239" i="2"/>
  <c r="H239" i="2"/>
  <c r="G239" i="2"/>
  <c r="F239" i="2"/>
  <c r="E239" i="2"/>
  <c r="D239" i="2"/>
  <c r="C239" i="2"/>
  <c r="B239" i="2"/>
  <c r="A239" i="2"/>
  <c r="AE238" i="2"/>
  <c r="AD238" i="2"/>
  <c r="AC238" i="2"/>
  <c r="AB238" i="2"/>
  <c r="AA238" i="2"/>
  <c r="Z238" i="2"/>
  <c r="Y238" i="2"/>
  <c r="X238" i="2"/>
  <c r="W238" i="2"/>
  <c r="V238" i="2"/>
  <c r="U238" i="2"/>
  <c r="T238" i="2"/>
  <c r="S238" i="2"/>
  <c r="R238" i="2"/>
  <c r="Q238" i="2"/>
  <c r="P238" i="2"/>
  <c r="O238" i="2"/>
  <c r="N238" i="2"/>
  <c r="M238" i="2"/>
  <c r="L238" i="2"/>
  <c r="K238" i="2"/>
  <c r="J238" i="2"/>
  <c r="I238" i="2"/>
  <c r="H238" i="2"/>
  <c r="G238" i="2"/>
  <c r="F238" i="2"/>
  <c r="E238" i="2"/>
  <c r="D238" i="2"/>
  <c r="C238" i="2"/>
  <c r="B238" i="2"/>
  <c r="A238" i="2"/>
  <c r="AE237" i="2"/>
  <c r="AD237" i="2"/>
  <c r="AC237" i="2"/>
  <c r="AB237" i="2"/>
  <c r="AA237" i="2"/>
  <c r="Z237" i="2"/>
  <c r="Y237" i="2"/>
  <c r="X237" i="2"/>
  <c r="W237" i="2"/>
  <c r="V237" i="2"/>
  <c r="U237" i="2"/>
  <c r="T237" i="2"/>
  <c r="S237" i="2"/>
  <c r="R237" i="2"/>
  <c r="Q237" i="2"/>
  <c r="P237" i="2"/>
  <c r="O237" i="2"/>
  <c r="N237" i="2"/>
  <c r="M237" i="2"/>
  <c r="L237" i="2"/>
  <c r="K237" i="2"/>
  <c r="J237" i="2"/>
  <c r="I237" i="2"/>
  <c r="H237" i="2"/>
  <c r="G237" i="2"/>
  <c r="F237" i="2"/>
  <c r="E237" i="2"/>
  <c r="D237" i="2"/>
  <c r="C237" i="2"/>
  <c r="B237" i="2"/>
  <c r="A237" i="2"/>
  <c r="AE236" i="2"/>
  <c r="AD236" i="2"/>
  <c r="AC236" i="2"/>
  <c r="AB236" i="2"/>
  <c r="AA236" i="2"/>
  <c r="Z236" i="2"/>
  <c r="Y236" i="2"/>
  <c r="X236" i="2"/>
  <c r="W236" i="2"/>
  <c r="V236" i="2"/>
  <c r="U236" i="2"/>
  <c r="T236" i="2"/>
  <c r="S236" i="2"/>
  <c r="R236" i="2"/>
  <c r="Q236" i="2"/>
  <c r="P236" i="2"/>
  <c r="O236" i="2"/>
  <c r="N236" i="2"/>
  <c r="M236" i="2"/>
  <c r="L236" i="2"/>
  <c r="K236" i="2"/>
  <c r="J236" i="2"/>
  <c r="I236" i="2"/>
  <c r="H236" i="2"/>
  <c r="G236" i="2"/>
  <c r="F236" i="2"/>
  <c r="E236" i="2"/>
  <c r="D236" i="2"/>
  <c r="C236" i="2"/>
  <c r="B236" i="2"/>
  <c r="A236" i="2"/>
  <c r="AE235" i="2"/>
  <c r="AD235" i="2"/>
  <c r="AC235" i="2"/>
  <c r="AB235" i="2"/>
  <c r="AA235" i="2"/>
  <c r="Z235" i="2"/>
  <c r="Y235" i="2"/>
  <c r="X235" i="2"/>
  <c r="W235" i="2"/>
  <c r="V235" i="2"/>
  <c r="U235" i="2"/>
  <c r="T235" i="2"/>
  <c r="S235" i="2"/>
  <c r="R235" i="2"/>
  <c r="Q235" i="2"/>
  <c r="P235" i="2"/>
  <c r="O235" i="2"/>
  <c r="N235" i="2"/>
  <c r="M235" i="2"/>
  <c r="L235" i="2"/>
  <c r="K235" i="2"/>
  <c r="J235" i="2"/>
  <c r="I235" i="2"/>
  <c r="H235" i="2"/>
  <c r="G235" i="2"/>
  <c r="F235" i="2"/>
  <c r="E235" i="2"/>
  <c r="D235" i="2"/>
  <c r="C235" i="2"/>
  <c r="B235" i="2"/>
  <c r="A235" i="2"/>
  <c r="AE234" i="2"/>
  <c r="AD234" i="2"/>
  <c r="AC234" i="2"/>
  <c r="AB234" i="2"/>
  <c r="AA234" i="2"/>
  <c r="Z234" i="2"/>
  <c r="Y234" i="2"/>
  <c r="X234" i="2"/>
  <c r="W234" i="2"/>
  <c r="V234" i="2"/>
  <c r="U234" i="2"/>
  <c r="T234" i="2"/>
  <c r="S234" i="2"/>
  <c r="R234" i="2"/>
  <c r="Q234" i="2"/>
  <c r="P234" i="2"/>
  <c r="O234" i="2"/>
  <c r="N234" i="2"/>
  <c r="M234" i="2"/>
  <c r="L234" i="2"/>
  <c r="K234" i="2"/>
  <c r="J234" i="2"/>
  <c r="I234" i="2"/>
  <c r="H234" i="2"/>
  <c r="G234" i="2"/>
  <c r="F234" i="2"/>
  <c r="E234" i="2"/>
  <c r="D234" i="2"/>
  <c r="C234" i="2"/>
  <c r="B234" i="2"/>
  <c r="A234" i="2"/>
  <c r="AE233" i="2"/>
  <c r="AD233" i="2"/>
  <c r="AC233" i="2"/>
  <c r="AB233" i="2"/>
  <c r="AA233" i="2"/>
  <c r="Z233" i="2"/>
  <c r="Y233" i="2"/>
  <c r="X233" i="2"/>
  <c r="W233" i="2"/>
  <c r="V233" i="2"/>
  <c r="U233" i="2"/>
  <c r="T233" i="2"/>
  <c r="S233" i="2"/>
  <c r="R233" i="2"/>
  <c r="Q233" i="2"/>
  <c r="P233" i="2"/>
  <c r="O233" i="2"/>
  <c r="N233" i="2"/>
  <c r="M233" i="2"/>
  <c r="L233" i="2"/>
  <c r="K233" i="2"/>
  <c r="J233" i="2"/>
  <c r="I233" i="2"/>
  <c r="H233" i="2"/>
  <c r="G233" i="2"/>
  <c r="F233" i="2"/>
  <c r="E233" i="2"/>
  <c r="D233" i="2"/>
  <c r="C233" i="2"/>
  <c r="B233" i="2"/>
  <c r="A233" i="2"/>
  <c r="AE232" i="2"/>
  <c r="AD232" i="2"/>
  <c r="AC232" i="2"/>
  <c r="AB232" i="2"/>
  <c r="AA232" i="2"/>
  <c r="Z232" i="2"/>
  <c r="Y232" i="2"/>
  <c r="X232" i="2"/>
  <c r="W232" i="2"/>
  <c r="V232" i="2"/>
  <c r="U232" i="2"/>
  <c r="T232" i="2"/>
  <c r="S232" i="2"/>
  <c r="R232" i="2"/>
  <c r="Q232" i="2"/>
  <c r="P232" i="2"/>
  <c r="O232" i="2"/>
  <c r="N232" i="2"/>
  <c r="M232" i="2"/>
  <c r="L232" i="2"/>
  <c r="K232" i="2"/>
  <c r="J232" i="2"/>
  <c r="I232" i="2"/>
  <c r="H232" i="2"/>
  <c r="G232" i="2"/>
  <c r="F232" i="2"/>
  <c r="E232" i="2"/>
  <c r="D232" i="2"/>
  <c r="C232" i="2"/>
  <c r="B232" i="2"/>
  <c r="A232" i="2"/>
  <c r="AE231" i="2"/>
  <c r="AD231" i="2"/>
  <c r="AC231" i="2"/>
  <c r="AB231" i="2"/>
  <c r="AA231" i="2"/>
  <c r="Z231" i="2"/>
  <c r="Y231" i="2"/>
  <c r="X231" i="2"/>
  <c r="W231" i="2"/>
  <c r="V231" i="2"/>
  <c r="U231" i="2"/>
  <c r="T231" i="2"/>
  <c r="S231" i="2"/>
  <c r="R231" i="2"/>
  <c r="Q231" i="2"/>
  <c r="P231" i="2"/>
  <c r="O231" i="2"/>
  <c r="N231" i="2"/>
  <c r="M231" i="2"/>
  <c r="L231" i="2"/>
  <c r="K231" i="2"/>
  <c r="J231" i="2"/>
  <c r="I231" i="2"/>
  <c r="H231" i="2"/>
  <c r="G231" i="2"/>
  <c r="F231" i="2"/>
  <c r="E231" i="2"/>
  <c r="D231" i="2"/>
  <c r="C231" i="2"/>
  <c r="B231" i="2"/>
  <c r="A231" i="2"/>
  <c r="AE230" i="2"/>
  <c r="AD230" i="2"/>
  <c r="AC230" i="2"/>
  <c r="AB230" i="2"/>
  <c r="AA230" i="2"/>
  <c r="Z230" i="2"/>
  <c r="Y230" i="2"/>
  <c r="X230" i="2"/>
  <c r="W230" i="2"/>
  <c r="V230" i="2"/>
  <c r="U230" i="2"/>
  <c r="T230" i="2"/>
  <c r="S230" i="2"/>
  <c r="R230" i="2"/>
  <c r="Q230" i="2"/>
  <c r="P230" i="2"/>
  <c r="O230" i="2"/>
  <c r="N230" i="2"/>
  <c r="M230" i="2"/>
  <c r="L230" i="2"/>
  <c r="K230" i="2"/>
  <c r="J230" i="2"/>
  <c r="I230" i="2"/>
  <c r="H230" i="2"/>
  <c r="G230" i="2"/>
  <c r="F230" i="2"/>
  <c r="E230" i="2"/>
  <c r="D230" i="2"/>
  <c r="C230" i="2"/>
  <c r="B230" i="2"/>
  <c r="A230" i="2"/>
  <c r="AE229" i="2"/>
  <c r="AD229" i="2"/>
  <c r="AC229" i="2"/>
  <c r="AB229" i="2"/>
  <c r="AA229" i="2"/>
  <c r="Z229" i="2"/>
  <c r="Y229" i="2"/>
  <c r="X229" i="2"/>
  <c r="W229" i="2"/>
  <c r="V229" i="2"/>
  <c r="U229" i="2"/>
  <c r="T229" i="2"/>
  <c r="S229" i="2"/>
  <c r="R229" i="2"/>
  <c r="Q229" i="2"/>
  <c r="P229" i="2"/>
  <c r="O229" i="2"/>
  <c r="N229" i="2"/>
  <c r="M229" i="2"/>
  <c r="L229" i="2"/>
  <c r="K229" i="2"/>
  <c r="J229" i="2"/>
  <c r="I229" i="2"/>
  <c r="H229" i="2"/>
  <c r="G229" i="2"/>
  <c r="F229" i="2"/>
  <c r="E229" i="2"/>
  <c r="D229" i="2"/>
  <c r="C229" i="2"/>
  <c r="B229" i="2"/>
  <c r="A229" i="2"/>
  <c r="AE228" i="2"/>
  <c r="AD228" i="2"/>
  <c r="AC228" i="2"/>
  <c r="AB228" i="2"/>
  <c r="AA228" i="2"/>
  <c r="Z228" i="2"/>
  <c r="Y228" i="2"/>
  <c r="X228" i="2"/>
  <c r="W228" i="2"/>
  <c r="V228" i="2"/>
  <c r="U228" i="2"/>
  <c r="T228" i="2"/>
  <c r="S228" i="2"/>
  <c r="R228" i="2"/>
  <c r="Q228" i="2"/>
  <c r="P228" i="2"/>
  <c r="O228" i="2"/>
  <c r="N228" i="2"/>
  <c r="M228" i="2"/>
  <c r="L228" i="2"/>
  <c r="K228" i="2"/>
  <c r="J228" i="2"/>
  <c r="I228" i="2"/>
  <c r="H228" i="2"/>
  <c r="G228" i="2"/>
  <c r="F228" i="2"/>
  <c r="E228" i="2"/>
  <c r="D228" i="2"/>
  <c r="C228" i="2"/>
  <c r="B228" i="2"/>
  <c r="A228" i="2"/>
  <c r="AE227" i="2"/>
  <c r="AD227" i="2"/>
  <c r="AC227" i="2"/>
  <c r="AB227" i="2"/>
  <c r="AA227" i="2"/>
  <c r="Z227" i="2"/>
  <c r="Y227" i="2"/>
  <c r="X227" i="2"/>
  <c r="W227" i="2"/>
  <c r="V227" i="2"/>
  <c r="U227" i="2"/>
  <c r="T227" i="2"/>
  <c r="S227" i="2"/>
  <c r="R227" i="2"/>
  <c r="Q227" i="2"/>
  <c r="P227" i="2"/>
  <c r="O227" i="2"/>
  <c r="N227" i="2"/>
  <c r="M227" i="2"/>
  <c r="L227" i="2"/>
  <c r="K227" i="2"/>
  <c r="J227" i="2"/>
  <c r="I227" i="2"/>
  <c r="H227" i="2"/>
  <c r="G227" i="2"/>
  <c r="F227" i="2"/>
  <c r="E227" i="2"/>
  <c r="D227" i="2"/>
  <c r="C227" i="2"/>
  <c r="B227" i="2"/>
  <c r="A227" i="2"/>
  <c r="AE226" i="2"/>
  <c r="AD226" i="2"/>
  <c r="AC226" i="2"/>
  <c r="AB226" i="2"/>
  <c r="AA226" i="2"/>
  <c r="Z226" i="2"/>
  <c r="Y226" i="2"/>
  <c r="X226" i="2"/>
  <c r="W226" i="2"/>
  <c r="V226" i="2"/>
  <c r="U226" i="2"/>
  <c r="T226" i="2"/>
  <c r="S226" i="2"/>
  <c r="R226" i="2"/>
  <c r="Q226" i="2"/>
  <c r="P226" i="2"/>
  <c r="O226" i="2"/>
  <c r="N226" i="2"/>
  <c r="M226" i="2"/>
  <c r="L226" i="2"/>
  <c r="K226" i="2"/>
  <c r="J226" i="2"/>
  <c r="I226" i="2"/>
  <c r="H226" i="2"/>
  <c r="G226" i="2"/>
  <c r="F226" i="2"/>
  <c r="E226" i="2"/>
  <c r="D226" i="2"/>
  <c r="C226" i="2"/>
  <c r="B226" i="2"/>
  <c r="A226" i="2"/>
  <c r="AE225" i="2"/>
  <c r="AD225" i="2"/>
  <c r="AC225" i="2"/>
  <c r="AB225" i="2"/>
  <c r="AA225" i="2"/>
  <c r="Z225" i="2"/>
  <c r="Y225" i="2"/>
  <c r="X225" i="2"/>
  <c r="W225" i="2"/>
  <c r="V225" i="2"/>
  <c r="U225" i="2"/>
  <c r="T225" i="2"/>
  <c r="S225" i="2"/>
  <c r="R225" i="2"/>
  <c r="Q225" i="2"/>
  <c r="P225" i="2"/>
  <c r="O225" i="2"/>
  <c r="N225" i="2"/>
  <c r="M225" i="2"/>
  <c r="L225" i="2"/>
  <c r="K225" i="2"/>
  <c r="J225" i="2"/>
  <c r="I225" i="2"/>
  <c r="H225" i="2"/>
  <c r="G225" i="2"/>
  <c r="F225" i="2"/>
  <c r="E225" i="2"/>
  <c r="D225" i="2"/>
  <c r="C225" i="2"/>
  <c r="B225" i="2"/>
  <c r="A225" i="2"/>
  <c r="AE224" i="2"/>
  <c r="AD224" i="2"/>
  <c r="AC224" i="2"/>
  <c r="AB224" i="2"/>
  <c r="AA224" i="2"/>
  <c r="Z224" i="2"/>
  <c r="Y224" i="2"/>
  <c r="X224" i="2"/>
  <c r="W224" i="2"/>
  <c r="V224" i="2"/>
  <c r="U224" i="2"/>
  <c r="T224" i="2"/>
  <c r="S224" i="2"/>
  <c r="R224" i="2"/>
  <c r="Q224" i="2"/>
  <c r="P224" i="2"/>
  <c r="O224" i="2"/>
  <c r="N224" i="2"/>
  <c r="M224" i="2"/>
  <c r="L224" i="2"/>
  <c r="K224" i="2"/>
  <c r="J224" i="2"/>
  <c r="I224" i="2"/>
  <c r="H224" i="2"/>
  <c r="G224" i="2"/>
  <c r="F224" i="2"/>
  <c r="E224" i="2"/>
  <c r="D224" i="2"/>
  <c r="C224" i="2"/>
  <c r="B224" i="2"/>
  <c r="A224" i="2"/>
  <c r="AE223" i="2"/>
  <c r="AD223" i="2"/>
  <c r="AC223" i="2"/>
  <c r="AB223" i="2"/>
  <c r="AA223" i="2"/>
  <c r="Z223" i="2"/>
  <c r="Y223" i="2"/>
  <c r="X223" i="2"/>
  <c r="W223" i="2"/>
  <c r="V223" i="2"/>
  <c r="U223" i="2"/>
  <c r="T223" i="2"/>
  <c r="S223" i="2"/>
  <c r="R223" i="2"/>
  <c r="Q223" i="2"/>
  <c r="P223" i="2"/>
  <c r="O223" i="2"/>
  <c r="N223" i="2"/>
  <c r="M223" i="2"/>
  <c r="L223" i="2"/>
  <c r="K223" i="2"/>
  <c r="J223" i="2"/>
  <c r="I223" i="2"/>
  <c r="H223" i="2"/>
  <c r="G223" i="2"/>
  <c r="F223" i="2"/>
  <c r="E223" i="2"/>
  <c r="D223" i="2"/>
  <c r="C223" i="2"/>
  <c r="B223" i="2"/>
  <c r="A223" i="2"/>
  <c r="AE222" i="2"/>
  <c r="AD222" i="2"/>
  <c r="AC222" i="2"/>
  <c r="AB222" i="2"/>
  <c r="AA222" i="2"/>
  <c r="Z222" i="2"/>
  <c r="Y222" i="2"/>
  <c r="X222" i="2"/>
  <c r="W222" i="2"/>
  <c r="V222" i="2"/>
  <c r="U222" i="2"/>
  <c r="T222" i="2"/>
  <c r="S222" i="2"/>
  <c r="R222" i="2"/>
  <c r="Q222" i="2"/>
  <c r="P222" i="2"/>
  <c r="O222" i="2"/>
  <c r="N222" i="2"/>
  <c r="M222" i="2"/>
  <c r="L222" i="2"/>
  <c r="K222" i="2"/>
  <c r="J222" i="2"/>
  <c r="I222" i="2"/>
  <c r="H222" i="2"/>
  <c r="G222" i="2"/>
  <c r="F222" i="2"/>
  <c r="E222" i="2"/>
  <c r="D222" i="2"/>
  <c r="C222" i="2"/>
  <c r="B222" i="2"/>
  <c r="A222" i="2"/>
  <c r="AE221" i="2"/>
  <c r="AD221" i="2"/>
  <c r="AC221" i="2"/>
  <c r="AB221" i="2"/>
  <c r="AA221" i="2"/>
  <c r="Z221" i="2"/>
  <c r="Y221" i="2"/>
  <c r="X221" i="2"/>
  <c r="W221" i="2"/>
  <c r="V221" i="2"/>
  <c r="U221" i="2"/>
  <c r="T221" i="2"/>
  <c r="S221" i="2"/>
  <c r="R221" i="2"/>
  <c r="Q221" i="2"/>
  <c r="P221" i="2"/>
  <c r="O221" i="2"/>
  <c r="N221" i="2"/>
  <c r="M221" i="2"/>
  <c r="L221" i="2"/>
  <c r="K221" i="2"/>
  <c r="J221" i="2"/>
  <c r="I221" i="2"/>
  <c r="H221" i="2"/>
  <c r="G221" i="2"/>
  <c r="F221" i="2"/>
  <c r="E221" i="2"/>
  <c r="D221" i="2"/>
  <c r="C221" i="2"/>
  <c r="B221" i="2"/>
  <c r="A221" i="2"/>
  <c r="AE220" i="2"/>
  <c r="AD220" i="2"/>
  <c r="AC220" i="2"/>
  <c r="AB220" i="2"/>
  <c r="AA220" i="2"/>
  <c r="Z220" i="2"/>
  <c r="Y220" i="2"/>
  <c r="X220" i="2"/>
  <c r="W220" i="2"/>
  <c r="V220" i="2"/>
  <c r="U220" i="2"/>
  <c r="T220" i="2"/>
  <c r="S220" i="2"/>
  <c r="R220" i="2"/>
  <c r="Q220" i="2"/>
  <c r="P220" i="2"/>
  <c r="O220" i="2"/>
  <c r="N220" i="2"/>
  <c r="M220" i="2"/>
  <c r="L220" i="2"/>
  <c r="K220" i="2"/>
  <c r="J220" i="2"/>
  <c r="I220" i="2"/>
  <c r="H220" i="2"/>
  <c r="G220" i="2"/>
  <c r="F220" i="2"/>
  <c r="E220" i="2"/>
  <c r="D220" i="2"/>
  <c r="C220" i="2"/>
  <c r="B220" i="2"/>
  <c r="A220" i="2"/>
  <c r="AE219" i="2"/>
  <c r="AD219" i="2"/>
  <c r="AC219" i="2"/>
  <c r="AB219" i="2"/>
  <c r="AA219" i="2"/>
  <c r="Z219" i="2"/>
  <c r="Y219" i="2"/>
  <c r="X219" i="2"/>
  <c r="W219" i="2"/>
  <c r="V219" i="2"/>
  <c r="U219" i="2"/>
  <c r="T219" i="2"/>
  <c r="S219" i="2"/>
  <c r="R219" i="2"/>
  <c r="Q219" i="2"/>
  <c r="P219" i="2"/>
  <c r="O219" i="2"/>
  <c r="N219" i="2"/>
  <c r="M219" i="2"/>
  <c r="L219" i="2"/>
  <c r="K219" i="2"/>
  <c r="J219" i="2"/>
  <c r="I219" i="2"/>
  <c r="H219" i="2"/>
  <c r="G219" i="2"/>
  <c r="F219" i="2"/>
  <c r="E219" i="2"/>
  <c r="D219" i="2"/>
  <c r="C219" i="2"/>
  <c r="B219" i="2"/>
  <c r="A219" i="2"/>
  <c r="AE218" i="2"/>
  <c r="AD218" i="2"/>
  <c r="AC218" i="2"/>
  <c r="AB218" i="2"/>
  <c r="AA218" i="2"/>
  <c r="Z218" i="2"/>
  <c r="Y218" i="2"/>
  <c r="X218" i="2"/>
  <c r="W218" i="2"/>
  <c r="V218" i="2"/>
  <c r="U218" i="2"/>
  <c r="T218" i="2"/>
  <c r="S218" i="2"/>
  <c r="R218" i="2"/>
  <c r="Q218" i="2"/>
  <c r="P218" i="2"/>
  <c r="O218" i="2"/>
  <c r="N218" i="2"/>
  <c r="M218" i="2"/>
  <c r="L218" i="2"/>
  <c r="K218" i="2"/>
  <c r="J218" i="2"/>
  <c r="I218" i="2"/>
  <c r="H218" i="2"/>
  <c r="G218" i="2"/>
  <c r="F218" i="2"/>
  <c r="E218" i="2"/>
  <c r="D218" i="2"/>
  <c r="C218" i="2"/>
  <c r="B218" i="2"/>
  <c r="A218" i="2"/>
  <c r="AE217" i="2"/>
  <c r="AD217" i="2"/>
  <c r="AC217" i="2"/>
  <c r="AB217" i="2"/>
  <c r="AA217" i="2"/>
  <c r="Z217" i="2"/>
  <c r="Y217" i="2"/>
  <c r="X217" i="2"/>
  <c r="W217" i="2"/>
  <c r="V217" i="2"/>
  <c r="U217" i="2"/>
  <c r="T217" i="2"/>
  <c r="S217" i="2"/>
  <c r="R217" i="2"/>
  <c r="Q217" i="2"/>
  <c r="P217" i="2"/>
  <c r="O217" i="2"/>
  <c r="N217" i="2"/>
  <c r="M217" i="2"/>
  <c r="L217" i="2"/>
  <c r="K217" i="2"/>
  <c r="J217" i="2"/>
  <c r="I217" i="2"/>
  <c r="H217" i="2"/>
  <c r="G217" i="2"/>
  <c r="F217" i="2"/>
  <c r="E217" i="2"/>
  <c r="D217" i="2"/>
  <c r="C217" i="2"/>
  <c r="B217" i="2"/>
  <c r="A217" i="2"/>
  <c r="AE216" i="2"/>
  <c r="AD216" i="2"/>
  <c r="AC216" i="2"/>
  <c r="AB216" i="2"/>
  <c r="AA216" i="2"/>
  <c r="Z216" i="2"/>
  <c r="Y216" i="2"/>
  <c r="X216" i="2"/>
  <c r="W216" i="2"/>
  <c r="V216" i="2"/>
  <c r="U216" i="2"/>
  <c r="T216" i="2"/>
  <c r="S216" i="2"/>
  <c r="R216" i="2"/>
  <c r="Q216" i="2"/>
  <c r="P216" i="2"/>
  <c r="O216" i="2"/>
  <c r="N216" i="2"/>
  <c r="M216" i="2"/>
  <c r="L216" i="2"/>
  <c r="K216" i="2"/>
  <c r="J216" i="2"/>
  <c r="I216" i="2"/>
  <c r="H216" i="2"/>
  <c r="G216" i="2"/>
  <c r="F216" i="2"/>
  <c r="E216" i="2"/>
  <c r="D216" i="2"/>
  <c r="C216" i="2"/>
  <c r="B216" i="2"/>
  <c r="A216" i="2"/>
  <c r="AE215" i="2"/>
  <c r="AD215" i="2"/>
  <c r="AC215" i="2"/>
  <c r="AB215" i="2"/>
  <c r="AA215" i="2"/>
  <c r="Z215" i="2"/>
  <c r="Y215" i="2"/>
  <c r="X215" i="2"/>
  <c r="W215" i="2"/>
  <c r="V215" i="2"/>
  <c r="U215" i="2"/>
  <c r="T215" i="2"/>
  <c r="S215" i="2"/>
  <c r="R215" i="2"/>
  <c r="Q215" i="2"/>
  <c r="P215" i="2"/>
  <c r="O215" i="2"/>
  <c r="N215" i="2"/>
  <c r="M215" i="2"/>
  <c r="L215" i="2"/>
  <c r="K215" i="2"/>
  <c r="J215" i="2"/>
  <c r="I215" i="2"/>
  <c r="H215" i="2"/>
  <c r="G215" i="2"/>
  <c r="F215" i="2"/>
  <c r="E215" i="2"/>
  <c r="D215" i="2"/>
  <c r="C215" i="2"/>
  <c r="B215" i="2"/>
  <c r="A215" i="2"/>
  <c r="AE214" i="2"/>
  <c r="AD214" i="2"/>
  <c r="AC214" i="2"/>
  <c r="AB214" i="2"/>
  <c r="AA214" i="2"/>
  <c r="Z214" i="2"/>
  <c r="Y214" i="2"/>
  <c r="X214" i="2"/>
  <c r="W214" i="2"/>
  <c r="V214" i="2"/>
  <c r="U214" i="2"/>
  <c r="T214" i="2"/>
  <c r="S214" i="2"/>
  <c r="R214" i="2"/>
  <c r="Q214" i="2"/>
  <c r="P214" i="2"/>
  <c r="O214" i="2"/>
  <c r="N214" i="2"/>
  <c r="M214" i="2"/>
  <c r="L214" i="2"/>
  <c r="K214" i="2"/>
  <c r="J214" i="2"/>
  <c r="I214" i="2"/>
  <c r="H214" i="2"/>
  <c r="G214" i="2"/>
  <c r="F214" i="2"/>
  <c r="E214" i="2"/>
  <c r="D214" i="2"/>
  <c r="C214" i="2"/>
  <c r="B214" i="2"/>
  <c r="A214" i="2"/>
  <c r="AE213" i="2"/>
  <c r="AD213" i="2"/>
  <c r="AC213" i="2"/>
  <c r="AB213" i="2"/>
  <c r="AA213" i="2"/>
  <c r="Z213" i="2"/>
  <c r="Y213" i="2"/>
  <c r="X213" i="2"/>
  <c r="W213" i="2"/>
  <c r="V213" i="2"/>
  <c r="U213" i="2"/>
  <c r="T213" i="2"/>
  <c r="S213" i="2"/>
  <c r="R213" i="2"/>
  <c r="Q213" i="2"/>
  <c r="P213" i="2"/>
  <c r="O213" i="2"/>
  <c r="N213" i="2"/>
  <c r="M213" i="2"/>
  <c r="L213" i="2"/>
  <c r="K213" i="2"/>
  <c r="J213" i="2"/>
  <c r="I213" i="2"/>
  <c r="H213" i="2"/>
  <c r="G213" i="2"/>
  <c r="F213" i="2"/>
  <c r="E213" i="2"/>
  <c r="D213" i="2"/>
  <c r="C213" i="2"/>
  <c r="B213" i="2"/>
  <c r="A213" i="2"/>
  <c r="AE212" i="2"/>
  <c r="AD212" i="2"/>
  <c r="AC212" i="2"/>
  <c r="AB212" i="2"/>
  <c r="AA212" i="2"/>
  <c r="Z212" i="2"/>
  <c r="Y212" i="2"/>
  <c r="X212" i="2"/>
  <c r="W212" i="2"/>
  <c r="V212" i="2"/>
  <c r="U212" i="2"/>
  <c r="T212" i="2"/>
  <c r="S212" i="2"/>
  <c r="R212" i="2"/>
  <c r="Q212" i="2"/>
  <c r="P212" i="2"/>
  <c r="O212" i="2"/>
  <c r="N212" i="2"/>
  <c r="M212" i="2"/>
  <c r="L212" i="2"/>
  <c r="K212" i="2"/>
  <c r="J212" i="2"/>
  <c r="I212" i="2"/>
  <c r="H212" i="2"/>
  <c r="G212" i="2"/>
  <c r="F212" i="2"/>
  <c r="E212" i="2"/>
  <c r="D212" i="2"/>
  <c r="C212" i="2"/>
  <c r="B212" i="2"/>
  <c r="A212" i="2"/>
  <c r="AE211" i="2"/>
  <c r="AD211" i="2"/>
  <c r="AC211" i="2"/>
  <c r="AB211" i="2"/>
  <c r="AA211" i="2"/>
  <c r="Z211" i="2"/>
  <c r="Y211" i="2"/>
  <c r="X211" i="2"/>
  <c r="W211" i="2"/>
  <c r="V211" i="2"/>
  <c r="U211" i="2"/>
  <c r="T211" i="2"/>
  <c r="S211" i="2"/>
  <c r="R211" i="2"/>
  <c r="Q211" i="2"/>
  <c r="P211" i="2"/>
  <c r="O211" i="2"/>
  <c r="N211" i="2"/>
  <c r="M211" i="2"/>
  <c r="L211" i="2"/>
  <c r="K211" i="2"/>
  <c r="J211" i="2"/>
  <c r="I211" i="2"/>
  <c r="H211" i="2"/>
  <c r="G211" i="2"/>
  <c r="F211" i="2"/>
  <c r="E211" i="2"/>
  <c r="D211" i="2"/>
  <c r="C211" i="2"/>
  <c r="B211" i="2"/>
  <c r="A211" i="2"/>
  <c r="AE210" i="2"/>
  <c r="AD210" i="2"/>
  <c r="AC210" i="2"/>
  <c r="AB210" i="2"/>
  <c r="AA210" i="2"/>
  <c r="Z210" i="2"/>
  <c r="Y210" i="2"/>
  <c r="X210" i="2"/>
  <c r="W210" i="2"/>
  <c r="V210" i="2"/>
  <c r="U210" i="2"/>
  <c r="T210" i="2"/>
  <c r="S210" i="2"/>
  <c r="R210" i="2"/>
  <c r="Q210" i="2"/>
  <c r="P210" i="2"/>
  <c r="O210" i="2"/>
  <c r="N210" i="2"/>
  <c r="M210" i="2"/>
  <c r="L210" i="2"/>
  <c r="K210" i="2"/>
  <c r="J210" i="2"/>
  <c r="I210" i="2"/>
  <c r="H210" i="2"/>
  <c r="G210" i="2"/>
  <c r="F210" i="2"/>
  <c r="E210" i="2"/>
  <c r="D210" i="2"/>
  <c r="C210" i="2"/>
  <c r="B210" i="2"/>
  <c r="A210" i="2"/>
  <c r="AE209" i="2"/>
  <c r="AD209" i="2"/>
  <c r="AC209" i="2"/>
  <c r="AB209" i="2"/>
  <c r="AA209" i="2"/>
  <c r="Z209" i="2"/>
  <c r="Y209" i="2"/>
  <c r="X209" i="2"/>
  <c r="W209" i="2"/>
  <c r="V209" i="2"/>
  <c r="U209" i="2"/>
  <c r="T209" i="2"/>
  <c r="S209" i="2"/>
  <c r="R209" i="2"/>
  <c r="Q209" i="2"/>
  <c r="P209" i="2"/>
  <c r="O209" i="2"/>
  <c r="N209" i="2"/>
  <c r="M209" i="2"/>
  <c r="L209" i="2"/>
  <c r="K209" i="2"/>
  <c r="J209" i="2"/>
  <c r="I209" i="2"/>
  <c r="H209" i="2"/>
  <c r="G209" i="2"/>
  <c r="F209" i="2"/>
  <c r="E209" i="2"/>
  <c r="D209" i="2"/>
  <c r="C209" i="2"/>
  <c r="B209" i="2"/>
  <c r="A209" i="2"/>
  <c r="AE208" i="2"/>
  <c r="AD208" i="2"/>
  <c r="AC208" i="2"/>
  <c r="AB208" i="2"/>
  <c r="AA208" i="2"/>
  <c r="Z208" i="2"/>
  <c r="Y208" i="2"/>
  <c r="X208" i="2"/>
  <c r="W208" i="2"/>
  <c r="V208" i="2"/>
  <c r="U208" i="2"/>
  <c r="T208" i="2"/>
  <c r="S208" i="2"/>
  <c r="R208" i="2"/>
  <c r="Q208" i="2"/>
  <c r="P208" i="2"/>
  <c r="O208" i="2"/>
  <c r="N208" i="2"/>
  <c r="M208" i="2"/>
  <c r="L208" i="2"/>
  <c r="K208" i="2"/>
  <c r="J208" i="2"/>
  <c r="I208" i="2"/>
  <c r="H208" i="2"/>
  <c r="G208" i="2"/>
  <c r="F208" i="2"/>
  <c r="E208" i="2"/>
  <c r="D208" i="2"/>
  <c r="C208" i="2"/>
  <c r="B208" i="2"/>
  <c r="A208" i="2"/>
  <c r="AE207" i="2"/>
  <c r="AD207" i="2"/>
  <c r="AC207" i="2"/>
  <c r="AB207" i="2"/>
  <c r="AA207" i="2"/>
  <c r="Z207" i="2"/>
  <c r="Y207" i="2"/>
  <c r="X207" i="2"/>
  <c r="W207" i="2"/>
  <c r="V207" i="2"/>
  <c r="U207" i="2"/>
  <c r="T207" i="2"/>
  <c r="S207" i="2"/>
  <c r="R207" i="2"/>
  <c r="Q207" i="2"/>
  <c r="P207" i="2"/>
  <c r="O207" i="2"/>
  <c r="N207" i="2"/>
  <c r="M207" i="2"/>
  <c r="L207" i="2"/>
  <c r="K207" i="2"/>
  <c r="J207" i="2"/>
  <c r="I207" i="2"/>
  <c r="H207" i="2"/>
  <c r="G207" i="2"/>
  <c r="F207" i="2"/>
  <c r="E207" i="2"/>
  <c r="D207" i="2"/>
  <c r="C207" i="2"/>
  <c r="B207" i="2"/>
  <c r="A207" i="2"/>
  <c r="AE206" i="2"/>
  <c r="AD206" i="2"/>
  <c r="AC206" i="2"/>
  <c r="AB206" i="2"/>
  <c r="AA206" i="2"/>
  <c r="Z206" i="2"/>
  <c r="Y206" i="2"/>
  <c r="X206" i="2"/>
  <c r="W206" i="2"/>
  <c r="V206" i="2"/>
  <c r="U206" i="2"/>
  <c r="T206" i="2"/>
  <c r="S206" i="2"/>
  <c r="R206" i="2"/>
  <c r="Q206" i="2"/>
  <c r="P206" i="2"/>
  <c r="O206" i="2"/>
  <c r="N206" i="2"/>
  <c r="M206" i="2"/>
  <c r="L206" i="2"/>
  <c r="K206" i="2"/>
  <c r="J206" i="2"/>
  <c r="I206" i="2"/>
  <c r="H206" i="2"/>
  <c r="G206" i="2"/>
  <c r="F206" i="2"/>
  <c r="E206" i="2"/>
  <c r="D206" i="2"/>
  <c r="C206" i="2"/>
  <c r="B206" i="2"/>
  <c r="A206" i="2"/>
  <c r="AE205" i="2"/>
  <c r="AD205" i="2"/>
  <c r="AC205" i="2"/>
  <c r="AB205" i="2"/>
  <c r="AA205" i="2"/>
  <c r="Z205" i="2"/>
  <c r="Y205" i="2"/>
  <c r="X205" i="2"/>
  <c r="W205" i="2"/>
  <c r="V205" i="2"/>
  <c r="U205" i="2"/>
  <c r="T205" i="2"/>
  <c r="S205" i="2"/>
  <c r="R205" i="2"/>
  <c r="Q205" i="2"/>
  <c r="P205" i="2"/>
  <c r="O205" i="2"/>
  <c r="N205" i="2"/>
  <c r="M205" i="2"/>
  <c r="L205" i="2"/>
  <c r="K205" i="2"/>
  <c r="J205" i="2"/>
  <c r="I205" i="2"/>
  <c r="H205" i="2"/>
  <c r="G205" i="2"/>
  <c r="F205" i="2"/>
  <c r="E205" i="2"/>
  <c r="D205" i="2"/>
  <c r="C205" i="2"/>
  <c r="B205" i="2"/>
  <c r="A205" i="2"/>
  <c r="AE204" i="2"/>
  <c r="AD204" i="2"/>
  <c r="AC204" i="2"/>
  <c r="AB204" i="2"/>
  <c r="AA204" i="2"/>
  <c r="Z204" i="2"/>
  <c r="Y204" i="2"/>
  <c r="X204" i="2"/>
  <c r="W204" i="2"/>
  <c r="V204" i="2"/>
  <c r="U204" i="2"/>
  <c r="T204" i="2"/>
  <c r="S204" i="2"/>
  <c r="R204" i="2"/>
  <c r="Q204" i="2"/>
  <c r="P204" i="2"/>
  <c r="O204" i="2"/>
  <c r="N204" i="2"/>
  <c r="M204" i="2"/>
  <c r="L204" i="2"/>
  <c r="K204" i="2"/>
  <c r="J204" i="2"/>
  <c r="I204" i="2"/>
  <c r="H204" i="2"/>
  <c r="G204" i="2"/>
  <c r="F204" i="2"/>
  <c r="E204" i="2"/>
  <c r="D204" i="2"/>
  <c r="C204" i="2"/>
  <c r="B204" i="2"/>
  <c r="A204" i="2"/>
  <c r="AE203" i="2"/>
  <c r="AD203" i="2"/>
  <c r="AC203" i="2"/>
  <c r="AB203" i="2"/>
  <c r="AA203" i="2"/>
  <c r="Z203" i="2"/>
  <c r="Y203" i="2"/>
  <c r="X203" i="2"/>
  <c r="W203" i="2"/>
  <c r="V203" i="2"/>
  <c r="U203" i="2"/>
  <c r="T203" i="2"/>
  <c r="S203" i="2"/>
  <c r="R203" i="2"/>
  <c r="Q203" i="2"/>
  <c r="P203" i="2"/>
  <c r="O203" i="2"/>
  <c r="N203" i="2"/>
  <c r="M203" i="2"/>
  <c r="L203" i="2"/>
  <c r="K203" i="2"/>
  <c r="J203" i="2"/>
  <c r="I203" i="2"/>
  <c r="H203" i="2"/>
  <c r="G203" i="2"/>
  <c r="F203" i="2"/>
  <c r="E203" i="2"/>
  <c r="D203" i="2"/>
  <c r="C203" i="2"/>
  <c r="B203" i="2"/>
  <c r="A203" i="2"/>
  <c r="AE202" i="2"/>
  <c r="AD202" i="2"/>
  <c r="AC202" i="2"/>
  <c r="AB202" i="2"/>
  <c r="AA202" i="2"/>
  <c r="Z202" i="2"/>
  <c r="Y202" i="2"/>
  <c r="X202" i="2"/>
  <c r="W202" i="2"/>
  <c r="V202" i="2"/>
  <c r="U202" i="2"/>
  <c r="T202" i="2"/>
  <c r="S202" i="2"/>
  <c r="R202" i="2"/>
  <c r="Q202" i="2"/>
  <c r="P202" i="2"/>
  <c r="O202" i="2"/>
  <c r="N202" i="2"/>
  <c r="M202" i="2"/>
  <c r="L202" i="2"/>
  <c r="K202" i="2"/>
  <c r="J202" i="2"/>
  <c r="I202" i="2"/>
  <c r="H202" i="2"/>
  <c r="G202" i="2"/>
  <c r="F202" i="2"/>
  <c r="E202" i="2"/>
  <c r="D202" i="2"/>
  <c r="C202" i="2"/>
  <c r="B202" i="2"/>
  <c r="A202" i="2"/>
  <c r="AE201" i="2"/>
  <c r="AD201" i="2"/>
  <c r="AC201" i="2"/>
  <c r="AB201" i="2"/>
  <c r="AA201" i="2"/>
  <c r="Z201" i="2"/>
  <c r="Y201" i="2"/>
  <c r="X201" i="2"/>
  <c r="W201" i="2"/>
  <c r="V201" i="2"/>
  <c r="U201" i="2"/>
  <c r="T201" i="2"/>
  <c r="S201" i="2"/>
  <c r="R201" i="2"/>
  <c r="Q201" i="2"/>
  <c r="P201" i="2"/>
  <c r="O201" i="2"/>
  <c r="N201" i="2"/>
  <c r="M201" i="2"/>
  <c r="L201" i="2"/>
  <c r="K201" i="2"/>
  <c r="J201" i="2"/>
  <c r="I201" i="2"/>
  <c r="H201" i="2"/>
  <c r="G201" i="2"/>
  <c r="F201" i="2"/>
  <c r="E201" i="2"/>
  <c r="D201" i="2"/>
  <c r="C201" i="2"/>
  <c r="B201" i="2"/>
  <c r="A201" i="2"/>
  <c r="AE200" i="2"/>
  <c r="AD200" i="2"/>
  <c r="AC200" i="2"/>
  <c r="AB200" i="2"/>
  <c r="AA200" i="2"/>
  <c r="Z200" i="2"/>
  <c r="Y200" i="2"/>
  <c r="X200" i="2"/>
  <c r="W200" i="2"/>
  <c r="V200" i="2"/>
  <c r="U200" i="2"/>
  <c r="T200" i="2"/>
  <c r="S200" i="2"/>
  <c r="R200" i="2"/>
  <c r="Q200" i="2"/>
  <c r="P200" i="2"/>
  <c r="O200" i="2"/>
  <c r="N200" i="2"/>
  <c r="M200" i="2"/>
  <c r="L200" i="2"/>
  <c r="K200" i="2"/>
  <c r="J200" i="2"/>
  <c r="I200" i="2"/>
  <c r="H200" i="2"/>
  <c r="G200" i="2"/>
  <c r="F200" i="2"/>
  <c r="E200" i="2"/>
  <c r="D200" i="2"/>
  <c r="C200" i="2"/>
  <c r="B200" i="2"/>
  <c r="A200" i="2"/>
  <c r="AE199" i="2"/>
  <c r="AD199" i="2"/>
  <c r="AC199" i="2"/>
  <c r="AB199" i="2"/>
  <c r="AA199" i="2"/>
  <c r="Z199" i="2"/>
  <c r="Y199" i="2"/>
  <c r="X199" i="2"/>
  <c r="W199" i="2"/>
  <c r="V199" i="2"/>
  <c r="U199" i="2"/>
  <c r="T199" i="2"/>
  <c r="S199" i="2"/>
  <c r="R199" i="2"/>
  <c r="Q199" i="2"/>
  <c r="P199" i="2"/>
  <c r="O199" i="2"/>
  <c r="N199" i="2"/>
  <c r="M199" i="2"/>
  <c r="L199" i="2"/>
  <c r="K199" i="2"/>
  <c r="J199" i="2"/>
  <c r="I199" i="2"/>
  <c r="H199" i="2"/>
  <c r="G199" i="2"/>
  <c r="F199" i="2"/>
  <c r="E199" i="2"/>
  <c r="D199" i="2"/>
  <c r="C199" i="2"/>
  <c r="B199" i="2"/>
  <c r="A199" i="2"/>
  <c r="AE198" i="2"/>
  <c r="AD198" i="2"/>
  <c r="AC198" i="2"/>
  <c r="AB198" i="2"/>
  <c r="AA198" i="2"/>
  <c r="Z198" i="2"/>
  <c r="Y198" i="2"/>
  <c r="X198" i="2"/>
  <c r="W198" i="2"/>
  <c r="V198" i="2"/>
  <c r="U198" i="2"/>
  <c r="T198" i="2"/>
  <c r="S198" i="2"/>
  <c r="R198" i="2"/>
  <c r="Q198" i="2"/>
  <c r="P198" i="2"/>
  <c r="O198" i="2"/>
  <c r="N198" i="2"/>
  <c r="M198" i="2"/>
  <c r="L198" i="2"/>
  <c r="K198" i="2"/>
  <c r="J198" i="2"/>
  <c r="I198" i="2"/>
  <c r="H198" i="2"/>
  <c r="G198" i="2"/>
  <c r="F198" i="2"/>
  <c r="E198" i="2"/>
  <c r="D198" i="2"/>
  <c r="C198" i="2"/>
  <c r="B198" i="2"/>
  <c r="A198" i="2"/>
  <c r="AE197" i="2"/>
  <c r="AD197" i="2"/>
  <c r="AC197" i="2"/>
  <c r="AB197" i="2"/>
  <c r="AA197" i="2"/>
  <c r="Z197" i="2"/>
  <c r="Y197" i="2"/>
  <c r="X197" i="2"/>
  <c r="W197" i="2"/>
  <c r="V197" i="2"/>
  <c r="U197" i="2"/>
  <c r="T197" i="2"/>
  <c r="S197" i="2"/>
  <c r="R197" i="2"/>
  <c r="Q197" i="2"/>
  <c r="P197" i="2"/>
  <c r="O197" i="2"/>
  <c r="N197" i="2"/>
  <c r="M197" i="2"/>
  <c r="L197" i="2"/>
  <c r="K197" i="2"/>
  <c r="J197" i="2"/>
  <c r="I197" i="2"/>
  <c r="H197" i="2"/>
  <c r="G197" i="2"/>
  <c r="F197" i="2"/>
  <c r="E197" i="2"/>
  <c r="D197" i="2"/>
  <c r="C197" i="2"/>
  <c r="B197" i="2"/>
  <c r="A197" i="2"/>
  <c r="AE196" i="2"/>
  <c r="AD196" i="2"/>
  <c r="AC196" i="2"/>
  <c r="AB196" i="2"/>
  <c r="AA196" i="2"/>
  <c r="Z196" i="2"/>
  <c r="Y196" i="2"/>
  <c r="X196" i="2"/>
  <c r="W196" i="2"/>
  <c r="V196" i="2"/>
  <c r="U196" i="2"/>
  <c r="T196" i="2"/>
  <c r="S196" i="2"/>
  <c r="R196" i="2"/>
  <c r="Q196" i="2"/>
  <c r="P196" i="2"/>
  <c r="O196" i="2"/>
  <c r="N196" i="2"/>
  <c r="M196" i="2"/>
  <c r="L196" i="2"/>
  <c r="K196" i="2"/>
  <c r="J196" i="2"/>
  <c r="I196" i="2"/>
  <c r="H196" i="2"/>
  <c r="G196" i="2"/>
  <c r="F196" i="2"/>
  <c r="E196" i="2"/>
  <c r="D196" i="2"/>
  <c r="C196" i="2"/>
  <c r="B196" i="2"/>
  <c r="A196" i="2"/>
  <c r="AE195" i="2"/>
  <c r="AD195" i="2"/>
  <c r="AC195" i="2"/>
  <c r="AB195" i="2"/>
  <c r="AA195" i="2"/>
  <c r="Z195" i="2"/>
  <c r="Y195" i="2"/>
  <c r="X195" i="2"/>
  <c r="W195" i="2"/>
  <c r="V195" i="2"/>
  <c r="U195" i="2"/>
  <c r="T195" i="2"/>
  <c r="S195" i="2"/>
  <c r="R195" i="2"/>
  <c r="Q195" i="2"/>
  <c r="P195" i="2"/>
  <c r="O195" i="2"/>
  <c r="N195" i="2"/>
  <c r="M195" i="2"/>
  <c r="L195" i="2"/>
  <c r="K195" i="2"/>
  <c r="J195" i="2"/>
  <c r="I195" i="2"/>
  <c r="H195" i="2"/>
  <c r="G195" i="2"/>
  <c r="F195" i="2"/>
  <c r="E195" i="2"/>
  <c r="D195" i="2"/>
  <c r="C195" i="2"/>
  <c r="B195" i="2"/>
  <c r="A195" i="2"/>
  <c r="AE194" i="2"/>
  <c r="AD194" i="2"/>
  <c r="AC194" i="2"/>
  <c r="AB194" i="2"/>
  <c r="AA194" i="2"/>
  <c r="Z194" i="2"/>
  <c r="Y194" i="2"/>
  <c r="X194" i="2"/>
  <c r="W194" i="2"/>
  <c r="V194" i="2"/>
  <c r="U194" i="2"/>
  <c r="T194" i="2"/>
  <c r="S194" i="2"/>
  <c r="R194" i="2"/>
  <c r="Q194" i="2"/>
  <c r="P194" i="2"/>
  <c r="O194" i="2"/>
  <c r="N194" i="2"/>
  <c r="M194" i="2"/>
  <c r="L194" i="2"/>
  <c r="K194" i="2"/>
  <c r="J194" i="2"/>
  <c r="I194" i="2"/>
  <c r="H194" i="2"/>
  <c r="G194" i="2"/>
  <c r="F194" i="2"/>
  <c r="E194" i="2"/>
  <c r="D194" i="2"/>
  <c r="C194" i="2"/>
  <c r="B194" i="2"/>
  <c r="A194" i="2"/>
  <c r="AE193" i="2"/>
  <c r="AD193" i="2"/>
  <c r="AC193" i="2"/>
  <c r="AB193" i="2"/>
  <c r="AA193" i="2"/>
  <c r="Z193" i="2"/>
  <c r="Y193" i="2"/>
  <c r="X193" i="2"/>
  <c r="W193" i="2"/>
  <c r="V193" i="2"/>
  <c r="U193" i="2"/>
  <c r="T193" i="2"/>
  <c r="S193" i="2"/>
  <c r="R193" i="2"/>
  <c r="Q193" i="2"/>
  <c r="P193" i="2"/>
  <c r="O193" i="2"/>
  <c r="N193" i="2"/>
  <c r="M193" i="2"/>
  <c r="L193" i="2"/>
  <c r="K193" i="2"/>
  <c r="J193" i="2"/>
  <c r="I193" i="2"/>
  <c r="H193" i="2"/>
  <c r="G193" i="2"/>
  <c r="F193" i="2"/>
  <c r="E193" i="2"/>
  <c r="D193" i="2"/>
  <c r="C193" i="2"/>
  <c r="B193" i="2"/>
  <c r="A193" i="2"/>
  <c r="AE192" i="2"/>
  <c r="AD192" i="2"/>
  <c r="AC192" i="2"/>
  <c r="AB192" i="2"/>
  <c r="AA192" i="2"/>
  <c r="Z192" i="2"/>
  <c r="Y192" i="2"/>
  <c r="X192" i="2"/>
  <c r="W192" i="2"/>
  <c r="V192" i="2"/>
  <c r="U192" i="2"/>
  <c r="T192" i="2"/>
  <c r="S192" i="2"/>
  <c r="R192" i="2"/>
  <c r="Q192" i="2"/>
  <c r="P192" i="2"/>
  <c r="O192" i="2"/>
  <c r="N192" i="2"/>
  <c r="M192" i="2"/>
  <c r="L192" i="2"/>
  <c r="K192" i="2"/>
  <c r="J192" i="2"/>
  <c r="I192" i="2"/>
  <c r="H192" i="2"/>
  <c r="G192" i="2"/>
  <c r="F192" i="2"/>
  <c r="E192" i="2"/>
  <c r="D192" i="2"/>
  <c r="C192" i="2"/>
  <c r="B192" i="2"/>
  <c r="A192" i="2"/>
  <c r="AE191" i="2"/>
  <c r="AD191" i="2"/>
  <c r="AC191" i="2"/>
  <c r="AB191" i="2"/>
  <c r="AA191" i="2"/>
  <c r="Z191" i="2"/>
  <c r="Y191" i="2"/>
  <c r="X191" i="2"/>
  <c r="W191" i="2"/>
  <c r="V191" i="2"/>
  <c r="U191" i="2"/>
  <c r="T191" i="2"/>
  <c r="S191" i="2"/>
  <c r="R191" i="2"/>
  <c r="Q191" i="2"/>
  <c r="P191" i="2"/>
  <c r="O191" i="2"/>
  <c r="N191" i="2"/>
  <c r="M191" i="2"/>
  <c r="L191" i="2"/>
  <c r="K191" i="2"/>
  <c r="J191" i="2"/>
  <c r="I191" i="2"/>
  <c r="H191" i="2"/>
  <c r="G191" i="2"/>
  <c r="F191" i="2"/>
  <c r="E191" i="2"/>
  <c r="D191" i="2"/>
  <c r="C191" i="2"/>
  <c r="B191" i="2"/>
  <c r="A191" i="2"/>
  <c r="AE190" i="2"/>
  <c r="AD190" i="2"/>
  <c r="AC190" i="2"/>
  <c r="AB190" i="2"/>
  <c r="AA190" i="2"/>
  <c r="Z190" i="2"/>
  <c r="Y190" i="2"/>
  <c r="X190" i="2"/>
  <c r="W190" i="2"/>
  <c r="V190" i="2"/>
  <c r="U190" i="2"/>
  <c r="T190" i="2"/>
  <c r="S190" i="2"/>
  <c r="R190" i="2"/>
  <c r="Q190" i="2"/>
  <c r="P190" i="2"/>
  <c r="O190" i="2"/>
  <c r="N190" i="2"/>
  <c r="M190" i="2"/>
  <c r="L190" i="2"/>
  <c r="K190" i="2"/>
  <c r="J190" i="2"/>
  <c r="I190" i="2"/>
  <c r="H190" i="2"/>
  <c r="G190" i="2"/>
  <c r="F190" i="2"/>
  <c r="E190" i="2"/>
  <c r="D190" i="2"/>
  <c r="C190" i="2"/>
  <c r="B190" i="2"/>
  <c r="A190" i="2"/>
  <c r="AE189" i="2"/>
  <c r="AD189" i="2"/>
  <c r="AC189" i="2"/>
  <c r="AB189" i="2"/>
  <c r="AA189" i="2"/>
  <c r="Z189" i="2"/>
  <c r="Y189" i="2"/>
  <c r="X189" i="2"/>
  <c r="W189" i="2"/>
  <c r="V189" i="2"/>
  <c r="U189" i="2"/>
  <c r="T189" i="2"/>
  <c r="S189" i="2"/>
  <c r="R189" i="2"/>
  <c r="Q189" i="2"/>
  <c r="P189" i="2"/>
  <c r="O189" i="2"/>
  <c r="N189" i="2"/>
  <c r="M189" i="2"/>
  <c r="L189" i="2"/>
  <c r="K189" i="2"/>
  <c r="J189" i="2"/>
  <c r="I189" i="2"/>
  <c r="H189" i="2"/>
  <c r="G189" i="2"/>
  <c r="F189" i="2"/>
  <c r="E189" i="2"/>
  <c r="D189" i="2"/>
  <c r="C189" i="2"/>
  <c r="B189" i="2"/>
  <c r="A189" i="2"/>
  <c r="AE188" i="2"/>
  <c r="AD188" i="2"/>
  <c r="AC188" i="2"/>
  <c r="AB188" i="2"/>
  <c r="AA188" i="2"/>
  <c r="Z188" i="2"/>
  <c r="Y188" i="2"/>
  <c r="X188" i="2"/>
  <c r="W188" i="2"/>
  <c r="V188" i="2"/>
  <c r="U188" i="2"/>
  <c r="T188" i="2"/>
  <c r="S188" i="2"/>
  <c r="R188" i="2"/>
  <c r="Q188" i="2"/>
  <c r="P188" i="2"/>
  <c r="O188" i="2"/>
  <c r="N188" i="2"/>
  <c r="M188" i="2"/>
  <c r="L188" i="2"/>
  <c r="K188" i="2"/>
  <c r="J188" i="2"/>
  <c r="I188" i="2"/>
  <c r="H188" i="2"/>
  <c r="G188" i="2"/>
  <c r="F188" i="2"/>
  <c r="E188" i="2"/>
  <c r="D188" i="2"/>
  <c r="C188" i="2"/>
  <c r="B188" i="2"/>
  <c r="A188" i="2"/>
  <c r="AE187" i="2"/>
  <c r="AD187" i="2"/>
  <c r="AC187" i="2"/>
  <c r="AB187" i="2"/>
  <c r="AA187" i="2"/>
  <c r="Z187" i="2"/>
  <c r="Y187" i="2"/>
  <c r="X187" i="2"/>
  <c r="W187" i="2"/>
  <c r="V187" i="2"/>
  <c r="U187" i="2"/>
  <c r="T187" i="2"/>
  <c r="S187" i="2"/>
  <c r="R187" i="2"/>
  <c r="Q187" i="2"/>
  <c r="P187" i="2"/>
  <c r="O187" i="2"/>
  <c r="N187" i="2"/>
  <c r="M187" i="2"/>
  <c r="L187" i="2"/>
  <c r="K187" i="2"/>
  <c r="J187" i="2"/>
  <c r="I187" i="2"/>
  <c r="H187" i="2"/>
  <c r="G187" i="2"/>
  <c r="F187" i="2"/>
  <c r="E187" i="2"/>
  <c r="D187" i="2"/>
  <c r="C187" i="2"/>
  <c r="B187" i="2"/>
  <c r="A187" i="2"/>
  <c r="AE186" i="2"/>
  <c r="AD186" i="2"/>
  <c r="AC186" i="2"/>
  <c r="AB186" i="2"/>
  <c r="AA186" i="2"/>
  <c r="Z186" i="2"/>
  <c r="Y186" i="2"/>
  <c r="X186" i="2"/>
  <c r="W186" i="2"/>
  <c r="V186" i="2"/>
  <c r="U186" i="2"/>
  <c r="T186" i="2"/>
  <c r="S186" i="2"/>
  <c r="R186" i="2"/>
  <c r="Q186" i="2"/>
  <c r="P186" i="2"/>
  <c r="O186" i="2"/>
  <c r="N186" i="2"/>
  <c r="M186" i="2"/>
  <c r="L186" i="2"/>
  <c r="K186" i="2"/>
  <c r="J186" i="2"/>
  <c r="I186" i="2"/>
  <c r="H186" i="2"/>
  <c r="G186" i="2"/>
  <c r="F186" i="2"/>
  <c r="E186" i="2"/>
  <c r="D186" i="2"/>
  <c r="C186" i="2"/>
  <c r="B186" i="2"/>
  <c r="A186" i="2"/>
  <c r="AE185" i="2"/>
  <c r="AD185" i="2"/>
  <c r="AC185" i="2"/>
  <c r="AB185" i="2"/>
  <c r="AA185" i="2"/>
  <c r="Z185" i="2"/>
  <c r="Y185" i="2"/>
  <c r="X185" i="2"/>
  <c r="W185" i="2"/>
  <c r="V185" i="2"/>
  <c r="U185" i="2"/>
  <c r="T185" i="2"/>
  <c r="S185" i="2"/>
  <c r="R185" i="2"/>
  <c r="Q185" i="2"/>
  <c r="P185" i="2"/>
  <c r="O185" i="2"/>
  <c r="N185" i="2"/>
  <c r="M185" i="2"/>
  <c r="L185" i="2"/>
  <c r="K185" i="2"/>
  <c r="J185" i="2"/>
  <c r="I185" i="2"/>
  <c r="H185" i="2"/>
  <c r="G185" i="2"/>
  <c r="F185" i="2"/>
  <c r="E185" i="2"/>
  <c r="D185" i="2"/>
  <c r="C185" i="2"/>
  <c r="B185" i="2"/>
  <c r="A185" i="2"/>
  <c r="AE184" i="2"/>
  <c r="AD184" i="2"/>
  <c r="AC184" i="2"/>
  <c r="AB184" i="2"/>
  <c r="AA184" i="2"/>
  <c r="Z184" i="2"/>
  <c r="Y184" i="2"/>
  <c r="X184" i="2"/>
  <c r="W184" i="2"/>
  <c r="V184" i="2"/>
  <c r="U184" i="2"/>
  <c r="T184" i="2"/>
  <c r="S184" i="2"/>
  <c r="R184" i="2"/>
  <c r="Q184" i="2"/>
  <c r="P184" i="2"/>
  <c r="O184" i="2"/>
  <c r="N184" i="2"/>
  <c r="M184" i="2"/>
  <c r="L184" i="2"/>
  <c r="K184" i="2"/>
  <c r="J184" i="2"/>
  <c r="I184" i="2"/>
  <c r="H184" i="2"/>
  <c r="G184" i="2"/>
  <c r="F184" i="2"/>
  <c r="E184" i="2"/>
  <c r="D184" i="2"/>
  <c r="C184" i="2"/>
  <c r="B184" i="2"/>
  <c r="A184" i="2"/>
  <c r="AE183" i="2"/>
  <c r="AD183" i="2"/>
  <c r="AC183" i="2"/>
  <c r="AB183" i="2"/>
  <c r="AA183" i="2"/>
  <c r="Z183" i="2"/>
  <c r="Y183" i="2"/>
  <c r="X183" i="2"/>
  <c r="W183" i="2"/>
  <c r="V183" i="2"/>
  <c r="U183" i="2"/>
  <c r="T183" i="2"/>
  <c r="S183" i="2"/>
  <c r="R183" i="2"/>
  <c r="Q183" i="2"/>
  <c r="P183" i="2"/>
  <c r="O183" i="2"/>
  <c r="N183" i="2"/>
  <c r="M183" i="2"/>
  <c r="L183" i="2"/>
  <c r="K183" i="2"/>
  <c r="J183" i="2"/>
  <c r="I183" i="2"/>
  <c r="H183" i="2"/>
  <c r="G183" i="2"/>
  <c r="F183" i="2"/>
  <c r="E183" i="2"/>
  <c r="D183" i="2"/>
  <c r="C183" i="2"/>
  <c r="B183" i="2"/>
  <c r="A183" i="2"/>
  <c r="AE182" i="2"/>
  <c r="AD182" i="2"/>
  <c r="AC182" i="2"/>
  <c r="AB182" i="2"/>
  <c r="AA182" i="2"/>
  <c r="Z182" i="2"/>
  <c r="Y182" i="2"/>
  <c r="X182" i="2"/>
  <c r="W182" i="2"/>
  <c r="V182" i="2"/>
  <c r="U182" i="2"/>
  <c r="T182" i="2"/>
  <c r="S182" i="2"/>
  <c r="R182" i="2"/>
  <c r="Q182" i="2"/>
  <c r="P182" i="2"/>
  <c r="O182" i="2"/>
  <c r="N182" i="2"/>
  <c r="M182" i="2"/>
  <c r="L182" i="2"/>
  <c r="K182" i="2"/>
  <c r="J182" i="2"/>
  <c r="I182" i="2"/>
  <c r="H182" i="2"/>
  <c r="G182" i="2"/>
  <c r="F182" i="2"/>
  <c r="E182" i="2"/>
  <c r="D182" i="2"/>
  <c r="C182" i="2"/>
  <c r="B182" i="2"/>
  <c r="A182" i="2"/>
  <c r="AE181" i="2"/>
  <c r="AD181" i="2"/>
  <c r="AC181" i="2"/>
  <c r="AB181" i="2"/>
  <c r="AA181" i="2"/>
  <c r="Z181" i="2"/>
  <c r="Y181" i="2"/>
  <c r="X181" i="2"/>
  <c r="W181" i="2"/>
  <c r="V181" i="2"/>
  <c r="U181" i="2"/>
  <c r="T181" i="2"/>
  <c r="S181" i="2"/>
  <c r="R181" i="2"/>
  <c r="Q181" i="2"/>
  <c r="P181" i="2"/>
  <c r="O181" i="2"/>
  <c r="N181" i="2"/>
  <c r="M181" i="2"/>
  <c r="L181" i="2"/>
  <c r="K181" i="2"/>
  <c r="J181" i="2"/>
  <c r="I181" i="2"/>
  <c r="H181" i="2"/>
  <c r="G181" i="2"/>
  <c r="F181" i="2"/>
  <c r="E181" i="2"/>
  <c r="D181" i="2"/>
  <c r="C181" i="2"/>
  <c r="B181" i="2"/>
  <c r="A181" i="2"/>
  <c r="AE180" i="2"/>
  <c r="AD180" i="2"/>
  <c r="AC180" i="2"/>
  <c r="AB180" i="2"/>
  <c r="AA180" i="2"/>
  <c r="Z180" i="2"/>
  <c r="Y180" i="2"/>
  <c r="X180" i="2"/>
  <c r="W180" i="2"/>
  <c r="V180" i="2"/>
  <c r="U180" i="2"/>
  <c r="T180" i="2"/>
  <c r="S180" i="2"/>
  <c r="R180" i="2"/>
  <c r="Q180" i="2"/>
  <c r="P180" i="2"/>
  <c r="O180" i="2"/>
  <c r="N180" i="2"/>
  <c r="M180" i="2"/>
  <c r="L180" i="2"/>
  <c r="K180" i="2"/>
  <c r="J180" i="2"/>
  <c r="I180" i="2"/>
  <c r="H180" i="2"/>
  <c r="G180" i="2"/>
  <c r="F180" i="2"/>
  <c r="E180" i="2"/>
  <c r="D180" i="2"/>
  <c r="C180" i="2"/>
  <c r="B180" i="2"/>
  <c r="A180" i="2"/>
  <c r="AE179" i="2"/>
  <c r="AD179" i="2"/>
  <c r="AC179" i="2"/>
  <c r="AB179" i="2"/>
  <c r="AA179" i="2"/>
  <c r="Z179" i="2"/>
  <c r="Y179" i="2"/>
  <c r="X179" i="2"/>
  <c r="W179" i="2"/>
  <c r="V179" i="2"/>
  <c r="U179" i="2"/>
  <c r="T179" i="2"/>
  <c r="S179" i="2"/>
  <c r="R179" i="2"/>
  <c r="Q179" i="2"/>
  <c r="P179" i="2"/>
  <c r="O179" i="2"/>
  <c r="N179" i="2"/>
  <c r="M179" i="2"/>
  <c r="L179" i="2"/>
  <c r="K179" i="2"/>
  <c r="J179" i="2"/>
  <c r="I179" i="2"/>
  <c r="H179" i="2"/>
  <c r="G179" i="2"/>
  <c r="F179" i="2"/>
  <c r="E179" i="2"/>
  <c r="D179" i="2"/>
  <c r="C179" i="2"/>
  <c r="B179" i="2"/>
  <c r="A179" i="2"/>
  <c r="AE178" i="2"/>
  <c r="AD178" i="2"/>
  <c r="AC178" i="2"/>
  <c r="AB178" i="2"/>
  <c r="AA178" i="2"/>
  <c r="Z178" i="2"/>
  <c r="Y178" i="2"/>
  <c r="X178" i="2"/>
  <c r="W178" i="2"/>
  <c r="V178" i="2"/>
  <c r="U178" i="2"/>
  <c r="T178" i="2"/>
  <c r="S178" i="2"/>
  <c r="R178" i="2"/>
  <c r="Q178" i="2"/>
  <c r="P178" i="2"/>
  <c r="O178" i="2"/>
  <c r="N178" i="2"/>
  <c r="M178" i="2"/>
  <c r="L178" i="2"/>
  <c r="K178" i="2"/>
  <c r="J178" i="2"/>
  <c r="I178" i="2"/>
  <c r="H178" i="2"/>
  <c r="G178" i="2"/>
  <c r="F178" i="2"/>
  <c r="E178" i="2"/>
  <c r="D178" i="2"/>
  <c r="C178" i="2"/>
  <c r="B178" i="2"/>
  <c r="A178" i="2"/>
  <c r="AE177" i="2"/>
  <c r="AD177" i="2"/>
  <c r="AC177" i="2"/>
  <c r="AB177" i="2"/>
  <c r="AA177" i="2"/>
  <c r="Z177" i="2"/>
  <c r="Y177" i="2"/>
  <c r="X177" i="2"/>
  <c r="W177" i="2"/>
  <c r="V177" i="2"/>
  <c r="U177" i="2"/>
  <c r="T177" i="2"/>
  <c r="S177" i="2"/>
  <c r="R177" i="2"/>
  <c r="Q177" i="2"/>
  <c r="P177" i="2"/>
  <c r="O177" i="2"/>
  <c r="N177" i="2"/>
  <c r="M177" i="2"/>
  <c r="L177" i="2"/>
  <c r="K177" i="2"/>
  <c r="J177" i="2"/>
  <c r="I177" i="2"/>
  <c r="H177" i="2"/>
  <c r="G177" i="2"/>
  <c r="F177" i="2"/>
  <c r="E177" i="2"/>
  <c r="D177" i="2"/>
  <c r="C177" i="2"/>
  <c r="B177" i="2"/>
  <c r="A177" i="2"/>
  <c r="AE176" i="2"/>
  <c r="AD176" i="2"/>
  <c r="AC176" i="2"/>
  <c r="AB176" i="2"/>
  <c r="AA176" i="2"/>
  <c r="Z176" i="2"/>
  <c r="Y176" i="2"/>
  <c r="X176" i="2"/>
  <c r="W176" i="2"/>
  <c r="V176" i="2"/>
  <c r="U176" i="2"/>
  <c r="T176" i="2"/>
  <c r="S176" i="2"/>
  <c r="R176" i="2"/>
  <c r="Q176" i="2"/>
  <c r="P176" i="2"/>
  <c r="O176" i="2"/>
  <c r="N176" i="2"/>
  <c r="M176" i="2"/>
  <c r="L176" i="2"/>
  <c r="K176" i="2"/>
  <c r="J176" i="2"/>
  <c r="I176" i="2"/>
  <c r="H176" i="2"/>
  <c r="G176" i="2"/>
  <c r="F176" i="2"/>
  <c r="E176" i="2"/>
  <c r="D176" i="2"/>
  <c r="C176" i="2"/>
  <c r="B176" i="2"/>
  <c r="A176" i="2"/>
  <c r="AE175" i="2"/>
  <c r="AD175" i="2"/>
  <c r="AC175" i="2"/>
  <c r="AB175" i="2"/>
  <c r="AA175" i="2"/>
  <c r="Z175" i="2"/>
  <c r="Y175" i="2"/>
  <c r="X175" i="2"/>
  <c r="W175" i="2"/>
  <c r="V175" i="2"/>
  <c r="U175" i="2"/>
  <c r="T175" i="2"/>
  <c r="S175" i="2"/>
  <c r="R175" i="2"/>
  <c r="Q175" i="2"/>
  <c r="P175" i="2"/>
  <c r="O175" i="2"/>
  <c r="N175" i="2"/>
  <c r="M175" i="2"/>
  <c r="L175" i="2"/>
  <c r="K175" i="2"/>
  <c r="J175" i="2"/>
  <c r="I175" i="2"/>
  <c r="H175" i="2"/>
  <c r="G175" i="2"/>
  <c r="F175" i="2"/>
  <c r="E175" i="2"/>
  <c r="D175" i="2"/>
  <c r="C175" i="2"/>
  <c r="B175" i="2"/>
  <c r="A175" i="2"/>
  <c r="AE174" i="2"/>
  <c r="AD174" i="2"/>
  <c r="AC174" i="2"/>
  <c r="AB174" i="2"/>
  <c r="AA174" i="2"/>
  <c r="Z174" i="2"/>
  <c r="Y174" i="2"/>
  <c r="X174" i="2"/>
  <c r="W174" i="2"/>
  <c r="V174" i="2"/>
  <c r="U174" i="2"/>
  <c r="T174" i="2"/>
  <c r="S174" i="2"/>
  <c r="R174" i="2"/>
  <c r="Q174" i="2"/>
  <c r="P174" i="2"/>
  <c r="O174" i="2"/>
  <c r="N174" i="2"/>
  <c r="M174" i="2"/>
  <c r="L174" i="2"/>
  <c r="K174" i="2"/>
  <c r="J174" i="2"/>
  <c r="I174" i="2"/>
  <c r="H174" i="2"/>
  <c r="G174" i="2"/>
  <c r="F174" i="2"/>
  <c r="E174" i="2"/>
  <c r="D174" i="2"/>
  <c r="C174" i="2"/>
  <c r="B174" i="2"/>
  <c r="A174" i="2"/>
  <c r="AE173" i="2"/>
  <c r="AD173" i="2"/>
  <c r="AC173" i="2"/>
  <c r="AB173" i="2"/>
  <c r="AA173" i="2"/>
  <c r="Z173" i="2"/>
  <c r="Y173" i="2"/>
  <c r="X173" i="2"/>
  <c r="W173" i="2"/>
  <c r="V173" i="2"/>
  <c r="U173" i="2"/>
  <c r="T173" i="2"/>
  <c r="S173" i="2"/>
  <c r="R173" i="2"/>
  <c r="Q173" i="2"/>
  <c r="P173" i="2"/>
  <c r="O173" i="2"/>
  <c r="N173" i="2"/>
  <c r="M173" i="2"/>
  <c r="L173" i="2"/>
  <c r="K173" i="2"/>
  <c r="J173" i="2"/>
  <c r="I173" i="2"/>
  <c r="H173" i="2"/>
  <c r="G173" i="2"/>
  <c r="F173" i="2"/>
  <c r="E173" i="2"/>
  <c r="D173" i="2"/>
  <c r="C173" i="2"/>
  <c r="B173" i="2"/>
  <c r="A173" i="2"/>
  <c r="AE172" i="2"/>
  <c r="AD172" i="2"/>
  <c r="AC172" i="2"/>
  <c r="AB172" i="2"/>
  <c r="AA172" i="2"/>
  <c r="Z172" i="2"/>
  <c r="Y172" i="2"/>
  <c r="X172" i="2"/>
  <c r="W172" i="2"/>
  <c r="V172" i="2"/>
  <c r="U172" i="2"/>
  <c r="T172" i="2"/>
  <c r="S172" i="2"/>
  <c r="R172" i="2"/>
  <c r="Q172" i="2"/>
  <c r="P172" i="2"/>
  <c r="O172" i="2"/>
  <c r="N172" i="2"/>
  <c r="M172" i="2"/>
  <c r="L172" i="2"/>
  <c r="K172" i="2"/>
  <c r="J172" i="2"/>
  <c r="I172" i="2"/>
  <c r="H172" i="2"/>
  <c r="G172" i="2"/>
  <c r="F172" i="2"/>
  <c r="E172" i="2"/>
  <c r="D172" i="2"/>
  <c r="C172" i="2"/>
  <c r="B172" i="2"/>
  <c r="A172" i="2"/>
  <c r="AE171" i="2"/>
  <c r="AD171" i="2"/>
  <c r="AC171" i="2"/>
  <c r="AB171" i="2"/>
  <c r="AA171" i="2"/>
  <c r="Z171" i="2"/>
  <c r="Y171" i="2"/>
  <c r="X171" i="2"/>
  <c r="W171" i="2"/>
  <c r="V171" i="2"/>
  <c r="U171" i="2"/>
  <c r="T171" i="2"/>
  <c r="S171" i="2"/>
  <c r="R171" i="2"/>
  <c r="Q171" i="2"/>
  <c r="P171" i="2"/>
  <c r="O171" i="2"/>
  <c r="N171" i="2"/>
  <c r="M171" i="2"/>
  <c r="L171" i="2"/>
  <c r="K171" i="2"/>
  <c r="J171" i="2"/>
  <c r="I171" i="2"/>
  <c r="H171" i="2"/>
  <c r="G171" i="2"/>
  <c r="F171" i="2"/>
  <c r="E171" i="2"/>
  <c r="D171" i="2"/>
  <c r="C171" i="2"/>
  <c r="B171" i="2"/>
  <c r="A171" i="2"/>
  <c r="AE170" i="2"/>
  <c r="AD170" i="2"/>
  <c r="AC170" i="2"/>
  <c r="AB170" i="2"/>
  <c r="AA170" i="2"/>
  <c r="Z170" i="2"/>
  <c r="Y170" i="2"/>
  <c r="X170" i="2"/>
  <c r="W170" i="2"/>
  <c r="V170" i="2"/>
  <c r="U170" i="2"/>
  <c r="T170" i="2"/>
  <c r="S170" i="2"/>
  <c r="R170" i="2"/>
  <c r="Q170" i="2"/>
  <c r="P170" i="2"/>
  <c r="O170" i="2"/>
  <c r="N170" i="2"/>
  <c r="M170" i="2"/>
  <c r="L170" i="2"/>
  <c r="K170" i="2"/>
  <c r="J170" i="2"/>
  <c r="I170" i="2"/>
  <c r="H170" i="2"/>
  <c r="G170" i="2"/>
  <c r="F170" i="2"/>
  <c r="E170" i="2"/>
  <c r="D170" i="2"/>
  <c r="C170" i="2"/>
  <c r="B170" i="2"/>
  <c r="A170" i="2"/>
  <c r="AE169" i="2"/>
  <c r="AD169" i="2"/>
  <c r="AC169" i="2"/>
  <c r="AB169" i="2"/>
  <c r="AA169" i="2"/>
  <c r="Z169" i="2"/>
  <c r="Y169" i="2"/>
  <c r="X169" i="2"/>
  <c r="W169" i="2"/>
  <c r="V169" i="2"/>
  <c r="U169" i="2"/>
  <c r="T169" i="2"/>
  <c r="S169" i="2"/>
  <c r="R169" i="2"/>
  <c r="Q169" i="2"/>
  <c r="P169" i="2"/>
  <c r="O169" i="2"/>
  <c r="N169" i="2"/>
  <c r="M169" i="2"/>
  <c r="L169" i="2"/>
  <c r="K169" i="2"/>
  <c r="J169" i="2"/>
  <c r="I169" i="2"/>
  <c r="H169" i="2"/>
  <c r="G169" i="2"/>
  <c r="F169" i="2"/>
  <c r="E169" i="2"/>
  <c r="D169" i="2"/>
  <c r="C169" i="2"/>
  <c r="B169" i="2"/>
  <c r="A169" i="2"/>
  <c r="AE168" i="2"/>
  <c r="AD168" i="2"/>
  <c r="AC168" i="2"/>
  <c r="AB168" i="2"/>
  <c r="AA168" i="2"/>
  <c r="Z168" i="2"/>
  <c r="Y168" i="2"/>
  <c r="X168" i="2"/>
  <c r="W168" i="2"/>
  <c r="V168" i="2"/>
  <c r="U168" i="2"/>
  <c r="T168" i="2"/>
  <c r="S168" i="2"/>
  <c r="R168" i="2"/>
  <c r="Q168" i="2"/>
  <c r="P168" i="2"/>
  <c r="O168" i="2"/>
  <c r="N168" i="2"/>
  <c r="M168" i="2"/>
  <c r="L168" i="2"/>
  <c r="K168" i="2"/>
  <c r="J168" i="2"/>
  <c r="I168" i="2"/>
  <c r="H168" i="2"/>
  <c r="G168" i="2"/>
  <c r="F168" i="2"/>
  <c r="E168" i="2"/>
  <c r="D168" i="2"/>
  <c r="C168" i="2"/>
  <c r="B168" i="2"/>
  <c r="A168" i="2"/>
  <c r="AE167" i="2"/>
  <c r="AD167" i="2"/>
  <c r="AC167" i="2"/>
  <c r="AB167" i="2"/>
  <c r="AA167" i="2"/>
  <c r="Z167" i="2"/>
  <c r="Y167" i="2"/>
  <c r="X167" i="2"/>
  <c r="W167" i="2"/>
  <c r="V167" i="2"/>
  <c r="U167" i="2"/>
  <c r="T167" i="2"/>
  <c r="S167" i="2"/>
  <c r="R167" i="2"/>
  <c r="Q167" i="2"/>
  <c r="P167" i="2"/>
  <c r="O167" i="2"/>
  <c r="N167" i="2"/>
  <c r="M167" i="2"/>
  <c r="L167" i="2"/>
  <c r="K167" i="2"/>
  <c r="J167" i="2"/>
  <c r="I167" i="2"/>
  <c r="H167" i="2"/>
  <c r="G167" i="2"/>
  <c r="F167" i="2"/>
  <c r="E167" i="2"/>
  <c r="D167" i="2"/>
  <c r="C167" i="2"/>
  <c r="B167" i="2"/>
  <c r="A167" i="2"/>
  <c r="AE166" i="2"/>
  <c r="AD166" i="2"/>
  <c r="AC166" i="2"/>
  <c r="AB166" i="2"/>
  <c r="AA166" i="2"/>
  <c r="Z166" i="2"/>
  <c r="Y166" i="2"/>
  <c r="X166" i="2"/>
  <c r="W166" i="2"/>
  <c r="V166" i="2"/>
  <c r="U166" i="2"/>
  <c r="T166" i="2"/>
  <c r="S166" i="2"/>
  <c r="R166" i="2"/>
  <c r="Q166" i="2"/>
  <c r="P166" i="2"/>
  <c r="O166" i="2"/>
  <c r="N166" i="2"/>
  <c r="M166" i="2"/>
  <c r="L166" i="2"/>
  <c r="K166" i="2"/>
  <c r="J166" i="2"/>
  <c r="I166" i="2"/>
  <c r="H166" i="2"/>
  <c r="G166" i="2"/>
  <c r="F166" i="2"/>
  <c r="E166" i="2"/>
  <c r="D166" i="2"/>
  <c r="C166" i="2"/>
  <c r="B166" i="2"/>
  <c r="A166" i="2"/>
  <c r="AE165" i="2"/>
  <c r="AD165" i="2"/>
  <c r="AC165" i="2"/>
  <c r="AB165" i="2"/>
  <c r="AA165" i="2"/>
  <c r="Z165" i="2"/>
  <c r="Y165" i="2"/>
  <c r="X165" i="2"/>
  <c r="W165" i="2"/>
  <c r="V165" i="2"/>
  <c r="U165" i="2"/>
  <c r="T165" i="2"/>
  <c r="S165" i="2"/>
  <c r="R165" i="2"/>
  <c r="Q165" i="2"/>
  <c r="P165" i="2"/>
  <c r="O165" i="2"/>
  <c r="N165" i="2"/>
  <c r="M165" i="2"/>
  <c r="L165" i="2"/>
  <c r="K165" i="2"/>
  <c r="J165" i="2"/>
  <c r="I165" i="2"/>
  <c r="H165" i="2"/>
  <c r="G165" i="2"/>
  <c r="F165" i="2"/>
  <c r="E165" i="2"/>
  <c r="D165" i="2"/>
  <c r="C165" i="2"/>
  <c r="B165" i="2"/>
  <c r="A165" i="2"/>
  <c r="AE164" i="2"/>
  <c r="AD164" i="2"/>
  <c r="AC164" i="2"/>
  <c r="AB164" i="2"/>
  <c r="AA164" i="2"/>
  <c r="Z164" i="2"/>
  <c r="Y164" i="2"/>
  <c r="X164" i="2"/>
  <c r="W164" i="2"/>
  <c r="V164" i="2"/>
  <c r="U164" i="2"/>
  <c r="T164" i="2"/>
  <c r="S164" i="2"/>
  <c r="R164" i="2"/>
  <c r="Q164" i="2"/>
  <c r="P164" i="2"/>
  <c r="O164" i="2"/>
  <c r="N164" i="2"/>
  <c r="M164" i="2"/>
  <c r="L164" i="2"/>
  <c r="K164" i="2"/>
  <c r="J164" i="2"/>
  <c r="I164" i="2"/>
  <c r="H164" i="2"/>
  <c r="G164" i="2"/>
  <c r="F164" i="2"/>
  <c r="E164" i="2"/>
  <c r="D164" i="2"/>
  <c r="C164" i="2"/>
  <c r="B164" i="2"/>
  <c r="A164" i="2"/>
  <c r="AE163" i="2"/>
  <c r="AD163" i="2"/>
  <c r="AC163" i="2"/>
  <c r="AB163" i="2"/>
  <c r="AA163" i="2"/>
  <c r="Z163" i="2"/>
  <c r="Y163" i="2"/>
  <c r="X163" i="2"/>
  <c r="W163" i="2"/>
  <c r="V163" i="2"/>
  <c r="U163" i="2"/>
  <c r="T163" i="2"/>
  <c r="S163" i="2"/>
  <c r="R163" i="2"/>
  <c r="Q163" i="2"/>
  <c r="P163" i="2"/>
  <c r="O163" i="2"/>
  <c r="N163" i="2"/>
  <c r="M163" i="2"/>
  <c r="L163" i="2"/>
  <c r="K163" i="2"/>
  <c r="J163" i="2"/>
  <c r="I163" i="2"/>
  <c r="H163" i="2"/>
  <c r="G163" i="2"/>
  <c r="F163" i="2"/>
  <c r="E163" i="2"/>
  <c r="D163" i="2"/>
  <c r="C163" i="2"/>
  <c r="B163" i="2"/>
  <c r="A163" i="2"/>
  <c r="AE162" i="2"/>
  <c r="AD162" i="2"/>
  <c r="AC162" i="2"/>
  <c r="AB162" i="2"/>
  <c r="AA162" i="2"/>
  <c r="Z162" i="2"/>
  <c r="Y162" i="2"/>
  <c r="X162" i="2"/>
  <c r="W162" i="2"/>
  <c r="V162" i="2"/>
  <c r="U162" i="2"/>
  <c r="T162" i="2"/>
  <c r="S162" i="2"/>
  <c r="R162" i="2"/>
  <c r="Q162" i="2"/>
  <c r="P162" i="2"/>
  <c r="O162" i="2"/>
  <c r="N162" i="2"/>
  <c r="M162" i="2"/>
  <c r="L162" i="2"/>
  <c r="K162" i="2"/>
  <c r="J162" i="2"/>
  <c r="I162" i="2"/>
  <c r="H162" i="2"/>
  <c r="G162" i="2"/>
  <c r="F162" i="2"/>
  <c r="E162" i="2"/>
  <c r="D162" i="2"/>
  <c r="C162" i="2"/>
  <c r="B162" i="2"/>
  <c r="A162" i="2"/>
  <c r="AE161" i="2"/>
  <c r="AD161" i="2"/>
  <c r="AC161" i="2"/>
  <c r="AB161" i="2"/>
  <c r="AA161" i="2"/>
  <c r="Z161" i="2"/>
  <c r="Y161" i="2"/>
  <c r="X161" i="2"/>
  <c r="W161" i="2"/>
  <c r="V161" i="2"/>
  <c r="U161" i="2"/>
  <c r="T161" i="2"/>
  <c r="S161" i="2"/>
  <c r="R161" i="2"/>
  <c r="Q161" i="2"/>
  <c r="P161" i="2"/>
  <c r="O161" i="2"/>
  <c r="N161" i="2"/>
  <c r="M161" i="2"/>
  <c r="L161" i="2"/>
  <c r="K161" i="2"/>
  <c r="J161" i="2"/>
  <c r="I161" i="2"/>
  <c r="H161" i="2"/>
  <c r="G161" i="2"/>
  <c r="F161" i="2"/>
  <c r="E161" i="2"/>
  <c r="D161" i="2"/>
  <c r="C161" i="2"/>
  <c r="B161" i="2"/>
  <c r="A161" i="2"/>
  <c r="AE160" i="2"/>
  <c r="AD160" i="2"/>
  <c r="AC160" i="2"/>
  <c r="AB160" i="2"/>
  <c r="AA160" i="2"/>
  <c r="Z160" i="2"/>
  <c r="Y160" i="2"/>
  <c r="X160" i="2"/>
  <c r="W160" i="2"/>
  <c r="V160" i="2"/>
  <c r="U160" i="2"/>
  <c r="T160" i="2"/>
  <c r="S160" i="2"/>
  <c r="R160" i="2"/>
  <c r="Q160" i="2"/>
  <c r="P160" i="2"/>
  <c r="O160" i="2"/>
  <c r="N160" i="2"/>
  <c r="M160" i="2"/>
  <c r="L160" i="2"/>
  <c r="K160" i="2"/>
  <c r="J160" i="2"/>
  <c r="I160" i="2"/>
  <c r="H160" i="2"/>
  <c r="G160" i="2"/>
  <c r="F160" i="2"/>
  <c r="E160" i="2"/>
  <c r="D160" i="2"/>
  <c r="C160" i="2"/>
  <c r="B160" i="2"/>
  <c r="A160" i="2"/>
  <c r="AE159" i="2"/>
  <c r="AD159" i="2"/>
  <c r="AC159" i="2"/>
  <c r="AB159" i="2"/>
  <c r="AA159" i="2"/>
  <c r="Z159" i="2"/>
  <c r="Y159" i="2"/>
  <c r="X159" i="2"/>
  <c r="W159" i="2"/>
  <c r="V159" i="2"/>
  <c r="U159" i="2"/>
  <c r="T159" i="2"/>
  <c r="S159" i="2"/>
  <c r="R159" i="2"/>
  <c r="Q159" i="2"/>
  <c r="P159" i="2"/>
  <c r="O159" i="2"/>
  <c r="N159" i="2"/>
  <c r="M159" i="2"/>
  <c r="L159" i="2"/>
  <c r="K159" i="2"/>
  <c r="J159" i="2"/>
  <c r="I159" i="2"/>
  <c r="H159" i="2"/>
  <c r="G159" i="2"/>
  <c r="F159" i="2"/>
  <c r="E159" i="2"/>
  <c r="D159" i="2"/>
  <c r="C159" i="2"/>
  <c r="B159" i="2"/>
  <c r="A159" i="2"/>
  <c r="AE158" i="2"/>
  <c r="AD158" i="2"/>
  <c r="AC158" i="2"/>
  <c r="AB158" i="2"/>
  <c r="AA158" i="2"/>
  <c r="Z158" i="2"/>
  <c r="Y158" i="2"/>
  <c r="X158" i="2"/>
  <c r="W158" i="2"/>
  <c r="V158" i="2"/>
  <c r="U158" i="2"/>
  <c r="T158" i="2"/>
  <c r="S158" i="2"/>
  <c r="R158" i="2"/>
  <c r="Q158" i="2"/>
  <c r="P158" i="2"/>
  <c r="O158" i="2"/>
  <c r="N158" i="2"/>
  <c r="M158" i="2"/>
  <c r="L158" i="2"/>
  <c r="K158" i="2"/>
  <c r="J158" i="2"/>
  <c r="I158" i="2"/>
  <c r="H158" i="2"/>
  <c r="G158" i="2"/>
  <c r="F158" i="2"/>
  <c r="E158" i="2"/>
  <c r="D158" i="2"/>
  <c r="C158" i="2"/>
  <c r="B158" i="2"/>
  <c r="A158" i="2"/>
  <c r="AE157" i="2"/>
  <c r="AD157" i="2"/>
  <c r="AC157" i="2"/>
  <c r="AB157" i="2"/>
  <c r="AA157" i="2"/>
  <c r="Z157" i="2"/>
  <c r="Y157" i="2"/>
  <c r="X157" i="2"/>
  <c r="W157" i="2"/>
  <c r="V157" i="2"/>
  <c r="U157" i="2"/>
  <c r="T157" i="2"/>
  <c r="S157" i="2"/>
  <c r="R157" i="2"/>
  <c r="Q157" i="2"/>
  <c r="P157" i="2"/>
  <c r="O157" i="2"/>
  <c r="N157" i="2"/>
  <c r="M157" i="2"/>
  <c r="L157" i="2"/>
  <c r="K157" i="2"/>
  <c r="J157" i="2"/>
  <c r="I157" i="2"/>
  <c r="H157" i="2"/>
  <c r="G157" i="2"/>
  <c r="F157" i="2"/>
  <c r="E157" i="2"/>
  <c r="D157" i="2"/>
  <c r="C157" i="2"/>
  <c r="B157" i="2"/>
  <c r="A157" i="2"/>
  <c r="AE156" i="2"/>
  <c r="AD156" i="2"/>
  <c r="AC156" i="2"/>
  <c r="AB156" i="2"/>
  <c r="AA156" i="2"/>
  <c r="Z156" i="2"/>
  <c r="Y156" i="2"/>
  <c r="X156" i="2"/>
  <c r="W156" i="2"/>
  <c r="V156" i="2"/>
  <c r="U156" i="2"/>
  <c r="T156" i="2"/>
  <c r="S156" i="2"/>
  <c r="R156" i="2"/>
  <c r="Q156" i="2"/>
  <c r="P156" i="2"/>
  <c r="O156" i="2"/>
  <c r="N156" i="2"/>
  <c r="M156" i="2"/>
  <c r="L156" i="2"/>
  <c r="K156" i="2"/>
  <c r="J156" i="2"/>
  <c r="I156" i="2"/>
  <c r="H156" i="2"/>
  <c r="G156" i="2"/>
  <c r="F156" i="2"/>
  <c r="E156" i="2"/>
  <c r="D156" i="2"/>
  <c r="C156" i="2"/>
  <c r="B156" i="2"/>
  <c r="A156" i="2"/>
  <c r="AE155" i="2"/>
  <c r="AD155" i="2"/>
  <c r="AC155" i="2"/>
  <c r="AB155" i="2"/>
  <c r="AA155" i="2"/>
  <c r="Z155" i="2"/>
  <c r="Y155" i="2"/>
  <c r="X155" i="2"/>
  <c r="W155" i="2"/>
  <c r="V155" i="2"/>
  <c r="U155" i="2"/>
  <c r="T155" i="2"/>
  <c r="S155" i="2"/>
  <c r="R155" i="2"/>
  <c r="Q155" i="2"/>
  <c r="P155" i="2"/>
  <c r="O155" i="2"/>
  <c r="N155" i="2"/>
  <c r="M155" i="2"/>
  <c r="L155" i="2"/>
  <c r="K155" i="2"/>
  <c r="J155" i="2"/>
  <c r="I155" i="2"/>
  <c r="H155" i="2"/>
  <c r="G155" i="2"/>
  <c r="F155" i="2"/>
  <c r="E155" i="2"/>
  <c r="D155" i="2"/>
  <c r="C155" i="2"/>
  <c r="B155" i="2"/>
  <c r="A155" i="2"/>
  <c r="AE154" i="2"/>
  <c r="AD154" i="2"/>
  <c r="AC154" i="2"/>
  <c r="AB154" i="2"/>
  <c r="AA154" i="2"/>
  <c r="Z154" i="2"/>
  <c r="Y154" i="2"/>
  <c r="X154" i="2"/>
  <c r="W154" i="2"/>
  <c r="V154" i="2"/>
  <c r="U154" i="2"/>
  <c r="T154" i="2"/>
  <c r="S154" i="2"/>
  <c r="R154" i="2"/>
  <c r="Q154" i="2"/>
  <c r="P154" i="2"/>
  <c r="O154" i="2"/>
  <c r="N154" i="2"/>
  <c r="M154" i="2"/>
  <c r="L154" i="2"/>
  <c r="K154" i="2"/>
  <c r="J154" i="2"/>
  <c r="I154" i="2"/>
  <c r="H154" i="2"/>
  <c r="G154" i="2"/>
  <c r="F154" i="2"/>
  <c r="E154" i="2"/>
  <c r="D154" i="2"/>
  <c r="C154" i="2"/>
  <c r="B154" i="2"/>
  <c r="A154" i="2"/>
  <c r="AE153" i="2"/>
  <c r="AD153" i="2"/>
  <c r="AC153" i="2"/>
  <c r="AB153" i="2"/>
  <c r="AA153" i="2"/>
  <c r="Z153" i="2"/>
  <c r="Y153" i="2"/>
  <c r="X153" i="2"/>
  <c r="W153" i="2"/>
  <c r="V153" i="2"/>
  <c r="U153" i="2"/>
  <c r="T153" i="2"/>
  <c r="S153" i="2"/>
  <c r="R153" i="2"/>
  <c r="Q153" i="2"/>
  <c r="P153" i="2"/>
  <c r="O153" i="2"/>
  <c r="N153" i="2"/>
  <c r="M153" i="2"/>
  <c r="L153" i="2"/>
  <c r="K153" i="2"/>
  <c r="J153" i="2"/>
  <c r="I153" i="2"/>
  <c r="H153" i="2"/>
  <c r="G153" i="2"/>
  <c r="F153" i="2"/>
  <c r="E153" i="2"/>
  <c r="D153" i="2"/>
  <c r="C153" i="2"/>
  <c r="B153" i="2"/>
  <c r="A153" i="2"/>
  <c r="AE152" i="2"/>
  <c r="AD152" i="2"/>
  <c r="AC152" i="2"/>
  <c r="AB152" i="2"/>
  <c r="AA152" i="2"/>
  <c r="Z152" i="2"/>
  <c r="Y152" i="2"/>
  <c r="X152" i="2"/>
  <c r="W152" i="2"/>
  <c r="V152" i="2"/>
  <c r="U152" i="2"/>
  <c r="T152" i="2"/>
  <c r="S152" i="2"/>
  <c r="R152" i="2"/>
  <c r="Q152" i="2"/>
  <c r="P152" i="2"/>
  <c r="O152" i="2"/>
  <c r="N152" i="2"/>
  <c r="M152" i="2"/>
  <c r="L152" i="2"/>
  <c r="K152" i="2"/>
  <c r="J152" i="2"/>
  <c r="I152" i="2"/>
  <c r="H152" i="2"/>
  <c r="G152" i="2"/>
  <c r="F152" i="2"/>
  <c r="E152" i="2"/>
  <c r="D152" i="2"/>
  <c r="C152" i="2"/>
  <c r="B152" i="2"/>
  <c r="A152" i="2"/>
  <c r="AE151" i="2"/>
  <c r="AD151" i="2"/>
  <c r="AC151" i="2"/>
  <c r="AB151" i="2"/>
  <c r="AA151" i="2"/>
  <c r="Z151" i="2"/>
  <c r="Y151" i="2"/>
  <c r="X151" i="2"/>
  <c r="W151" i="2"/>
  <c r="V151" i="2"/>
  <c r="U151" i="2"/>
  <c r="T151" i="2"/>
  <c r="S151" i="2"/>
  <c r="R151" i="2"/>
  <c r="Q151" i="2"/>
  <c r="P151" i="2"/>
  <c r="O151" i="2"/>
  <c r="N151" i="2"/>
  <c r="M151" i="2"/>
  <c r="L151" i="2"/>
  <c r="K151" i="2"/>
  <c r="J151" i="2"/>
  <c r="I151" i="2"/>
  <c r="H151" i="2"/>
  <c r="G151" i="2"/>
  <c r="F151" i="2"/>
  <c r="E151" i="2"/>
  <c r="D151" i="2"/>
  <c r="C151" i="2"/>
  <c r="B151" i="2"/>
  <c r="A151" i="2"/>
  <c r="AE150" i="2"/>
  <c r="AD150" i="2"/>
  <c r="AC150" i="2"/>
  <c r="AB150" i="2"/>
  <c r="AA150" i="2"/>
  <c r="Z150" i="2"/>
  <c r="Y150" i="2"/>
  <c r="X150" i="2"/>
  <c r="W150" i="2"/>
  <c r="V150" i="2"/>
  <c r="U150" i="2"/>
  <c r="T150" i="2"/>
  <c r="S150" i="2"/>
  <c r="R150" i="2"/>
  <c r="Q150" i="2"/>
  <c r="P150" i="2"/>
  <c r="O150" i="2"/>
  <c r="N150" i="2"/>
  <c r="M150" i="2"/>
  <c r="L150" i="2"/>
  <c r="K150" i="2"/>
  <c r="J150" i="2"/>
  <c r="I150" i="2"/>
  <c r="H150" i="2"/>
  <c r="G150" i="2"/>
  <c r="F150" i="2"/>
  <c r="E150" i="2"/>
  <c r="D150" i="2"/>
  <c r="C150" i="2"/>
  <c r="B150" i="2"/>
  <c r="A150" i="2"/>
  <c r="AE149" i="2"/>
  <c r="AD149" i="2"/>
  <c r="AC149" i="2"/>
  <c r="AB149" i="2"/>
  <c r="AA149" i="2"/>
  <c r="Z149" i="2"/>
  <c r="Y149" i="2"/>
  <c r="X149" i="2"/>
  <c r="W149" i="2"/>
  <c r="V149" i="2"/>
  <c r="U149" i="2"/>
  <c r="T149" i="2"/>
  <c r="S149" i="2"/>
  <c r="R149" i="2"/>
  <c r="Q149" i="2"/>
  <c r="P149" i="2"/>
  <c r="O149" i="2"/>
  <c r="N149" i="2"/>
  <c r="M149" i="2"/>
  <c r="L149" i="2"/>
  <c r="K149" i="2"/>
  <c r="J149" i="2"/>
  <c r="I149" i="2"/>
  <c r="H149" i="2"/>
  <c r="G149" i="2"/>
  <c r="F149" i="2"/>
  <c r="E149" i="2"/>
  <c r="D149" i="2"/>
  <c r="C149" i="2"/>
  <c r="B149" i="2"/>
  <c r="A149" i="2"/>
  <c r="AE148" i="2"/>
  <c r="AD148" i="2"/>
  <c r="AC148" i="2"/>
  <c r="AB148" i="2"/>
  <c r="AA148" i="2"/>
  <c r="Z148" i="2"/>
  <c r="Y148" i="2"/>
  <c r="X148" i="2"/>
  <c r="W148" i="2"/>
  <c r="V148" i="2"/>
  <c r="U148" i="2"/>
  <c r="T148" i="2"/>
  <c r="S148" i="2"/>
  <c r="R148" i="2"/>
  <c r="Q148" i="2"/>
  <c r="P148" i="2"/>
  <c r="O148" i="2"/>
  <c r="N148" i="2"/>
  <c r="M148" i="2"/>
  <c r="L148" i="2"/>
  <c r="K148" i="2"/>
  <c r="J148" i="2"/>
  <c r="I148" i="2"/>
  <c r="H148" i="2"/>
  <c r="G148" i="2"/>
  <c r="F148" i="2"/>
  <c r="E148" i="2"/>
  <c r="D148" i="2"/>
  <c r="C148" i="2"/>
  <c r="B148" i="2"/>
  <c r="A148" i="2"/>
  <c r="AE147" i="2"/>
  <c r="AD147" i="2"/>
  <c r="AC147" i="2"/>
  <c r="AB147" i="2"/>
  <c r="AA147" i="2"/>
  <c r="Z147" i="2"/>
  <c r="Y147" i="2"/>
  <c r="X147" i="2"/>
  <c r="W147" i="2"/>
  <c r="V147" i="2"/>
  <c r="U147" i="2"/>
  <c r="T147" i="2"/>
  <c r="S147" i="2"/>
  <c r="R147" i="2"/>
  <c r="Q147" i="2"/>
  <c r="P147" i="2"/>
  <c r="O147" i="2"/>
  <c r="N147" i="2"/>
  <c r="M147" i="2"/>
  <c r="L147" i="2"/>
  <c r="K147" i="2"/>
  <c r="J147" i="2"/>
  <c r="I147" i="2"/>
  <c r="H147" i="2"/>
  <c r="G147" i="2"/>
  <c r="F147" i="2"/>
  <c r="E147" i="2"/>
  <c r="D147" i="2"/>
  <c r="C147" i="2"/>
  <c r="B147" i="2"/>
  <c r="A147" i="2"/>
  <c r="AE146" i="2"/>
  <c r="AD146" i="2"/>
  <c r="AC146" i="2"/>
  <c r="AB146" i="2"/>
  <c r="AA146" i="2"/>
  <c r="Z146" i="2"/>
  <c r="Y146" i="2"/>
  <c r="X146" i="2"/>
  <c r="W146" i="2"/>
  <c r="V146" i="2"/>
  <c r="U146" i="2"/>
  <c r="T146" i="2"/>
  <c r="S146" i="2"/>
  <c r="R146" i="2"/>
  <c r="Q146" i="2"/>
  <c r="P146" i="2"/>
  <c r="O146" i="2"/>
  <c r="N146" i="2"/>
  <c r="M146" i="2"/>
  <c r="L146" i="2"/>
  <c r="K146" i="2"/>
  <c r="J146" i="2"/>
  <c r="I146" i="2"/>
  <c r="H146" i="2"/>
  <c r="G146" i="2"/>
  <c r="F146" i="2"/>
  <c r="E146" i="2"/>
  <c r="D146" i="2"/>
  <c r="C146" i="2"/>
  <c r="B146" i="2"/>
  <c r="A146" i="2"/>
  <c r="AE145" i="2"/>
  <c r="AD145" i="2"/>
  <c r="AC145" i="2"/>
  <c r="AB145" i="2"/>
  <c r="AA145" i="2"/>
  <c r="Z145" i="2"/>
  <c r="Y145" i="2"/>
  <c r="X145" i="2"/>
  <c r="W145" i="2"/>
  <c r="V145" i="2"/>
  <c r="U145" i="2"/>
  <c r="T145" i="2"/>
  <c r="S145" i="2"/>
  <c r="R145" i="2"/>
  <c r="Q145" i="2"/>
  <c r="P145" i="2"/>
  <c r="O145" i="2"/>
  <c r="N145" i="2"/>
  <c r="M145" i="2"/>
  <c r="L145" i="2"/>
  <c r="K145" i="2"/>
  <c r="J145" i="2"/>
  <c r="I145" i="2"/>
  <c r="H145" i="2"/>
  <c r="G145" i="2"/>
  <c r="F145" i="2"/>
  <c r="E145" i="2"/>
  <c r="D145" i="2"/>
  <c r="C145" i="2"/>
  <c r="B145" i="2"/>
  <c r="A145" i="2"/>
  <c r="AE144" i="2"/>
  <c r="AD144" i="2"/>
  <c r="AC144" i="2"/>
  <c r="AB144" i="2"/>
  <c r="AA144" i="2"/>
  <c r="Z144" i="2"/>
  <c r="Y144" i="2"/>
  <c r="X144" i="2"/>
  <c r="W144" i="2"/>
  <c r="V144" i="2"/>
  <c r="U144" i="2"/>
  <c r="T144" i="2"/>
  <c r="S144" i="2"/>
  <c r="R144" i="2"/>
  <c r="Q144" i="2"/>
  <c r="P144" i="2"/>
  <c r="O144" i="2"/>
  <c r="N144" i="2"/>
  <c r="M144" i="2"/>
  <c r="L144" i="2"/>
  <c r="K144" i="2"/>
  <c r="J144" i="2"/>
  <c r="I144" i="2"/>
  <c r="H144" i="2"/>
  <c r="G144" i="2"/>
  <c r="F144" i="2"/>
  <c r="E144" i="2"/>
  <c r="D144" i="2"/>
  <c r="C144" i="2"/>
  <c r="B144" i="2"/>
  <c r="A144" i="2"/>
  <c r="AE143" i="2"/>
  <c r="AD143" i="2"/>
  <c r="AC143" i="2"/>
  <c r="AB143" i="2"/>
  <c r="AA143" i="2"/>
  <c r="Z143" i="2"/>
  <c r="Y143" i="2"/>
  <c r="X143" i="2"/>
  <c r="W143" i="2"/>
  <c r="V143" i="2"/>
  <c r="U143" i="2"/>
  <c r="T143" i="2"/>
  <c r="S143" i="2"/>
  <c r="R143" i="2"/>
  <c r="Q143" i="2"/>
  <c r="P143" i="2"/>
  <c r="O143" i="2"/>
  <c r="N143" i="2"/>
  <c r="M143" i="2"/>
  <c r="L143" i="2"/>
  <c r="K143" i="2"/>
  <c r="J143" i="2"/>
  <c r="I143" i="2"/>
  <c r="H143" i="2"/>
  <c r="G143" i="2"/>
  <c r="F143" i="2"/>
  <c r="E143" i="2"/>
  <c r="D143" i="2"/>
  <c r="C143" i="2"/>
  <c r="B143" i="2"/>
  <c r="A143" i="2"/>
  <c r="AE142" i="2"/>
  <c r="AD142" i="2"/>
  <c r="AC142" i="2"/>
  <c r="AB142" i="2"/>
  <c r="AA142" i="2"/>
  <c r="Z142" i="2"/>
  <c r="Y142" i="2"/>
  <c r="X142" i="2"/>
  <c r="W142" i="2"/>
  <c r="V142" i="2"/>
  <c r="U142" i="2"/>
  <c r="T142" i="2"/>
  <c r="S142" i="2"/>
  <c r="R142" i="2"/>
  <c r="Q142" i="2"/>
  <c r="P142" i="2"/>
  <c r="O142" i="2"/>
  <c r="N142" i="2"/>
  <c r="M142" i="2"/>
  <c r="L142" i="2"/>
  <c r="K142" i="2"/>
  <c r="J142" i="2"/>
  <c r="I142" i="2"/>
  <c r="H142" i="2"/>
  <c r="G142" i="2"/>
  <c r="F142" i="2"/>
  <c r="E142" i="2"/>
  <c r="D142" i="2"/>
  <c r="C142" i="2"/>
  <c r="B142" i="2"/>
  <c r="A142" i="2"/>
  <c r="AE141" i="2"/>
  <c r="AD141" i="2"/>
  <c r="AC141" i="2"/>
  <c r="AB141" i="2"/>
  <c r="AA141" i="2"/>
  <c r="Z141" i="2"/>
  <c r="Y141" i="2"/>
  <c r="X141" i="2"/>
  <c r="W141" i="2"/>
  <c r="V141" i="2"/>
  <c r="U141" i="2"/>
  <c r="T141" i="2"/>
  <c r="S141" i="2"/>
  <c r="R141" i="2"/>
  <c r="Q141" i="2"/>
  <c r="P141" i="2"/>
  <c r="O141" i="2"/>
  <c r="N141" i="2"/>
  <c r="M141" i="2"/>
  <c r="L141" i="2"/>
  <c r="K141" i="2"/>
  <c r="J141" i="2"/>
  <c r="I141" i="2"/>
  <c r="H141" i="2"/>
  <c r="G141" i="2"/>
  <c r="F141" i="2"/>
  <c r="E141" i="2"/>
  <c r="D141" i="2"/>
  <c r="C141" i="2"/>
  <c r="B141" i="2"/>
  <c r="A141" i="2"/>
  <c r="AE140" i="2"/>
  <c r="AD140" i="2"/>
  <c r="AC140" i="2"/>
  <c r="AB140" i="2"/>
  <c r="AA140" i="2"/>
  <c r="Z140" i="2"/>
  <c r="Y140" i="2"/>
  <c r="X140" i="2"/>
  <c r="W140" i="2"/>
  <c r="V140" i="2"/>
  <c r="U140" i="2"/>
  <c r="T140" i="2"/>
  <c r="S140" i="2"/>
  <c r="R140" i="2"/>
  <c r="Q140" i="2"/>
  <c r="P140" i="2"/>
  <c r="O140" i="2"/>
  <c r="N140" i="2"/>
  <c r="M140" i="2"/>
  <c r="L140" i="2"/>
  <c r="K140" i="2"/>
  <c r="J140" i="2"/>
  <c r="I140" i="2"/>
  <c r="H140" i="2"/>
  <c r="G140" i="2"/>
  <c r="F140" i="2"/>
  <c r="E140" i="2"/>
  <c r="D140" i="2"/>
  <c r="C140" i="2"/>
  <c r="B140" i="2"/>
  <c r="A140" i="2"/>
  <c r="AE139" i="2"/>
  <c r="AD139" i="2"/>
  <c r="AC139" i="2"/>
  <c r="AB139" i="2"/>
  <c r="AA139" i="2"/>
  <c r="Z139" i="2"/>
  <c r="Y139" i="2"/>
  <c r="X139" i="2"/>
  <c r="W139" i="2"/>
  <c r="V139" i="2"/>
  <c r="U139" i="2"/>
  <c r="T139" i="2"/>
  <c r="S139" i="2"/>
  <c r="R139" i="2"/>
  <c r="Q139" i="2"/>
  <c r="P139" i="2"/>
  <c r="O139" i="2"/>
  <c r="N139" i="2"/>
  <c r="M139" i="2"/>
  <c r="L139" i="2"/>
  <c r="K139" i="2"/>
  <c r="J139" i="2"/>
  <c r="I139" i="2"/>
  <c r="H139" i="2"/>
  <c r="G139" i="2"/>
  <c r="F139" i="2"/>
  <c r="E139" i="2"/>
  <c r="D139" i="2"/>
  <c r="C139" i="2"/>
  <c r="B139" i="2"/>
  <c r="A139" i="2"/>
  <c r="AE138" i="2"/>
  <c r="AD138" i="2"/>
  <c r="AC138" i="2"/>
  <c r="AB138" i="2"/>
  <c r="AA138" i="2"/>
  <c r="Z138" i="2"/>
  <c r="Y138" i="2"/>
  <c r="X138" i="2"/>
  <c r="W138" i="2"/>
  <c r="V138" i="2"/>
  <c r="U138" i="2"/>
  <c r="T138" i="2"/>
  <c r="S138" i="2"/>
  <c r="R138" i="2"/>
  <c r="Q138" i="2"/>
  <c r="P138" i="2"/>
  <c r="O138" i="2"/>
  <c r="N138" i="2"/>
  <c r="M138" i="2"/>
  <c r="L138" i="2"/>
  <c r="K138" i="2"/>
  <c r="J138" i="2"/>
  <c r="I138" i="2"/>
  <c r="H138" i="2"/>
  <c r="G138" i="2"/>
  <c r="F138" i="2"/>
  <c r="E138" i="2"/>
  <c r="D138" i="2"/>
  <c r="C138" i="2"/>
  <c r="B138" i="2"/>
  <c r="A138" i="2"/>
  <c r="AE137" i="2"/>
  <c r="AD137" i="2"/>
  <c r="AC137" i="2"/>
  <c r="AB137" i="2"/>
  <c r="AA137" i="2"/>
  <c r="Z137" i="2"/>
  <c r="Y137" i="2"/>
  <c r="X137" i="2"/>
  <c r="W137" i="2"/>
  <c r="V137" i="2"/>
  <c r="U137" i="2"/>
  <c r="T137" i="2"/>
  <c r="S137" i="2"/>
  <c r="R137" i="2"/>
  <c r="Q137" i="2"/>
  <c r="P137" i="2"/>
  <c r="O137" i="2"/>
  <c r="N137" i="2"/>
  <c r="M137" i="2"/>
  <c r="L137" i="2"/>
  <c r="K137" i="2"/>
  <c r="J137" i="2"/>
  <c r="I137" i="2"/>
  <c r="H137" i="2"/>
  <c r="G137" i="2"/>
  <c r="F137" i="2"/>
  <c r="E137" i="2"/>
  <c r="D137" i="2"/>
  <c r="C137" i="2"/>
  <c r="B137" i="2"/>
  <c r="A137" i="2"/>
  <c r="AE136" i="2"/>
  <c r="AD136" i="2"/>
  <c r="AC136" i="2"/>
  <c r="AB136" i="2"/>
  <c r="AA136" i="2"/>
  <c r="Z136" i="2"/>
  <c r="Y136" i="2"/>
  <c r="X136" i="2"/>
  <c r="W136" i="2"/>
  <c r="V136" i="2"/>
  <c r="U136" i="2"/>
  <c r="T136" i="2"/>
  <c r="S136" i="2"/>
  <c r="R136" i="2"/>
  <c r="Q136" i="2"/>
  <c r="P136" i="2"/>
  <c r="O136" i="2"/>
  <c r="N136" i="2"/>
  <c r="M136" i="2"/>
  <c r="L136" i="2"/>
  <c r="K136" i="2"/>
  <c r="J136" i="2"/>
  <c r="I136" i="2"/>
  <c r="H136" i="2"/>
  <c r="G136" i="2"/>
  <c r="F136" i="2"/>
  <c r="E136" i="2"/>
  <c r="D136" i="2"/>
  <c r="C136" i="2"/>
  <c r="B136" i="2"/>
  <c r="A136" i="2"/>
  <c r="AE135" i="2"/>
  <c r="AD135" i="2"/>
  <c r="AC135" i="2"/>
  <c r="AB135" i="2"/>
  <c r="AA135" i="2"/>
  <c r="Z135" i="2"/>
  <c r="Y135" i="2"/>
  <c r="X135" i="2"/>
  <c r="W135" i="2"/>
  <c r="V135" i="2"/>
  <c r="U135" i="2"/>
  <c r="T135" i="2"/>
  <c r="S135" i="2"/>
  <c r="R135" i="2"/>
  <c r="Q135" i="2"/>
  <c r="P135" i="2"/>
  <c r="O135" i="2"/>
  <c r="N135" i="2"/>
  <c r="M135" i="2"/>
  <c r="L135" i="2"/>
  <c r="K135" i="2"/>
  <c r="J135" i="2"/>
  <c r="I135" i="2"/>
  <c r="H135" i="2"/>
  <c r="G135" i="2"/>
  <c r="F135" i="2"/>
  <c r="E135" i="2"/>
  <c r="D135" i="2"/>
  <c r="C135" i="2"/>
  <c r="B135" i="2"/>
  <c r="A135" i="2"/>
  <c r="AE134" i="2"/>
  <c r="AD134" i="2"/>
  <c r="AC134" i="2"/>
  <c r="AB134" i="2"/>
  <c r="AA134" i="2"/>
  <c r="Z134" i="2"/>
  <c r="Y134" i="2"/>
  <c r="X134" i="2"/>
  <c r="W134" i="2"/>
  <c r="V134" i="2"/>
  <c r="U134" i="2"/>
  <c r="T134" i="2"/>
  <c r="S134" i="2"/>
  <c r="R134" i="2"/>
  <c r="Q134" i="2"/>
  <c r="P134" i="2"/>
  <c r="O134" i="2"/>
  <c r="N134" i="2"/>
  <c r="M134" i="2"/>
  <c r="L134" i="2"/>
  <c r="K134" i="2"/>
  <c r="J134" i="2"/>
  <c r="I134" i="2"/>
  <c r="H134" i="2"/>
  <c r="G134" i="2"/>
  <c r="F134" i="2"/>
  <c r="E134" i="2"/>
  <c r="D134" i="2"/>
  <c r="C134" i="2"/>
  <c r="B134" i="2"/>
  <c r="A134" i="2"/>
  <c r="AE133" i="2"/>
  <c r="AD133" i="2"/>
  <c r="AC133" i="2"/>
  <c r="AB133" i="2"/>
  <c r="AA133" i="2"/>
  <c r="Z133" i="2"/>
  <c r="Y133" i="2"/>
  <c r="X133" i="2"/>
  <c r="W133" i="2"/>
  <c r="V133" i="2"/>
  <c r="U133" i="2"/>
  <c r="T133" i="2"/>
  <c r="S133" i="2"/>
  <c r="R133" i="2"/>
  <c r="Q133" i="2"/>
  <c r="P133" i="2"/>
  <c r="O133" i="2"/>
  <c r="N133" i="2"/>
  <c r="M133" i="2"/>
  <c r="L133" i="2"/>
  <c r="K133" i="2"/>
  <c r="J133" i="2"/>
  <c r="I133" i="2"/>
  <c r="H133" i="2"/>
  <c r="G133" i="2"/>
  <c r="F133" i="2"/>
  <c r="E133" i="2"/>
  <c r="D133" i="2"/>
  <c r="C133" i="2"/>
  <c r="B133" i="2"/>
  <c r="A133" i="2"/>
  <c r="AE132" i="2"/>
  <c r="AD132" i="2"/>
  <c r="AC132" i="2"/>
  <c r="AB132" i="2"/>
  <c r="AA132" i="2"/>
  <c r="Z132" i="2"/>
  <c r="Y132" i="2"/>
  <c r="X132" i="2"/>
  <c r="W132" i="2"/>
  <c r="V132" i="2"/>
  <c r="U132" i="2"/>
  <c r="T132" i="2"/>
  <c r="S132" i="2"/>
  <c r="R132" i="2"/>
  <c r="Q132" i="2"/>
  <c r="P132" i="2"/>
  <c r="O132" i="2"/>
  <c r="N132" i="2"/>
  <c r="M132" i="2"/>
  <c r="L132" i="2"/>
  <c r="K132" i="2"/>
  <c r="J132" i="2"/>
  <c r="I132" i="2"/>
  <c r="H132" i="2"/>
  <c r="G132" i="2"/>
  <c r="F132" i="2"/>
  <c r="E132" i="2"/>
  <c r="D132" i="2"/>
  <c r="C132" i="2"/>
  <c r="B132" i="2"/>
  <c r="A132" i="2"/>
  <c r="AE131" i="2"/>
  <c r="AD131" i="2"/>
  <c r="AC131" i="2"/>
  <c r="AB131" i="2"/>
  <c r="AA131" i="2"/>
  <c r="Z131" i="2"/>
  <c r="Y131" i="2"/>
  <c r="X131" i="2"/>
  <c r="W131" i="2"/>
  <c r="V131" i="2"/>
  <c r="U131" i="2"/>
  <c r="T131" i="2"/>
  <c r="S131" i="2"/>
  <c r="R131" i="2"/>
  <c r="Q131" i="2"/>
  <c r="P131" i="2"/>
  <c r="O131" i="2"/>
  <c r="N131" i="2"/>
  <c r="M131" i="2"/>
  <c r="L131" i="2"/>
  <c r="K131" i="2"/>
  <c r="J131" i="2"/>
  <c r="I131" i="2"/>
  <c r="H131" i="2"/>
  <c r="G131" i="2"/>
  <c r="F131" i="2"/>
  <c r="E131" i="2"/>
  <c r="D131" i="2"/>
  <c r="C131" i="2"/>
  <c r="B131" i="2"/>
  <c r="A131" i="2"/>
  <c r="AE130" i="2"/>
  <c r="AD130" i="2"/>
  <c r="AC130" i="2"/>
  <c r="AB130" i="2"/>
  <c r="AA130" i="2"/>
  <c r="Z130" i="2"/>
  <c r="Y130" i="2"/>
  <c r="X130" i="2"/>
  <c r="W130" i="2"/>
  <c r="V130" i="2"/>
  <c r="U130" i="2"/>
  <c r="T130" i="2"/>
  <c r="S130" i="2"/>
  <c r="R130" i="2"/>
  <c r="Q130" i="2"/>
  <c r="P130" i="2"/>
  <c r="O130" i="2"/>
  <c r="N130" i="2"/>
  <c r="M130" i="2"/>
  <c r="L130" i="2"/>
  <c r="K130" i="2"/>
  <c r="J130" i="2"/>
  <c r="I130" i="2"/>
  <c r="H130" i="2"/>
  <c r="G130" i="2"/>
  <c r="F130" i="2"/>
  <c r="E130" i="2"/>
  <c r="D130" i="2"/>
  <c r="C130" i="2"/>
  <c r="B130" i="2"/>
  <c r="A130" i="2"/>
  <c r="AE129" i="2"/>
  <c r="AD129" i="2"/>
  <c r="AC129" i="2"/>
  <c r="AB129" i="2"/>
  <c r="AA129" i="2"/>
  <c r="Z129" i="2"/>
  <c r="Y129" i="2"/>
  <c r="X129" i="2"/>
  <c r="W129" i="2"/>
  <c r="V129" i="2"/>
  <c r="U129" i="2"/>
  <c r="T129" i="2"/>
  <c r="S129" i="2"/>
  <c r="R129" i="2"/>
  <c r="Q129" i="2"/>
  <c r="P129" i="2"/>
  <c r="O129" i="2"/>
  <c r="N129" i="2"/>
  <c r="M129" i="2"/>
  <c r="L129" i="2"/>
  <c r="K129" i="2"/>
  <c r="J129" i="2"/>
  <c r="I129" i="2"/>
  <c r="H129" i="2"/>
  <c r="G129" i="2"/>
  <c r="F129" i="2"/>
  <c r="E129" i="2"/>
  <c r="D129" i="2"/>
  <c r="C129" i="2"/>
  <c r="B129" i="2"/>
  <c r="A129" i="2"/>
  <c r="AE128" i="2"/>
  <c r="AD128" i="2"/>
  <c r="AC128" i="2"/>
  <c r="AB128" i="2"/>
  <c r="AA128" i="2"/>
  <c r="Z128" i="2"/>
  <c r="Y128" i="2"/>
  <c r="X128" i="2"/>
  <c r="W128" i="2"/>
  <c r="V128" i="2"/>
  <c r="U128" i="2"/>
  <c r="T128" i="2"/>
  <c r="S128" i="2"/>
  <c r="R128" i="2"/>
  <c r="Q128" i="2"/>
  <c r="P128" i="2"/>
  <c r="O128" i="2"/>
  <c r="N128" i="2"/>
  <c r="M128" i="2"/>
  <c r="L128" i="2"/>
  <c r="K128" i="2"/>
  <c r="J128" i="2"/>
  <c r="I128" i="2"/>
  <c r="H128" i="2"/>
  <c r="G128" i="2"/>
  <c r="F128" i="2"/>
  <c r="E128" i="2"/>
  <c r="D128" i="2"/>
  <c r="C128" i="2"/>
  <c r="B128" i="2"/>
  <c r="A128" i="2"/>
  <c r="AE127" i="2"/>
  <c r="AD127" i="2"/>
  <c r="AC127" i="2"/>
  <c r="AB127" i="2"/>
  <c r="AA127" i="2"/>
  <c r="Z127" i="2"/>
  <c r="Y127" i="2"/>
  <c r="X127" i="2"/>
  <c r="W127" i="2"/>
  <c r="V127" i="2"/>
  <c r="U127" i="2"/>
  <c r="T127" i="2"/>
  <c r="S127" i="2"/>
  <c r="R127" i="2"/>
  <c r="Q127" i="2"/>
  <c r="P127" i="2"/>
  <c r="O127" i="2"/>
  <c r="N127" i="2"/>
  <c r="M127" i="2"/>
  <c r="L127" i="2"/>
  <c r="K127" i="2"/>
  <c r="J127" i="2"/>
  <c r="I127" i="2"/>
  <c r="H127" i="2"/>
  <c r="G127" i="2"/>
  <c r="F127" i="2"/>
  <c r="E127" i="2"/>
  <c r="D127" i="2"/>
  <c r="C127" i="2"/>
  <c r="B127" i="2"/>
  <c r="A127" i="2"/>
  <c r="AE126" i="2"/>
  <c r="AD126" i="2"/>
  <c r="AC126" i="2"/>
  <c r="AB126" i="2"/>
  <c r="AA126" i="2"/>
  <c r="Z126" i="2"/>
  <c r="Y126" i="2"/>
  <c r="X126" i="2"/>
  <c r="W126" i="2"/>
  <c r="V126" i="2"/>
  <c r="U126" i="2"/>
  <c r="T126" i="2"/>
  <c r="S126" i="2"/>
  <c r="R126" i="2"/>
  <c r="Q126" i="2"/>
  <c r="P126" i="2"/>
  <c r="O126" i="2"/>
  <c r="N126" i="2"/>
  <c r="M126" i="2"/>
  <c r="L126" i="2"/>
  <c r="K126" i="2"/>
  <c r="J126" i="2"/>
  <c r="I126" i="2"/>
  <c r="H126" i="2"/>
  <c r="G126" i="2"/>
  <c r="F126" i="2"/>
  <c r="E126" i="2"/>
  <c r="D126" i="2"/>
  <c r="C126" i="2"/>
  <c r="B126" i="2"/>
  <c r="A126" i="2"/>
  <c r="AE125" i="2"/>
  <c r="AD125" i="2"/>
  <c r="AC125" i="2"/>
  <c r="AB125" i="2"/>
  <c r="AA125" i="2"/>
  <c r="Z125" i="2"/>
  <c r="Y125" i="2"/>
  <c r="X125" i="2"/>
  <c r="W125" i="2"/>
  <c r="V125" i="2"/>
  <c r="U125" i="2"/>
  <c r="T125" i="2"/>
  <c r="S125" i="2"/>
  <c r="R125" i="2"/>
  <c r="Q125" i="2"/>
  <c r="P125" i="2"/>
  <c r="O125" i="2"/>
  <c r="N125" i="2"/>
  <c r="M125" i="2"/>
  <c r="L125" i="2"/>
  <c r="K125" i="2"/>
  <c r="J125" i="2"/>
  <c r="I125" i="2"/>
  <c r="H125" i="2"/>
  <c r="G125" i="2"/>
  <c r="F125" i="2"/>
  <c r="E125" i="2"/>
  <c r="D125" i="2"/>
  <c r="C125" i="2"/>
  <c r="B125" i="2"/>
  <c r="A125" i="2"/>
  <c r="AE124" i="2"/>
  <c r="AD124" i="2"/>
  <c r="AC124" i="2"/>
  <c r="AB124" i="2"/>
  <c r="AA124" i="2"/>
  <c r="Z124" i="2"/>
  <c r="Y124" i="2"/>
  <c r="X124" i="2"/>
  <c r="W124" i="2"/>
  <c r="V124" i="2"/>
  <c r="U124" i="2"/>
  <c r="T124" i="2"/>
  <c r="S124" i="2"/>
  <c r="R124" i="2"/>
  <c r="Q124" i="2"/>
  <c r="P124" i="2"/>
  <c r="O124" i="2"/>
  <c r="N124" i="2"/>
  <c r="M124" i="2"/>
  <c r="L124" i="2"/>
  <c r="K124" i="2"/>
  <c r="J124" i="2"/>
  <c r="I124" i="2"/>
  <c r="H124" i="2"/>
  <c r="G124" i="2"/>
  <c r="F124" i="2"/>
  <c r="E124" i="2"/>
  <c r="D124" i="2"/>
  <c r="C124" i="2"/>
  <c r="B124" i="2"/>
  <c r="A124" i="2"/>
  <c r="AE123" i="2"/>
  <c r="AD123" i="2"/>
  <c r="AC123" i="2"/>
  <c r="AB123" i="2"/>
  <c r="AA123" i="2"/>
  <c r="Z123" i="2"/>
  <c r="Y123" i="2"/>
  <c r="X123" i="2"/>
  <c r="W123" i="2"/>
  <c r="V123" i="2"/>
  <c r="U123" i="2"/>
  <c r="T123" i="2"/>
  <c r="S123" i="2"/>
  <c r="R123" i="2"/>
  <c r="Q123" i="2"/>
  <c r="P123" i="2"/>
  <c r="O123" i="2"/>
  <c r="N123" i="2"/>
  <c r="M123" i="2"/>
  <c r="L123" i="2"/>
  <c r="K123" i="2"/>
  <c r="J123" i="2"/>
  <c r="I123" i="2"/>
  <c r="H123" i="2"/>
  <c r="G123" i="2"/>
  <c r="F123" i="2"/>
  <c r="E123" i="2"/>
  <c r="D123" i="2"/>
  <c r="C123" i="2"/>
  <c r="B123" i="2"/>
  <c r="A123" i="2"/>
  <c r="AE122" i="2"/>
  <c r="AD122" i="2"/>
  <c r="AC122" i="2"/>
  <c r="AB122" i="2"/>
  <c r="AA122" i="2"/>
  <c r="Z122" i="2"/>
  <c r="Y122" i="2"/>
  <c r="X122" i="2"/>
  <c r="W122" i="2"/>
  <c r="V122" i="2"/>
  <c r="U122" i="2"/>
  <c r="T122" i="2"/>
  <c r="S122" i="2"/>
  <c r="R122" i="2"/>
  <c r="Q122" i="2"/>
  <c r="P122" i="2"/>
  <c r="O122" i="2"/>
  <c r="N122" i="2"/>
  <c r="M122" i="2"/>
  <c r="L122" i="2"/>
  <c r="K122" i="2"/>
  <c r="J122" i="2"/>
  <c r="I122" i="2"/>
  <c r="H122" i="2"/>
  <c r="G122" i="2"/>
  <c r="F122" i="2"/>
  <c r="E122" i="2"/>
  <c r="D122" i="2"/>
  <c r="C122" i="2"/>
  <c r="B122" i="2"/>
  <c r="A122" i="2"/>
  <c r="AE121" i="2"/>
  <c r="AD121" i="2"/>
  <c r="AC121" i="2"/>
  <c r="AB121" i="2"/>
  <c r="AA121" i="2"/>
  <c r="Z121" i="2"/>
  <c r="Y121" i="2"/>
  <c r="X121" i="2"/>
  <c r="W121" i="2"/>
  <c r="V121" i="2"/>
  <c r="U121" i="2"/>
  <c r="T121" i="2"/>
  <c r="S121" i="2"/>
  <c r="R121" i="2"/>
  <c r="Q121" i="2"/>
  <c r="P121" i="2"/>
  <c r="O121" i="2"/>
  <c r="N121" i="2"/>
  <c r="M121" i="2"/>
  <c r="L121" i="2"/>
  <c r="K121" i="2"/>
  <c r="J121" i="2"/>
  <c r="I121" i="2"/>
  <c r="H121" i="2"/>
  <c r="G121" i="2"/>
  <c r="F121" i="2"/>
  <c r="E121" i="2"/>
  <c r="D121" i="2"/>
  <c r="C121" i="2"/>
  <c r="B121" i="2"/>
  <c r="A121" i="2"/>
  <c r="AE120" i="2"/>
  <c r="AD120" i="2"/>
  <c r="AC120" i="2"/>
  <c r="AB120" i="2"/>
  <c r="AA120" i="2"/>
  <c r="Z120" i="2"/>
  <c r="Y120" i="2"/>
  <c r="X120" i="2"/>
  <c r="W120" i="2"/>
  <c r="V120" i="2"/>
  <c r="U120" i="2"/>
  <c r="T120" i="2"/>
  <c r="S120" i="2"/>
  <c r="R120" i="2"/>
  <c r="Q120" i="2"/>
  <c r="P120" i="2"/>
  <c r="O120" i="2"/>
  <c r="N120" i="2"/>
  <c r="M120" i="2"/>
  <c r="L120" i="2"/>
  <c r="K120" i="2"/>
  <c r="J120" i="2"/>
  <c r="I120" i="2"/>
  <c r="H120" i="2"/>
  <c r="G120" i="2"/>
  <c r="F120" i="2"/>
  <c r="E120" i="2"/>
  <c r="D120" i="2"/>
  <c r="C120" i="2"/>
  <c r="B120" i="2"/>
  <c r="A120" i="2"/>
  <c r="AE119" i="2"/>
  <c r="AD119" i="2"/>
  <c r="AC119" i="2"/>
  <c r="AB119" i="2"/>
  <c r="AA119" i="2"/>
  <c r="Z119" i="2"/>
  <c r="Y119" i="2"/>
  <c r="X119" i="2"/>
  <c r="W119" i="2"/>
  <c r="V119" i="2"/>
  <c r="U119" i="2"/>
  <c r="T119" i="2"/>
  <c r="S119" i="2"/>
  <c r="R119" i="2"/>
  <c r="Q119" i="2"/>
  <c r="P119" i="2"/>
  <c r="O119" i="2"/>
  <c r="N119" i="2"/>
  <c r="M119" i="2"/>
  <c r="L119" i="2"/>
  <c r="K119" i="2"/>
  <c r="J119" i="2"/>
  <c r="I119" i="2"/>
  <c r="H119" i="2"/>
  <c r="G119" i="2"/>
  <c r="F119" i="2"/>
  <c r="E119" i="2"/>
  <c r="D119" i="2"/>
  <c r="C119" i="2"/>
  <c r="B119" i="2"/>
  <c r="A119" i="2"/>
  <c r="AE118" i="2"/>
  <c r="AD118" i="2"/>
  <c r="AC118" i="2"/>
  <c r="AB118" i="2"/>
  <c r="AA118" i="2"/>
  <c r="Z118" i="2"/>
  <c r="Y118" i="2"/>
  <c r="X118" i="2"/>
  <c r="W118" i="2"/>
  <c r="V118" i="2"/>
  <c r="U118" i="2"/>
  <c r="T118" i="2"/>
  <c r="S118" i="2"/>
  <c r="R118" i="2"/>
  <c r="Q118" i="2"/>
  <c r="P118" i="2"/>
  <c r="O118" i="2"/>
  <c r="N118" i="2"/>
  <c r="M118" i="2"/>
  <c r="L118" i="2"/>
  <c r="K118" i="2"/>
  <c r="J118" i="2"/>
  <c r="I118" i="2"/>
  <c r="H118" i="2"/>
  <c r="G118" i="2"/>
  <c r="F118" i="2"/>
  <c r="E118" i="2"/>
  <c r="D118" i="2"/>
  <c r="C118" i="2"/>
  <c r="B118" i="2"/>
  <c r="A118" i="2"/>
  <c r="AE117" i="2"/>
  <c r="AD117" i="2"/>
  <c r="AC117" i="2"/>
  <c r="AB117" i="2"/>
  <c r="AA117" i="2"/>
  <c r="Z117" i="2"/>
  <c r="Y117" i="2"/>
  <c r="X117" i="2"/>
  <c r="W117" i="2"/>
  <c r="V117" i="2"/>
  <c r="U117" i="2"/>
  <c r="T117" i="2"/>
  <c r="S117" i="2"/>
  <c r="R117" i="2"/>
  <c r="Q117" i="2"/>
  <c r="P117" i="2"/>
  <c r="O117" i="2"/>
  <c r="N117" i="2"/>
  <c r="M117" i="2"/>
  <c r="L117" i="2"/>
  <c r="K117" i="2"/>
  <c r="J117" i="2"/>
  <c r="I117" i="2"/>
  <c r="H117" i="2"/>
  <c r="G117" i="2"/>
  <c r="F117" i="2"/>
  <c r="E117" i="2"/>
  <c r="D117" i="2"/>
  <c r="C117" i="2"/>
  <c r="B117" i="2"/>
  <c r="A117" i="2"/>
  <c r="AE116" i="2"/>
  <c r="AD116" i="2"/>
  <c r="AC116" i="2"/>
  <c r="AB116" i="2"/>
  <c r="AA116" i="2"/>
  <c r="Z116" i="2"/>
  <c r="Y116" i="2"/>
  <c r="X116" i="2"/>
  <c r="W116" i="2"/>
  <c r="V116" i="2"/>
  <c r="U116" i="2"/>
  <c r="T116" i="2"/>
  <c r="S116" i="2"/>
  <c r="R116" i="2"/>
  <c r="Q116" i="2"/>
  <c r="P116" i="2"/>
  <c r="O116" i="2"/>
  <c r="N116" i="2"/>
  <c r="M116" i="2"/>
  <c r="L116" i="2"/>
  <c r="K116" i="2"/>
  <c r="J116" i="2"/>
  <c r="I116" i="2"/>
  <c r="H116" i="2"/>
  <c r="G116" i="2"/>
  <c r="F116" i="2"/>
  <c r="E116" i="2"/>
  <c r="D116" i="2"/>
  <c r="C116" i="2"/>
  <c r="B116" i="2"/>
  <c r="A116" i="2"/>
  <c r="AE115" i="2"/>
  <c r="AD115" i="2"/>
  <c r="AC115" i="2"/>
  <c r="AB115" i="2"/>
  <c r="AA115" i="2"/>
  <c r="Z115" i="2"/>
  <c r="Y115" i="2"/>
  <c r="X115" i="2"/>
  <c r="W115" i="2"/>
  <c r="V115" i="2"/>
  <c r="U115" i="2"/>
  <c r="T115" i="2"/>
  <c r="S115" i="2"/>
  <c r="R115" i="2"/>
  <c r="Q115" i="2"/>
  <c r="P115" i="2"/>
  <c r="O115" i="2"/>
  <c r="N115" i="2"/>
  <c r="M115" i="2"/>
  <c r="L115" i="2"/>
  <c r="K115" i="2"/>
  <c r="J115" i="2"/>
  <c r="I115" i="2"/>
  <c r="H115" i="2"/>
  <c r="G115" i="2"/>
  <c r="F115" i="2"/>
  <c r="E115" i="2"/>
  <c r="D115" i="2"/>
  <c r="C115" i="2"/>
  <c r="B115" i="2"/>
  <c r="A115" i="2"/>
  <c r="AE114" i="2"/>
  <c r="AD114" i="2"/>
  <c r="AC114" i="2"/>
  <c r="AB114" i="2"/>
  <c r="AA114" i="2"/>
  <c r="Z114" i="2"/>
  <c r="Y114" i="2"/>
  <c r="X114" i="2"/>
  <c r="W114" i="2"/>
  <c r="V114" i="2"/>
  <c r="U114" i="2"/>
  <c r="T114" i="2"/>
  <c r="S114" i="2"/>
  <c r="R114" i="2"/>
  <c r="Q114" i="2"/>
  <c r="P114" i="2"/>
  <c r="O114" i="2"/>
  <c r="N114" i="2"/>
  <c r="M114" i="2"/>
  <c r="L114" i="2"/>
  <c r="K114" i="2"/>
  <c r="J114" i="2"/>
  <c r="I114" i="2"/>
  <c r="H114" i="2"/>
  <c r="G114" i="2"/>
  <c r="F114" i="2"/>
  <c r="E114" i="2"/>
  <c r="D114" i="2"/>
  <c r="C114" i="2"/>
  <c r="B114" i="2"/>
  <c r="A114" i="2"/>
  <c r="AE113" i="2"/>
  <c r="AD113" i="2"/>
  <c r="AC113" i="2"/>
  <c r="AB113" i="2"/>
  <c r="AA113" i="2"/>
  <c r="Z113" i="2"/>
  <c r="Y113" i="2"/>
  <c r="X113" i="2"/>
  <c r="W113" i="2"/>
  <c r="V113" i="2"/>
  <c r="U113" i="2"/>
  <c r="T113" i="2"/>
  <c r="S113" i="2"/>
  <c r="R113" i="2"/>
  <c r="Q113" i="2"/>
  <c r="P113" i="2"/>
  <c r="O113" i="2"/>
  <c r="N113" i="2"/>
  <c r="M113" i="2"/>
  <c r="L113" i="2"/>
  <c r="K113" i="2"/>
  <c r="J113" i="2"/>
  <c r="I113" i="2"/>
  <c r="H113" i="2"/>
  <c r="G113" i="2"/>
  <c r="F113" i="2"/>
  <c r="E113" i="2"/>
  <c r="D113" i="2"/>
  <c r="C113" i="2"/>
  <c r="B113" i="2"/>
  <c r="A113" i="2"/>
  <c r="AE112" i="2"/>
  <c r="AD112" i="2"/>
  <c r="AC112" i="2"/>
  <c r="AB112" i="2"/>
  <c r="AA112" i="2"/>
  <c r="Z112" i="2"/>
  <c r="Y112" i="2"/>
  <c r="X112" i="2"/>
  <c r="W112" i="2"/>
  <c r="V112" i="2"/>
  <c r="U112" i="2"/>
  <c r="T112" i="2"/>
  <c r="S112" i="2"/>
  <c r="R112" i="2"/>
  <c r="Q112" i="2"/>
  <c r="P112" i="2"/>
  <c r="O112" i="2"/>
  <c r="N112" i="2"/>
  <c r="M112" i="2"/>
  <c r="L112" i="2"/>
  <c r="K112" i="2"/>
  <c r="J112" i="2"/>
  <c r="I112" i="2"/>
  <c r="H112" i="2"/>
  <c r="G112" i="2"/>
  <c r="F112" i="2"/>
  <c r="E112" i="2"/>
  <c r="D112" i="2"/>
  <c r="C112" i="2"/>
  <c r="B112" i="2"/>
  <c r="A112" i="2"/>
  <c r="AE111" i="2"/>
  <c r="AD111" i="2"/>
  <c r="AC111" i="2"/>
  <c r="AB111" i="2"/>
  <c r="AA111" i="2"/>
  <c r="Z111" i="2"/>
  <c r="Y111" i="2"/>
  <c r="X111" i="2"/>
  <c r="W111" i="2"/>
  <c r="V111" i="2"/>
  <c r="U111" i="2"/>
  <c r="T111" i="2"/>
  <c r="S111" i="2"/>
  <c r="R111" i="2"/>
  <c r="Q111" i="2"/>
  <c r="P111" i="2"/>
  <c r="O111" i="2"/>
  <c r="N111" i="2"/>
  <c r="M111" i="2"/>
  <c r="L111" i="2"/>
  <c r="K111" i="2"/>
  <c r="J111" i="2"/>
  <c r="I111" i="2"/>
  <c r="H111" i="2"/>
  <c r="G111" i="2"/>
  <c r="F111" i="2"/>
  <c r="E111" i="2"/>
  <c r="D111" i="2"/>
  <c r="C111" i="2"/>
  <c r="B111" i="2"/>
  <c r="A111" i="2"/>
  <c r="AE110" i="2"/>
  <c r="AD110" i="2"/>
  <c r="AC110" i="2"/>
  <c r="AB110" i="2"/>
  <c r="AA110" i="2"/>
  <c r="Z110" i="2"/>
  <c r="Y110" i="2"/>
  <c r="X110" i="2"/>
  <c r="W110" i="2"/>
  <c r="V110" i="2"/>
  <c r="U110" i="2"/>
  <c r="T110" i="2"/>
  <c r="S110" i="2"/>
  <c r="R110" i="2"/>
  <c r="Q110" i="2"/>
  <c r="P110" i="2"/>
  <c r="O110" i="2"/>
  <c r="N110" i="2"/>
  <c r="M110" i="2"/>
  <c r="L110" i="2"/>
  <c r="K110" i="2"/>
  <c r="J110" i="2"/>
  <c r="I110" i="2"/>
  <c r="H110" i="2"/>
  <c r="G110" i="2"/>
  <c r="F110" i="2"/>
  <c r="E110" i="2"/>
  <c r="D110" i="2"/>
  <c r="C110" i="2"/>
  <c r="B110" i="2"/>
  <c r="A110" i="2"/>
  <c r="AE109" i="2"/>
  <c r="AD109" i="2"/>
  <c r="AC109" i="2"/>
  <c r="AB109" i="2"/>
  <c r="AA109" i="2"/>
  <c r="Z109" i="2"/>
  <c r="Y109" i="2"/>
  <c r="X109" i="2"/>
  <c r="W109" i="2"/>
  <c r="V109" i="2"/>
  <c r="U109" i="2"/>
  <c r="T109" i="2"/>
  <c r="S109" i="2"/>
  <c r="R109" i="2"/>
  <c r="Q109" i="2"/>
  <c r="P109" i="2"/>
  <c r="O109" i="2"/>
  <c r="N109" i="2"/>
  <c r="M109" i="2"/>
  <c r="L109" i="2"/>
  <c r="K109" i="2"/>
  <c r="J109" i="2"/>
  <c r="I109" i="2"/>
  <c r="H109" i="2"/>
  <c r="G109" i="2"/>
  <c r="F109" i="2"/>
  <c r="E109" i="2"/>
  <c r="D109" i="2"/>
  <c r="C109" i="2"/>
  <c r="B109" i="2"/>
  <c r="A109" i="2"/>
  <c r="AE108" i="2"/>
  <c r="AD108" i="2"/>
  <c r="AC108" i="2"/>
  <c r="AB108" i="2"/>
  <c r="AA108" i="2"/>
  <c r="Z108" i="2"/>
  <c r="Y108" i="2"/>
  <c r="X108" i="2"/>
  <c r="W108" i="2"/>
  <c r="V108" i="2"/>
  <c r="U108" i="2"/>
  <c r="T108" i="2"/>
  <c r="S108" i="2"/>
  <c r="R108" i="2"/>
  <c r="Q108" i="2"/>
  <c r="P108" i="2"/>
  <c r="O108" i="2"/>
  <c r="N108" i="2"/>
  <c r="M108" i="2"/>
  <c r="L108" i="2"/>
  <c r="K108" i="2"/>
  <c r="J108" i="2"/>
  <c r="I108" i="2"/>
  <c r="H108" i="2"/>
  <c r="G108" i="2"/>
  <c r="F108" i="2"/>
  <c r="E108" i="2"/>
  <c r="D108" i="2"/>
  <c r="C108" i="2"/>
  <c r="B108" i="2"/>
  <c r="A108" i="2"/>
  <c r="AE107" i="2"/>
  <c r="AD107" i="2"/>
  <c r="AC107" i="2"/>
  <c r="AB107" i="2"/>
  <c r="AA107" i="2"/>
  <c r="Z107" i="2"/>
  <c r="Y107" i="2"/>
  <c r="X107" i="2"/>
  <c r="W107" i="2"/>
  <c r="V107" i="2"/>
  <c r="U107" i="2"/>
  <c r="T107" i="2"/>
  <c r="S107" i="2"/>
  <c r="R107" i="2"/>
  <c r="Q107" i="2"/>
  <c r="P107" i="2"/>
  <c r="O107" i="2"/>
  <c r="N107" i="2"/>
  <c r="M107" i="2"/>
  <c r="L107" i="2"/>
  <c r="K107" i="2"/>
  <c r="J107" i="2"/>
  <c r="I107" i="2"/>
  <c r="H107" i="2"/>
  <c r="G107" i="2"/>
  <c r="F107" i="2"/>
  <c r="E107" i="2"/>
  <c r="D107" i="2"/>
  <c r="C107" i="2"/>
  <c r="B107" i="2"/>
  <c r="A107" i="2"/>
  <c r="AE106" i="2"/>
  <c r="AD106" i="2"/>
  <c r="AC106" i="2"/>
  <c r="AB106" i="2"/>
  <c r="AA106" i="2"/>
  <c r="Z106" i="2"/>
  <c r="Y106" i="2"/>
  <c r="X106" i="2"/>
  <c r="W106" i="2"/>
  <c r="V106" i="2"/>
  <c r="U106" i="2"/>
  <c r="T106" i="2"/>
  <c r="S106" i="2"/>
  <c r="R106" i="2"/>
  <c r="Q106" i="2"/>
  <c r="P106" i="2"/>
  <c r="O106" i="2"/>
  <c r="N106" i="2"/>
  <c r="M106" i="2"/>
  <c r="L106" i="2"/>
  <c r="K106" i="2"/>
  <c r="J106" i="2"/>
  <c r="I106" i="2"/>
  <c r="H106" i="2"/>
  <c r="G106" i="2"/>
  <c r="F106" i="2"/>
  <c r="E106" i="2"/>
  <c r="D106" i="2"/>
  <c r="C106" i="2"/>
  <c r="B106" i="2"/>
  <c r="A106" i="2"/>
  <c r="AE105" i="2"/>
  <c r="AD105" i="2"/>
  <c r="AC105" i="2"/>
  <c r="AB105" i="2"/>
  <c r="AA105" i="2"/>
  <c r="Z105" i="2"/>
  <c r="Y105" i="2"/>
  <c r="X105" i="2"/>
  <c r="W105" i="2"/>
  <c r="V105" i="2"/>
  <c r="U105" i="2"/>
  <c r="T105" i="2"/>
  <c r="S105" i="2"/>
  <c r="R105" i="2"/>
  <c r="Q105" i="2"/>
  <c r="P105" i="2"/>
  <c r="O105" i="2"/>
  <c r="N105" i="2"/>
  <c r="M105" i="2"/>
  <c r="L105" i="2"/>
  <c r="K105" i="2"/>
  <c r="J105" i="2"/>
  <c r="I105" i="2"/>
  <c r="H105" i="2"/>
  <c r="G105" i="2"/>
  <c r="F105" i="2"/>
  <c r="E105" i="2"/>
  <c r="D105" i="2"/>
  <c r="C105" i="2"/>
  <c r="B105" i="2"/>
  <c r="A105" i="2"/>
  <c r="AE104" i="2"/>
  <c r="AD104" i="2"/>
  <c r="AC104" i="2"/>
  <c r="AB104" i="2"/>
  <c r="AA104" i="2"/>
  <c r="Z104" i="2"/>
  <c r="Y104" i="2"/>
  <c r="X104" i="2"/>
  <c r="W104" i="2"/>
  <c r="V104" i="2"/>
  <c r="U104" i="2"/>
  <c r="T104" i="2"/>
  <c r="S104" i="2"/>
  <c r="R104" i="2"/>
  <c r="Q104" i="2"/>
  <c r="P104" i="2"/>
  <c r="O104" i="2"/>
  <c r="N104" i="2"/>
  <c r="M104" i="2"/>
  <c r="L104" i="2"/>
  <c r="K104" i="2"/>
  <c r="J104" i="2"/>
  <c r="I104" i="2"/>
  <c r="H104" i="2"/>
  <c r="G104" i="2"/>
  <c r="F104" i="2"/>
  <c r="E104" i="2"/>
  <c r="D104" i="2"/>
  <c r="C104" i="2"/>
  <c r="B104" i="2"/>
  <c r="A104" i="2"/>
  <c r="AE103" i="2"/>
  <c r="AD103" i="2"/>
  <c r="AC103" i="2"/>
  <c r="AB103" i="2"/>
  <c r="AA103" i="2"/>
  <c r="Z103" i="2"/>
  <c r="Y103" i="2"/>
  <c r="X103" i="2"/>
  <c r="W103" i="2"/>
  <c r="V103" i="2"/>
  <c r="U103" i="2"/>
  <c r="T103" i="2"/>
  <c r="S103" i="2"/>
  <c r="R103" i="2"/>
  <c r="Q103" i="2"/>
  <c r="P103" i="2"/>
  <c r="O103" i="2"/>
  <c r="N103" i="2"/>
  <c r="M103" i="2"/>
  <c r="L103" i="2"/>
  <c r="K103" i="2"/>
  <c r="J103" i="2"/>
  <c r="I103" i="2"/>
  <c r="H103" i="2"/>
  <c r="G103" i="2"/>
  <c r="F103" i="2"/>
  <c r="E103" i="2"/>
  <c r="D103" i="2"/>
  <c r="C103" i="2"/>
  <c r="B103" i="2"/>
  <c r="A103" i="2"/>
  <c r="AE102" i="2"/>
  <c r="AD102" i="2"/>
  <c r="AC102" i="2"/>
  <c r="AB102" i="2"/>
  <c r="AA102" i="2"/>
  <c r="Z102" i="2"/>
  <c r="Y102" i="2"/>
  <c r="X102" i="2"/>
  <c r="W102" i="2"/>
  <c r="V102" i="2"/>
  <c r="U102" i="2"/>
  <c r="T102" i="2"/>
  <c r="S102" i="2"/>
  <c r="R102" i="2"/>
  <c r="Q102" i="2"/>
  <c r="P102" i="2"/>
  <c r="O102" i="2"/>
  <c r="N102" i="2"/>
  <c r="M102" i="2"/>
  <c r="L102" i="2"/>
  <c r="K102" i="2"/>
  <c r="J102" i="2"/>
  <c r="I102" i="2"/>
  <c r="H102" i="2"/>
  <c r="G102" i="2"/>
  <c r="F102" i="2"/>
  <c r="E102" i="2"/>
  <c r="D102" i="2"/>
  <c r="C102" i="2"/>
  <c r="B102" i="2"/>
  <c r="A102" i="2"/>
  <c r="AE101" i="2"/>
  <c r="AD101" i="2"/>
  <c r="AC101" i="2"/>
  <c r="AB101" i="2"/>
  <c r="AA101" i="2"/>
  <c r="Z101" i="2"/>
  <c r="Y101" i="2"/>
  <c r="X101" i="2"/>
  <c r="W101" i="2"/>
  <c r="V101" i="2"/>
  <c r="U101" i="2"/>
  <c r="T101" i="2"/>
  <c r="S101" i="2"/>
  <c r="R101" i="2"/>
  <c r="Q101" i="2"/>
  <c r="P101" i="2"/>
  <c r="O101" i="2"/>
  <c r="N101" i="2"/>
  <c r="M101" i="2"/>
  <c r="L101" i="2"/>
  <c r="K101" i="2"/>
  <c r="J101" i="2"/>
  <c r="I101" i="2"/>
  <c r="H101" i="2"/>
  <c r="G101" i="2"/>
  <c r="F101" i="2"/>
  <c r="E101" i="2"/>
  <c r="D101" i="2"/>
  <c r="C101" i="2"/>
  <c r="B101" i="2"/>
  <c r="A101" i="2"/>
  <c r="AE100" i="2"/>
  <c r="AD100" i="2"/>
  <c r="AC100" i="2"/>
  <c r="AB100" i="2"/>
  <c r="AA100" i="2"/>
  <c r="Z100" i="2"/>
  <c r="Y100" i="2"/>
  <c r="X100" i="2"/>
  <c r="W100" i="2"/>
  <c r="V100" i="2"/>
  <c r="U100" i="2"/>
  <c r="T100" i="2"/>
  <c r="S100" i="2"/>
  <c r="R100" i="2"/>
  <c r="Q100" i="2"/>
  <c r="P100" i="2"/>
  <c r="O100" i="2"/>
  <c r="N100" i="2"/>
  <c r="M100" i="2"/>
  <c r="L100" i="2"/>
  <c r="K100" i="2"/>
  <c r="J100" i="2"/>
  <c r="I100" i="2"/>
  <c r="H100" i="2"/>
  <c r="G100" i="2"/>
  <c r="F100" i="2"/>
  <c r="E100" i="2"/>
  <c r="D100" i="2"/>
  <c r="C100" i="2"/>
  <c r="B100" i="2"/>
  <c r="A100" i="2"/>
  <c r="AE99" i="2"/>
  <c r="AD99" i="2"/>
  <c r="AC99" i="2"/>
  <c r="AB99" i="2"/>
  <c r="AA99" i="2"/>
  <c r="Z99" i="2"/>
  <c r="Y99" i="2"/>
  <c r="X99" i="2"/>
  <c r="W99" i="2"/>
  <c r="V99" i="2"/>
  <c r="U99" i="2"/>
  <c r="T99" i="2"/>
  <c r="S99" i="2"/>
  <c r="R99" i="2"/>
  <c r="Q99" i="2"/>
  <c r="P99" i="2"/>
  <c r="O99" i="2"/>
  <c r="N99" i="2"/>
  <c r="M99" i="2"/>
  <c r="L99" i="2"/>
  <c r="K99" i="2"/>
  <c r="J99" i="2"/>
  <c r="I99" i="2"/>
  <c r="H99" i="2"/>
  <c r="G99" i="2"/>
  <c r="F99" i="2"/>
  <c r="E99" i="2"/>
  <c r="D99" i="2"/>
  <c r="C99" i="2"/>
  <c r="B99" i="2"/>
  <c r="A99" i="2"/>
  <c r="AE98" i="2"/>
  <c r="AD98" i="2"/>
  <c r="AC98" i="2"/>
  <c r="AB98" i="2"/>
  <c r="AA98" i="2"/>
  <c r="Z98" i="2"/>
  <c r="Y98" i="2"/>
  <c r="X98" i="2"/>
  <c r="W98" i="2"/>
  <c r="V98" i="2"/>
  <c r="U98" i="2"/>
  <c r="T98" i="2"/>
  <c r="S98" i="2"/>
  <c r="R98" i="2"/>
  <c r="Q98" i="2"/>
  <c r="P98" i="2"/>
  <c r="O98" i="2"/>
  <c r="N98" i="2"/>
  <c r="M98" i="2"/>
  <c r="L98" i="2"/>
  <c r="K98" i="2"/>
  <c r="J98" i="2"/>
  <c r="I98" i="2"/>
  <c r="H98" i="2"/>
  <c r="G98" i="2"/>
  <c r="F98" i="2"/>
  <c r="E98" i="2"/>
  <c r="D98" i="2"/>
  <c r="C98" i="2"/>
  <c r="B98" i="2"/>
  <c r="A98" i="2"/>
  <c r="AE97" i="2"/>
  <c r="AD97" i="2"/>
  <c r="AC97" i="2"/>
  <c r="AB97" i="2"/>
  <c r="AA97" i="2"/>
  <c r="Z97" i="2"/>
  <c r="Y97" i="2"/>
  <c r="X97" i="2"/>
  <c r="W97" i="2"/>
  <c r="V97" i="2"/>
  <c r="U97" i="2"/>
  <c r="T97" i="2"/>
  <c r="S97" i="2"/>
  <c r="R97" i="2"/>
  <c r="Q97" i="2"/>
  <c r="P97" i="2"/>
  <c r="O97" i="2"/>
  <c r="N97" i="2"/>
  <c r="M97" i="2"/>
  <c r="L97" i="2"/>
  <c r="K97" i="2"/>
  <c r="J97" i="2"/>
  <c r="I97" i="2"/>
  <c r="H97" i="2"/>
  <c r="G97" i="2"/>
  <c r="F97" i="2"/>
  <c r="E97" i="2"/>
  <c r="D97" i="2"/>
  <c r="C97" i="2"/>
  <c r="B97" i="2"/>
  <c r="A97" i="2"/>
  <c r="AE96" i="2"/>
  <c r="AD96" i="2"/>
  <c r="AC96" i="2"/>
  <c r="AB96" i="2"/>
  <c r="AA96" i="2"/>
  <c r="Z96" i="2"/>
  <c r="Y96" i="2"/>
  <c r="X96" i="2"/>
  <c r="W96" i="2"/>
  <c r="V96" i="2"/>
  <c r="U96" i="2"/>
  <c r="T96" i="2"/>
  <c r="S96" i="2"/>
  <c r="R96" i="2"/>
  <c r="Q96" i="2"/>
  <c r="P96" i="2"/>
  <c r="O96" i="2"/>
  <c r="N96" i="2"/>
  <c r="M96" i="2"/>
  <c r="L96" i="2"/>
  <c r="K96" i="2"/>
  <c r="J96" i="2"/>
  <c r="I96" i="2"/>
  <c r="H96" i="2"/>
  <c r="G96" i="2"/>
  <c r="F96" i="2"/>
  <c r="E96" i="2"/>
  <c r="D96" i="2"/>
  <c r="C96" i="2"/>
  <c r="B96" i="2"/>
  <c r="A96" i="2"/>
  <c r="AE95" i="2"/>
  <c r="AD95" i="2"/>
  <c r="AC95" i="2"/>
  <c r="AB95" i="2"/>
  <c r="AA95" i="2"/>
  <c r="Z95" i="2"/>
  <c r="Y95" i="2"/>
  <c r="X95" i="2"/>
  <c r="W95" i="2"/>
  <c r="V95" i="2"/>
  <c r="U95" i="2"/>
  <c r="T95" i="2"/>
  <c r="S95" i="2"/>
  <c r="R95" i="2"/>
  <c r="Q95" i="2"/>
  <c r="P95" i="2"/>
  <c r="O95" i="2"/>
  <c r="N95" i="2"/>
  <c r="M95" i="2"/>
  <c r="L95" i="2"/>
  <c r="K95" i="2"/>
  <c r="J95" i="2"/>
  <c r="I95" i="2"/>
  <c r="H95" i="2"/>
  <c r="G95" i="2"/>
  <c r="F95" i="2"/>
  <c r="E95" i="2"/>
  <c r="D95" i="2"/>
  <c r="C95" i="2"/>
  <c r="B95" i="2"/>
  <c r="A95" i="2"/>
  <c r="AE94" i="2"/>
  <c r="AD94" i="2"/>
  <c r="AC94" i="2"/>
  <c r="AB94" i="2"/>
  <c r="AA94" i="2"/>
  <c r="Z94" i="2"/>
  <c r="Y94" i="2"/>
  <c r="X94" i="2"/>
  <c r="W94" i="2"/>
  <c r="V94" i="2"/>
  <c r="U94" i="2"/>
  <c r="T94" i="2"/>
  <c r="S94" i="2"/>
  <c r="R94" i="2"/>
  <c r="Q94" i="2"/>
  <c r="P94" i="2"/>
  <c r="O94" i="2"/>
  <c r="N94" i="2"/>
  <c r="M94" i="2"/>
  <c r="L94" i="2"/>
  <c r="K94" i="2"/>
  <c r="J94" i="2"/>
  <c r="I94" i="2"/>
  <c r="H94" i="2"/>
  <c r="G94" i="2"/>
  <c r="F94" i="2"/>
  <c r="E94" i="2"/>
  <c r="D94" i="2"/>
  <c r="C94" i="2"/>
  <c r="B94" i="2"/>
  <c r="A94" i="2"/>
  <c r="AE93" i="2"/>
  <c r="AD93" i="2"/>
  <c r="AC93" i="2"/>
  <c r="AB93" i="2"/>
  <c r="AA93" i="2"/>
  <c r="Z93" i="2"/>
  <c r="Y93" i="2"/>
  <c r="X93" i="2"/>
  <c r="W93" i="2"/>
  <c r="V93" i="2"/>
  <c r="U93" i="2"/>
  <c r="T93" i="2"/>
  <c r="S93" i="2"/>
  <c r="R93" i="2"/>
  <c r="Q93" i="2"/>
  <c r="P93" i="2"/>
  <c r="O93" i="2"/>
  <c r="N93" i="2"/>
  <c r="M93" i="2"/>
  <c r="L93" i="2"/>
  <c r="K93" i="2"/>
  <c r="J93" i="2"/>
  <c r="I93" i="2"/>
  <c r="H93" i="2"/>
  <c r="G93" i="2"/>
  <c r="F93" i="2"/>
  <c r="E93" i="2"/>
  <c r="D93" i="2"/>
  <c r="C93" i="2"/>
  <c r="B93" i="2"/>
  <c r="A93" i="2"/>
  <c r="AE92" i="2"/>
  <c r="AD92" i="2"/>
  <c r="AC92" i="2"/>
  <c r="AB92" i="2"/>
  <c r="AA92" i="2"/>
  <c r="Z92" i="2"/>
  <c r="Y92" i="2"/>
  <c r="X92" i="2"/>
  <c r="W92" i="2"/>
  <c r="V92" i="2"/>
  <c r="U92" i="2"/>
  <c r="T92" i="2"/>
  <c r="S92" i="2"/>
  <c r="R92" i="2"/>
  <c r="Q92" i="2"/>
  <c r="P92" i="2"/>
  <c r="O92" i="2"/>
  <c r="N92" i="2"/>
  <c r="M92" i="2"/>
  <c r="L92" i="2"/>
  <c r="K92" i="2"/>
  <c r="J92" i="2"/>
  <c r="I92" i="2"/>
  <c r="H92" i="2"/>
  <c r="G92" i="2"/>
  <c r="F92" i="2"/>
  <c r="E92" i="2"/>
  <c r="D92" i="2"/>
  <c r="C92" i="2"/>
  <c r="B92" i="2"/>
  <c r="A92" i="2"/>
  <c r="AE91" i="2"/>
  <c r="AD91" i="2"/>
  <c r="AC91" i="2"/>
  <c r="AB91" i="2"/>
  <c r="AA91" i="2"/>
  <c r="Z91" i="2"/>
  <c r="Y91" i="2"/>
  <c r="X91" i="2"/>
  <c r="W91" i="2"/>
  <c r="V91" i="2"/>
  <c r="U91" i="2"/>
  <c r="T91" i="2"/>
  <c r="S91" i="2"/>
  <c r="R91" i="2"/>
  <c r="Q91" i="2"/>
  <c r="P91" i="2"/>
  <c r="O91" i="2"/>
  <c r="N91" i="2"/>
  <c r="M91" i="2"/>
  <c r="L91" i="2"/>
  <c r="K91" i="2"/>
  <c r="J91" i="2"/>
  <c r="I91" i="2"/>
  <c r="H91" i="2"/>
  <c r="G91" i="2"/>
  <c r="F91" i="2"/>
  <c r="E91" i="2"/>
  <c r="D91" i="2"/>
  <c r="C91" i="2"/>
  <c r="B91" i="2"/>
  <c r="A91" i="2"/>
  <c r="AE90" i="2"/>
  <c r="AD90" i="2"/>
  <c r="AC90" i="2"/>
  <c r="AB90" i="2"/>
  <c r="AA90" i="2"/>
  <c r="Z90" i="2"/>
  <c r="Y90" i="2"/>
  <c r="X90" i="2"/>
  <c r="W90" i="2"/>
  <c r="V90" i="2"/>
  <c r="U90" i="2"/>
  <c r="T90" i="2"/>
  <c r="S90" i="2"/>
  <c r="R90" i="2"/>
  <c r="Q90" i="2"/>
  <c r="P90" i="2"/>
  <c r="O90" i="2"/>
  <c r="N90" i="2"/>
  <c r="M90" i="2"/>
  <c r="L90" i="2"/>
  <c r="K90" i="2"/>
  <c r="J90" i="2"/>
  <c r="I90" i="2"/>
  <c r="H90" i="2"/>
  <c r="G90" i="2"/>
  <c r="F90" i="2"/>
  <c r="E90" i="2"/>
  <c r="D90" i="2"/>
  <c r="C90" i="2"/>
  <c r="B90" i="2"/>
  <c r="A90" i="2"/>
  <c r="AE89" i="2"/>
  <c r="AD89" i="2"/>
  <c r="AC89" i="2"/>
  <c r="AB89" i="2"/>
  <c r="AA89" i="2"/>
  <c r="Z89" i="2"/>
  <c r="Y89" i="2"/>
  <c r="X89" i="2"/>
  <c r="W89" i="2"/>
  <c r="V89" i="2"/>
  <c r="U89" i="2"/>
  <c r="T89" i="2"/>
  <c r="S89" i="2"/>
  <c r="R89" i="2"/>
  <c r="Q89" i="2"/>
  <c r="P89" i="2"/>
  <c r="O89" i="2"/>
  <c r="N89" i="2"/>
  <c r="M89" i="2"/>
  <c r="L89" i="2"/>
  <c r="K89" i="2"/>
  <c r="J89" i="2"/>
  <c r="I89" i="2"/>
  <c r="H89" i="2"/>
  <c r="G89" i="2"/>
  <c r="F89" i="2"/>
  <c r="E89" i="2"/>
  <c r="D89" i="2"/>
  <c r="C89" i="2"/>
  <c r="B89" i="2"/>
  <c r="A89" i="2"/>
  <c r="AE88" i="2"/>
  <c r="AD88" i="2"/>
  <c r="AC88" i="2"/>
  <c r="AB88" i="2"/>
  <c r="AA88" i="2"/>
  <c r="Z88" i="2"/>
  <c r="Y88" i="2"/>
  <c r="X88" i="2"/>
  <c r="W88" i="2"/>
  <c r="V88" i="2"/>
  <c r="U88" i="2"/>
  <c r="T88" i="2"/>
  <c r="S88" i="2"/>
  <c r="R88" i="2"/>
  <c r="Q88" i="2"/>
  <c r="P88" i="2"/>
  <c r="O88" i="2"/>
  <c r="N88" i="2"/>
  <c r="M88" i="2"/>
  <c r="L88" i="2"/>
  <c r="K88" i="2"/>
  <c r="J88" i="2"/>
  <c r="I88" i="2"/>
  <c r="H88" i="2"/>
  <c r="G88" i="2"/>
  <c r="F88" i="2"/>
  <c r="E88" i="2"/>
  <c r="D88" i="2"/>
  <c r="C88" i="2"/>
  <c r="B88" i="2"/>
  <c r="A88" i="2"/>
  <c r="AE87" i="2"/>
  <c r="AD87" i="2"/>
  <c r="AC87" i="2"/>
  <c r="AB87" i="2"/>
  <c r="AA87" i="2"/>
  <c r="Z87" i="2"/>
  <c r="Y87" i="2"/>
  <c r="X87" i="2"/>
  <c r="W87" i="2"/>
  <c r="V87" i="2"/>
  <c r="U87" i="2"/>
  <c r="T87" i="2"/>
  <c r="S87" i="2"/>
  <c r="R87" i="2"/>
  <c r="Q87" i="2"/>
  <c r="P87" i="2"/>
  <c r="O87" i="2"/>
  <c r="N87" i="2"/>
  <c r="M87" i="2"/>
  <c r="L87" i="2"/>
  <c r="K87" i="2"/>
  <c r="J87" i="2"/>
  <c r="I87" i="2"/>
  <c r="H87" i="2"/>
  <c r="G87" i="2"/>
  <c r="F87" i="2"/>
  <c r="E87" i="2"/>
  <c r="D87" i="2"/>
  <c r="C87" i="2"/>
  <c r="B87" i="2"/>
  <c r="A87" i="2"/>
  <c r="AE86" i="2"/>
  <c r="AD86" i="2"/>
  <c r="AC86" i="2"/>
  <c r="AB86" i="2"/>
  <c r="AA86" i="2"/>
  <c r="Z86" i="2"/>
  <c r="Y86" i="2"/>
  <c r="X86" i="2"/>
  <c r="W86" i="2"/>
  <c r="V86" i="2"/>
  <c r="U86" i="2"/>
  <c r="T86" i="2"/>
  <c r="S86" i="2"/>
  <c r="R86" i="2"/>
  <c r="Q86" i="2"/>
  <c r="P86" i="2"/>
  <c r="O86" i="2"/>
  <c r="N86" i="2"/>
  <c r="M86" i="2"/>
  <c r="L86" i="2"/>
  <c r="K86" i="2"/>
  <c r="J86" i="2"/>
  <c r="I86" i="2"/>
  <c r="H86" i="2"/>
  <c r="G86" i="2"/>
  <c r="F86" i="2"/>
  <c r="E86" i="2"/>
  <c r="D86" i="2"/>
  <c r="C86" i="2"/>
  <c r="B86" i="2"/>
  <c r="A86" i="2"/>
  <c r="AE85" i="2"/>
  <c r="AD85" i="2"/>
  <c r="AC85" i="2"/>
  <c r="AB85" i="2"/>
  <c r="AA85" i="2"/>
  <c r="Z85" i="2"/>
  <c r="Y85" i="2"/>
  <c r="X85" i="2"/>
  <c r="W85" i="2"/>
  <c r="V85" i="2"/>
  <c r="U85" i="2"/>
  <c r="T85" i="2"/>
  <c r="S85" i="2"/>
  <c r="R85" i="2"/>
  <c r="Q85" i="2"/>
  <c r="P85" i="2"/>
  <c r="O85" i="2"/>
  <c r="N85" i="2"/>
  <c r="M85" i="2"/>
  <c r="L85" i="2"/>
  <c r="K85" i="2"/>
  <c r="J85" i="2"/>
  <c r="I85" i="2"/>
  <c r="H85" i="2"/>
  <c r="G85" i="2"/>
  <c r="F85" i="2"/>
  <c r="E85" i="2"/>
  <c r="D85" i="2"/>
  <c r="C85" i="2"/>
  <c r="B85" i="2"/>
  <c r="A85" i="2"/>
  <c r="AE84" i="2"/>
  <c r="AD84" i="2"/>
  <c r="AC84" i="2"/>
  <c r="AB84" i="2"/>
  <c r="AA84" i="2"/>
  <c r="Z84" i="2"/>
  <c r="Y84" i="2"/>
  <c r="X84" i="2"/>
  <c r="W84" i="2"/>
  <c r="V84" i="2"/>
  <c r="U84" i="2"/>
  <c r="T84" i="2"/>
  <c r="S84" i="2"/>
  <c r="R84" i="2"/>
  <c r="Q84" i="2"/>
  <c r="P84" i="2"/>
  <c r="O84" i="2"/>
  <c r="N84" i="2"/>
  <c r="M84" i="2"/>
  <c r="L84" i="2"/>
  <c r="K84" i="2"/>
  <c r="J84" i="2"/>
  <c r="I84" i="2"/>
  <c r="H84" i="2"/>
  <c r="G84" i="2"/>
  <c r="F84" i="2"/>
  <c r="E84" i="2"/>
  <c r="D84" i="2"/>
  <c r="C84" i="2"/>
  <c r="B84" i="2"/>
  <c r="A84" i="2"/>
  <c r="AE83" i="2"/>
  <c r="AD83" i="2"/>
  <c r="AC83" i="2"/>
  <c r="AB83" i="2"/>
  <c r="AA83" i="2"/>
  <c r="Z83" i="2"/>
  <c r="Y83" i="2"/>
  <c r="X83" i="2"/>
  <c r="W83" i="2"/>
  <c r="V83" i="2"/>
  <c r="U83" i="2"/>
  <c r="T83" i="2"/>
  <c r="S83" i="2"/>
  <c r="R83" i="2"/>
  <c r="Q83" i="2"/>
  <c r="P83" i="2"/>
  <c r="O83" i="2"/>
  <c r="N83" i="2"/>
  <c r="M83" i="2"/>
  <c r="L83" i="2"/>
  <c r="K83" i="2"/>
  <c r="J83" i="2"/>
  <c r="I83" i="2"/>
  <c r="H83" i="2"/>
  <c r="G83" i="2"/>
  <c r="F83" i="2"/>
  <c r="E83" i="2"/>
  <c r="D83" i="2"/>
  <c r="C83" i="2"/>
  <c r="B83" i="2"/>
  <c r="A83" i="2"/>
  <c r="AE82" i="2"/>
  <c r="AD82" i="2"/>
  <c r="AC82" i="2"/>
  <c r="AB82" i="2"/>
  <c r="AA82" i="2"/>
  <c r="Z82" i="2"/>
  <c r="Y82" i="2"/>
  <c r="X82" i="2"/>
  <c r="W82" i="2"/>
  <c r="V82" i="2"/>
  <c r="U82" i="2"/>
  <c r="T82" i="2"/>
  <c r="S82" i="2"/>
  <c r="R82" i="2"/>
  <c r="Q82" i="2"/>
  <c r="P82" i="2"/>
  <c r="O82" i="2"/>
  <c r="N82" i="2"/>
  <c r="M82" i="2"/>
  <c r="L82" i="2"/>
  <c r="K82" i="2"/>
  <c r="J82" i="2"/>
  <c r="I82" i="2"/>
  <c r="H82" i="2"/>
  <c r="G82" i="2"/>
  <c r="F82" i="2"/>
  <c r="E82" i="2"/>
  <c r="D82" i="2"/>
  <c r="C82" i="2"/>
  <c r="B82" i="2"/>
  <c r="A82" i="2"/>
  <c r="AE81" i="2"/>
  <c r="AD81" i="2"/>
  <c r="AC81" i="2"/>
  <c r="AB81" i="2"/>
  <c r="AA81" i="2"/>
  <c r="Z81" i="2"/>
  <c r="Y81" i="2"/>
  <c r="X81" i="2"/>
  <c r="W81" i="2"/>
  <c r="V81" i="2"/>
  <c r="U81" i="2"/>
  <c r="T81" i="2"/>
  <c r="S81" i="2"/>
  <c r="R81" i="2"/>
  <c r="Q81" i="2"/>
  <c r="P81" i="2"/>
  <c r="O81" i="2"/>
  <c r="N81" i="2"/>
  <c r="M81" i="2"/>
  <c r="L81" i="2"/>
  <c r="K81" i="2"/>
  <c r="J81" i="2"/>
  <c r="I81" i="2"/>
  <c r="H81" i="2"/>
  <c r="G81" i="2"/>
  <c r="F81" i="2"/>
  <c r="E81" i="2"/>
  <c r="D81" i="2"/>
  <c r="C81" i="2"/>
  <c r="B81" i="2"/>
  <c r="A81" i="2"/>
  <c r="AE80" i="2"/>
  <c r="AD80" i="2"/>
  <c r="AC80" i="2"/>
  <c r="AB80" i="2"/>
  <c r="AA80" i="2"/>
  <c r="Z80" i="2"/>
  <c r="Y80" i="2"/>
  <c r="X80" i="2"/>
  <c r="W80" i="2"/>
  <c r="V80" i="2"/>
  <c r="U80" i="2"/>
  <c r="T80" i="2"/>
  <c r="S80" i="2"/>
  <c r="R80" i="2"/>
  <c r="Q80" i="2"/>
  <c r="P80" i="2"/>
  <c r="O80" i="2"/>
  <c r="N80" i="2"/>
  <c r="M80" i="2"/>
  <c r="L80" i="2"/>
  <c r="K80" i="2"/>
  <c r="J80" i="2"/>
  <c r="I80" i="2"/>
  <c r="H80" i="2"/>
  <c r="G80" i="2"/>
  <c r="F80" i="2"/>
  <c r="E80" i="2"/>
  <c r="D80" i="2"/>
  <c r="C80" i="2"/>
  <c r="B80" i="2"/>
  <c r="A80" i="2"/>
  <c r="AE79" i="2"/>
  <c r="AD79" i="2"/>
  <c r="AC79" i="2"/>
  <c r="AB79" i="2"/>
  <c r="AA79" i="2"/>
  <c r="Z79" i="2"/>
  <c r="Y79" i="2"/>
  <c r="X79" i="2"/>
  <c r="W79" i="2"/>
  <c r="V79" i="2"/>
  <c r="U79" i="2"/>
  <c r="T79" i="2"/>
  <c r="S79" i="2"/>
  <c r="R79" i="2"/>
  <c r="Q79" i="2"/>
  <c r="P79" i="2"/>
  <c r="O79" i="2"/>
  <c r="N79" i="2"/>
  <c r="M79" i="2"/>
  <c r="L79" i="2"/>
  <c r="K79" i="2"/>
  <c r="J79" i="2"/>
  <c r="I79" i="2"/>
  <c r="H79" i="2"/>
  <c r="G79" i="2"/>
  <c r="F79" i="2"/>
  <c r="E79" i="2"/>
  <c r="D79" i="2"/>
  <c r="C79" i="2"/>
  <c r="B79" i="2"/>
  <c r="A79" i="2"/>
  <c r="AE78" i="2"/>
  <c r="AD78" i="2"/>
  <c r="AC78" i="2"/>
  <c r="AB78" i="2"/>
  <c r="AA78" i="2"/>
  <c r="Z78" i="2"/>
  <c r="Y78" i="2"/>
  <c r="X78" i="2"/>
  <c r="W78" i="2"/>
  <c r="V78" i="2"/>
  <c r="U78" i="2"/>
  <c r="T78" i="2"/>
  <c r="S78" i="2"/>
  <c r="R78" i="2"/>
  <c r="Q78" i="2"/>
  <c r="P78" i="2"/>
  <c r="O78" i="2"/>
  <c r="N78" i="2"/>
  <c r="M78" i="2"/>
  <c r="L78" i="2"/>
  <c r="K78" i="2"/>
  <c r="J78" i="2"/>
  <c r="I78" i="2"/>
  <c r="H78" i="2"/>
  <c r="G78" i="2"/>
  <c r="F78" i="2"/>
  <c r="E78" i="2"/>
  <c r="D78" i="2"/>
  <c r="C78" i="2"/>
  <c r="B78" i="2"/>
  <c r="A78" i="2"/>
  <c r="AE77" i="2"/>
  <c r="AD77" i="2"/>
  <c r="AC77" i="2"/>
  <c r="AB77" i="2"/>
  <c r="AA77" i="2"/>
  <c r="Z77" i="2"/>
  <c r="Y77" i="2"/>
  <c r="X77" i="2"/>
  <c r="W77" i="2"/>
  <c r="V77" i="2"/>
  <c r="U77" i="2"/>
  <c r="T77" i="2"/>
  <c r="S77" i="2"/>
  <c r="R77" i="2"/>
  <c r="Q77" i="2"/>
  <c r="P77" i="2"/>
  <c r="O77" i="2"/>
  <c r="N77" i="2"/>
  <c r="M77" i="2"/>
  <c r="L77" i="2"/>
  <c r="K77" i="2"/>
  <c r="J77" i="2"/>
  <c r="I77" i="2"/>
  <c r="H77" i="2"/>
  <c r="G77" i="2"/>
  <c r="F77" i="2"/>
  <c r="E77" i="2"/>
  <c r="D77" i="2"/>
  <c r="C77" i="2"/>
  <c r="B77" i="2"/>
  <c r="A77" i="2"/>
  <c r="AE76" i="2"/>
  <c r="AD76" i="2"/>
  <c r="AC76" i="2"/>
  <c r="AB76" i="2"/>
  <c r="AA76" i="2"/>
  <c r="Z76" i="2"/>
  <c r="Y76" i="2"/>
  <c r="X76" i="2"/>
  <c r="W76" i="2"/>
  <c r="V76" i="2"/>
  <c r="U76" i="2"/>
  <c r="T76" i="2"/>
  <c r="S76" i="2"/>
  <c r="R76" i="2"/>
  <c r="Q76" i="2"/>
  <c r="P76" i="2"/>
  <c r="O76" i="2"/>
  <c r="N76" i="2"/>
  <c r="M76" i="2"/>
  <c r="L76" i="2"/>
  <c r="K76" i="2"/>
  <c r="J76" i="2"/>
  <c r="I76" i="2"/>
  <c r="H76" i="2"/>
  <c r="G76" i="2"/>
  <c r="F76" i="2"/>
  <c r="E76" i="2"/>
  <c r="D76" i="2"/>
  <c r="C76" i="2"/>
  <c r="B76" i="2"/>
  <c r="A76" i="2"/>
  <c r="AE75" i="2"/>
  <c r="AD75" i="2"/>
  <c r="AC75" i="2"/>
  <c r="AB75" i="2"/>
  <c r="AA75" i="2"/>
  <c r="Z75" i="2"/>
  <c r="Y75" i="2"/>
  <c r="X75" i="2"/>
  <c r="W75" i="2"/>
  <c r="V75" i="2"/>
  <c r="U75" i="2"/>
  <c r="T75" i="2"/>
  <c r="S75" i="2"/>
  <c r="R75" i="2"/>
  <c r="Q75" i="2"/>
  <c r="P75" i="2"/>
  <c r="O75" i="2"/>
  <c r="N75" i="2"/>
  <c r="M75" i="2"/>
  <c r="L75" i="2"/>
  <c r="K75" i="2"/>
  <c r="J75" i="2"/>
  <c r="I75" i="2"/>
  <c r="H75" i="2"/>
  <c r="G75" i="2"/>
  <c r="F75" i="2"/>
  <c r="E75" i="2"/>
  <c r="D75" i="2"/>
  <c r="C75" i="2"/>
  <c r="B75" i="2"/>
  <c r="A75" i="2"/>
  <c r="AE74" i="2"/>
  <c r="AD74" i="2"/>
  <c r="AC74" i="2"/>
  <c r="AB74" i="2"/>
  <c r="AA74" i="2"/>
  <c r="Z74" i="2"/>
  <c r="Y74" i="2"/>
  <c r="X74" i="2"/>
  <c r="W74" i="2"/>
  <c r="V74" i="2"/>
  <c r="U74" i="2"/>
  <c r="T74" i="2"/>
  <c r="S74" i="2"/>
  <c r="R74" i="2"/>
  <c r="Q74" i="2"/>
  <c r="P74" i="2"/>
  <c r="O74" i="2"/>
  <c r="N74" i="2"/>
  <c r="M74" i="2"/>
  <c r="L74" i="2"/>
  <c r="K74" i="2"/>
  <c r="J74" i="2"/>
  <c r="I74" i="2"/>
  <c r="H74" i="2"/>
  <c r="G74" i="2"/>
  <c r="F74" i="2"/>
  <c r="E74" i="2"/>
  <c r="D74" i="2"/>
  <c r="C74" i="2"/>
  <c r="B74" i="2"/>
  <c r="A74" i="2"/>
  <c r="AE73" i="2"/>
  <c r="AD73" i="2"/>
  <c r="AC73" i="2"/>
  <c r="AB73" i="2"/>
  <c r="AA73" i="2"/>
  <c r="Z73" i="2"/>
  <c r="Y73" i="2"/>
  <c r="X73" i="2"/>
  <c r="W73" i="2"/>
  <c r="V73" i="2"/>
  <c r="U73" i="2"/>
  <c r="T73" i="2"/>
  <c r="S73" i="2"/>
  <c r="R73" i="2"/>
  <c r="Q73" i="2"/>
  <c r="P73" i="2"/>
  <c r="O73" i="2"/>
  <c r="N73" i="2"/>
  <c r="M73" i="2"/>
  <c r="L73" i="2"/>
  <c r="K73" i="2"/>
  <c r="J73" i="2"/>
  <c r="I73" i="2"/>
  <c r="H73" i="2"/>
  <c r="G73" i="2"/>
  <c r="F73" i="2"/>
  <c r="E73" i="2"/>
  <c r="D73" i="2"/>
  <c r="C73" i="2"/>
  <c r="B73" i="2"/>
  <c r="A73" i="2"/>
  <c r="AE72" i="2"/>
  <c r="AD72" i="2"/>
  <c r="AC72" i="2"/>
  <c r="AB72" i="2"/>
  <c r="AA72" i="2"/>
  <c r="Z72" i="2"/>
  <c r="Y72" i="2"/>
  <c r="X72" i="2"/>
  <c r="W72" i="2"/>
  <c r="V72" i="2"/>
  <c r="U72" i="2"/>
  <c r="T72" i="2"/>
  <c r="S72" i="2"/>
  <c r="R72" i="2"/>
  <c r="Q72" i="2"/>
  <c r="P72" i="2"/>
  <c r="O72" i="2"/>
  <c r="N72" i="2"/>
  <c r="M72" i="2"/>
  <c r="L72" i="2"/>
  <c r="K72" i="2"/>
  <c r="J72" i="2"/>
  <c r="I72" i="2"/>
  <c r="H72" i="2"/>
  <c r="G72" i="2"/>
  <c r="F72" i="2"/>
  <c r="E72" i="2"/>
  <c r="D72" i="2"/>
  <c r="C72" i="2"/>
  <c r="B72" i="2"/>
  <c r="A72" i="2"/>
  <c r="AE71" i="2"/>
  <c r="AD71" i="2"/>
  <c r="AC71" i="2"/>
  <c r="AB71" i="2"/>
  <c r="AA71" i="2"/>
  <c r="Z71" i="2"/>
  <c r="Y71" i="2"/>
  <c r="X71" i="2"/>
  <c r="W71" i="2"/>
  <c r="V71" i="2"/>
  <c r="U71" i="2"/>
  <c r="T71" i="2"/>
  <c r="S71" i="2"/>
  <c r="R71" i="2"/>
  <c r="Q71" i="2"/>
  <c r="P71" i="2"/>
  <c r="O71" i="2"/>
  <c r="N71" i="2"/>
  <c r="M71" i="2"/>
  <c r="L71" i="2"/>
  <c r="K71" i="2"/>
  <c r="J71" i="2"/>
  <c r="I71" i="2"/>
  <c r="H71" i="2"/>
  <c r="G71" i="2"/>
  <c r="F71" i="2"/>
  <c r="E71" i="2"/>
  <c r="D71" i="2"/>
  <c r="C71" i="2"/>
  <c r="B71" i="2"/>
  <c r="A71" i="2"/>
  <c r="AE70" i="2"/>
  <c r="AD70" i="2"/>
  <c r="AC70" i="2"/>
  <c r="AB70" i="2"/>
  <c r="AA70" i="2"/>
  <c r="Z70" i="2"/>
  <c r="Y70" i="2"/>
  <c r="X70" i="2"/>
  <c r="W70" i="2"/>
  <c r="V70" i="2"/>
  <c r="U70" i="2"/>
  <c r="T70" i="2"/>
  <c r="S70" i="2"/>
  <c r="R70" i="2"/>
  <c r="Q70" i="2"/>
  <c r="P70" i="2"/>
  <c r="O70" i="2"/>
  <c r="N70" i="2"/>
  <c r="M70" i="2"/>
  <c r="L70" i="2"/>
  <c r="K70" i="2"/>
  <c r="J70" i="2"/>
  <c r="I70" i="2"/>
  <c r="H70" i="2"/>
  <c r="G70" i="2"/>
  <c r="F70" i="2"/>
  <c r="E70" i="2"/>
  <c r="D70" i="2"/>
  <c r="C70" i="2"/>
  <c r="B70" i="2"/>
  <c r="A70" i="2"/>
  <c r="AE69" i="2"/>
  <c r="AD69" i="2"/>
  <c r="AC69" i="2"/>
  <c r="AB69" i="2"/>
  <c r="AA69" i="2"/>
  <c r="Z69" i="2"/>
  <c r="Y69" i="2"/>
  <c r="X69" i="2"/>
  <c r="W69" i="2"/>
  <c r="V69" i="2"/>
  <c r="U69" i="2"/>
  <c r="T69" i="2"/>
  <c r="S69" i="2"/>
  <c r="R69" i="2"/>
  <c r="Q69" i="2"/>
  <c r="P69" i="2"/>
  <c r="O69" i="2"/>
  <c r="N69" i="2"/>
  <c r="M69" i="2"/>
  <c r="L69" i="2"/>
  <c r="K69" i="2"/>
  <c r="J69" i="2"/>
  <c r="I69" i="2"/>
  <c r="H69" i="2"/>
  <c r="G69" i="2"/>
  <c r="F69" i="2"/>
  <c r="E69" i="2"/>
  <c r="D69" i="2"/>
  <c r="C69" i="2"/>
  <c r="B69" i="2"/>
  <c r="A69" i="2"/>
  <c r="AE68" i="2"/>
  <c r="AD68" i="2"/>
  <c r="AC68" i="2"/>
  <c r="AB68" i="2"/>
  <c r="AA68" i="2"/>
  <c r="Z68" i="2"/>
  <c r="Y68" i="2"/>
  <c r="X68" i="2"/>
  <c r="W68" i="2"/>
  <c r="V68" i="2"/>
  <c r="U68" i="2"/>
  <c r="T68" i="2"/>
  <c r="S68" i="2"/>
  <c r="R68" i="2"/>
  <c r="Q68" i="2"/>
  <c r="P68" i="2"/>
  <c r="O68" i="2"/>
  <c r="N68" i="2"/>
  <c r="M68" i="2"/>
  <c r="L68" i="2"/>
  <c r="K68" i="2"/>
  <c r="J68" i="2"/>
  <c r="I68" i="2"/>
  <c r="H68" i="2"/>
  <c r="G68" i="2"/>
  <c r="F68" i="2"/>
  <c r="E68" i="2"/>
  <c r="D68" i="2"/>
  <c r="C68" i="2"/>
  <c r="B68" i="2"/>
  <c r="A68" i="2"/>
  <c r="AE67" i="2"/>
  <c r="AD67" i="2"/>
  <c r="AC67" i="2"/>
  <c r="AB67" i="2"/>
  <c r="AA67" i="2"/>
  <c r="Z67" i="2"/>
  <c r="Y67" i="2"/>
  <c r="X67" i="2"/>
  <c r="W67" i="2"/>
  <c r="V67" i="2"/>
  <c r="U67" i="2"/>
  <c r="T67" i="2"/>
  <c r="S67" i="2"/>
  <c r="R67" i="2"/>
  <c r="Q67" i="2"/>
  <c r="P67" i="2"/>
  <c r="O67" i="2"/>
  <c r="N67" i="2"/>
  <c r="M67" i="2"/>
  <c r="L67" i="2"/>
  <c r="K67" i="2"/>
  <c r="J67" i="2"/>
  <c r="I67" i="2"/>
  <c r="H67" i="2"/>
  <c r="G67" i="2"/>
  <c r="F67" i="2"/>
  <c r="E67" i="2"/>
  <c r="D67" i="2"/>
  <c r="C67" i="2"/>
  <c r="B67" i="2"/>
  <c r="A67" i="2"/>
  <c r="AE66" i="2"/>
  <c r="AD66" i="2"/>
  <c r="AC66" i="2"/>
  <c r="AB66" i="2"/>
  <c r="AA66" i="2"/>
  <c r="Z66" i="2"/>
  <c r="Y66" i="2"/>
  <c r="X66" i="2"/>
  <c r="W66" i="2"/>
  <c r="V66" i="2"/>
  <c r="U66" i="2"/>
  <c r="T66" i="2"/>
  <c r="S66" i="2"/>
  <c r="R66" i="2"/>
  <c r="Q66" i="2"/>
  <c r="P66" i="2"/>
  <c r="O66" i="2"/>
  <c r="N66" i="2"/>
  <c r="M66" i="2"/>
  <c r="L66" i="2"/>
  <c r="K66" i="2"/>
  <c r="J66" i="2"/>
  <c r="I66" i="2"/>
  <c r="H66" i="2"/>
  <c r="G66" i="2"/>
  <c r="F66" i="2"/>
  <c r="E66" i="2"/>
  <c r="D66" i="2"/>
  <c r="C66" i="2"/>
  <c r="B66" i="2"/>
  <c r="A66" i="2"/>
  <c r="AE65" i="2"/>
  <c r="AD65" i="2"/>
  <c r="AC65" i="2"/>
  <c r="AB65" i="2"/>
  <c r="AA65" i="2"/>
  <c r="Z65" i="2"/>
  <c r="Y65" i="2"/>
  <c r="X65" i="2"/>
  <c r="W65" i="2"/>
  <c r="V65" i="2"/>
  <c r="U65" i="2"/>
  <c r="T65" i="2"/>
  <c r="S65" i="2"/>
  <c r="R65" i="2"/>
  <c r="Q65" i="2"/>
  <c r="P65" i="2"/>
  <c r="O65" i="2"/>
  <c r="N65" i="2"/>
  <c r="M65" i="2"/>
  <c r="L65" i="2"/>
  <c r="K65" i="2"/>
  <c r="J65" i="2"/>
  <c r="I65" i="2"/>
  <c r="H65" i="2"/>
  <c r="G65" i="2"/>
  <c r="F65" i="2"/>
  <c r="E65" i="2"/>
  <c r="D65" i="2"/>
  <c r="C65" i="2"/>
  <c r="B65" i="2"/>
  <c r="A65" i="2"/>
  <c r="AE64" i="2"/>
  <c r="AD64" i="2"/>
  <c r="AC64" i="2"/>
  <c r="AB64" i="2"/>
  <c r="AA64" i="2"/>
  <c r="Z64" i="2"/>
  <c r="Y64" i="2"/>
  <c r="X64" i="2"/>
  <c r="W64" i="2"/>
  <c r="V64" i="2"/>
  <c r="U64" i="2"/>
  <c r="T64" i="2"/>
  <c r="S64" i="2"/>
  <c r="R64" i="2"/>
  <c r="Q64" i="2"/>
  <c r="P64" i="2"/>
  <c r="O64" i="2"/>
  <c r="N64" i="2"/>
  <c r="M64" i="2"/>
  <c r="L64" i="2"/>
  <c r="K64" i="2"/>
  <c r="J64" i="2"/>
  <c r="I64" i="2"/>
  <c r="H64" i="2"/>
  <c r="G64" i="2"/>
  <c r="F64" i="2"/>
  <c r="E64" i="2"/>
  <c r="D64" i="2"/>
  <c r="C64" i="2"/>
  <c r="B64" i="2"/>
  <c r="A64" i="2"/>
  <c r="AE63" i="2"/>
  <c r="AD63" i="2"/>
  <c r="AC63" i="2"/>
  <c r="AB63" i="2"/>
  <c r="AA63" i="2"/>
  <c r="Z63" i="2"/>
  <c r="Y63" i="2"/>
  <c r="X63" i="2"/>
  <c r="W63" i="2"/>
  <c r="V63" i="2"/>
  <c r="U63" i="2"/>
  <c r="T63" i="2"/>
  <c r="S63" i="2"/>
  <c r="R63" i="2"/>
  <c r="Q63" i="2"/>
  <c r="P63" i="2"/>
  <c r="O63" i="2"/>
  <c r="N63" i="2"/>
  <c r="M63" i="2"/>
  <c r="L63" i="2"/>
  <c r="K63" i="2"/>
  <c r="J63" i="2"/>
  <c r="I63" i="2"/>
  <c r="H63" i="2"/>
  <c r="G63" i="2"/>
  <c r="F63" i="2"/>
  <c r="E63" i="2"/>
  <c r="D63" i="2"/>
  <c r="C63" i="2"/>
  <c r="B63" i="2"/>
  <c r="A63" i="2"/>
  <c r="AE62" i="2"/>
  <c r="AD62" i="2"/>
  <c r="AC62" i="2"/>
  <c r="AB62" i="2"/>
  <c r="AA62" i="2"/>
  <c r="Z62" i="2"/>
  <c r="Y62" i="2"/>
  <c r="X62" i="2"/>
  <c r="W62" i="2"/>
  <c r="V62" i="2"/>
  <c r="U62" i="2"/>
  <c r="T62" i="2"/>
  <c r="S62" i="2"/>
  <c r="R62" i="2"/>
  <c r="Q62" i="2"/>
  <c r="P62" i="2"/>
  <c r="O62" i="2"/>
  <c r="N62" i="2"/>
  <c r="M62" i="2"/>
  <c r="L62" i="2"/>
  <c r="K62" i="2"/>
  <c r="J62" i="2"/>
  <c r="I62" i="2"/>
  <c r="H62" i="2"/>
  <c r="G62" i="2"/>
  <c r="F62" i="2"/>
  <c r="E62" i="2"/>
  <c r="D62" i="2"/>
  <c r="C62" i="2"/>
  <c r="B62" i="2"/>
  <c r="A62" i="2"/>
  <c r="AE61" i="2"/>
  <c r="AD61" i="2"/>
  <c r="AC61" i="2"/>
  <c r="AB61" i="2"/>
  <c r="AA61" i="2"/>
  <c r="Z61" i="2"/>
  <c r="Y61" i="2"/>
  <c r="X61" i="2"/>
  <c r="W61" i="2"/>
  <c r="V61" i="2"/>
  <c r="U61" i="2"/>
  <c r="T61" i="2"/>
  <c r="S61" i="2"/>
  <c r="R61" i="2"/>
  <c r="Q61" i="2"/>
  <c r="P61" i="2"/>
  <c r="O61" i="2"/>
  <c r="N61" i="2"/>
  <c r="M61" i="2"/>
  <c r="L61" i="2"/>
  <c r="K61" i="2"/>
  <c r="J61" i="2"/>
  <c r="I61" i="2"/>
  <c r="H61" i="2"/>
  <c r="G61" i="2"/>
  <c r="F61" i="2"/>
  <c r="E61" i="2"/>
  <c r="D61" i="2"/>
  <c r="C61" i="2"/>
  <c r="B61" i="2"/>
  <c r="A61" i="2"/>
  <c r="AE60" i="2"/>
  <c r="AD60" i="2"/>
  <c r="AC60" i="2"/>
  <c r="AB60" i="2"/>
  <c r="AA60" i="2"/>
  <c r="Z60" i="2"/>
  <c r="Y60" i="2"/>
  <c r="X60" i="2"/>
  <c r="W60" i="2"/>
  <c r="V60" i="2"/>
  <c r="U60" i="2"/>
  <c r="T60" i="2"/>
  <c r="S60" i="2"/>
  <c r="R60" i="2"/>
  <c r="Q60" i="2"/>
  <c r="P60" i="2"/>
  <c r="O60" i="2"/>
  <c r="N60" i="2"/>
  <c r="M60" i="2"/>
  <c r="L60" i="2"/>
  <c r="K60" i="2"/>
  <c r="J60" i="2"/>
  <c r="I60" i="2"/>
  <c r="H60" i="2"/>
  <c r="G60" i="2"/>
  <c r="F60" i="2"/>
  <c r="E60" i="2"/>
  <c r="D60" i="2"/>
  <c r="C60" i="2"/>
  <c r="B60" i="2"/>
  <c r="A60" i="2"/>
  <c r="AE59" i="2"/>
  <c r="AD59" i="2"/>
  <c r="AC59" i="2"/>
  <c r="AB59" i="2"/>
  <c r="AA59" i="2"/>
  <c r="Z59" i="2"/>
  <c r="Y59" i="2"/>
  <c r="X59" i="2"/>
  <c r="W59" i="2"/>
  <c r="V59" i="2"/>
  <c r="U59" i="2"/>
  <c r="T59" i="2"/>
  <c r="S59" i="2"/>
  <c r="R59" i="2"/>
  <c r="Q59" i="2"/>
  <c r="P59" i="2"/>
  <c r="O59" i="2"/>
  <c r="N59" i="2"/>
  <c r="M59" i="2"/>
  <c r="L59" i="2"/>
  <c r="K59" i="2"/>
  <c r="J59" i="2"/>
  <c r="I59" i="2"/>
  <c r="H59" i="2"/>
  <c r="G59" i="2"/>
  <c r="F59" i="2"/>
  <c r="E59" i="2"/>
  <c r="D59" i="2"/>
  <c r="C59" i="2"/>
  <c r="B59" i="2"/>
  <c r="A59" i="2"/>
  <c r="AE58" i="2"/>
  <c r="AD58" i="2"/>
  <c r="AC58" i="2"/>
  <c r="AB58" i="2"/>
  <c r="AA58" i="2"/>
  <c r="Z58" i="2"/>
  <c r="Y58" i="2"/>
  <c r="X58" i="2"/>
  <c r="W58" i="2"/>
  <c r="V58" i="2"/>
  <c r="U58" i="2"/>
  <c r="T58" i="2"/>
  <c r="S58" i="2"/>
  <c r="R58" i="2"/>
  <c r="Q58" i="2"/>
  <c r="P58" i="2"/>
  <c r="O58" i="2"/>
  <c r="N58" i="2"/>
  <c r="M58" i="2"/>
  <c r="L58" i="2"/>
  <c r="K58" i="2"/>
  <c r="J58" i="2"/>
  <c r="I58" i="2"/>
  <c r="H58" i="2"/>
  <c r="G58" i="2"/>
  <c r="F58" i="2"/>
  <c r="E58" i="2"/>
  <c r="D58" i="2"/>
  <c r="C58" i="2"/>
  <c r="B58" i="2"/>
  <c r="A58" i="2"/>
  <c r="AE57" i="2"/>
  <c r="AD57" i="2"/>
  <c r="AC57" i="2"/>
  <c r="AB57" i="2"/>
  <c r="AA57" i="2"/>
  <c r="Z57" i="2"/>
  <c r="Y57" i="2"/>
  <c r="X57" i="2"/>
  <c r="W57" i="2"/>
  <c r="V57" i="2"/>
  <c r="U57" i="2"/>
  <c r="T57" i="2"/>
  <c r="S57" i="2"/>
  <c r="R57" i="2"/>
  <c r="Q57" i="2"/>
  <c r="P57" i="2"/>
  <c r="O57" i="2"/>
  <c r="N57" i="2"/>
  <c r="M57" i="2"/>
  <c r="L57" i="2"/>
  <c r="K57" i="2"/>
  <c r="J57" i="2"/>
  <c r="I57" i="2"/>
  <c r="H57" i="2"/>
  <c r="G57" i="2"/>
  <c r="F57" i="2"/>
  <c r="E57" i="2"/>
  <c r="D57" i="2"/>
  <c r="C57" i="2"/>
  <c r="B57" i="2"/>
  <c r="A57" i="2"/>
  <c r="AE56" i="2"/>
  <c r="AD56" i="2"/>
  <c r="AC56" i="2"/>
  <c r="AB56" i="2"/>
  <c r="AA56" i="2"/>
  <c r="Z56" i="2"/>
  <c r="Y56" i="2"/>
  <c r="X56" i="2"/>
  <c r="W56" i="2"/>
  <c r="V56" i="2"/>
  <c r="U56" i="2"/>
  <c r="T56" i="2"/>
  <c r="S56" i="2"/>
  <c r="R56" i="2"/>
  <c r="Q56" i="2"/>
  <c r="P56" i="2"/>
  <c r="O56" i="2"/>
  <c r="N56" i="2"/>
  <c r="M56" i="2"/>
  <c r="L56" i="2"/>
  <c r="K56" i="2"/>
  <c r="J56" i="2"/>
  <c r="I56" i="2"/>
  <c r="H56" i="2"/>
  <c r="G56" i="2"/>
  <c r="F56" i="2"/>
  <c r="E56" i="2"/>
  <c r="D56" i="2"/>
  <c r="C56" i="2"/>
  <c r="B56" i="2"/>
  <c r="A56" i="2"/>
  <c r="AE55" i="2"/>
  <c r="AD55" i="2"/>
  <c r="AC55" i="2"/>
  <c r="AB55" i="2"/>
  <c r="AA55" i="2"/>
  <c r="Z55" i="2"/>
  <c r="Y55" i="2"/>
  <c r="X55" i="2"/>
  <c r="W55" i="2"/>
  <c r="V55" i="2"/>
  <c r="U55" i="2"/>
  <c r="T55" i="2"/>
  <c r="S55" i="2"/>
  <c r="R55" i="2"/>
  <c r="Q55" i="2"/>
  <c r="P55" i="2"/>
  <c r="O55" i="2"/>
  <c r="N55" i="2"/>
  <c r="M55" i="2"/>
  <c r="L55" i="2"/>
  <c r="K55" i="2"/>
  <c r="J55" i="2"/>
  <c r="I55" i="2"/>
  <c r="H55" i="2"/>
  <c r="G55" i="2"/>
  <c r="F55" i="2"/>
  <c r="E55" i="2"/>
  <c r="D55" i="2"/>
  <c r="C55" i="2"/>
  <c r="B55" i="2"/>
  <c r="A55" i="2"/>
  <c r="AE54" i="2"/>
  <c r="AD54" i="2"/>
  <c r="AC54" i="2"/>
  <c r="AB54" i="2"/>
  <c r="AA54" i="2"/>
  <c r="Z54" i="2"/>
  <c r="Y54" i="2"/>
  <c r="X54" i="2"/>
  <c r="W54" i="2"/>
  <c r="V54" i="2"/>
  <c r="U54" i="2"/>
  <c r="T54" i="2"/>
  <c r="S54" i="2"/>
  <c r="R54" i="2"/>
  <c r="Q54" i="2"/>
  <c r="P54" i="2"/>
  <c r="O54" i="2"/>
  <c r="N54" i="2"/>
  <c r="M54" i="2"/>
  <c r="L54" i="2"/>
  <c r="K54" i="2"/>
  <c r="J54" i="2"/>
  <c r="I54" i="2"/>
  <c r="H54" i="2"/>
  <c r="G54" i="2"/>
  <c r="F54" i="2"/>
  <c r="E54" i="2"/>
  <c r="D54" i="2"/>
  <c r="C54" i="2"/>
  <c r="B54" i="2"/>
  <c r="A54" i="2"/>
  <c r="AE53" i="2"/>
  <c r="AD53" i="2"/>
  <c r="AC53" i="2"/>
  <c r="AB53" i="2"/>
  <c r="AA53" i="2"/>
  <c r="Z53" i="2"/>
  <c r="Y53" i="2"/>
  <c r="X53" i="2"/>
  <c r="W53" i="2"/>
  <c r="V53" i="2"/>
  <c r="U53" i="2"/>
  <c r="T53" i="2"/>
  <c r="S53" i="2"/>
  <c r="R53" i="2"/>
  <c r="Q53" i="2"/>
  <c r="P53" i="2"/>
  <c r="O53" i="2"/>
  <c r="N53" i="2"/>
  <c r="M53" i="2"/>
  <c r="L53" i="2"/>
  <c r="K53" i="2"/>
  <c r="J53" i="2"/>
  <c r="I53" i="2"/>
  <c r="H53" i="2"/>
  <c r="G53" i="2"/>
  <c r="F53" i="2"/>
  <c r="E53" i="2"/>
  <c r="D53" i="2"/>
  <c r="C53" i="2"/>
  <c r="B53" i="2"/>
  <c r="A53" i="2"/>
  <c r="AE52" i="2"/>
  <c r="AD52" i="2"/>
  <c r="AC52" i="2"/>
  <c r="AB52" i="2"/>
  <c r="AA52" i="2"/>
  <c r="Z52" i="2"/>
  <c r="Y52" i="2"/>
  <c r="X52" i="2"/>
  <c r="W52" i="2"/>
  <c r="V52" i="2"/>
  <c r="U52" i="2"/>
  <c r="T52" i="2"/>
  <c r="S52" i="2"/>
  <c r="R52" i="2"/>
  <c r="Q52" i="2"/>
  <c r="P52" i="2"/>
  <c r="O52" i="2"/>
  <c r="N52" i="2"/>
  <c r="M52" i="2"/>
  <c r="L52" i="2"/>
  <c r="K52" i="2"/>
  <c r="J52" i="2"/>
  <c r="I52" i="2"/>
  <c r="H52" i="2"/>
  <c r="G52" i="2"/>
  <c r="F52" i="2"/>
  <c r="E52" i="2"/>
  <c r="D52" i="2"/>
  <c r="C52" i="2"/>
  <c r="B52" i="2"/>
  <c r="A52" i="2"/>
  <c r="AE51" i="2"/>
  <c r="AD51" i="2"/>
  <c r="AC51" i="2"/>
  <c r="AB51" i="2"/>
  <c r="AA51" i="2"/>
  <c r="Z51" i="2"/>
  <c r="Y51" i="2"/>
  <c r="X51" i="2"/>
  <c r="W51" i="2"/>
  <c r="V51" i="2"/>
  <c r="U51" i="2"/>
  <c r="T51" i="2"/>
  <c r="S51" i="2"/>
  <c r="R51" i="2"/>
  <c r="Q51" i="2"/>
  <c r="P51" i="2"/>
  <c r="O51" i="2"/>
  <c r="N51" i="2"/>
  <c r="M51" i="2"/>
  <c r="L51" i="2"/>
  <c r="K51" i="2"/>
  <c r="J51" i="2"/>
  <c r="I51" i="2"/>
  <c r="H51" i="2"/>
  <c r="G51" i="2"/>
  <c r="F51" i="2"/>
  <c r="E51" i="2"/>
  <c r="D51" i="2"/>
  <c r="C51" i="2"/>
  <c r="B51" i="2"/>
  <c r="A51" i="2"/>
  <c r="AE50" i="2"/>
  <c r="AD50" i="2"/>
  <c r="AC50" i="2"/>
  <c r="AB50" i="2"/>
  <c r="AA50" i="2"/>
  <c r="Z50" i="2"/>
  <c r="Y50" i="2"/>
  <c r="X50" i="2"/>
  <c r="W50" i="2"/>
  <c r="V50" i="2"/>
  <c r="U50" i="2"/>
  <c r="T50" i="2"/>
  <c r="S50" i="2"/>
  <c r="R50" i="2"/>
  <c r="Q50" i="2"/>
  <c r="P50" i="2"/>
  <c r="O50" i="2"/>
  <c r="N50" i="2"/>
  <c r="M50" i="2"/>
  <c r="L50" i="2"/>
  <c r="K50" i="2"/>
  <c r="J50" i="2"/>
  <c r="I50" i="2"/>
  <c r="H50" i="2"/>
  <c r="G50" i="2"/>
  <c r="F50" i="2"/>
  <c r="E50" i="2"/>
  <c r="D50" i="2"/>
  <c r="C50" i="2"/>
  <c r="B50" i="2"/>
  <c r="A50" i="2"/>
  <c r="AE49" i="2"/>
  <c r="AD49" i="2"/>
  <c r="AC49" i="2"/>
  <c r="AB49" i="2"/>
  <c r="AA49" i="2"/>
  <c r="Z49" i="2"/>
  <c r="Y49" i="2"/>
  <c r="X49" i="2"/>
  <c r="W49" i="2"/>
  <c r="V49" i="2"/>
  <c r="U49" i="2"/>
  <c r="T49" i="2"/>
  <c r="S49" i="2"/>
  <c r="R49" i="2"/>
  <c r="Q49" i="2"/>
  <c r="P49" i="2"/>
  <c r="O49" i="2"/>
  <c r="N49" i="2"/>
  <c r="M49" i="2"/>
  <c r="L49" i="2"/>
  <c r="K49" i="2"/>
  <c r="J49" i="2"/>
  <c r="I49" i="2"/>
  <c r="H49" i="2"/>
  <c r="G49" i="2"/>
  <c r="F49" i="2"/>
  <c r="E49" i="2"/>
  <c r="D49" i="2"/>
  <c r="C49" i="2"/>
  <c r="B49" i="2"/>
  <c r="A49" i="2"/>
  <c r="AE48" i="2"/>
  <c r="AD48" i="2"/>
  <c r="AC48" i="2"/>
  <c r="AB48" i="2"/>
  <c r="AA48" i="2"/>
  <c r="Z48" i="2"/>
  <c r="Y48" i="2"/>
  <c r="X48" i="2"/>
  <c r="W48" i="2"/>
  <c r="V48" i="2"/>
  <c r="U48" i="2"/>
  <c r="T48" i="2"/>
  <c r="S48" i="2"/>
  <c r="R48" i="2"/>
  <c r="Q48" i="2"/>
  <c r="P48" i="2"/>
  <c r="O48" i="2"/>
  <c r="N48" i="2"/>
  <c r="M48" i="2"/>
  <c r="L48" i="2"/>
  <c r="K48" i="2"/>
  <c r="J48" i="2"/>
  <c r="I48" i="2"/>
  <c r="H48" i="2"/>
  <c r="G48" i="2"/>
  <c r="F48" i="2"/>
  <c r="E48" i="2"/>
  <c r="D48" i="2"/>
  <c r="C48" i="2"/>
  <c r="B48" i="2"/>
  <c r="A48" i="2"/>
  <c r="AE47" i="2"/>
  <c r="AD47" i="2"/>
  <c r="AC47" i="2"/>
  <c r="AB47" i="2"/>
  <c r="AA47" i="2"/>
  <c r="Z47" i="2"/>
  <c r="Y47" i="2"/>
  <c r="X47" i="2"/>
  <c r="W47" i="2"/>
  <c r="V47" i="2"/>
  <c r="U47" i="2"/>
  <c r="T47" i="2"/>
  <c r="S47" i="2"/>
  <c r="R47" i="2"/>
  <c r="Q47" i="2"/>
  <c r="P47" i="2"/>
  <c r="O47" i="2"/>
  <c r="N47" i="2"/>
  <c r="M47" i="2"/>
  <c r="L47" i="2"/>
  <c r="K47" i="2"/>
  <c r="J47" i="2"/>
  <c r="I47" i="2"/>
  <c r="H47" i="2"/>
  <c r="G47" i="2"/>
  <c r="F47" i="2"/>
  <c r="E47" i="2"/>
  <c r="D47" i="2"/>
  <c r="C47" i="2"/>
  <c r="B47" i="2"/>
  <c r="A47" i="2"/>
  <c r="AE46" i="2"/>
  <c r="AD46" i="2"/>
  <c r="AC46" i="2"/>
  <c r="AB46" i="2"/>
  <c r="AA46" i="2"/>
  <c r="Z46" i="2"/>
  <c r="Y46" i="2"/>
  <c r="X46" i="2"/>
  <c r="W46" i="2"/>
  <c r="V46" i="2"/>
  <c r="U46" i="2"/>
  <c r="T46" i="2"/>
  <c r="S46" i="2"/>
  <c r="R46" i="2"/>
  <c r="Q46" i="2"/>
  <c r="P46" i="2"/>
  <c r="O46" i="2"/>
  <c r="N46" i="2"/>
  <c r="M46" i="2"/>
  <c r="L46" i="2"/>
  <c r="K46" i="2"/>
  <c r="J46" i="2"/>
  <c r="I46" i="2"/>
  <c r="H46" i="2"/>
  <c r="G46" i="2"/>
  <c r="F46" i="2"/>
  <c r="E46" i="2"/>
  <c r="D46" i="2"/>
  <c r="C46" i="2"/>
  <c r="B46" i="2"/>
  <c r="A46" i="2"/>
  <c r="AE45" i="2"/>
  <c r="AD45" i="2"/>
  <c r="AC45" i="2"/>
  <c r="AB45" i="2"/>
  <c r="AA45" i="2"/>
  <c r="Z45" i="2"/>
  <c r="Y45" i="2"/>
  <c r="X45" i="2"/>
  <c r="W45" i="2"/>
  <c r="V45" i="2"/>
  <c r="U45" i="2"/>
  <c r="T45" i="2"/>
  <c r="S45" i="2"/>
  <c r="R45" i="2"/>
  <c r="Q45" i="2"/>
  <c r="P45" i="2"/>
  <c r="O45" i="2"/>
  <c r="N45" i="2"/>
  <c r="M45" i="2"/>
  <c r="L45" i="2"/>
  <c r="K45" i="2"/>
  <c r="J45" i="2"/>
  <c r="I45" i="2"/>
  <c r="H45" i="2"/>
  <c r="G45" i="2"/>
  <c r="F45" i="2"/>
  <c r="E45" i="2"/>
  <c r="D45" i="2"/>
  <c r="C45" i="2"/>
  <c r="B45" i="2"/>
  <c r="A45" i="2"/>
  <c r="AE44" i="2"/>
  <c r="AD44" i="2"/>
  <c r="AC44" i="2"/>
  <c r="AB44" i="2"/>
  <c r="AA44" i="2"/>
  <c r="Z44" i="2"/>
  <c r="Y44" i="2"/>
  <c r="X44" i="2"/>
  <c r="W44" i="2"/>
  <c r="V44" i="2"/>
  <c r="U44" i="2"/>
  <c r="T44" i="2"/>
  <c r="S44" i="2"/>
  <c r="R44" i="2"/>
  <c r="Q44" i="2"/>
  <c r="P44" i="2"/>
  <c r="O44" i="2"/>
  <c r="N44" i="2"/>
  <c r="M44" i="2"/>
  <c r="L44" i="2"/>
  <c r="K44" i="2"/>
  <c r="J44" i="2"/>
  <c r="I44" i="2"/>
  <c r="H44" i="2"/>
  <c r="G44" i="2"/>
  <c r="F44" i="2"/>
  <c r="E44" i="2"/>
  <c r="D44" i="2"/>
  <c r="C44" i="2"/>
  <c r="B44" i="2"/>
  <c r="A44" i="2"/>
  <c r="AE43" i="2"/>
  <c r="AD43" i="2"/>
  <c r="AC43" i="2"/>
  <c r="AB43" i="2"/>
  <c r="AA43" i="2"/>
  <c r="Z43" i="2"/>
  <c r="Y43" i="2"/>
  <c r="X43" i="2"/>
  <c r="W43" i="2"/>
  <c r="V43" i="2"/>
  <c r="U43" i="2"/>
  <c r="T43" i="2"/>
  <c r="S43" i="2"/>
  <c r="R43" i="2"/>
  <c r="Q43" i="2"/>
  <c r="P43" i="2"/>
  <c r="O43" i="2"/>
  <c r="N43" i="2"/>
  <c r="M43" i="2"/>
  <c r="L43" i="2"/>
  <c r="K43" i="2"/>
  <c r="J43" i="2"/>
  <c r="I43" i="2"/>
  <c r="H43" i="2"/>
  <c r="G43" i="2"/>
  <c r="F43" i="2"/>
  <c r="E43" i="2"/>
  <c r="D43" i="2"/>
  <c r="C43" i="2"/>
  <c r="B43" i="2"/>
  <c r="A43" i="2"/>
  <c r="AE42" i="2"/>
  <c r="AD42" i="2"/>
  <c r="AC42" i="2"/>
  <c r="AB42" i="2"/>
  <c r="AA42" i="2"/>
  <c r="Z42" i="2"/>
  <c r="Y42" i="2"/>
  <c r="X42" i="2"/>
  <c r="W42" i="2"/>
  <c r="V42" i="2"/>
  <c r="U42" i="2"/>
  <c r="T42" i="2"/>
  <c r="S42" i="2"/>
  <c r="R42" i="2"/>
  <c r="Q42" i="2"/>
  <c r="P42" i="2"/>
  <c r="O42" i="2"/>
  <c r="N42" i="2"/>
  <c r="M42" i="2"/>
  <c r="L42" i="2"/>
  <c r="K42" i="2"/>
  <c r="J42" i="2"/>
  <c r="I42" i="2"/>
  <c r="H42" i="2"/>
  <c r="G42" i="2"/>
  <c r="F42" i="2"/>
  <c r="E42" i="2"/>
  <c r="D42" i="2"/>
  <c r="C42" i="2"/>
  <c r="B42" i="2"/>
  <c r="A42" i="2"/>
  <c r="AE41" i="2"/>
  <c r="AD41" i="2"/>
  <c r="AC41" i="2"/>
  <c r="AB41" i="2"/>
  <c r="AA41" i="2"/>
  <c r="Z41" i="2"/>
  <c r="Y41" i="2"/>
  <c r="X41" i="2"/>
  <c r="W41" i="2"/>
  <c r="V41" i="2"/>
  <c r="U41" i="2"/>
  <c r="T41" i="2"/>
  <c r="S41" i="2"/>
  <c r="R41" i="2"/>
  <c r="Q41" i="2"/>
  <c r="P41" i="2"/>
  <c r="O41" i="2"/>
  <c r="N41" i="2"/>
  <c r="M41" i="2"/>
  <c r="L41" i="2"/>
  <c r="K41" i="2"/>
  <c r="J41" i="2"/>
  <c r="I41" i="2"/>
  <c r="H41" i="2"/>
  <c r="G41" i="2"/>
  <c r="F41" i="2"/>
  <c r="E41" i="2"/>
  <c r="D41" i="2"/>
  <c r="C41" i="2"/>
  <c r="B41" i="2"/>
  <c r="A41" i="2"/>
  <c r="AE40" i="2"/>
  <c r="AD40" i="2"/>
  <c r="AC40" i="2"/>
  <c r="AB40" i="2"/>
  <c r="AA40" i="2"/>
  <c r="Z40" i="2"/>
  <c r="Y40" i="2"/>
  <c r="X40" i="2"/>
  <c r="W40" i="2"/>
  <c r="V40" i="2"/>
  <c r="U40" i="2"/>
  <c r="T40" i="2"/>
  <c r="S40" i="2"/>
  <c r="R40" i="2"/>
  <c r="Q40" i="2"/>
  <c r="P40" i="2"/>
  <c r="O40" i="2"/>
  <c r="N40" i="2"/>
  <c r="M40" i="2"/>
  <c r="L40" i="2"/>
  <c r="K40" i="2"/>
  <c r="J40" i="2"/>
  <c r="I40" i="2"/>
  <c r="H40" i="2"/>
  <c r="G40" i="2"/>
  <c r="F40" i="2"/>
  <c r="E40" i="2"/>
  <c r="D40" i="2"/>
  <c r="C40" i="2"/>
  <c r="B40" i="2"/>
  <c r="A40" i="2"/>
  <c r="AE39" i="2"/>
  <c r="AD39" i="2"/>
  <c r="AC39" i="2"/>
  <c r="AB39" i="2"/>
  <c r="AA39" i="2"/>
  <c r="Z39" i="2"/>
  <c r="Y39" i="2"/>
  <c r="X39" i="2"/>
  <c r="W39" i="2"/>
  <c r="V39" i="2"/>
  <c r="U39" i="2"/>
  <c r="T39" i="2"/>
  <c r="S39" i="2"/>
  <c r="R39" i="2"/>
  <c r="Q39" i="2"/>
  <c r="P39" i="2"/>
  <c r="O39" i="2"/>
  <c r="N39" i="2"/>
  <c r="M39" i="2"/>
  <c r="L39" i="2"/>
  <c r="K39" i="2"/>
  <c r="J39" i="2"/>
  <c r="I39" i="2"/>
  <c r="H39" i="2"/>
  <c r="G39" i="2"/>
  <c r="F39" i="2"/>
  <c r="E39" i="2"/>
  <c r="D39" i="2"/>
  <c r="C39" i="2"/>
  <c r="B39" i="2"/>
  <c r="A39" i="2"/>
  <c r="AE38" i="2"/>
  <c r="AD38" i="2"/>
  <c r="AC38" i="2"/>
  <c r="AB38" i="2"/>
  <c r="AA38" i="2"/>
  <c r="Z38" i="2"/>
  <c r="Y38" i="2"/>
  <c r="X38" i="2"/>
  <c r="W38" i="2"/>
  <c r="V38" i="2"/>
  <c r="U38" i="2"/>
  <c r="T38" i="2"/>
  <c r="S38" i="2"/>
  <c r="R38" i="2"/>
  <c r="Q38" i="2"/>
  <c r="P38" i="2"/>
  <c r="O38" i="2"/>
  <c r="N38" i="2"/>
  <c r="M38" i="2"/>
  <c r="L38" i="2"/>
  <c r="K38" i="2"/>
  <c r="J38" i="2"/>
  <c r="I38" i="2"/>
  <c r="H38" i="2"/>
  <c r="G38" i="2"/>
  <c r="F38" i="2"/>
  <c r="E38" i="2"/>
  <c r="D38" i="2"/>
  <c r="C38" i="2"/>
  <c r="B38" i="2"/>
  <c r="A38" i="2"/>
  <c r="AE37" i="2"/>
  <c r="AD37" i="2"/>
  <c r="AC37" i="2"/>
  <c r="AB37" i="2"/>
  <c r="AA37" i="2"/>
  <c r="Z37" i="2"/>
  <c r="Y37" i="2"/>
  <c r="X37" i="2"/>
  <c r="W37" i="2"/>
  <c r="V37" i="2"/>
  <c r="U37" i="2"/>
  <c r="T37" i="2"/>
  <c r="S37" i="2"/>
  <c r="R37" i="2"/>
  <c r="Q37" i="2"/>
  <c r="P37" i="2"/>
  <c r="O37" i="2"/>
  <c r="N37" i="2"/>
  <c r="M37" i="2"/>
  <c r="L37" i="2"/>
  <c r="K37" i="2"/>
  <c r="J37" i="2"/>
  <c r="I37" i="2"/>
  <c r="H37" i="2"/>
  <c r="G37" i="2"/>
  <c r="F37" i="2"/>
  <c r="E37" i="2"/>
  <c r="D37" i="2"/>
  <c r="C37" i="2"/>
  <c r="B37" i="2"/>
  <c r="A37" i="2"/>
  <c r="AE36" i="2"/>
  <c r="AD36" i="2"/>
  <c r="AC36" i="2"/>
  <c r="AB36" i="2"/>
  <c r="AA36" i="2"/>
  <c r="Z36" i="2"/>
  <c r="Y36" i="2"/>
  <c r="X36" i="2"/>
  <c r="W36" i="2"/>
  <c r="V36" i="2"/>
  <c r="U36" i="2"/>
  <c r="T36" i="2"/>
  <c r="S36" i="2"/>
  <c r="R36" i="2"/>
  <c r="Q36" i="2"/>
  <c r="P36" i="2"/>
  <c r="O36" i="2"/>
  <c r="N36" i="2"/>
  <c r="M36" i="2"/>
  <c r="L36" i="2"/>
  <c r="K36" i="2"/>
  <c r="J36" i="2"/>
  <c r="I36" i="2"/>
  <c r="H36" i="2"/>
  <c r="G36" i="2"/>
  <c r="F36" i="2"/>
  <c r="E36" i="2"/>
  <c r="D36" i="2"/>
  <c r="C36" i="2"/>
  <c r="B36" i="2"/>
  <c r="A36" i="2"/>
  <c r="AE35" i="2"/>
  <c r="AD35" i="2"/>
  <c r="AC35" i="2"/>
  <c r="AB35" i="2"/>
  <c r="AA35" i="2"/>
  <c r="Z35" i="2"/>
  <c r="Y35" i="2"/>
  <c r="X35" i="2"/>
  <c r="W35" i="2"/>
  <c r="V35" i="2"/>
  <c r="U35" i="2"/>
  <c r="T35" i="2"/>
  <c r="S35" i="2"/>
  <c r="R35" i="2"/>
  <c r="Q35" i="2"/>
  <c r="P35" i="2"/>
  <c r="O35" i="2"/>
  <c r="N35" i="2"/>
  <c r="M35" i="2"/>
  <c r="L35" i="2"/>
  <c r="K35" i="2"/>
  <c r="J35" i="2"/>
  <c r="I35" i="2"/>
  <c r="H35" i="2"/>
  <c r="G35" i="2"/>
  <c r="F35" i="2"/>
  <c r="E35" i="2"/>
  <c r="D35" i="2"/>
  <c r="C35" i="2"/>
  <c r="B35" i="2"/>
  <c r="A35" i="2"/>
  <c r="AE34" i="2"/>
  <c r="AD34" i="2"/>
  <c r="AC34" i="2"/>
  <c r="AB34" i="2"/>
  <c r="AA34" i="2"/>
  <c r="Z34" i="2"/>
  <c r="Y34" i="2"/>
  <c r="X34" i="2"/>
  <c r="W34" i="2"/>
  <c r="V34" i="2"/>
  <c r="U34" i="2"/>
  <c r="T34" i="2"/>
  <c r="S34" i="2"/>
  <c r="R34" i="2"/>
  <c r="Q34" i="2"/>
  <c r="P34" i="2"/>
  <c r="O34" i="2"/>
  <c r="N34" i="2"/>
  <c r="M34" i="2"/>
  <c r="L34" i="2"/>
  <c r="K34" i="2"/>
  <c r="J34" i="2"/>
  <c r="I34" i="2"/>
  <c r="H34" i="2"/>
  <c r="G34" i="2"/>
  <c r="F34" i="2"/>
  <c r="E34" i="2"/>
  <c r="D34" i="2"/>
  <c r="C34" i="2"/>
  <c r="B34" i="2"/>
  <c r="A34" i="2"/>
  <c r="AE33" i="2"/>
  <c r="AD33" i="2"/>
  <c r="AC33" i="2"/>
  <c r="AB33" i="2"/>
  <c r="AA33" i="2"/>
  <c r="Z33" i="2"/>
  <c r="Y33" i="2"/>
  <c r="X33" i="2"/>
  <c r="W33" i="2"/>
  <c r="V33" i="2"/>
  <c r="U33" i="2"/>
  <c r="T33" i="2"/>
  <c r="S33" i="2"/>
  <c r="R33" i="2"/>
  <c r="Q33" i="2"/>
  <c r="P33" i="2"/>
  <c r="O33" i="2"/>
  <c r="N33" i="2"/>
  <c r="M33" i="2"/>
  <c r="L33" i="2"/>
  <c r="K33" i="2"/>
  <c r="J33" i="2"/>
  <c r="I33" i="2"/>
  <c r="H33" i="2"/>
  <c r="G33" i="2"/>
  <c r="F33" i="2"/>
  <c r="E33" i="2"/>
  <c r="D33" i="2"/>
  <c r="C33" i="2"/>
  <c r="B33" i="2"/>
  <c r="A33" i="2"/>
  <c r="AE32" i="2"/>
  <c r="AD32" i="2"/>
  <c r="AC32" i="2"/>
  <c r="AB32" i="2"/>
  <c r="AA32" i="2"/>
  <c r="Z32" i="2"/>
  <c r="Y32" i="2"/>
  <c r="X32" i="2"/>
  <c r="W32" i="2"/>
  <c r="V32" i="2"/>
  <c r="U32" i="2"/>
  <c r="T32" i="2"/>
  <c r="S32" i="2"/>
  <c r="R32" i="2"/>
  <c r="Q32" i="2"/>
  <c r="P32" i="2"/>
  <c r="O32" i="2"/>
  <c r="N32" i="2"/>
  <c r="M32" i="2"/>
  <c r="L32" i="2"/>
  <c r="K32" i="2"/>
  <c r="J32" i="2"/>
  <c r="I32" i="2"/>
  <c r="H32" i="2"/>
  <c r="G32" i="2"/>
  <c r="F32" i="2"/>
  <c r="E32" i="2"/>
  <c r="D32" i="2"/>
  <c r="C32" i="2"/>
  <c r="B32" i="2"/>
  <c r="A32" i="2"/>
  <c r="AE31" i="2"/>
  <c r="AD31" i="2"/>
  <c r="AC31" i="2"/>
  <c r="AB31" i="2"/>
  <c r="AA31" i="2"/>
  <c r="Z31" i="2"/>
  <c r="Y31" i="2"/>
  <c r="X31" i="2"/>
  <c r="W31" i="2"/>
  <c r="V31" i="2"/>
  <c r="U31" i="2"/>
  <c r="T31" i="2"/>
  <c r="S31" i="2"/>
  <c r="R31" i="2"/>
  <c r="Q31" i="2"/>
  <c r="P31" i="2"/>
  <c r="O31" i="2"/>
  <c r="N31" i="2"/>
  <c r="M31" i="2"/>
  <c r="L31" i="2"/>
  <c r="K31" i="2"/>
  <c r="J31" i="2"/>
  <c r="I31" i="2"/>
  <c r="H31" i="2"/>
  <c r="G31" i="2"/>
  <c r="F31" i="2"/>
  <c r="E31" i="2"/>
  <c r="D31" i="2"/>
  <c r="C31" i="2"/>
  <c r="B31" i="2"/>
  <c r="A31" i="2"/>
  <c r="AE30" i="2"/>
  <c r="AD30" i="2"/>
  <c r="AC30" i="2"/>
  <c r="AB30" i="2"/>
  <c r="AA30" i="2"/>
  <c r="Z30" i="2"/>
  <c r="Y30" i="2"/>
  <c r="X30" i="2"/>
  <c r="W30" i="2"/>
  <c r="V30" i="2"/>
  <c r="U30" i="2"/>
  <c r="T30" i="2"/>
  <c r="S30" i="2"/>
  <c r="R30" i="2"/>
  <c r="Q30" i="2"/>
  <c r="P30" i="2"/>
  <c r="O30" i="2"/>
  <c r="N30" i="2"/>
  <c r="M30" i="2"/>
  <c r="L30" i="2"/>
  <c r="K30" i="2"/>
  <c r="J30" i="2"/>
  <c r="I30" i="2"/>
  <c r="H30" i="2"/>
  <c r="G30" i="2"/>
  <c r="F30" i="2"/>
  <c r="E30" i="2"/>
  <c r="D30" i="2"/>
  <c r="C30" i="2"/>
  <c r="B30" i="2"/>
  <c r="A30" i="2"/>
  <c r="AE29" i="2"/>
  <c r="AD29" i="2"/>
  <c r="AC29" i="2"/>
  <c r="AB29" i="2"/>
  <c r="AA29" i="2"/>
  <c r="Z29" i="2"/>
  <c r="Y29" i="2"/>
  <c r="X29" i="2"/>
  <c r="W29" i="2"/>
  <c r="V29" i="2"/>
  <c r="U29" i="2"/>
  <c r="T29" i="2"/>
  <c r="S29" i="2"/>
  <c r="R29" i="2"/>
  <c r="Q29" i="2"/>
  <c r="P29" i="2"/>
  <c r="O29" i="2"/>
  <c r="N29" i="2"/>
  <c r="M29" i="2"/>
  <c r="L29" i="2"/>
  <c r="K29" i="2"/>
  <c r="J29" i="2"/>
  <c r="I29" i="2"/>
  <c r="H29" i="2"/>
  <c r="G29" i="2"/>
  <c r="F29" i="2"/>
  <c r="E29" i="2"/>
  <c r="D29" i="2"/>
  <c r="C29" i="2"/>
  <c r="B29" i="2"/>
  <c r="A29" i="2"/>
  <c r="AE28" i="2"/>
  <c r="AD28" i="2"/>
  <c r="AC28" i="2"/>
  <c r="AB28" i="2"/>
  <c r="AA28" i="2"/>
  <c r="Z28" i="2"/>
  <c r="Y28" i="2"/>
  <c r="X28" i="2"/>
  <c r="W28" i="2"/>
  <c r="V28" i="2"/>
  <c r="U28" i="2"/>
  <c r="T28" i="2"/>
  <c r="S28" i="2"/>
  <c r="R28" i="2"/>
  <c r="Q28" i="2"/>
  <c r="P28" i="2"/>
  <c r="O28" i="2"/>
  <c r="N28" i="2"/>
  <c r="M28" i="2"/>
  <c r="L28" i="2"/>
  <c r="K28" i="2"/>
  <c r="J28" i="2"/>
  <c r="I28" i="2"/>
  <c r="H28" i="2"/>
  <c r="G28" i="2"/>
  <c r="F28" i="2"/>
  <c r="E28" i="2"/>
  <c r="D28" i="2"/>
  <c r="C28" i="2"/>
  <c r="B28" i="2"/>
  <c r="A28" i="2"/>
  <c r="AE27" i="2"/>
  <c r="AD27" i="2"/>
  <c r="AC27" i="2"/>
  <c r="AB27" i="2"/>
  <c r="AA27" i="2"/>
  <c r="Z27" i="2"/>
  <c r="Y27" i="2"/>
  <c r="X27" i="2"/>
  <c r="W27" i="2"/>
  <c r="V27" i="2"/>
  <c r="U27" i="2"/>
  <c r="T27" i="2"/>
  <c r="S27" i="2"/>
  <c r="R27" i="2"/>
  <c r="Q27" i="2"/>
  <c r="P27" i="2"/>
  <c r="O27" i="2"/>
  <c r="N27" i="2"/>
  <c r="M27" i="2"/>
  <c r="L27" i="2"/>
  <c r="K27" i="2"/>
  <c r="J27" i="2"/>
  <c r="I27" i="2"/>
  <c r="H27" i="2"/>
  <c r="G27" i="2"/>
  <c r="F27" i="2"/>
  <c r="E27" i="2"/>
  <c r="D27" i="2"/>
  <c r="C27" i="2"/>
  <c r="B27" i="2"/>
  <c r="A27" i="2"/>
  <c r="AE26" i="2"/>
  <c r="AD26" i="2"/>
  <c r="AC26" i="2"/>
  <c r="AB26" i="2"/>
  <c r="AA26" i="2"/>
  <c r="Z26" i="2"/>
  <c r="Y26" i="2"/>
  <c r="X26" i="2"/>
  <c r="W26" i="2"/>
  <c r="V26" i="2"/>
  <c r="U26" i="2"/>
  <c r="T26" i="2"/>
  <c r="S26" i="2"/>
  <c r="R26" i="2"/>
  <c r="Q26" i="2"/>
  <c r="P26" i="2"/>
  <c r="O26" i="2"/>
  <c r="N26" i="2"/>
  <c r="M26" i="2"/>
  <c r="L26" i="2"/>
  <c r="K26" i="2"/>
  <c r="J26" i="2"/>
  <c r="I26" i="2"/>
  <c r="H26" i="2"/>
  <c r="G26" i="2"/>
  <c r="F26" i="2"/>
  <c r="E26" i="2"/>
  <c r="D26" i="2"/>
  <c r="C26" i="2"/>
  <c r="B26" i="2"/>
  <c r="A26" i="2"/>
  <c r="AE25" i="2"/>
  <c r="AD25" i="2"/>
  <c r="AC25" i="2"/>
  <c r="AB25" i="2"/>
  <c r="AA25" i="2"/>
  <c r="Z25" i="2"/>
  <c r="Y25" i="2"/>
  <c r="X25" i="2"/>
  <c r="W25" i="2"/>
  <c r="V25" i="2"/>
  <c r="U25" i="2"/>
  <c r="T25" i="2"/>
  <c r="S25" i="2"/>
  <c r="R25" i="2"/>
  <c r="Q25" i="2"/>
  <c r="P25" i="2"/>
  <c r="O25" i="2"/>
  <c r="N25" i="2"/>
  <c r="M25" i="2"/>
  <c r="L25" i="2"/>
  <c r="K25" i="2"/>
  <c r="J25" i="2"/>
  <c r="I25" i="2"/>
  <c r="H25" i="2"/>
  <c r="G25" i="2"/>
  <c r="F25" i="2"/>
  <c r="E25" i="2"/>
  <c r="D25" i="2"/>
  <c r="C25" i="2"/>
  <c r="B25" i="2"/>
  <c r="A25" i="2"/>
  <c r="AE24" i="2"/>
  <c r="AD24" i="2"/>
  <c r="AC24" i="2"/>
  <c r="AB24" i="2"/>
  <c r="AA24" i="2"/>
  <c r="Z24" i="2"/>
  <c r="Y24" i="2"/>
  <c r="X24" i="2"/>
  <c r="W24" i="2"/>
  <c r="V24" i="2"/>
  <c r="U24" i="2"/>
  <c r="T24" i="2"/>
  <c r="S24" i="2"/>
  <c r="R24" i="2"/>
  <c r="Q24" i="2"/>
  <c r="P24" i="2"/>
  <c r="O24" i="2"/>
  <c r="N24" i="2"/>
  <c r="M24" i="2"/>
  <c r="L24" i="2"/>
  <c r="K24" i="2"/>
  <c r="J24" i="2"/>
  <c r="I24" i="2"/>
  <c r="H24" i="2"/>
  <c r="G24" i="2"/>
  <c r="F24" i="2"/>
  <c r="E24" i="2"/>
  <c r="D24" i="2"/>
  <c r="C24" i="2"/>
  <c r="B24" i="2"/>
  <c r="A24" i="2"/>
  <c r="AE23" i="2"/>
  <c r="AD23" i="2"/>
  <c r="AC23" i="2"/>
  <c r="AB23" i="2"/>
  <c r="AA23" i="2"/>
  <c r="Z23" i="2"/>
  <c r="Y23" i="2"/>
  <c r="X23" i="2"/>
  <c r="W23" i="2"/>
  <c r="V23" i="2"/>
  <c r="U23" i="2"/>
  <c r="T23" i="2"/>
  <c r="S23" i="2"/>
  <c r="R23" i="2"/>
  <c r="Q23" i="2"/>
  <c r="P23" i="2"/>
  <c r="O23" i="2"/>
  <c r="N23" i="2"/>
  <c r="M23" i="2"/>
  <c r="L23" i="2"/>
  <c r="K23" i="2"/>
  <c r="J23" i="2"/>
  <c r="I23" i="2"/>
  <c r="H23" i="2"/>
  <c r="G23" i="2"/>
  <c r="F23" i="2"/>
  <c r="E23" i="2"/>
  <c r="D23" i="2"/>
  <c r="C23" i="2"/>
  <c r="B23" i="2"/>
  <c r="A23" i="2"/>
  <c r="AE22" i="2"/>
  <c r="AD22" i="2"/>
  <c r="AC22" i="2"/>
  <c r="AB22" i="2"/>
  <c r="AA22" i="2"/>
  <c r="Z22" i="2"/>
  <c r="Y22" i="2"/>
  <c r="X22" i="2"/>
  <c r="W22" i="2"/>
  <c r="V22" i="2"/>
  <c r="U22" i="2"/>
  <c r="T22" i="2"/>
  <c r="S22" i="2"/>
  <c r="R22" i="2"/>
  <c r="Q22" i="2"/>
  <c r="P22" i="2"/>
  <c r="O22" i="2"/>
  <c r="N22" i="2"/>
  <c r="M22" i="2"/>
  <c r="L22" i="2"/>
  <c r="K22" i="2"/>
  <c r="J22" i="2"/>
  <c r="I22" i="2"/>
  <c r="H22" i="2"/>
  <c r="G22" i="2"/>
  <c r="F22" i="2"/>
  <c r="E22" i="2"/>
  <c r="D22" i="2"/>
  <c r="C22" i="2"/>
  <c r="B22" i="2"/>
  <c r="A22" i="2"/>
  <c r="AE21" i="2"/>
  <c r="AD21" i="2"/>
  <c r="AC21" i="2"/>
  <c r="AB21" i="2"/>
  <c r="AA21" i="2"/>
  <c r="Z21" i="2"/>
  <c r="Y21" i="2"/>
  <c r="X21" i="2"/>
  <c r="W21" i="2"/>
  <c r="V21" i="2"/>
  <c r="U21" i="2"/>
  <c r="T21" i="2"/>
  <c r="S21" i="2"/>
  <c r="R21" i="2"/>
  <c r="Q21" i="2"/>
  <c r="P21" i="2"/>
  <c r="O21" i="2"/>
  <c r="N21" i="2"/>
  <c r="M21" i="2"/>
  <c r="L21" i="2"/>
  <c r="K21" i="2"/>
  <c r="J21" i="2"/>
  <c r="I21" i="2"/>
  <c r="H21" i="2"/>
  <c r="G21" i="2"/>
  <c r="F21" i="2"/>
  <c r="E21" i="2"/>
  <c r="D21" i="2"/>
  <c r="C21" i="2"/>
  <c r="B21" i="2"/>
  <c r="A21" i="2"/>
  <c r="AE20" i="2"/>
  <c r="AD20" i="2"/>
  <c r="AC20" i="2"/>
  <c r="AB20" i="2"/>
  <c r="AA20" i="2"/>
  <c r="Z20" i="2"/>
  <c r="Y20" i="2"/>
  <c r="X20" i="2"/>
  <c r="W20" i="2"/>
  <c r="V20" i="2"/>
  <c r="U20" i="2"/>
  <c r="T20" i="2"/>
  <c r="S20" i="2"/>
  <c r="R20" i="2"/>
  <c r="Q20" i="2"/>
  <c r="P20" i="2"/>
  <c r="O20" i="2"/>
  <c r="N20" i="2"/>
  <c r="M20" i="2"/>
  <c r="L20" i="2"/>
  <c r="K20" i="2"/>
  <c r="J20" i="2"/>
  <c r="I20" i="2"/>
  <c r="H20" i="2"/>
  <c r="G20" i="2"/>
  <c r="F20" i="2"/>
  <c r="E20" i="2"/>
  <c r="D20" i="2"/>
  <c r="C20" i="2"/>
  <c r="B20" i="2"/>
  <c r="A20" i="2"/>
  <c r="AE19" i="2"/>
  <c r="AD19" i="2"/>
  <c r="AC19" i="2"/>
  <c r="AB19" i="2"/>
  <c r="AA19" i="2"/>
  <c r="Z19" i="2"/>
  <c r="Y19" i="2"/>
  <c r="X19" i="2"/>
  <c r="W19" i="2"/>
  <c r="V19" i="2"/>
  <c r="U19" i="2"/>
  <c r="T19" i="2"/>
  <c r="S19" i="2"/>
  <c r="R19" i="2"/>
  <c r="Q19" i="2"/>
  <c r="P19" i="2"/>
  <c r="O19" i="2"/>
  <c r="N19" i="2"/>
  <c r="M19" i="2"/>
  <c r="L19" i="2"/>
  <c r="K19" i="2"/>
  <c r="J19" i="2"/>
  <c r="I19" i="2"/>
  <c r="H19" i="2"/>
  <c r="G19" i="2"/>
  <c r="F19" i="2"/>
  <c r="E19" i="2"/>
  <c r="D19" i="2"/>
  <c r="C19" i="2"/>
  <c r="B19" i="2"/>
  <c r="A19" i="2"/>
  <c r="AE18" i="2"/>
  <c r="AD18" i="2"/>
  <c r="AC18" i="2"/>
  <c r="AB18" i="2"/>
  <c r="AA18" i="2"/>
  <c r="Z18" i="2"/>
  <c r="Y18" i="2"/>
  <c r="X18" i="2"/>
  <c r="W18" i="2"/>
  <c r="V18" i="2"/>
  <c r="U18" i="2"/>
  <c r="T18" i="2"/>
  <c r="S18" i="2"/>
  <c r="R18" i="2"/>
  <c r="Q18" i="2"/>
  <c r="P18" i="2"/>
  <c r="O18" i="2"/>
  <c r="N18" i="2"/>
  <c r="M18" i="2"/>
  <c r="L18" i="2"/>
  <c r="K18" i="2"/>
  <c r="J18" i="2"/>
  <c r="I18" i="2"/>
  <c r="H18" i="2"/>
  <c r="G18" i="2"/>
  <c r="F18" i="2"/>
  <c r="E18" i="2"/>
  <c r="D18" i="2"/>
  <c r="C18" i="2"/>
  <c r="B18" i="2"/>
  <c r="A18" i="2"/>
  <c r="AE17" i="2"/>
  <c r="AD17" i="2"/>
  <c r="AC17" i="2"/>
  <c r="AB17" i="2"/>
  <c r="AA17" i="2"/>
  <c r="Z17" i="2"/>
  <c r="Y17" i="2"/>
  <c r="X17" i="2"/>
  <c r="W17" i="2"/>
  <c r="V17" i="2"/>
  <c r="U17" i="2"/>
  <c r="T17" i="2"/>
  <c r="S17" i="2"/>
  <c r="R17" i="2"/>
  <c r="Q17" i="2"/>
  <c r="P17" i="2"/>
  <c r="O17" i="2"/>
  <c r="N17" i="2"/>
  <c r="M17" i="2"/>
  <c r="L17" i="2"/>
  <c r="K17" i="2"/>
  <c r="J17" i="2"/>
  <c r="I17" i="2"/>
  <c r="H17" i="2"/>
  <c r="G17" i="2"/>
  <c r="F17" i="2"/>
  <c r="E17" i="2"/>
  <c r="D17" i="2"/>
  <c r="C17" i="2"/>
  <c r="B17" i="2"/>
  <c r="A17" i="2"/>
  <c r="AE16" i="2"/>
  <c r="AD16" i="2"/>
  <c r="AC16" i="2"/>
  <c r="AB16" i="2"/>
  <c r="AA16" i="2"/>
  <c r="Z16" i="2"/>
  <c r="Y16" i="2"/>
  <c r="X16" i="2"/>
  <c r="W16" i="2"/>
  <c r="V16" i="2"/>
  <c r="U16" i="2"/>
  <c r="T16" i="2"/>
  <c r="S16" i="2"/>
  <c r="R16" i="2"/>
  <c r="Q16" i="2"/>
  <c r="P16" i="2"/>
  <c r="O16" i="2"/>
  <c r="N16" i="2"/>
  <c r="M16" i="2"/>
  <c r="L16" i="2"/>
  <c r="K16" i="2"/>
  <c r="J16" i="2"/>
  <c r="I16" i="2"/>
  <c r="H16" i="2"/>
  <c r="G16" i="2"/>
  <c r="F16" i="2"/>
  <c r="E16" i="2"/>
  <c r="D16" i="2"/>
  <c r="C16" i="2"/>
  <c r="B16" i="2"/>
  <c r="A16" i="2"/>
  <c r="AE15" i="2"/>
  <c r="AD15" i="2"/>
  <c r="AC15" i="2"/>
  <c r="AB15" i="2"/>
  <c r="AA15" i="2"/>
  <c r="Z15" i="2"/>
  <c r="Y15" i="2"/>
  <c r="X15" i="2"/>
  <c r="W15" i="2"/>
  <c r="V15" i="2"/>
  <c r="U15" i="2"/>
  <c r="T15" i="2"/>
  <c r="S15" i="2"/>
  <c r="R15" i="2"/>
  <c r="Q15" i="2"/>
  <c r="P15" i="2"/>
  <c r="O15" i="2"/>
  <c r="N15" i="2"/>
  <c r="M15" i="2"/>
  <c r="L15" i="2"/>
  <c r="K15" i="2"/>
  <c r="J15" i="2"/>
  <c r="I15" i="2"/>
  <c r="H15" i="2"/>
  <c r="G15" i="2"/>
  <c r="F15" i="2"/>
  <c r="E15" i="2"/>
  <c r="D15" i="2"/>
  <c r="C15" i="2"/>
  <c r="B15" i="2"/>
  <c r="A15" i="2"/>
  <c r="AE14" i="2"/>
  <c r="AD14" i="2"/>
  <c r="AC14" i="2"/>
  <c r="AB14" i="2"/>
  <c r="AA14" i="2"/>
  <c r="Z14" i="2"/>
  <c r="Y14" i="2"/>
  <c r="X14" i="2"/>
  <c r="W14" i="2"/>
  <c r="V14" i="2"/>
  <c r="U14" i="2"/>
  <c r="T14" i="2"/>
  <c r="S14" i="2"/>
  <c r="R14" i="2"/>
  <c r="Q14" i="2"/>
  <c r="P14" i="2"/>
  <c r="O14" i="2"/>
  <c r="N14" i="2"/>
  <c r="M14" i="2"/>
  <c r="L14" i="2"/>
  <c r="K14" i="2"/>
  <c r="J14" i="2"/>
  <c r="I14" i="2"/>
  <c r="H14" i="2"/>
  <c r="G14" i="2"/>
  <c r="F14" i="2"/>
  <c r="E14" i="2"/>
  <c r="D14" i="2"/>
  <c r="C14" i="2"/>
  <c r="B14" i="2"/>
  <c r="A14" i="2"/>
  <c r="AE13" i="2"/>
  <c r="AD13" i="2"/>
  <c r="AC13" i="2"/>
  <c r="AB13" i="2"/>
  <c r="AA13" i="2"/>
  <c r="Z13" i="2"/>
  <c r="Y13" i="2"/>
  <c r="X13" i="2"/>
  <c r="W13" i="2"/>
  <c r="V13" i="2"/>
  <c r="U13" i="2"/>
  <c r="T13" i="2"/>
  <c r="S13" i="2"/>
  <c r="R13" i="2"/>
  <c r="Q13" i="2"/>
  <c r="P13" i="2"/>
  <c r="O13" i="2"/>
  <c r="N13" i="2"/>
  <c r="M13" i="2"/>
  <c r="L13" i="2"/>
  <c r="K13" i="2"/>
  <c r="J13" i="2"/>
  <c r="I13" i="2"/>
  <c r="H13" i="2"/>
  <c r="G13" i="2"/>
  <c r="F13" i="2"/>
  <c r="E13" i="2"/>
  <c r="D13" i="2"/>
  <c r="C13" i="2"/>
  <c r="B13" i="2"/>
  <c r="A13" i="2"/>
  <c r="AE12" i="2"/>
  <c r="AD12" i="2"/>
  <c r="AC12" i="2"/>
  <c r="AB12" i="2"/>
  <c r="AA12" i="2"/>
  <c r="Z12" i="2"/>
  <c r="Y12" i="2"/>
  <c r="X12" i="2"/>
  <c r="W12" i="2"/>
  <c r="V12" i="2"/>
  <c r="U12" i="2"/>
  <c r="T12" i="2"/>
  <c r="S12" i="2"/>
  <c r="R12" i="2"/>
  <c r="Q12" i="2"/>
  <c r="P12" i="2"/>
  <c r="O12" i="2"/>
  <c r="N12" i="2"/>
  <c r="M12" i="2"/>
  <c r="L12" i="2"/>
  <c r="K12" i="2"/>
  <c r="J12" i="2"/>
  <c r="I12" i="2"/>
  <c r="H12" i="2"/>
  <c r="G12" i="2"/>
  <c r="F12" i="2"/>
  <c r="E12" i="2"/>
  <c r="D12" i="2"/>
  <c r="C12" i="2"/>
  <c r="B12" i="2"/>
  <c r="A12" i="2"/>
  <c r="AE11" i="2"/>
  <c r="AD11" i="2"/>
  <c r="AC11" i="2"/>
  <c r="AB11" i="2"/>
  <c r="AA11" i="2"/>
  <c r="Z11" i="2"/>
  <c r="Y11" i="2"/>
  <c r="X11" i="2"/>
  <c r="W11" i="2"/>
  <c r="V11" i="2"/>
  <c r="U11" i="2"/>
  <c r="T11" i="2"/>
  <c r="S11" i="2"/>
  <c r="R11" i="2"/>
  <c r="Q11" i="2"/>
  <c r="P11" i="2"/>
  <c r="O11" i="2"/>
  <c r="N11" i="2"/>
  <c r="M11" i="2"/>
  <c r="L11" i="2"/>
  <c r="K11" i="2"/>
  <c r="J11" i="2"/>
  <c r="I11" i="2"/>
  <c r="H11" i="2"/>
  <c r="G11" i="2"/>
  <c r="F11" i="2"/>
  <c r="E11" i="2"/>
  <c r="D11" i="2"/>
  <c r="C11" i="2"/>
  <c r="B11" i="2"/>
  <c r="A11" i="2"/>
  <c r="AE10" i="2"/>
  <c r="AD10" i="2"/>
  <c r="AC10" i="2"/>
  <c r="AB10" i="2"/>
  <c r="AA10" i="2"/>
  <c r="Z10" i="2"/>
  <c r="Y10" i="2"/>
  <c r="X10" i="2"/>
  <c r="W10" i="2"/>
  <c r="V10" i="2"/>
  <c r="U10" i="2"/>
  <c r="T10" i="2"/>
  <c r="S10" i="2"/>
  <c r="R10" i="2"/>
  <c r="Q10" i="2"/>
  <c r="P10" i="2"/>
  <c r="O10" i="2"/>
  <c r="N10" i="2"/>
  <c r="M10" i="2"/>
  <c r="L10" i="2"/>
  <c r="K10" i="2"/>
  <c r="J10" i="2"/>
  <c r="I10" i="2"/>
  <c r="H10" i="2"/>
  <c r="G10" i="2"/>
  <c r="F10" i="2"/>
  <c r="E10" i="2"/>
  <c r="D10" i="2"/>
  <c r="C10" i="2"/>
  <c r="B10" i="2"/>
  <c r="A10" i="2"/>
  <c r="AE9" i="2"/>
  <c r="AD9" i="2"/>
  <c r="AC9" i="2"/>
  <c r="AB9" i="2"/>
  <c r="AA9" i="2"/>
  <c r="Z9" i="2"/>
  <c r="Y9" i="2"/>
  <c r="X9" i="2"/>
  <c r="W9" i="2"/>
  <c r="V9" i="2"/>
  <c r="U9" i="2"/>
  <c r="T9" i="2"/>
  <c r="S9" i="2"/>
  <c r="R9" i="2"/>
  <c r="Q9" i="2"/>
  <c r="P9" i="2"/>
  <c r="O9" i="2"/>
  <c r="N9" i="2"/>
  <c r="M9" i="2"/>
  <c r="L9" i="2"/>
  <c r="K9" i="2"/>
  <c r="J9" i="2"/>
  <c r="I9" i="2"/>
  <c r="H9" i="2"/>
  <c r="G9" i="2"/>
  <c r="F9" i="2"/>
  <c r="E9" i="2"/>
  <c r="D9" i="2"/>
  <c r="C9" i="2"/>
  <c r="B9" i="2"/>
  <c r="A9" i="2"/>
  <c r="AE8" i="2"/>
  <c r="AD8" i="2"/>
  <c r="AC8" i="2"/>
  <c r="AB8" i="2"/>
  <c r="AA8" i="2"/>
  <c r="Z8" i="2"/>
  <c r="Y8" i="2"/>
  <c r="X8" i="2"/>
  <c r="W8" i="2"/>
  <c r="V8" i="2"/>
  <c r="U8" i="2"/>
  <c r="T8" i="2"/>
  <c r="S8" i="2"/>
  <c r="R8" i="2"/>
  <c r="Q8" i="2"/>
  <c r="P8" i="2"/>
  <c r="O8" i="2"/>
  <c r="N8" i="2"/>
  <c r="M8" i="2"/>
  <c r="L8" i="2"/>
  <c r="K8" i="2"/>
  <c r="J8" i="2"/>
  <c r="I8" i="2"/>
  <c r="H8" i="2"/>
  <c r="G8" i="2"/>
  <c r="F8" i="2"/>
  <c r="E8" i="2"/>
  <c r="D8" i="2"/>
  <c r="C8" i="2"/>
  <c r="B8" i="2"/>
  <c r="A8" i="2"/>
  <c r="AE7" i="2"/>
  <c r="AD7" i="2"/>
  <c r="AC7" i="2"/>
  <c r="AB7" i="2"/>
  <c r="AA7" i="2"/>
  <c r="Z7" i="2"/>
  <c r="Y7" i="2"/>
  <c r="X7" i="2"/>
  <c r="W7" i="2"/>
  <c r="V7" i="2"/>
  <c r="U7" i="2"/>
  <c r="T7" i="2"/>
  <c r="S7" i="2"/>
  <c r="R7" i="2"/>
  <c r="Q7" i="2"/>
  <c r="P7" i="2"/>
  <c r="O7" i="2"/>
  <c r="N7" i="2"/>
  <c r="M7" i="2"/>
  <c r="L7" i="2"/>
  <c r="K7" i="2"/>
  <c r="J7" i="2"/>
  <c r="I7" i="2"/>
  <c r="H7" i="2"/>
  <c r="G7" i="2"/>
  <c r="F7" i="2"/>
  <c r="E7" i="2"/>
  <c r="D7" i="2"/>
  <c r="C7" i="2"/>
  <c r="B7" i="2"/>
  <c r="A7" i="2"/>
  <c r="AE6" i="2"/>
  <c r="AD6" i="2"/>
  <c r="AC6" i="2"/>
  <c r="AB6" i="2"/>
  <c r="AA6" i="2"/>
  <c r="Z6" i="2"/>
  <c r="Y6" i="2"/>
  <c r="X6" i="2"/>
  <c r="W6" i="2"/>
  <c r="V6" i="2"/>
  <c r="U6" i="2"/>
  <c r="T6" i="2"/>
  <c r="S6" i="2"/>
  <c r="R6" i="2"/>
  <c r="Q6" i="2"/>
  <c r="P6" i="2"/>
  <c r="O6" i="2"/>
  <c r="N6" i="2"/>
  <c r="M6" i="2"/>
  <c r="L6" i="2"/>
  <c r="K6" i="2"/>
  <c r="J6" i="2"/>
  <c r="I6" i="2"/>
  <c r="H6" i="2"/>
  <c r="G6" i="2"/>
  <c r="F6" i="2"/>
  <c r="E6" i="2"/>
  <c r="D6" i="2"/>
  <c r="C6" i="2"/>
  <c r="B6" i="2"/>
  <c r="A6" i="2"/>
  <c r="AE5" i="2"/>
  <c r="AD5" i="2"/>
  <c r="AC5" i="2"/>
  <c r="AB5" i="2"/>
  <c r="AA5" i="2"/>
  <c r="Z5" i="2"/>
  <c r="Y5" i="2"/>
  <c r="X5" i="2"/>
  <c r="W5" i="2"/>
  <c r="V5" i="2"/>
  <c r="U5" i="2"/>
  <c r="T5" i="2"/>
  <c r="S5" i="2"/>
  <c r="R5" i="2"/>
  <c r="Q5" i="2"/>
  <c r="P5" i="2"/>
  <c r="O5" i="2"/>
  <c r="N5" i="2"/>
  <c r="M5" i="2"/>
  <c r="L5" i="2"/>
  <c r="K5" i="2"/>
  <c r="J5" i="2"/>
  <c r="I5" i="2"/>
  <c r="H5" i="2"/>
  <c r="G5" i="2"/>
  <c r="F5" i="2"/>
  <c r="E5" i="2"/>
  <c r="D5" i="2"/>
  <c r="C5" i="2"/>
  <c r="B5" i="2"/>
  <c r="A5" i="2"/>
  <c r="AE4" i="2"/>
  <c r="AD4" i="2"/>
  <c r="AC4" i="2"/>
  <c r="AB4" i="2"/>
  <c r="AA4" i="2"/>
  <c r="Z4" i="2"/>
  <c r="Y4" i="2"/>
  <c r="X4" i="2"/>
  <c r="W4" i="2"/>
  <c r="V4" i="2"/>
  <c r="U4" i="2"/>
  <c r="T4" i="2"/>
  <c r="S4" i="2"/>
  <c r="R4" i="2"/>
  <c r="Q4" i="2"/>
  <c r="P4" i="2"/>
  <c r="O4" i="2"/>
  <c r="N4" i="2"/>
  <c r="M4" i="2"/>
  <c r="L4" i="2"/>
  <c r="K4" i="2"/>
  <c r="J4" i="2"/>
  <c r="I4" i="2"/>
  <c r="H4" i="2"/>
  <c r="G4" i="2"/>
  <c r="F4" i="2"/>
  <c r="E4" i="2"/>
  <c r="D4" i="2"/>
  <c r="C4" i="2"/>
  <c r="B4" i="2"/>
  <c r="A4" i="2"/>
  <c r="AE3" i="2"/>
  <c r="AD3" i="2"/>
  <c r="AC3" i="2"/>
  <c r="AB3" i="2"/>
  <c r="AA3" i="2"/>
  <c r="Z3" i="2"/>
  <c r="Y3" i="2"/>
  <c r="X3" i="2"/>
  <c r="W3" i="2"/>
  <c r="V3" i="2"/>
  <c r="U3" i="2"/>
  <c r="T3" i="2"/>
  <c r="S3" i="2"/>
  <c r="R3" i="2"/>
  <c r="Q3" i="2"/>
  <c r="P3" i="2"/>
  <c r="O3" i="2"/>
  <c r="N3" i="2"/>
  <c r="M3" i="2"/>
  <c r="L3" i="2"/>
  <c r="K3" i="2"/>
  <c r="J3" i="2"/>
  <c r="I3" i="2"/>
  <c r="H3" i="2"/>
  <c r="G3" i="2"/>
  <c r="F3" i="2"/>
  <c r="E3" i="2"/>
  <c r="D3" i="2"/>
  <c r="C3" i="2"/>
  <c r="B3" i="2"/>
  <c r="A3" i="2"/>
  <c r="AE2" i="2"/>
  <c r="AD2" i="2"/>
  <c r="AC2" i="2"/>
  <c r="AB2" i="2"/>
  <c r="AA2" i="2"/>
  <c r="Z2" i="2"/>
  <c r="Y2" i="2"/>
  <c r="X2" i="2"/>
  <c r="W2" i="2"/>
  <c r="V2" i="2"/>
  <c r="U2" i="2"/>
  <c r="T2" i="2"/>
  <c r="S2" i="2"/>
  <c r="R2" i="2"/>
  <c r="Q2" i="2"/>
  <c r="P2" i="2"/>
  <c r="O2" i="2"/>
  <c r="N2" i="2"/>
  <c r="M2" i="2"/>
  <c r="L2" i="2"/>
  <c r="K2" i="2"/>
  <c r="J2" i="2"/>
  <c r="I2" i="2"/>
  <c r="H2" i="2"/>
  <c r="G2" i="2"/>
  <c r="F2" i="2"/>
  <c r="E2" i="2"/>
  <c r="D2" i="2"/>
  <c r="C2" i="2"/>
  <c r="B2" i="2"/>
  <c r="A2"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 r="A1" i="2"/>
  <c r="H3" i="1" l="1"/>
  <c r="I3" i="1"/>
  <c r="C434" i="1"/>
  <c r="B37" i="1"/>
  <c r="G22" i="1"/>
  <c r="B55" i="1"/>
  <c r="E69" i="1"/>
  <c r="K16" i="1"/>
  <c r="J3" i="1"/>
  <c r="E25" i="1"/>
  <c r="I19" i="1"/>
  <c r="E189" i="1"/>
  <c r="C28" i="1"/>
  <c r="E155" i="1"/>
  <c r="H67" i="1"/>
  <c r="B41" i="1"/>
  <c r="E224" i="1"/>
  <c r="H50" i="1"/>
  <c r="K28" i="1"/>
  <c r="K114" i="1"/>
  <c r="B3" i="1"/>
  <c r="I11" i="1"/>
  <c r="G34" i="1"/>
  <c r="K92" i="1"/>
  <c r="E17" i="1"/>
  <c r="F42" i="1"/>
  <c r="C3" i="1"/>
  <c r="I23" i="1"/>
  <c r="E29" i="1"/>
  <c r="C52" i="1"/>
  <c r="G70" i="1"/>
  <c r="J173" i="1"/>
  <c r="D3" i="1"/>
  <c r="G6" i="1"/>
  <c r="E9" i="1"/>
  <c r="C12" i="1"/>
  <c r="K32" i="1"/>
  <c r="I35" i="1"/>
  <c r="I43" i="1"/>
  <c r="B48" i="1"/>
  <c r="C72" i="1"/>
  <c r="I95" i="1"/>
  <c r="D181" i="1"/>
  <c r="C8" i="1"/>
  <c r="G46" i="1"/>
  <c r="G68" i="1"/>
  <c r="C20" i="1"/>
  <c r="H62" i="1"/>
  <c r="K20" i="1"/>
  <c r="G26" i="1"/>
  <c r="C32" i="1"/>
  <c r="J47" i="1"/>
  <c r="F57" i="1"/>
  <c r="B63" i="1"/>
  <c r="C126" i="1"/>
  <c r="E3" i="1"/>
  <c r="K12" i="1"/>
  <c r="I15" i="1"/>
  <c r="G18" i="1"/>
  <c r="E21" i="1"/>
  <c r="C24" i="1"/>
  <c r="J39" i="1"/>
  <c r="F53" i="1"/>
  <c r="G98" i="1"/>
  <c r="I31" i="1"/>
  <c r="K3" i="1"/>
  <c r="K8" i="1"/>
  <c r="G120" i="1"/>
  <c r="I27" i="1"/>
  <c r="E5" i="1"/>
  <c r="D270" i="1"/>
  <c r="G14" i="1"/>
  <c r="F3" i="1"/>
  <c r="C4" i="1"/>
  <c r="K24" i="1"/>
  <c r="G30" i="1"/>
  <c r="E33" i="1"/>
  <c r="C36" i="1"/>
  <c r="E49" i="1"/>
  <c r="J59" i="1"/>
  <c r="I65" i="1"/>
  <c r="E101" i="1"/>
  <c r="G3" i="1"/>
  <c r="K4" i="1"/>
  <c r="I7" i="1"/>
  <c r="G10" i="1"/>
  <c r="E13" i="1"/>
  <c r="C16" i="1"/>
  <c r="K40" i="1"/>
  <c r="D45" i="1"/>
  <c r="K54" i="1"/>
  <c r="D60" i="1"/>
  <c r="G66" i="1"/>
  <c r="C104" i="1"/>
  <c r="I149" i="1"/>
  <c r="B23" i="1"/>
  <c r="F25" i="1"/>
  <c r="J27" i="1"/>
  <c r="B31" i="1"/>
  <c r="B35" i="1"/>
  <c r="B44" i="1"/>
  <c r="K62" i="1"/>
  <c r="E63" i="1"/>
  <c r="K66" i="1"/>
  <c r="J68" i="1"/>
  <c r="I69" i="1"/>
  <c r="K72" i="1"/>
  <c r="I75" i="1"/>
  <c r="G78" i="1"/>
  <c r="E81" i="1"/>
  <c r="C84" i="1"/>
  <c r="K104" i="1"/>
  <c r="I109" i="1"/>
  <c r="E115" i="1"/>
  <c r="K138" i="1"/>
  <c r="G144" i="1"/>
  <c r="C150" i="1"/>
  <c r="I174" i="1"/>
  <c r="D182" i="1"/>
  <c r="I190" i="1"/>
  <c r="D206" i="1"/>
  <c r="K247" i="1"/>
  <c r="D361" i="1"/>
  <c r="J7" i="1"/>
  <c r="D12" i="1"/>
  <c r="J15" i="1"/>
  <c r="F17" i="1"/>
  <c r="J19" i="1"/>
  <c r="H26" i="1"/>
  <c r="B27" i="1"/>
  <c r="F29" i="1"/>
  <c r="H30" i="1"/>
  <c r="J31" i="1"/>
  <c r="J35" i="1"/>
  <c r="C38" i="1"/>
  <c r="G42" i="1"/>
  <c r="J43" i="1"/>
  <c r="E45" i="1"/>
  <c r="H46" i="1"/>
  <c r="C48" i="1"/>
  <c r="C58" i="1"/>
  <c r="G60" i="1"/>
  <c r="E4" i="1"/>
  <c r="G5" i="1"/>
  <c r="I6" i="1"/>
  <c r="C7" i="1"/>
  <c r="K7" i="1"/>
  <c r="E8" i="1"/>
  <c r="G9" i="1"/>
  <c r="I10" i="1"/>
  <c r="C11" i="1"/>
  <c r="K11" i="1"/>
  <c r="E12" i="1"/>
  <c r="G13" i="1"/>
  <c r="I14" i="1"/>
  <c r="C15" i="1"/>
  <c r="K15" i="1"/>
  <c r="E16" i="1"/>
  <c r="G17" i="1"/>
  <c r="I18" i="1"/>
  <c r="C19" i="1"/>
  <c r="K19" i="1"/>
  <c r="E20" i="1"/>
  <c r="G21" i="1"/>
  <c r="I22" i="1"/>
  <c r="C23" i="1"/>
  <c r="K23" i="1"/>
  <c r="E24" i="1"/>
  <c r="G25" i="1"/>
  <c r="I26" i="1"/>
  <c r="C27" i="1"/>
  <c r="K27" i="1"/>
  <c r="E28" i="1"/>
  <c r="G29" i="1"/>
  <c r="I30" i="1"/>
  <c r="C31" i="1"/>
  <c r="K31" i="1"/>
  <c r="E32" i="1"/>
  <c r="G33" i="1"/>
  <c r="I34" i="1"/>
  <c r="C35" i="1"/>
  <c r="K35" i="1"/>
  <c r="E36" i="1"/>
  <c r="D37" i="1"/>
  <c r="D38" i="1"/>
  <c r="B39" i="1"/>
  <c r="B40" i="1"/>
  <c r="E41" i="1"/>
  <c r="H42" i="1"/>
  <c r="C44" i="1"/>
  <c r="F45" i="1"/>
  <c r="K46" i="1"/>
  <c r="D48" i="1"/>
  <c r="I49" i="1"/>
  <c r="B51" i="1"/>
  <c r="G52" i="1"/>
  <c r="J53" i="1"/>
  <c r="H55" i="1"/>
  <c r="B56" i="1"/>
  <c r="F58" i="1"/>
  <c r="J60" i="1"/>
  <c r="D61" i="1"/>
  <c r="H63" i="1"/>
  <c r="B64" i="1"/>
  <c r="K68" i="1"/>
  <c r="K84" i="1"/>
  <c r="I87" i="1"/>
  <c r="G90" i="1"/>
  <c r="E93" i="1"/>
  <c r="C96" i="1"/>
  <c r="C110" i="1"/>
  <c r="I133" i="1"/>
  <c r="E139" i="1"/>
  <c r="K162" i="1"/>
  <c r="H168" i="1"/>
  <c r="H175" i="1"/>
  <c r="C183" i="1"/>
  <c r="J229" i="1"/>
  <c r="D250" i="1"/>
  <c r="G824" i="1"/>
  <c r="J821" i="1"/>
  <c r="C820" i="1"/>
  <c r="B816" i="1"/>
  <c r="F815" i="1"/>
  <c r="J814" i="1"/>
  <c r="G811" i="1"/>
  <c r="H809" i="1"/>
  <c r="H807" i="1"/>
  <c r="I805" i="1"/>
  <c r="H803" i="1"/>
  <c r="C802" i="1"/>
  <c r="K800" i="1"/>
  <c r="B800" i="1"/>
  <c r="F799" i="1"/>
  <c r="J798" i="1"/>
  <c r="D797" i="1"/>
  <c r="H796" i="1"/>
  <c r="B795" i="1"/>
  <c r="F794" i="1"/>
  <c r="J793" i="1"/>
  <c r="D792" i="1"/>
  <c r="H791" i="1"/>
  <c r="C790" i="1"/>
  <c r="I789" i="1"/>
  <c r="G788" i="1"/>
  <c r="E787" i="1"/>
  <c r="K786" i="1"/>
  <c r="C786" i="1"/>
  <c r="I785" i="1"/>
  <c r="G784" i="1"/>
  <c r="E783" i="1"/>
  <c r="K782" i="1"/>
  <c r="C782" i="1"/>
  <c r="E827" i="1"/>
  <c r="D824" i="1"/>
  <c r="E821" i="1"/>
  <c r="D815" i="1"/>
  <c r="G814" i="1"/>
  <c r="K813" i="1"/>
  <c r="F811" i="1"/>
  <c r="E809" i="1"/>
  <c r="F807" i="1"/>
  <c r="F805" i="1"/>
  <c r="G803" i="1"/>
  <c r="B802" i="1"/>
  <c r="K801" i="1"/>
  <c r="J800" i="1"/>
  <c r="E799" i="1"/>
  <c r="H798" i="1"/>
  <c r="C797" i="1"/>
  <c r="G796" i="1"/>
  <c r="J795" i="1"/>
  <c r="E794" i="1"/>
  <c r="I793" i="1"/>
  <c r="C792" i="1"/>
  <c r="J825" i="1"/>
  <c r="J822" i="1"/>
  <c r="B821" i="1"/>
  <c r="K817" i="1"/>
  <c r="D814" i="1"/>
  <c r="H813" i="1"/>
  <c r="K812" i="1"/>
  <c r="E811" i="1"/>
  <c r="K810" i="1"/>
  <c r="D809" i="1"/>
  <c r="K808" i="1"/>
  <c r="D807" i="1"/>
  <c r="D805" i="1"/>
  <c r="E803" i="1"/>
  <c r="J801" i="1"/>
  <c r="I800" i="1"/>
  <c r="D799" i="1"/>
  <c r="G798" i="1"/>
  <c r="K797" i="1"/>
  <c r="B797" i="1"/>
  <c r="F796" i="1"/>
  <c r="I795" i="1"/>
  <c r="D794" i="1"/>
  <c r="H793" i="1"/>
  <c r="K792" i="1"/>
  <c r="B792" i="1"/>
  <c r="F791" i="1"/>
  <c r="J790" i="1"/>
  <c r="G789" i="1"/>
  <c r="E788" i="1"/>
  <c r="K787" i="1"/>
  <c r="C787" i="1"/>
  <c r="I786" i="1"/>
  <c r="G785" i="1"/>
  <c r="E784" i="1"/>
  <c r="K783" i="1"/>
  <c r="C783" i="1"/>
  <c r="E843" i="1"/>
  <c r="J835" i="1"/>
  <c r="J830" i="1"/>
  <c r="H828" i="1"/>
  <c r="H825" i="1"/>
  <c r="D822" i="1"/>
  <c r="G818" i="1"/>
  <c r="J817" i="1"/>
  <c r="C814" i="1"/>
  <c r="F813" i="1"/>
  <c r="J812" i="1"/>
  <c r="B811" i="1"/>
  <c r="J810" i="1"/>
  <c r="C809" i="1"/>
  <c r="I808" i="1"/>
  <c r="B807" i="1"/>
  <c r="J806" i="1"/>
  <c r="B805" i="1"/>
  <c r="J804" i="1"/>
  <c r="B803" i="1"/>
  <c r="K802" i="1"/>
  <c r="H801" i="1"/>
  <c r="H800" i="1"/>
  <c r="B799" i="1"/>
  <c r="F798" i="1"/>
  <c r="J797" i="1"/>
  <c r="D796" i="1"/>
  <c r="H802" i="1"/>
  <c r="F801" i="1"/>
  <c r="G800" i="1"/>
  <c r="J799" i="1"/>
  <c r="E798" i="1"/>
  <c r="I797" i="1"/>
  <c r="C796" i="1"/>
  <c r="G795" i="1"/>
  <c r="K794" i="1"/>
  <c r="B794" i="1"/>
  <c r="E793" i="1"/>
  <c r="I792" i="1"/>
  <c r="D791" i="1"/>
  <c r="G790" i="1"/>
  <c r="E789" i="1"/>
  <c r="K788" i="1"/>
  <c r="C788" i="1"/>
  <c r="I787" i="1"/>
  <c r="G786" i="1"/>
  <c r="E785" i="1"/>
  <c r="K784" i="1"/>
  <c r="C784" i="1"/>
  <c r="I783" i="1"/>
  <c r="G782" i="1"/>
  <c r="E781" i="1"/>
  <c r="K780" i="1"/>
  <c r="C780" i="1"/>
  <c r="I779" i="1"/>
  <c r="G778" i="1"/>
  <c r="E777" i="1"/>
  <c r="K776" i="1"/>
  <c r="C776" i="1"/>
  <c r="I775" i="1"/>
  <c r="G774" i="1"/>
  <c r="E773" i="1"/>
  <c r="F1169" i="1"/>
  <c r="D863" i="1"/>
  <c r="C849" i="1"/>
  <c r="D842" i="1"/>
  <c r="H832" i="1"/>
  <c r="K826" i="1"/>
  <c r="F823" i="1"/>
  <c r="F819" i="1"/>
  <c r="B818" i="1"/>
  <c r="E817" i="1"/>
  <c r="I816" i="1"/>
  <c r="B813" i="1"/>
  <c r="F812" i="1"/>
  <c r="F810" i="1"/>
  <c r="G808" i="1"/>
  <c r="F806" i="1"/>
  <c r="F804" i="1"/>
  <c r="G802" i="1"/>
  <c r="E801" i="1"/>
  <c r="F800" i="1"/>
  <c r="I799" i="1"/>
  <c r="D798" i="1"/>
  <c r="H797" i="1"/>
  <c r="K796" i="1"/>
  <c r="B796" i="1"/>
  <c r="F795" i="1"/>
  <c r="J794" i="1"/>
  <c r="D793" i="1"/>
  <c r="H792" i="1"/>
  <c r="K848" i="1"/>
  <c r="D819" i="1"/>
  <c r="I815" i="1"/>
  <c r="C812" i="1"/>
  <c r="D804" i="1"/>
  <c r="C798" i="1"/>
  <c r="J796" i="1"/>
  <c r="D795" i="1"/>
  <c r="H790" i="1"/>
  <c r="D789" i="1"/>
  <c r="J787" i="1"/>
  <c r="F786" i="1"/>
  <c r="C785" i="1"/>
  <c r="H783" i="1"/>
  <c r="H782" i="1"/>
  <c r="J781" i="1"/>
  <c r="E780" i="1"/>
  <c r="H779" i="1"/>
  <c r="C778" i="1"/>
  <c r="G777" i="1"/>
  <c r="J776" i="1"/>
  <c r="E775" i="1"/>
  <c r="I774" i="1"/>
  <c r="C773" i="1"/>
  <c r="I772" i="1"/>
  <c r="G771" i="1"/>
  <c r="E770" i="1"/>
  <c r="K769" i="1"/>
  <c r="C769" i="1"/>
  <c r="I768" i="1"/>
  <c r="G767" i="1"/>
  <c r="E766" i="1"/>
  <c r="K765" i="1"/>
  <c r="C765" i="1"/>
  <c r="I764" i="1"/>
  <c r="G763" i="1"/>
  <c r="E762" i="1"/>
  <c r="I824" i="1"/>
  <c r="H815" i="1"/>
  <c r="B812" i="1"/>
  <c r="J809" i="1"/>
  <c r="C804" i="1"/>
  <c r="B798" i="1"/>
  <c r="I796" i="1"/>
  <c r="G841" i="1"/>
  <c r="D823" i="1"/>
  <c r="E806" i="1"/>
  <c r="C801" i="1"/>
  <c r="H799" i="1"/>
  <c r="E790" i="1"/>
  <c r="B789" i="1"/>
  <c r="J788" i="1"/>
  <c r="G787" i="1"/>
  <c r="D786" i="1"/>
  <c r="I784" i="1"/>
  <c r="F783" i="1"/>
  <c r="D829" i="1"/>
  <c r="I811" i="1"/>
  <c r="C806" i="1"/>
  <c r="I803" i="1"/>
  <c r="B801" i="1"/>
  <c r="G799" i="1"/>
  <c r="J792" i="1"/>
  <c r="J791" i="1"/>
  <c r="D790" i="1"/>
  <c r="I788" i="1"/>
  <c r="F787" i="1"/>
  <c r="B786" i="1"/>
  <c r="K785" i="1"/>
  <c r="H784" i="1"/>
  <c r="D783" i="1"/>
  <c r="D782" i="1"/>
  <c r="G781" i="1"/>
  <c r="J780" i="1"/>
  <c r="E779" i="1"/>
  <c r="I778" i="1"/>
  <c r="G928" i="1"/>
  <c r="F837" i="1"/>
  <c r="B817" i="1"/>
  <c r="D808" i="1"/>
  <c r="K805" i="1"/>
  <c r="F797" i="1"/>
  <c r="K793" i="1"/>
  <c r="G792" i="1"/>
  <c r="I791" i="1"/>
  <c r="B790" i="1"/>
  <c r="K789" i="1"/>
  <c r="H788" i="1"/>
  <c r="D787" i="1"/>
  <c r="J785" i="1"/>
  <c r="F784" i="1"/>
  <c r="B783" i="1"/>
  <c r="B782" i="1"/>
  <c r="F781" i="1"/>
  <c r="I780" i="1"/>
  <c r="D779" i="1"/>
  <c r="H778" i="1"/>
  <c r="K777" i="1"/>
  <c r="B777" i="1"/>
  <c r="F776" i="1"/>
  <c r="J775" i="1"/>
  <c r="D774" i="1"/>
  <c r="H773" i="1"/>
  <c r="E772" i="1"/>
  <c r="K771" i="1"/>
  <c r="C771" i="1"/>
  <c r="I770" i="1"/>
  <c r="G769" i="1"/>
  <c r="E768" i="1"/>
  <c r="K767" i="1"/>
  <c r="C767" i="1"/>
  <c r="I766" i="1"/>
  <c r="G765" i="1"/>
  <c r="E764" i="1"/>
  <c r="K763" i="1"/>
  <c r="C763" i="1"/>
  <c r="I762" i="1"/>
  <c r="F820" i="1"/>
  <c r="D810" i="1"/>
  <c r="K798" i="1"/>
  <c r="G794" i="1"/>
  <c r="K790" i="1"/>
  <c r="F789" i="1"/>
  <c r="B788" i="1"/>
  <c r="J783" i="1"/>
  <c r="I782" i="1"/>
  <c r="G780" i="1"/>
  <c r="F778" i="1"/>
  <c r="D777" i="1"/>
  <c r="B776" i="1"/>
  <c r="J774" i="1"/>
  <c r="G773" i="1"/>
  <c r="G772" i="1"/>
  <c r="H771" i="1"/>
  <c r="H770" i="1"/>
  <c r="I769" i="1"/>
  <c r="J768" i="1"/>
  <c r="J767" i="1"/>
  <c r="K766" i="1"/>
  <c r="B764" i="1"/>
  <c r="B763" i="1"/>
  <c r="C762" i="1"/>
  <c r="I761" i="1"/>
  <c r="G760" i="1"/>
  <c r="E759" i="1"/>
  <c r="K758" i="1"/>
  <c r="C758" i="1"/>
  <c r="I757" i="1"/>
  <c r="G756" i="1"/>
  <c r="E755" i="1"/>
  <c r="K754" i="1"/>
  <c r="C754" i="1"/>
  <c r="I753" i="1"/>
  <c r="G752" i="1"/>
  <c r="E751" i="1"/>
  <c r="K750" i="1"/>
  <c r="C750" i="1"/>
  <c r="I749" i="1"/>
  <c r="G748" i="1"/>
  <c r="E747" i="1"/>
  <c r="K746" i="1"/>
  <c r="C746" i="1"/>
  <c r="I745" i="1"/>
  <c r="G744" i="1"/>
  <c r="E743" i="1"/>
  <c r="K742" i="1"/>
  <c r="C742" i="1"/>
  <c r="I741" i="1"/>
  <c r="G740" i="1"/>
  <c r="E739" i="1"/>
  <c r="K738" i="1"/>
  <c r="C738" i="1"/>
  <c r="I737" i="1"/>
  <c r="B810" i="1"/>
  <c r="F802" i="1"/>
  <c r="E797" i="1"/>
  <c r="C794" i="1"/>
  <c r="F790" i="1"/>
  <c r="C789" i="1"/>
  <c r="J784" i="1"/>
  <c r="G783" i="1"/>
  <c r="F782" i="1"/>
  <c r="F780" i="1"/>
  <c r="E778" i="1"/>
  <c r="C777" i="1"/>
  <c r="K775" i="1"/>
  <c r="H774" i="1"/>
  <c r="F773" i="1"/>
  <c r="F772" i="1"/>
  <c r="F771" i="1"/>
  <c r="G770" i="1"/>
  <c r="H769" i="1"/>
  <c r="H768" i="1"/>
  <c r="I767" i="1"/>
  <c r="J766" i="1"/>
  <c r="J765" i="1"/>
  <c r="K764" i="1"/>
  <c r="B762" i="1"/>
  <c r="H761" i="1"/>
  <c r="F760" i="1"/>
  <c r="D759" i="1"/>
  <c r="J758" i="1"/>
  <c r="B758" i="1"/>
  <c r="H757" i="1"/>
  <c r="F756" i="1"/>
  <c r="D755" i="1"/>
  <c r="J754" i="1"/>
  <c r="B754" i="1"/>
  <c r="H753" i="1"/>
  <c r="F752" i="1"/>
  <c r="D751" i="1"/>
  <c r="J750" i="1"/>
  <c r="B750" i="1"/>
  <c r="H749" i="1"/>
  <c r="F748" i="1"/>
  <c r="D747" i="1"/>
  <c r="J746" i="1"/>
  <c r="B746" i="1"/>
  <c r="H745" i="1"/>
  <c r="F744" i="1"/>
  <c r="D743" i="1"/>
  <c r="J742" i="1"/>
  <c r="B742" i="1"/>
  <c r="H741" i="1"/>
  <c r="F740" i="1"/>
  <c r="D739" i="1"/>
  <c r="J738" i="1"/>
  <c r="B738" i="1"/>
  <c r="H737" i="1"/>
  <c r="F736" i="1"/>
  <c r="D735" i="1"/>
  <c r="J734" i="1"/>
  <c r="B734" i="1"/>
  <c r="H733" i="1"/>
  <c r="F732" i="1"/>
  <c r="D731" i="1"/>
  <c r="J730" i="1"/>
  <c r="B730" i="1"/>
  <c r="H729" i="1"/>
  <c r="F728" i="1"/>
  <c r="D727" i="1"/>
  <c r="J726" i="1"/>
  <c r="B726" i="1"/>
  <c r="H725" i="1"/>
  <c r="F724" i="1"/>
  <c r="D723" i="1"/>
  <c r="J722" i="1"/>
  <c r="B722" i="1"/>
  <c r="H721" i="1"/>
  <c r="F720" i="1"/>
  <c r="F834" i="1"/>
  <c r="F816" i="1"/>
  <c r="B808" i="1"/>
  <c r="D802" i="1"/>
  <c r="F793" i="1"/>
  <c r="G791" i="1"/>
  <c r="H785" i="1"/>
  <c r="D784" i="1"/>
  <c r="E782" i="1"/>
  <c r="K781" i="1"/>
  <c r="D780" i="1"/>
  <c r="K779" i="1"/>
  <c r="D778" i="1"/>
  <c r="D816" i="1"/>
  <c r="C793" i="1"/>
  <c r="E791" i="1"/>
  <c r="J786" i="1"/>
  <c r="F785" i="1"/>
  <c r="B784" i="1"/>
  <c r="I781" i="1"/>
  <c r="B780" i="1"/>
  <c r="J779" i="1"/>
  <c r="B778" i="1"/>
  <c r="I776" i="1"/>
  <c r="G775" i="1"/>
  <c r="E774" i="1"/>
  <c r="B773" i="1"/>
  <c r="C772" i="1"/>
  <c r="D771" i="1"/>
  <c r="D770" i="1"/>
  <c r="E769" i="1"/>
  <c r="F768" i="1"/>
  <c r="F767" i="1"/>
  <c r="G766" i="1"/>
  <c r="H765" i="1"/>
  <c r="H764" i="1"/>
  <c r="I763" i="1"/>
  <c r="J762" i="1"/>
  <c r="F761" i="1"/>
  <c r="D760" i="1"/>
  <c r="J759" i="1"/>
  <c r="B759" i="1"/>
  <c r="H758" i="1"/>
  <c r="F757" i="1"/>
  <c r="D756" i="1"/>
  <c r="J755" i="1"/>
  <c r="B755" i="1"/>
  <c r="H754" i="1"/>
  <c r="F753" i="1"/>
  <c r="D752" i="1"/>
  <c r="J751" i="1"/>
  <c r="B751" i="1"/>
  <c r="H750" i="1"/>
  <c r="F749" i="1"/>
  <c r="D748" i="1"/>
  <c r="J747" i="1"/>
  <c r="B747" i="1"/>
  <c r="H746" i="1"/>
  <c r="F745" i="1"/>
  <c r="D826" i="1"/>
  <c r="J807" i="1"/>
  <c r="D800" i="1"/>
  <c r="B793" i="1"/>
  <c r="B791" i="1"/>
  <c r="H786" i="1"/>
  <c r="D785" i="1"/>
  <c r="H781" i="1"/>
  <c r="G779" i="1"/>
  <c r="J777" i="1"/>
  <c r="H776" i="1"/>
  <c r="F775" i="1"/>
  <c r="C774" i="1"/>
  <c r="B772" i="1"/>
  <c r="B771" i="1"/>
  <c r="C770" i="1"/>
  <c r="D769" i="1"/>
  <c r="D768" i="1"/>
  <c r="E767" i="1"/>
  <c r="F766" i="1"/>
  <c r="F765" i="1"/>
  <c r="G764" i="1"/>
  <c r="H763" i="1"/>
  <c r="H762" i="1"/>
  <c r="E761" i="1"/>
  <c r="K760" i="1"/>
  <c r="C760" i="1"/>
  <c r="I759" i="1"/>
  <c r="G758" i="1"/>
  <c r="E757" i="1"/>
  <c r="H897" i="1"/>
  <c r="B826" i="1"/>
  <c r="J805" i="1"/>
  <c r="C800" i="1"/>
  <c r="H795" i="1"/>
  <c r="H787" i="1"/>
  <c r="E786" i="1"/>
  <c r="B785" i="1"/>
  <c r="D781" i="1"/>
  <c r="F779" i="1"/>
  <c r="I777" i="1"/>
  <c r="G776" i="1"/>
  <c r="D775" i="1"/>
  <c r="B774" i="1"/>
  <c r="K773" i="1"/>
  <c r="K772" i="1"/>
  <c r="B770" i="1"/>
  <c r="B769" i="1"/>
  <c r="C768" i="1"/>
  <c r="D767" i="1"/>
  <c r="D766" i="1"/>
  <c r="E765" i="1"/>
  <c r="F764" i="1"/>
  <c r="F763" i="1"/>
  <c r="G762" i="1"/>
  <c r="D761" i="1"/>
  <c r="J760" i="1"/>
  <c r="B760" i="1"/>
  <c r="H759" i="1"/>
  <c r="F758" i="1"/>
  <c r="D757" i="1"/>
  <c r="J756" i="1"/>
  <c r="B756" i="1"/>
  <c r="H755" i="1"/>
  <c r="F754" i="1"/>
  <c r="D753" i="1"/>
  <c r="J752" i="1"/>
  <c r="B752" i="1"/>
  <c r="H751" i="1"/>
  <c r="F750" i="1"/>
  <c r="D749" i="1"/>
  <c r="J748" i="1"/>
  <c r="B748" i="1"/>
  <c r="H747" i="1"/>
  <c r="F746" i="1"/>
  <c r="D745" i="1"/>
  <c r="J744" i="1"/>
  <c r="B744" i="1"/>
  <c r="H743" i="1"/>
  <c r="F742" i="1"/>
  <c r="D741" i="1"/>
  <c r="J740" i="1"/>
  <c r="B740" i="1"/>
  <c r="H739" i="1"/>
  <c r="F738" i="1"/>
  <c r="D737" i="1"/>
  <c r="J736" i="1"/>
  <c r="B736" i="1"/>
  <c r="H735" i="1"/>
  <c r="F734" i="1"/>
  <c r="D733" i="1"/>
  <c r="J732" i="1"/>
  <c r="B732" i="1"/>
  <c r="H731" i="1"/>
  <c r="F730" i="1"/>
  <c r="D729" i="1"/>
  <c r="J728" i="1"/>
  <c r="B728" i="1"/>
  <c r="H727" i="1"/>
  <c r="F726" i="1"/>
  <c r="D725" i="1"/>
  <c r="J724" i="1"/>
  <c r="B724" i="1"/>
  <c r="H723" i="1"/>
  <c r="F722" i="1"/>
  <c r="D721" i="1"/>
  <c r="J720" i="1"/>
  <c r="B720" i="1"/>
  <c r="E795" i="1"/>
  <c r="F792" i="1"/>
  <c r="J789" i="1"/>
  <c r="F788" i="1"/>
  <c r="B787" i="1"/>
  <c r="C781" i="1"/>
  <c r="C779" i="1"/>
  <c r="K778" i="1"/>
  <c r="H777" i="1"/>
  <c r="E776" i="1"/>
  <c r="C775" i="1"/>
  <c r="J773" i="1"/>
  <c r="J772" i="1"/>
  <c r="B779" i="1"/>
  <c r="K770" i="1"/>
  <c r="F769" i="1"/>
  <c r="I765" i="1"/>
  <c r="C764" i="1"/>
  <c r="G755" i="1"/>
  <c r="C753" i="1"/>
  <c r="I752" i="1"/>
  <c r="E750" i="1"/>
  <c r="K749" i="1"/>
  <c r="G747" i="1"/>
  <c r="C745" i="1"/>
  <c r="K744" i="1"/>
  <c r="G743" i="1"/>
  <c r="D742" i="1"/>
  <c r="I740" i="1"/>
  <c r="F739" i="1"/>
  <c r="K737" i="1"/>
  <c r="H736" i="1"/>
  <c r="I735" i="1"/>
  <c r="I734" i="1"/>
  <c r="J733" i="1"/>
  <c r="K732" i="1"/>
  <c r="K731" i="1"/>
  <c r="B729" i="1"/>
  <c r="C728" i="1"/>
  <c r="C727" i="1"/>
  <c r="D726" i="1"/>
  <c r="E725" i="1"/>
  <c r="E724" i="1"/>
  <c r="F723" i="1"/>
  <c r="G722" i="1"/>
  <c r="G721" i="1"/>
  <c r="H720" i="1"/>
  <c r="K719" i="1"/>
  <c r="C719" i="1"/>
  <c r="I718" i="1"/>
  <c r="G717" i="1"/>
  <c r="E716" i="1"/>
  <c r="K715" i="1"/>
  <c r="C715" i="1"/>
  <c r="I714" i="1"/>
  <c r="G713" i="1"/>
  <c r="E712" i="1"/>
  <c r="K711" i="1"/>
  <c r="C711" i="1"/>
  <c r="I710" i="1"/>
  <c r="G709" i="1"/>
  <c r="E708" i="1"/>
  <c r="K707" i="1"/>
  <c r="C707" i="1"/>
  <c r="I706" i="1"/>
  <c r="G705" i="1"/>
  <c r="J778" i="1"/>
  <c r="I773" i="1"/>
  <c r="J770" i="1"/>
  <c r="D765" i="1"/>
  <c r="K761" i="1"/>
  <c r="F755" i="1"/>
  <c r="B753" i="1"/>
  <c r="H752" i="1"/>
  <c r="D750" i="1"/>
  <c r="J749" i="1"/>
  <c r="F747" i="1"/>
  <c r="B745" i="1"/>
  <c r="I744" i="1"/>
  <c r="F743" i="1"/>
  <c r="K741" i="1"/>
  <c r="H740" i="1"/>
  <c r="C739" i="1"/>
  <c r="J737" i="1"/>
  <c r="G736" i="1"/>
  <c r="G735" i="1"/>
  <c r="H734" i="1"/>
  <c r="I733" i="1"/>
  <c r="I732" i="1"/>
  <c r="J731" i="1"/>
  <c r="K730" i="1"/>
  <c r="K729" i="1"/>
  <c r="B727" i="1"/>
  <c r="C726" i="1"/>
  <c r="C725" i="1"/>
  <c r="D724" i="1"/>
  <c r="E723" i="1"/>
  <c r="E722" i="1"/>
  <c r="F721" i="1"/>
  <c r="G720" i="1"/>
  <c r="J719" i="1"/>
  <c r="B719" i="1"/>
  <c r="H718" i="1"/>
  <c r="F717" i="1"/>
  <c r="D716" i="1"/>
  <c r="J715" i="1"/>
  <c r="B715" i="1"/>
  <c r="H714" i="1"/>
  <c r="F713" i="1"/>
  <c r="D712" i="1"/>
  <c r="J711" i="1"/>
  <c r="B711" i="1"/>
  <c r="H710" i="1"/>
  <c r="F709" i="1"/>
  <c r="D708" i="1"/>
  <c r="J707" i="1"/>
  <c r="B707" i="1"/>
  <c r="H706" i="1"/>
  <c r="F705" i="1"/>
  <c r="D704" i="1"/>
  <c r="J703" i="1"/>
  <c r="B703" i="1"/>
  <c r="H702" i="1"/>
  <c r="F701" i="1"/>
  <c r="D700" i="1"/>
  <c r="J699" i="1"/>
  <c r="B699" i="1"/>
  <c r="H698" i="1"/>
  <c r="F697" i="1"/>
  <c r="D696" i="1"/>
  <c r="J695" i="1"/>
  <c r="B695" i="1"/>
  <c r="H694" i="1"/>
  <c r="F693" i="1"/>
  <c r="D692" i="1"/>
  <c r="J691" i="1"/>
  <c r="B691" i="1"/>
  <c r="H690" i="1"/>
  <c r="F689" i="1"/>
  <c r="H794" i="1"/>
  <c r="H775" i="1"/>
  <c r="D773" i="1"/>
  <c r="J771" i="1"/>
  <c r="F770" i="1"/>
  <c r="H766" i="1"/>
  <c r="B765" i="1"/>
  <c r="K762" i="1"/>
  <c r="J761" i="1"/>
  <c r="I760" i="1"/>
  <c r="K759" i="1"/>
  <c r="K757" i="1"/>
  <c r="C755" i="1"/>
  <c r="I754" i="1"/>
  <c r="E752" i="1"/>
  <c r="K751" i="1"/>
  <c r="G749" i="1"/>
  <c r="C747" i="1"/>
  <c r="I746" i="1"/>
  <c r="H744" i="1"/>
  <c r="C743" i="1"/>
  <c r="J741" i="1"/>
  <c r="E740" i="1"/>
  <c r="B739" i="1"/>
  <c r="G737" i="1"/>
  <c r="E736" i="1"/>
  <c r="F735" i="1"/>
  <c r="G734" i="1"/>
  <c r="G733" i="1"/>
  <c r="H732" i="1"/>
  <c r="I731" i="1"/>
  <c r="I730" i="1"/>
  <c r="J729" i="1"/>
  <c r="K728" i="1"/>
  <c r="K727" i="1"/>
  <c r="B725" i="1"/>
  <c r="C724" i="1"/>
  <c r="C723" i="1"/>
  <c r="D722" i="1"/>
  <c r="E721" i="1"/>
  <c r="E720" i="1"/>
  <c r="I719" i="1"/>
  <c r="G718" i="1"/>
  <c r="E717" i="1"/>
  <c r="K716" i="1"/>
  <c r="C716" i="1"/>
  <c r="I715" i="1"/>
  <c r="G714" i="1"/>
  <c r="E713" i="1"/>
  <c r="K712" i="1"/>
  <c r="C712" i="1"/>
  <c r="I711" i="1"/>
  <c r="G710" i="1"/>
  <c r="E709" i="1"/>
  <c r="K708" i="1"/>
  <c r="C708" i="1"/>
  <c r="I707" i="1"/>
  <c r="G706" i="1"/>
  <c r="E705" i="1"/>
  <c r="J782" i="1"/>
  <c r="F777" i="1"/>
  <c r="B775" i="1"/>
  <c r="I771" i="1"/>
  <c r="C766" i="1"/>
  <c r="F762" i="1"/>
  <c r="G761" i="1"/>
  <c r="H760" i="1"/>
  <c r="G759" i="1"/>
  <c r="I758" i="1"/>
  <c r="J757" i="1"/>
  <c r="K756" i="1"/>
  <c r="G754" i="1"/>
  <c r="C752" i="1"/>
  <c r="I751" i="1"/>
  <c r="E749" i="1"/>
  <c r="K748" i="1"/>
  <c r="G746" i="1"/>
  <c r="E744" i="1"/>
  <c r="B743" i="1"/>
  <c r="G741" i="1"/>
  <c r="D740" i="1"/>
  <c r="I738" i="1"/>
  <c r="F737" i="1"/>
  <c r="D736" i="1"/>
  <c r="E735" i="1"/>
  <c r="E734" i="1"/>
  <c r="F733" i="1"/>
  <c r="G732" i="1"/>
  <c r="G731" i="1"/>
  <c r="H730" i="1"/>
  <c r="I729" i="1"/>
  <c r="I728" i="1"/>
  <c r="J727" i="1"/>
  <c r="K726" i="1"/>
  <c r="K725" i="1"/>
  <c r="E771" i="1"/>
  <c r="H767" i="1"/>
  <c r="B766" i="1"/>
  <c r="J763" i="1"/>
  <c r="D762" i="1"/>
  <c r="C761" i="1"/>
  <c r="E760" i="1"/>
  <c r="F759" i="1"/>
  <c r="E758" i="1"/>
  <c r="G757" i="1"/>
  <c r="I756" i="1"/>
  <c r="E754" i="1"/>
  <c r="K753" i="1"/>
  <c r="G751" i="1"/>
  <c r="C749" i="1"/>
  <c r="I748" i="1"/>
  <c r="E746" i="1"/>
  <c r="K745" i="1"/>
  <c r="D744" i="1"/>
  <c r="I742" i="1"/>
  <c r="F741" i="1"/>
  <c r="C740" i="1"/>
  <c r="K739" i="1"/>
  <c r="H738" i="1"/>
  <c r="E737" i="1"/>
  <c r="C736" i="1"/>
  <c r="C735" i="1"/>
  <c r="D734" i="1"/>
  <c r="E733" i="1"/>
  <c r="E732" i="1"/>
  <c r="F731" i="1"/>
  <c r="G730" i="1"/>
  <c r="G729" i="1"/>
  <c r="H728" i="1"/>
  <c r="I727" i="1"/>
  <c r="I726" i="1"/>
  <c r="J725" i="1"/>
  <c r="K724" i="1"/>
  <c r="K723" i="1"/>
  <c r="B721" i="1"/>
  <c r="C720" i="1"/>
  <c r="G719" i="1"/>
  <c r="E718" i="1"/>
  <c r="K717" i="1"/>
  <c r="C717" i="1"/>
  <c r="I716" i="1"/>
  <c r="G715" i="1"/>
  <c r="E714" i="1"/>
  <c r="K713" i="1"/>
  <c r="C713" i="1"/>
  <c r="I712" i="1"/>
  <c r="G711" i="1"/>
  <c r="E710" i="1"/>
  <c r="K709" i="1"/>
  <c r="C709" i="1"/>
  <c r="I708" i="1"/>
  <c r="G707" i="1"/>
  <c r="E706" i="1"/>
  <c r="K705" i="1"/>
  <c r="C705" i="1"/>
  <c r="I704" i="1"/>
  <c r="G703" i="1"/>
  <c r="E702" i="1"/>
  <c r="K701" i="1"/>
  <c r="C701" i="1"/>
  <c r="I700" i="1"/>
  <c r="G699" i="1"/>
  <c r="E698" i="1"/>
  <c r="K697" i="1"/>
  <c r="C697" i="1"/>
  <c r="I696" i="1"/>
  <c r="G695" i="1"/>
  <c r="E694" i="1"/>
  <c r="K693" i="1"/>
  <c r="C693" i="1"/>
  <c r="I692" i="1"/>
  <c r="G691" i="1"/>
  <c r="E690" i="1"/>
  <c r="K689" i="1"/>
  <c r="C689" i="1"/>
  <c r="I688" i="1"/>
  <c r="B859" i="1"/>
  <c r="H789" i="1"/>
  <c r="B781" i="1"/>
  <c r="K774" i="1"/>
  <c r="H772" i="1"/>
  <c r="K768" i="1"/>
  <c r="B767" i="1"/>
  <c r="E763" i="1"/>
  <c r="B761" i="1"/>
  <c r="C759" i="1"/>
  <c r="D758" i="1"/>
  <c r="C757" i="1"/>
  <c r="H756" i="1"/>
  <c r="D754" i="1"/>
  <c r="J753" i="1"/>
  <c r="F751" i="1"/>
  <c r="B749" i="1"/>
  <c r="H748" i="1"/>
  <c r="D746" i="1"/>
  <c r="J745" i="1"/>
  <c r="C744" i="1"/>
  <c r="K743" i="1"/>
  <c r="H742" i="1"/>
  <c r="E741" i="1"/>
  <c r="J739" i="1"/>
  <c r="G738" i="1"/>
  <c r="C737" i="1"/>
  <c r="B735" i="1"/>
  <c r="C734" i="1"/>
  <c r="C733" i="1"/>
  <c r="D732" i="1"/>
  <c r="E731" i="1"/>
  <c r="E730" i="1"/>
  <c r="F729" i="1"/>
  <c r="G728" i="1"/>
  <c r="G727" i="1"/>
  <c r="H726" i="1"/>
  <c r="I725" i="1"/>
  <c r="I724" i="1"/>
  <c r="J723" i="1"/>
  <c r="K722" i="1"/>
  <c r="K721" i="1"/>
  <c r="I743" i="1"/>
  <c r="B741" i="1"/>
  <c r="I736" i="1"/>
  <c r="K734" i="1"/>
  <c r="B723" i="1"/>
  <c r="K720" i="1"/>
  <c r="B718" i="1"/>
  <c r="H717" i="1"/>
  <c r="D715" i="1"/>
  <c r="J714" i="1"/>
  <c r="F712" i="1"/>
  <c r="B710" i="1"/>
  <c r="H709" i="1"/>
  <c r="D707" i="1"/>
  <c r="J706" i="1"/>
  <c r="H704" i="1"/>
  <c r="I703" i="1"/>
  <c r="J702" i="1"/>
  <c r="J701" i="1"/>
  <c r="K700" i="1"/>
  <c r="B698" i="1"/>
  <c r="B697" i="1"/>
  <c r="C696" i="1"/>
  <c r="D695" i="1"/>
  <c r="D694" i="1"/>
  <c r="E693" i="1"/>
  <c r="F692" i="1"/>
  <c r="F691" i="1"/>
  <c r="G690" i="1"/>
  <c r="H689" i="1"/>
  <c r="H688" i="1"/>
  <c r="F687" i="1"/>
  <c r="D686" i="1"/>
  <c r="J685" i="1"/>
  <c r="B685" i="1"/>
  <c r="H684" i="1"/>
  <c r="F683" i="1"/>
  <c r="D682" i="1"/>
  <c r="J681" i="1"/>
  <c r="B681" i="1"/>
  <c r="H680" i="1"/>
  <c r="F679" i="1"/>
  <c r="D678" i="1"/>
  <c r="J677" i="1"/>
  <c r="B677" i="1"/>
  <c r="H676" i="1"/>
  <c r="F675" i="1"/>
  <c r="D674" i="1"/>
  <c r="J673" i="1"/>
  <c r="B673" i="1"/>
  <c r="H672" i="1"/>
  <c r="F671" i="1"/>
  <c r="D670" i="1"/>
  <c r="J669" i="1"/>
  <c r="B669" i="1"/>
  <c r="H668" i="1"/>
  <c r="F667" i="1"/>
  <c r="D666" i="1"/>
  <c r="J665" i="1"/>
  <c r="B665" i="1"/>
  <c r="H664" i="1"/>
  <c r="F663" i="1"/>
  <c r="D662" i="1"/>
  <c r="J661" i="1"/>
  <c r="B661" i="1"/>
  <c r="H780" i="1"/>
  <c r="B757" i="1"/>
  <c r="C751" i="1"/>
  <c r="E748" i="1"/>
  <c r="G745" i="1"/>
  <c r="E738" i="1"/>
  <c r="C732" i="1"/>
  <c r="D730" i="1"/>
  <c r="E728" i="1"/>
  <c r="G726" i="1"/>
  <c r="H724" i="1"/>
  <c r="I720" i="1"/>
  <c r="H719" i="1"/>
  <c r="D717" i="1"/>
  <c r="J716" i="1"/>
  <c r="F714" i="1"/>
  <c r="B712" i="1"/>
  <c r="H711" i="1"/>
  <c r="D709" i="1"/>
  <c r="J708" i="1"/>
  <c r="F706" i="1"/>
  <c r="G704" i="1"/>
  <c r="H703" i="1"/>
  <c r="I702" i="1"/>
  <c r="I701" i="1"/>
  <c r="J700" i="1"/>
  <c r="K699" i="1"/>
  <c r="K698" i="1"/>
  <c r="B696" i="1"/>
  <c r="C695" i="1"/>
  <c r="C694" i="1"/>
  <c r="D693" i="1"/>
  <c r="E692" i="1"/>
  <c r="E691" i="1"/>
  <c r="F690" i="1"/>
  <c r="G689" i="1"/>
  <c r="G688" i="1"/>
  <c r="E687" i="1"/>
  <c r="K686" i="1"/>
  <c r="C686" i="1"/>
  <c r="I685" i="1"/>
  <c r="G684" i="1"/>
  <c r="E683" i="1"/>
  <c r="K682" i="1"/>
  <c r="C682" i="1"/>
  <c r="I681" i="1"/>
  <c r="C748" i="1"/>
  <c r="E745" i="1"/>
  <c r="K740" i="1"/>
  <c r="D738" i="1"/>
  <c r="C730" i="1"/>
  <c r="D728" i="1"/>
  <c r="E726" i="1"/>
  <c r="G724" i="1"/>
  <c r="J721" i="1"/>
  <c r="D720" i="1"/>
  <c r="F719" i="1"/>
  <c r="B717" i="1"/>
  <c r="H716" i="1"/>
  <c r="D714" i="1"/>
  <c r="J713" i="1"/>
  <c r="F711" i="1"/>
  <c r="B709" i="1"/>
  <c r="H708" i="1"/>
  <c r="D706" i="1"/>
  <c r="J705" i="1"/>
  <c r="F704" i="1"/>
  <c r="F703" i="1"/>
  <c r="G702" i="1"/>
  <c r="H701" i="1"/>
  <c r="H700" i="1"/>
  <c r="I699" i="1"/>
  <c r="J698" i="1"/>
  <c r="J697" i="1"/>
  <c r="K696" i="1"/>
  <c r="B694" i="1"/>
  <c r="B693" i="1"/>
  <c r="C692" i="1"/>
  <c r="D691" i="1"/>
  <c r="D690" i="1"/>
  <c r="E689" i="1"/>
  <c r="F688" i="1"/>
  <c r="D687" i="1"/>
  <c r="J686" i="1"/>
  <c r="B686" i="1"/>
  <c r="H685" i="1"/>
  <c r="F684" i="1"/>
  <c r="D683" i="1"/>
  <c r="J682" i="1"/>
  <c r="B682" i="1"/>
  <c r="H681" i="1"/>
  <c r="F680" i="1"/>
  <c r="D679" i="1"/>
  <c r="J678" i="1"/>
  <c r="B678" i="1"/>
  <c r="H677" i="1"/>
  <c r="F676" i="1"/>
  <c r="D675" i="1"/>
  <c r="J674" i="1"/>
  <c r="B674" i="1"/>
  <c r="H673" i="1"/>
  <c r="F672" i="1"/>
  <c r="D671" i="1"/>
  <c r="J670" i="1"/>
  <c r="B670" i="1"/>
  <c r="H669" i="1"/>
  <c r="F668" i="1"/>
  <c r="D667" i="1"/>
  <c r="J666" i="1"/>
  <c r="B666" i="1"/>
  <c r="H665" i="1"/>
  <c r="F664" i="1"/>
  <c r="D663" i="1"/>
  <c r="J662" i="1"/>
  <c r="B662" i="1"/>
  <c r="H661" i="1"/>
  <c r="F660" i="1"/>
  <c r="D659" i="1"/>
  <c r="J658" i="1"/>
  <c r="B658" i="1"/>
  <c r="H657" i="1"/>
  <c r="F656" i="1"/>
  <c r="D655" i="1"/>
  <c r="J654" i="1"/>
  <c r="J764" i="1"/>
  <c r="E756" i="1"/>
  <c r="G753" i="1"/>
  <c r="I750" i="1"/>
  <c r="K747" i="1"/>
  <c r="G742" i="1"/>
  <c r="K735" i="1"/>
  <c r="I721" i="1"/>
  <c r="E719" i="1"/>
  <c r="K718" i="1"/>
  <c r="G716" i="1"/>
  <c r="C714" i="1"/>
  <c r="I713" i="1"/>
  <c r="E711" i="1"/>
  <c r="K710" i="1"/>
  <c r="G708" i="1"/>
  <c r="C706" i="1"/>
  <c r="I705" i="1"/>
  <c r="E704" i="1"/>
  <c r="E703" i="1"/>
  <c r="F702" i="1"/>
  <c r="G701" i="1"/>
  <c r="G700" i="1"/>
  <c r="H699" i="1"/>
  <c r="I698" i="1"/>
  <c r="I697" i="1"/>
  <c r="J696" i="1"/>
  <c r="K695" i="1"/>
  <c r="K694" i="1"/>
  <c r="B692" i="1"/>
  <c r="C691" i="1"/>
  <c r="C690" i="1"/>
  <c r="D689" i="1"/>
  <c r="E688" i="1"/>
  <c r="K687" i="1"/>
  <c r="C687" i="1"/>
  <c r="I686" i="1"/>
  <c r="G685" i="1"/>
  <c r="E684" i="1"/>
  <c r="K683" i="1"/>
  <c r="C683" i="1"/>
  <c r="I682" i="1"/>
  <c r="G681" i="1"/>
  <c r="E680" i="1"/>
  <c r="K679" i="1"/>
  <c r="C679" i="1"/>
  <c r="I678" i="1"/>
  <c r="G677" i="1"/>
  <c r="E676" i="1"/>
  <c r="K675" i="1"/>
  <c r="C675" i="1"/>
  <c r="I674" i="1"/>
  <c r="G673" i="1"/>
  <c r="E672" i="1"/>
  <c r="K671" i="1"/>
  <c r="C671" i="1"/>
  <c r="I670" i="1"/>
  <c r="G669" i="1"/>
  <c r="E668" i="1"/>
  <c r="K667" i="1"/>
  <c r="C667" i="1"/>
  <c r="D776" i="1"/>
  <c r="J769" i="1"/>
  <c r="D764" i="1"/>
  <c r="C756" i="1"/>
  <c r="E753" i="1"/>
  <c r="G750" i="1"/>
  <c r="I747" i="1"/>
  <c r="E742" i="1"/>
  <c r="J735" i="1"/>
  <c r="K733" i="1"/>
  <c r="I722" i="1"/>
  <c r="C721" i="1"/>
  <c r="D719" i="1"/>
  <c r="J718" i="1"/>
  <c r="F716" i="1"/>
  <c r="B714" i="1"/>
  <c r="H713" i="1"/>
  <c r="D711" i="1"/>
  <c r="J710" i="1"/>
  <c r="F708" i="1"/>
  <c r="B706" i="1"/>
  <c r="H705" i="1"/>
  <c r="C704" i="1"/>
  <c r="D703" i="1"/>
  <c r="D702" i="1"/>
  <c r="E701" i="1"/>
  <c r="F700" i="1"/>
  <c r="F699" i="1"/>
  <c r="G698" i="1"/>
  <c r="H697" i="1"/>
  <c r="H696" i="1"/>
  <c r="I695" i="1"/>
  <c r="J694" i="1"/>
  <c r="J693" i="1"/>
  <c r="K692" i="1"/>
  <c r="B690" i="1"/>
  <c r="B689" i="1"/>
  <c r="D688" i="1"/>
  <c r="J687" i="1"/>
  <c r="B687" i="1"/>
  <c r="H686" i="1"/>
  <c r="F685" i="1"/>
  <c r="D684" i="1"/>
  <c r="J683" i="1"/>
  <c r="B683" i="1"/>
  <c r="H682" i="1"/>
  <c r="F681" i="1"/>
  <c r="D680" i="1"/>
  <c r="J679" i="1"/>
  <c r="B679" i="1"/>
  <c r="H678" i="1"/>
  <c r="F677" i="1"/>
  <c r="D676" i="1"/>
  <c r="J675" i="1"/>
  <c r="B675" i="1"/>
  <c r="H674" i="1"/>
  <c r="F673" i="1"/>
  <c r="D672" i="1"/>
  <c r="J671" i="1"/>
  <c r="B671" i="1"/>
  <c r="H670" i="1"/>
  <c r="K820" i="1"/>
  <c r="F774" i="1"/>
  <c r="G768" i="1"/>
  <c r="D763" i="1"/>
  <c r="K755" i="1"/>
  <c r="I739" i="1"/>
  <c r="B737" i="1"/>
  <c r="B733" i="1"/>
  <c r="C731" i="1"/>
  <c r="E729" i="1"/>
  <c r="F727" i="1"/>
  <c r="G725" i="1"/>
  <c r="H722" i="1"/>
  <c r="F718" i="1"/>
  <c r="B716" i="1"/>
  <c r="H715" i="1"/>
  <c r="D713" i="1"/>
  <c r="J712" i="1"/>
  <c r="F710" i="1"/>
  <c r="B708" i="1"/>
  <c r="H707" i="1"/>
  <c r="D705" i="1"/>
  <c r="B704" i="1"/>
  <c r="C703" i="1"/>
  <c r="C702" i="1"/>
  <c r="D701" i="1"/>
  <c r="E700" i="1"/>
  <c r="E699" i="1"/>
  <c r="F698" i="1"/>
  <c r="G697" i="1"/>
  <c r="G696" i="1"/>
  <c r="H695" i="1"/>
  <c r="I694" i="1"/>
  <c r="I693" i="1"/>
  <c r="J692" i="1"/>
  <c r="K691" i="1"/>
  <c r="K690" i="1"/>
  <c r="C688" i="1"/>
  <c r="I687" i="1"/>
  <c r="G686" i="1"/>
  <c r="E685" i="1"/>
  <c r="K684" i="1"/>
  <c r="C684" i="1"/>
  <c r="I683" i="1"/>
  <c r="G682" i="1"/>
  <c r="E681" i="1"/>
  <c r="K680" i="1"/>
  <c r="C680" i="1"/>
  <c r="I679" i="1"/>
  <c r="G678" i="1"/>
  <c r="B768" i="1"/>
  <c r="I755" i="1"/>
  <c r="K752" i="1"/>
  <c r="G739" i="1"/>
  <c r="B731" i="1"/>
  <c r="C729" i="1"/>
  <c r="E727" i="1"/>
  <c r="F725" i="1"/>
  <c r="I723" i="1"/>
  <c r="C722" i="1"/>
  <c r="D718" i="1"/>
  <c r="J717" i="1"/>
  <c r="F715" i="1"/>
  <c r="B713" i="1"/>
  <c r="H712" i="1"/>
  <c r="D710" i="1"/>
  <c r="J709" i="1"/>
  <c r="F707" i="1"/>
  <c r="B705" i="1"/>
  <c r="K704" i="1"/>
  <c r="B702" i="1"/>
  <c r="B701" i="1"/>
  <c r="C700" i="1"/>
  <c r="D699" i="1"/>
  <c r="D698" i="1"/>
  <c r="E697" i="1"/>
  <c r="F696" i="1"/>
  <c r="F695" i="1"/>
  <c r="G694" i="1"/>
  <c r="H693" i="1"/>
  <c r="H692" i="1"/>
  <c r="I691" i="1"/>
  <c r="J690" i="1"/>
  <c r="J689" i="1"/>
  <c r="K688" i="1"/>
  <c r="B688" i="1"/>
  <c r="H687" i="1"/>
  <c r="F686" i="1"/>
  <c r="D685" i="1"/>
  <c r="J684" i="1"/>
  <c r="B684" i="1"/>
  <c r="H683" i="1"/>
  <c r="F682" i="1"/>
  <c r="D681" i="1"/>
  <c r="J680" i="1"/>
  <c r="B680" i="1"/>
  <c r="H679" i="1"/>
  <c r="F678" i="1"/>
  <c r="D677" i="1"/>
  <c r="J676" i="1"/>
  <c r="B676" i="1"/>
  <c r="H675" i="1"/>
  <c r="F674" i="1"/>
  <c r="D673" i="1"/>
  <c r="J672" i="1"/>
  <c r="B672" i="1"/>
  <c r="H671" i="1"/>
  <c r="F670" i="1"/>
  <c r="D669" i="1"/>
  <c r="J668" i="1"/>
  <c r="B668" i="1"/>
  <c r="H667" i="1"/>
  <c r="F666" i="1"/>
  <c r="D665" i="1"/>
  <c r="J664" i="1"/>
  <c r="B664" i="1"/>
  <c r="H663" i="1"/>
  <c r="F662" i="1"/>
  <c r="D661" i="1"/>
  <c r="J660" i="1"/>
  <c r="B660" i="1"/>
  <c r="H659" i="1"/>
  <c r="F658" i="1"/>
  <c r="D657" i="1"/>
  <c r="J656" i="1"/>
  <c r="B656" i="1"/>
  <c r="H655" i="1"/>
  <c r="G723" i="1"/>
  <c r="C710" i="1"/>
  <c r="J704" i="1"/>
  <c r="I680" i="1"/>
  <c r="E669" i="1"/>
  <c r="K668" i="1"/>
  <c r="H666" i="1"/>
  <c r="E665" i="1"/>
  <c r="J663" i="1"/>
  <c r="G662" i="1"/>
  <c r="C661" i="1"/>
  <c r="C660" i="1"/>
  <c r="C659" i="1"/>
  <c r="D658" i="1"/>
  <c r="E657" i="1"/>
  <c r="E656" i="1"/>
  <c r="F655" i="1"/>
  <c r="G654" i="1"/>
  <c r="E653" i="1"/>
  <c r="K652" i="1"/>
  <c r="C652" i="1"/>
  <c r="I651" i="1"/>
  <c r="G650" i="1"/>
  <c r="E649" i="1"/>
  <c r="K648" i="1"/>
  <c r="C648" i="1"/>
  <c r="I647" i="1"/>
  <c r="G646" i="1"/>
  <c r="E645" i="1"/>
  <c r="K644" i="1"/>
  <c r="C644" i="1"/>
  <c r="I643" i="1"/>
  <c r="G642" i="1"/>
  <c r="E641" i="1"/>
  <c r="K640" i="1"/>
  <c r="C640" i="1"/>
  <c r="I639" i="1"/>
  <c r="G638" i="1"/>
  <c r="K736" i="1"/>
  <c r="E715" i="1"/>
  <c r="I709" i="1"/>
  <c r="B700" i="1"/>
  <c r="E696" i="1"/>
  <c r="G692" i="1"/>
  <c r="J688" i="1"/>
  <c r="K685" i="1"/>
  <c r="G680" i="1"/>
  <c r="K677" i="1"/>
  <c r="K676" i="1"/>
  <c r="C669" i="1"/>
  <c r="I668" i="1"/>
  <c r="G666" i="1"/>
  <c r="C665" i="1"/>
  <c r="I663" i="1"/>
  <c r="E662" i="1"/>
  <c r="B659" i="1"/>
  <c r="C658" i="1"/>
  <c r="C657" i="1"/>
  <c r="D656" i="1"/>
  <c r="E655" i="1"/>
  <c r="F654" i="1"/>
  <c r="D653" i="1"/>
  <c r="J652" i="1"/>
  <c r="B652" i="1"/>
  <c r="H651" i="1"/>
  <c r="F650" i="1"/>
  <c r="D649" i="1"/>
  <c r="J648" i="1"/>
  <c r="B648" i="1"/>
  <c r="H647" i="1"/>
  <c r="F646" i="1"/>
  <c r="D645" i="1"/>
  <c r="J644" i="1"/>
  <c r="B644" i="1"/>
  <c r="H643" i="1"/>
  <c r="F642" i="1"/>
  <c r="D641" i="1"/>
  <c r="J640" i="1"/>
  <c r="B640" i="1"/>
  <c r="H639" i="1"/>
  <c r="F638" i="1"/>
  <c r="K714" i="1"/>
  <c r="K703" i="1"/>
  <c r="C685" i="1"/>
  <c r="E682" i="1"/>
  <c r="I677" i="1"/>
  <c r="I676" i="1"/>
  <c r="I675" i="1"/>
  <c r="K674" i="1"/>
  <c r="K673" i="1"/>
  <c r="K672" i="1"/>
  <c r="G668" i="1"/>
  <c r="E666" i="1"/>
  <c r="K664" i="1"/>
  <c r="G663" i="1"/>
  <c r="C662" i="1"/>
  <c r="K660" i="1"/>
  <c r="K659" i="1"/>
  <c r="B657" i="1"/>
  <c r="C656" i="1"/>
  <c r="C655" i="1"/>
  <c r="E654" i="1"/>
  <c r="K653" i="1"/>
  <c r="C653" i="1"/>
  <c r="I652" i="1"/>
  <c r="G651" i="1"/>
  <c r="E650" i="1"/>
  <c r="K649" i="1"/>
  <c r="C649" i="1"/>
  <c r="I648" i="1"/>
  <c r="G647" i="1"/>
  <c r="E646" i="1"/>
  <c r="K645" i="1"/>
  <c r="C645" i="1"/>
  <c r="I644" i="1"/>
  <c r="G643" i="1"/>
  <c r="E642" i="1"/>
  <c r="K641" i="1"/>
  <c r="C641" i="1"/>
  <c r="I640" i="1"/>
  <c r="G639" i="1"/>
  <c r="E638" i="1"/>
  <c r="K637" i="1"/>
  <c r="C637" i="1"/>
  <c r="I636" i="1"/>
  <c r="G635" i="1"/>
  <c r="E634" i="1"/>
  <c r="K633" i="1"/>
  <c r="C633" i="1"/>
  <c r="C699" i="1"/>
  <c r="E695" i="1"/>
  <c r="H691" i="1"/>
  <c r="K678" i="1"/>
  <c r="E677" i="1"/>
  <c r="G676" i="1"/>
  <c r="G675" i="1"/>
  <c r="G674" i="1"/>
  <c r="I673" i="1"/>
  <c r="I672" i="1"/>
  <c r="I671" i="1"/>
  <c r="K670" i="1"/>
  <c r="D668" i="1"/>
  <c r="J667" i="1"/>
  <c r="C666" i="1"/>
  <c r="I664" i="1"/>
  <c r="E663" i="1"/>
  <c r="K661" i="1"/>
  <c r="I660" i="1"/>
  <c r="J659" i="1"/>
  <c r="K658" i="1"/>
  <c r="K657" i="1"/>
  <c r="B655" i="1"/>
  <c r="D654" i="1"/>
  <c r="J653" i="1"/>
  <c r="B653" i="1"/>
  <c r="H652" i="1"/>
  <c r="F651" i="1"/>
  <c r="D650" i="1"/>
  <c r="J649" i="1"/>
  <c r="B649" i="1"/>
  <c r="H648" i="1"/>
  <c r="F647" i="1"/>
  <c r="D646" i="1"/>
  <c r="J645" i="1"/>
  <c r="B645" i="1"/>
  <c r="H644" i="1"/>
  <c r="F643" i="1"/>
  <c r="D642" i="1"/>
  <c r="J641" i="1"/>
  <c r="B641" i="1"/>
  <c r="H640" i="1"/>
  <c r="F639" i="1"/>
  <c r="D638" i="1"/>
  <c r="J637" i="1"/>
  <c r="B637" i="1"/>
  <c r="H636" i="1"/>
  <c r="F635" i="1"/>
  <c r="D634" i="1"/>
  <c r="J633" i="1"/>
  <c r="B633" i="1"/>
  <c r="H632" i="1"/>
  <c r="F631" i="1"/>
  <c r="D630" i="1"/>
  <c r="I629" i="1"/>
  <c r="G628" i="1"/>
  <c r="E627" i="1"/>
  <c r="K626" i="1"/>
  <c r="C626" i="1"/>
  <c r="I625" i="1"/>
  <c r="G624" i="1"/>
  <c r="E623" i="1"/>
  <c r="K622" i="1"/>
  <c r="C622" i="1"/>
  <c r="I621" i="1"/>
  <c r="G620" i="1"/>
  <c r="E619" i="1"/>
  <c r="K618" i="1"/>
  <c r="C618" i="1"/>
  <c r="I617" i="1"/>
  <c r="G616" i="1"/>
  <c r="E615" i="1"/>
  <c r="K614" i="1"/>
  <c r="C614" i="1"/>
  <c r="I613" i="1"/>
  <c r="G612" i="1"/>
  <c r="E611" i="1"/>
  <c r="E707" i="1"/>
  <c r="K702" i="1"/>
  <c r="G687" i="1"/>
  <c r="I684" i="1"/>
  <c r="K681" i="1"/>
  <c r="E678" i="1"/>
  <c r="C677" i="1"/>
  <c r="C676" i="1"/>
  <c r="E675" i="1"/>
  <c r="E674" i="1"/>
  <c r="E673" i="1"/>
  <c r="G672" i="1"/>
  <c r="G671" i="1"/>
  <c r="G670" i="1"/>
  <c r="C668" i="1"/>
  <c r="I667" i="1"/>
  <c r="K665" i="1"/>
  <c r="G664" i="1"/>
  <c r="C663" i="1"/>
  <c r="I661" i="1"/>
  <c r="H660" i="1"/>
  <c r="I659" i="1"/>
  <c r="I658" i="1"/>
  <c r="J657" i="1"/>
  <c r="K656" i="1"/>
  <c r="K655" i="1"/>
  <c r="C654" i="1"/>
  <c r="I653" i="1"/>
  <c r="G652" i="1"/>
  <c r="E651" i="1"/>
  <c r="K650" i="1"/>
  <c r="C650" i="1"/>
  <c r="I649" i="1"/>
  <c r="G648" i="1"/>
  <c r="E647" i="1"/>
  <c r="K646" i="1"/>
  <c r="C646" i="1"/>
  <c r="I645" i="1"/>
  <c r="G644" i="1"/>
  <c r="E643" i="1"/>
  <c r="K642" i="1"/>
  <c r="C642" i="1"/>
  <c r="I641" i="1"/>
  <c r="G640" i="1"/>
  <c r="E639" i="1"/>
  <c r="K638" i="1"/>
  <c r="C638" i="1"/>
  <c r="I637" i="1"/>
  <c r="G636" i="1"/>
  <c r="E635" i="1"/>
  <c r="K634" i="1"/>
  <c r="C634" i="1"/>
  <c r="I633" i="1"/>
  <c r="D788" i="1"/>
  <c r="C718" i="1"/>
  <c r="G712" i="1"/>
  <c r="K706" i="1"/>
  <c r="C698" i="1"/>
  <c r="F694" i="1"/>
  <c r="I690" i="1"/>
  <c r="C681" i="1"/>
  <c r="C678" i="1"/>
  <c r="C674" i="1"/>
  <c r="C673" i="1"/>
  <c r="C672" i="1"/>
  <c r="E671" i="1"/>
  <c r="E670" i="1"/>
  <c r="K669" i="1"/>
  <c r="G667" i="1"/>
  <c r="I665" i="1"/>
  <c r="E664" i="1"/>
  <c r="B663" i="1"/>
  <c r="K662" i="1"/>
  <c r="G661" i="1"/>
  <c r="G660" i="1"/>
  <c r="G659" i="1"/>
  <c r="H658" i="1"/>
  <c r="I657" i="1"/>
  <c r="I656" i="1"/>
  <c r="J655" i="1"/>
  <c r="K654" i="1"/>
  <c r="B654" i="1"/>
  <c r="H653" i="1"/>
  <c r="F652" i="1"/>
  <c r="D651" i="1"/>
  <c r="J650" i="1"/>
  <c r="B650" i="1"/>
  <c r="H649" i="1"/>
  <c r="F648" i="1"/>
  <c r="D647" i="1"/>
  <c r="J646" i="1"/>
  <c r="B646" i="1"/>
  <c r="H645" i="1"/>
  <c r="D772" i="1"/>
  <c r="J743" i="1"/>
  <c r="I717" i="1"/>
  <c r="G679" i="1"/>
  <c r="C670" i="1"/>
  <c r="I669" i="1"/>
  <c r="E667" i="1"/>
  <c r="K666" i="1"/>
  <c r="G665" i="1"/>
  <c r="D664" i="1"/>
  <c r="I662" i="1"/>
  <c r="F661" i="1"/>
  <c r="E660" i="1"/>
  <c r="F659" i="1"/>
  <c r="G658" i="1"/>
  <c r="G657" i="1"/>
  <c r="H656" i="1"/>
  <c r="I655" i="1"/>
  <c r="I654" i="1"/>
  <c r="G653" i="1"/>
  <c r="E652" i="1"/>
  <c r="K651" i="1"/>
  <c r="C651" i="1"/>
  <c r="I650" i="1"/>
  <c r="G649" i="1"/>
  <c r="E648" i="1"/>
  <c r="K647" i="1"/>
  <c r="C647" i="1"/>
  <c r="I646" i="1"/>
  <c r="G645" i="1"/>
  <c r="E644" i="1"/>
  <c r="K643" i="1"/>
  <c r="C643" i="1"/>
  <c r="I642" i="1"/>
  <c r="G641" i="1"/>
  <c r="E640" i="1"/>
  <c r="K639" i="1"/>
  <c r="C639" i="1"/>
  <c r="I638" i="1"/>
  <c r="G637" i="1"/>
  <c r="E636" i="1"/>
  <c r="K635" i="1"/>
  <c r="C635" i="1"/>
  <c r="I634" i="1"/>
  <c r="G633" i="1"/>
  <c r="E632" i="1"/>
  <c r="K631" i="1"/>
  <c r="C631" i="1"/>
  <c r="I630" i="1"/>
  <c r="F629" i="1"/>
  <c r="D628" i="1"/>
  <c r="J627" i="1"/>
  <c r="B627" i="1"/>
  <c r="H626" i="1"/>
  <c r="F625" i="1"/>
  <c r="D624" i="1"/>
  <c r="J623" i="1"/>
  <c r="B623" i="1"/>
  <c r="H622" i="1"/>
  <c r="F621" i="1"/>
  <c r="D620" i="1"/>
  <c r="J619" i="1"/>
  <c r="B619" i="1"/>
  <c r="H618" i="1"/>
  <c r="F617" i="1"/>
  <c r="D616" i="1"/>
  <c r="J615" i="1"/>
  <c r="B615" i="1"/>
  <c r="H614" i="1"/>
  <c r="F613" i="1"/>
  <c r="D612" i="1"/>
  <c r="J611" i="1"/>
  <c r="B611" i="1"/>
  <c r="H610" i="1"/>
  <c r="G683" i="1"/>
  <c r="I666" i="1"/>
  <c r="B651" i="1"/>
  <c r="D648" i="1"/>
  <c r="F645" i="1"/>
  <c r="J643" i="1"/>
  <c r="B639" i="1"/>
  <c r="D636" i="1"/>
  <c r="J635" i="1"/>
  <c r="F633" i="1"/>
  <c r="D632" i="1"/>
  <c r="E631" i="1"/>
  <c r="F630" i="1"/>
  <c r="E629" i="1"/>
  <c r="F628" i="1"/>
  <c r="G627" i="1"/>
  <c r="G626" i="1"/>
  <c r="H625" i="1"/>
  <c r="I624" i="1"/>
  <c r="I623" i="1"/>
  <c r="J622" i="1"/>
  <c r="K621" i="1"/>
  <c r="K620" i="1"/>
  <c r="B618" i="1"/>
  <c r="C617" i="1"/>
  <c r="C616" i="1"/>
  <c r="D615" i="1"/>
  <c r="E614" i="1"/>
  <c r="E613" i="1"/>
  <c r="F612" i="1"/>
  <c r="G611" i="1"/>
  <c r="I610" i="1"/>
  <c r="D609" i="1"/>
  <c r="J608" i="1"/>
  <c r="B608" i="1"/>
  <c r="H607" i="1"/>
  <c r="F606" i="1"/>
  <c r="D605" i="1"/>
  <c r="J604" i="1"/>
  <c r="B604" i="1"/>
  <c r="H603" i="1"/>
  <c r="F602" i="1"/>
  <c r="D601" i="1"/>
  <c r="J600" i="1"/>
  <c r="B600" i="1"/>
  <c r="H599" i="1"/>
  <c r="F598" i="1"/>
  <c r="D597" i="1"/>
  <c r="J596" i="1"/>
  <c r="B596" i="1"/>
  <c r="H595" i="1"/>
  <c r="F594" i="1"/>
  <c r="D593" i="1"/>
  <c r="J592" i="1"/>
  <c r="B592" i="1"/>
  <c r="H591" i="1"/>
  <c r="F590" i="1"/>
  <c r="D589" i="1"/>
  <c r="J588" i="1"/>
  <c r="B588" i="1"/>
  <c r="H587" i="1"/>
  <c r="F586" i="1"/>
  <c r="D585" i="1"/>
  <c r="J584" i="1"/>
  <c r="B584" i="1"/>
  <c r="H583" i="1"/>
  <c r="F582" i="1"/>
  <c r="D581" i="1"/>
  <c r="J580" i="1"/>
  <c r="B580" i="1"/>
  <c r="H579" i="1"/>
  <c r="F578" i="1"/>
  <c r="D577" i="1"/>
  <c r="J576" i="1"/>
  <c r="B576" i="1"/>
  <c r="H575" i="1"/>
  <c r="F574" i="1"/>
  <c r="D573" i="1"/>
  <c r="E661" i="1"/>
  <c r="F657" i="1"/>
  <c r="D643" i="1"/>
  <c r="F640" i="1"/>
  <c r="C636" i="1"/>
  <c r="I635" i="1"/>
  <c r="E633" i="1"/>
  <c r="C632" i="1"/>
  <c r="D631" i="1"/>
  <c r="E630" i="1"/>
  <c r="D629" i="1"/>
  <c r="E628" i="1"/>
  <c r="F627" i="1"/>
  <c r="F626" i="1"/>
  <c r="G625" i="1"/>
  <c r="H624" i="1"/>
  <c r="H623" i="1"/>
  <c r="I622" i="1"/>
  <c r="J621" i="1"/>
  <c r="J620" i="1"/>
  <c r="K619" i="1"/>
  <c r="B617" i="1"/>
  <c r="B616" i="1"/>
  <c r="C615" i="1"/>
  <c r="D614" i="1"/>
  <c r="D613" i="1"/>
  <c r="E612" i="1"/>
  <c r="F611" i="1"/>
  <c r="G610" i="1"/>
  <c r="K609" i="1"/>
  <c r="C609" i="1"/>
  <c r="I608" i="1"/>
  <c r="G607" i="1"/>
  <c r="E606" i="1"/>
  <c r="K605" i="1"/>
  <c r="C605" i="1"/>
  <c r="I604" i="1"/>
  <c r="G603" i="1"/>
  <c r="E602" i="1"/>
  <c r="K601" i="1"/>
  <c r="C601" i="1"/>
  <c r="I600" i="1"/>
  <c r="G599" i="1"/>
  <c r="E598" i="1"/>
  <c r="K597" i="1"/>
  <c r="C597" i="1"/>
  <c r="I596" i="1"/>
  <c r="E679" i="1"/>
  <c r="F665" i="1"/>
  <c r="F653" i="1"/>
  <c r="H650" i="1"/>
  <c r="J647" i="1"/>
  <c r="B643" i="1"/>
  <c r="D640" i="1"/>
  <c r="B636" i="1"/>
  <c r="H635" i="1"/>
  <c r="D633" i="1"/>
  <c r="B632" i="1"/>
  <c r="B631" i="1"/>
  <c r="C630" i="1"/>
  <c r="C629" i="1"/>
  <c r="C628" i="1"/>
  <c r="D627" i="1"/>
  <c r="E626" i="1"/>
  <c r="E625" i="1"/>
  <c r="F624" i="1"/>
  <c r="G623" i="1"/>
  <c r="G622" i="1"/>
  <c r="H621" i="1"/>
  <c r="I620" i="1"/>
  <c r="I619" i="1"/>
  <c r="J618" i="1"/>
  <c r="K617" i="1"/>
  <c r="K616" i="1"/>
  <c r="B614" i="1"/>
  <c r="C613" i="1"/>
  <c r="C612" i="1"/>
  <c r="D611" i="1"/>
  <c r="F610" i="1"/>
  <c r="J609" i="1"/>
  <c r="B609" i="1"/>
  <c r="H608" i="1"/>
  <c r="F607" i="1"/>
  <c r="D606" i="1"/>
  <c r="J605" i="1"/>
  <c r="B605" i="1"/>
  <c r="H604" i="1"/>
  <c r="F603" i="1"/>
  <c r="D602" i="1"/>
  <c r="J601" i="1"/>
  <c r="B601" i="1"/>
  <c r="H600" i="1"/>
  <c r="F599" i="1"/>
  <c r="D598" i="1"/>
  <c r="J597" i="1"/>
  <c r="B597" i="1"/>
  <c r="H596" i="1"/>
  <c r="F595" i="1"/>
  <c r="D594" i="1"/>
  <c r="J593" i="1"/>
  <c r="B593" i="1"/>
  <c r="H592" i="1"/>
  <c r="F591" i="1"/>
  <c r="D590" i="1"/>
  <c r="J589" i="1"/>
  <c r="B589" i="1"/>
  <c r="H588" i="1"/>
  <c r="F587" i="1"/>
  <c r="D586" i="1"/>
  <c r="J585" i="1"/>
  <c r="B585" i="1"/>
  <c r="H584" i="1"/>
  <c r="F583" i="1"/>
  <c r="D660" i="1"/>
  <c r="G656" i="1"/>
  <c r="B647" i="1"/>
  <c r="F644" i="1"/>
  <c r="H641" i="1"/>
  <c r="J638" i="1"/>
  <c r="H637" i="1"/>
  <c r="D635" i="1"/>
  <c r="J634" i="1"/>
  <c r="K632" i="1"/>
  <c r="B630" i="1"/>
  <c r="B629" i="1"/>
  <c r="B628" i="1"/>
  <c r="C627" i="1"/>
  <c r="D626" i="1"/>
  <c r="D625" i="1"/>
  <c r="E624" i="1"/>
  <c r="F623" i="1"/>
  <c r="F622" i="1"/>
  <c r="G621" i="1"/>
  <c r="H620" i="1"/>
  <c r="H619" i="1"/>
  <c r="I618" i="1"/>
  <c r="J617" i="1"/>
  <c r="J616" i="1"/>
  <c r="K615" i="1"/>
  <c r="B613" i="1"/>
  <c r="B612" i="1"/>
  <c r="C611" i="1"/>
  <c r="E610" i="1"/>
  <c r="I609" i="1"/>
  <c r="G608" i="1"/>
  <c r="E607" i="1"/>
  <c r="K606" i="1"/>
  <c r="C606" i="1"/>
  <c r="I605" i="1"/>
  <c r="G604" i="1"/>
  <c r="E603" i="1"/>
  <c r="K602" i="1"/>
  <c r="C602" i="1"/>
  <c r="I601" i="1"/>
  <c r="G600" i="1"/>
  <c r="E599" i="1"/>
  <c r="K598" i="1"/>
  <c r="C598" i="1"/>
  <c r="I597" i="1"/>
  <c r="G596" i="1"/>
  <c r="E595" i="1"/>
  <c r="K594" i="1"/>
  <c r="C594" i="1"/>
  <c r="I593" i="1"/>
  <c r="G592" i="1"/>
  <c r="E591" i="1"/>
  <c r="K590" i="1"/>
  <c r="C590" i="1"/>
  <c r="I589" i="1"/>
  <c r="G588" i="1"/>
  <c r="E587" i="1"/>
  <c r="K586" i="1"/>
  <c r="C586" i="1"/>
  <c r="I585" i="1"/>
  <c r="G584" i="1"/>
  <c r="E583" i="1"/>
  <c r="K582" i="1"/>
  <c r="C582" i="1"/>
  <c r="I581" i="1"/>
  <c r="G580" i="1"/>
  <c r="E579" i="1"/>
  <c r="K578" i="1"/>
  <c r="C578" i="1"/>
  <c r="I577" i="1"/>
  <c r="G693" i="1"/>
  <c r="K663" i="1"/>
  <c r="E659" i="1"/>
  <c r="G655" i="1"/>
  <c r="D652" i="1"/>
  <c r="F649" i="1"/>
  <c r="H646" i="1"/>
  <c r="J642" i="1"/>
  <c r="B638" i="1"/>
  <c r="E637" i="1"/>
  <c r="K636" i="1"/>
  <c r="G634" i="1"/>
  <c r="I632" i="1"/>
  <c r="I631" i="1"/>
  <c r="J630" i="1"/>
  <c r="J629" i="1"/>
  <c r="J628" i="1"/>
  <c r="K627" i="1"/>
  <c r="B625" i="1"/>
  <c r="B624" i="1"/>
  <c r="C623" i="1"/>
  <c r="D622" i="1"/>
  <c r="D621" i="1"/>
  <c r="E620" i="1"/>
  <c r="F619" i="1"/>
  <c r="F618" i="1"/>
  <c r="G617" i="1"/>
  <c r="H616" i="1"/>
  <c r="H615" i="1"/>
  <c r="I614" i="1"/>
  <c r="J613" i="1"/>
  <c r="J612" i="1"/>
  <c r="K611" i="1"/>
  <c r="C610" i="1"/>
  <c r="G609" i="1"/>
  <c r="E608" i="1"/>
  <c r="K607" i="1"/>
  <c r="C607" i="1"/>
  <c r="I606" i="1"/>
  <c r="G605" i="1"/>
  <c r="E604" i="1"/>
  <c r="K603" i="1"/>
  <c r="C603" i="1"/>
  <c r="I602" i="1"/>
  <c r="G601" i="1"/>
  <c r="E600" i="1"/>
  <c r="K599" i="1"/>
  <c r="C599" i="1"/>
  <c r="I598" i="1"/>
  <c r="G597" i="1"/>
  <c r="E596" i="1"/>
  <c r="K595" i="1"/>
  <c r="C595" i="1"/>
  <c r="I594" i="1"/>
  <c r="I689" i="1"/>
  <c r="C664" i="1"/>
  <c r="H654" i="1"/>
  <c r="F641" i="1"/>
  <c r="F632" i="1"/>
  <c r="K629" i="1"/>
  <c r="H628" i="1"/>
  <c r="J624" i="1"/>
  <c r="D619" i="1"/>
  <c r="G615" i="1"/>
  <c r="I611" i="1"/>
  <c r="D610" i="1"/>
  <c r="E609" i="1"/>
  <c r="D608" i="1"/>
  <c r="D607" i="1"/>
  <c r="G606" i="1"/>
  <c r="F605" i="1"/>
  <c r="F604" i="1"/>
  <c r="I603" i="1"/>
  <c r="H602" i="1"/>
  <c r="H601" i="1"/>
  <c r="K600" i="1"/>
  <c r="J599" i="1"/>
  <c r="J598" i="1"/>
  <c r="G594" i="1"/>
  <c r="C593" i="1"/>
  <c r="I591" i="1"/>
  <c r="E590" i="1"/>
  <c r="K588" i="1"/>
  <c r="G587" i="1"/>
  <c r="B586" i="1"/>
  <c r="I584" i="1"/>
  <c r="D583" i="1"/>
  <c r="D582" i="1"/>
  <c r="E581" i="1"/>
  <c r="E580" i="1"/>
  <c r="F579" i="1"/>
  <c r="G578" i="1"/>
  <c r="G577" i="1"/>
  <c r="K576" i="1"/>
  <c r="E575" i="1"/>
  <c r="I574" i="1"/>
  <c r="C573" i="1"/>
  <c r="I572" i="1"/>
  <c r="G571" i="1"/>
  <c r="E570" i="1"/>
  <c r="K569" i="1"/>
  <c r="C569" i="1"/>
  <c r="I568" i="1"/>
  <c r="G567" i="1"/>
  <c r="E566" i="1"/>
  <c r="K565" i="1"/>
  <c r="C565" i="1"/>
  <c r="I564" i="1"/>
  <c r="G563" i="1"/>
  <c r="E562" i="1"/>
  <c r="K561" i="1"/>
  <c r="C561" i="1"/>
  <c r="I560" i="1"/>
  <c r="G559" i="1"/>
  <c r="E558" i="1"/>
  <c r="K557" i="1"/>
  <c r="C557" i="1"/>
  <c r="I556" i="1"/>
  <c r="G555" i="1"/>
  <c r="E554" i="1"/>
  <c r="K553" i="1"/>
  <c r="C553" i="1"/>
  <c r="I552" i="1"/>
  <c r="G551" i="1"/>
  <c r="E550" i="1"/>
  <c r="K549" i="1"/>
  <c r="C549" i="1"/>
  <c r="I548" i="1"/>
  <c r="G547" i="1"/>
  <c r="E686" i="1"/>
  <c r="F637" i="1"/>
  <c r="H629" i="1"/>
  <c r="K625" i="1"/>
  <c r="C624" i="1"/>
  <c r="F620" i="1"/>
  <c r="C619" i="1"/>
  <c r="I616" i="1"/>
  <c r="F615" i="1"/>
  <c r="K612" i="1"/>
  <c r="H611" i="1"/>
  <c r="B610" i="1"/>
  <c r="C608" i="1"/>
  <c r="B607" i="1"/>
  <c r="B606" i="1"/>
  <c r="E605" i="1"/>
  <c r="D604" i="1"/>
  <c r="D603" i="1"/>
  <c r="G602" i="1"/>
  <c r="F601" i="1"/>
  <c r="F600" i="1"/>
  <c r="I599" i="1"/>
  <c r="H598" i="1"/>
  <c r="H597" i="1"/>
  <c r="K596" i="1"/>
  <c r="E594" i="1"/>
  <c r="K592" i="1"/>
  <c r="G591" i="1"/>
  <c r="B590" i="1"/>
  <c r="I588" i="1"/>
  <c r="D587" i="1"/>
  <c r="K585" i="1"/>
  <c r="F584" i="1"/>
  <c r="C583" i="1"/>
  <c r="B582" i="1"/>
  <c r="C581" i="1"/>
  <c r="D580" i="1"/>
  <c r="D579" i="1"/>
  <c r="E578" i="1"/>
  <c r="F577" i="1"/>
  <c r="I576" i="1"/>
  <c r="D575" i="1"/>
  <c r="H574" i="1"/>
  <c r="K573" i="1"/>
  <c r="B573" i="1"/>
  <c r="H572" i="1"/>
  <c r="F571" i="1"/>
  <c r="D570" i="1"/>
  <c r="J569" i="1"/>
  <c r="B569" i="1"/>
  <c r="H568" i="1"/>
  <c r="F567" i="1"/>
  <c r="D566" i="1"/>
  <c r="J565" i="1"/>
  <c r="B565" i="1"/>
  <c r="H564" i="1"/>
  <c r="F563" i="1"/>
  <c r="D562" i="1"/>
  <c r="J561" i="1"/>
  <c r="B561" i="1"/>
  <c r="H560" i="1"/>
  <c r="F559" i="1"/>
  <c r="D558" i="1"/>
  <c r="J557" i="1"/>
  <c r="B557" i="1"/>
  <c r="H556" i="1"/>
  <c r="F555" i="1"/>
  <c r="D554" i="1"/>
  <c r="J553" i="1"/>
  <c r="B553" i="1"/>
  <c r="H552" i="1"/>
  <c r="F551" i="1"/>
  <c r="D550" i="1"/>
  <c r="J549" i="1"/>
  <c r="B549" i="1"/>
  <c r="H662" i="1"/>
  <c r="D644" i="1"/>
  <c r="D637" i="1"/>
  <c r="B635" i="1"/>
  <c r="H633" i="1"/>
  <c r="K630" i="1"/>
  <c r="G629" i="1"/>
  <c r="J625" i="1"/>
  <c r="C620" i="1"/>
  <c r="F616" i="1"/>
  <c r="I612" i="1"/>
  <c r="C604" i="1"/>
  <c r="B603" i="1"/>
  <c r="B602" i="1"/>
  <c r="E601" i="1"/>
  <c r="D600" i="1"/>
  <c r="D599" i="1"/>
  <c r="G598" i="1"/>
  <c r="F597" i="1"/>
  <c r="F596" i="1"/>
  <c r="B594" i="1"/>
  <c r="I592" i="1"/>
  <c r="D591" i="1"/>
  <c r="K589" i="1"/>
  <c r="F588" i="1"/>
  <c r="C587" i="1"/>
  <c r="H585" i="1"/>
  <c r="E584" i="1"/>
  <c r="B583" i="1"/>
  <c r="B581" i="1"/>
  <c r="C580" i="1"/>
  <c r="C579" i="1"/>
  <c r="D578" i="1"/>
  <c r="E577" i="1"/>
  <c r="H576" i="1"/>
  <c r="C575" i="1"/>
  <c r="G574" i="1"/>
  <c r="J573" i="1"/>
  <c r="G572" i="1"/>
  <c r="E571" i="1"/>
  <c r="K570" i="1"/>
  <c r="C570" i="1"/>
  <c r="I569" i="1"/>
  <c r="G568" i="1"/>
  <c r="E567" i="1"/>
  <c r="K566" i="1"/>
  <c r="C566" i="1"/>
  <c r="I565" i="1"/>
  <c r="G564" i="1"/>
  <c r="E563" i="1"/>
  <c r="K562" i="1"/>
  <c r="C562" i="1"/>
  <c r="I561" i="1"/>
  <c r="G560" i="1"/>
  <c r="E559" i="1"/>
  <c r="K558" i="1"/>
  <c r="C558" i="1"/>
  <c r="I557" i="1"/>
  <c r="G556" i="1"/>
  <c r="E555" i="1"/>
  <c r="K554" i="1"/>
  <c r="C554" i="1"/>
  <c r="I553" i="1"/>
  <c r="G552" i="1"/>
  <c r="E551" i="1"/>
  <c r="K550" i="1"/>
  <c r="C550" i="1"/>
  <c r="I549" i="1"/>
  <c r="G548" i="1"/>
  <c r="E547" i="1"/>
  <c r="K546" i="1"/>
  <c r="C546" i="1"/>
  <c r="I545" i="1"/>
  <c r="G544" i="1"/>
  <c r="E543" i="1"/>
  <c r="K542" i="1"/>
  <c r="C542" i="1"/>
  <c r="J651" i="1"/>
  <c r="H630" i="1"/>
  <c r="J626" i="1"/>
  <c r="C625" i="1"/>
  <c r="E621" i="1"/>
  <c r="B620" i="1"/>
  <c r="H617" i="1"/>
  <c r="E616" i="1"/>
  <c r="K613" i="1"/>
  <c r="H612" i="1"/>
  <c r="C600" i="1"/>
  <c r="B599" i="1"/>
  <c r="B598" i="1"/>
  <c r="E597" i="1"/>
  <c r="D596" i="1"/>
  <c r="J595" i="1"/>
  <c r="K593" i="1"/>
  <c r="F592" i="1"/>
  <c r="C591" i="1"/>
  <c r="H589" i="1"/>
  <c r="E588" i="1"/>
  <c r="B587" i="1"/>
  <c r="J586" i="1"/>
  <c r="G585" i="1"/>
  <c r="D584" i="1"/>
  <c r="J582" i="1"/>
  <c r="K581" i="1"/>
  <c r="B579" i="1"/>
  <c r="B578" i="1"/>
  <c r="C577" i="1"/>
  <c r="G576" i="1"/>
  <c r="K575" i="1"/>
  <c r="B575" i="1"/>
  <c r="E574" i="1"/>
  <c r="I573" i="1"/>
  <c r="F572" i="1"/>
  <c r="D571" i="1"/>
  <c r="J570" i="1"/>
  <c r="B570" i="1"/>
  <c r="H569" i="1"/>
  <c r="F568" i="1"/>
  <c r="D567" i="1"/>
  <c r="J566" i="1"/>
  <c r="B566" i="1"/>
  <c r="H565" i="1"/>
  <c r="F564" i="1"/>
  <c r="D563" i="1"/>
  <c r="J562" i="1"/>
  <c r="B562" i="1"/>
  <c r="H561" i="1"/>
  <c r="F560" i="1"/>
  <c r="D559" i="1"/>
  <c r="J558" i="1"/>
  <c r="B558" i="1"/>
  <c r="H557" i="1"/>
  <c r="F556" i="1"/>
  <c r="D555" i="1"/>
  <c r="J554" i="1"/>
  <c r="B554" i="1"/>
  <c r="H553" i="1"/>
  <c r="F552" i="1"/>
  <c r="D551" i="1"/>
  <c r="J550" i="1"/>
  <c r="B550" i="1"/>
  <c r="H549" i="1"/>
  <c r="F548" i="1"/>
  <c r="D547" i="1"/>
  <c r="H642" i="1"/>
  <c r="H638" i="1"/>
  <c r="F636" i="1"/>
  <c r="F634" i="1"/>
  <c r="J632" i="1"/>
  <c r="G631" i="1"/>
  <c r="K628" i="1"/>
  <c r="H627" i="1"/>
  <c r="K623" i="1"/>
  <c r="B622" i="1"/>
  <c r="E618" i="1"/>
  <c r="G614" i="1"/>
  <c r="K610" i="1"/>
  <c r="H609" i="1"/>
  <c r="K608" i="1"/>
  <c r="J607" i="1"/>
  <c r="J606" i="1"/>
  <c r="D595" i="1"/>
  <c r="J594" i="1"/>
  <c r="F593" i="1"/>
  <c r="C592" i="1"/>
  <c r="K591" i="1"/>
  <c r="H590" i="1"/>
  <c r="E589" i="1"/>
  <c r="J587" i="1"/>
  <c r="G586" i="1"/>
  <c r="C585" i="1"/>
  <c r="I583" i="1"/>
  <c r="G582" i="1"/>
  <c r="G581" i="1"/>
  <c r="H580" i="1"/>
  <c r="I579" i="1"/>
  <c r="I578" i="1"/>
  <c r="J577" i="1"/>
  <c r="D576" i="1"/>
  <c r="G575" i="1"/>
  <c r="K574" i="1"/>
  <c r="B574" i="1"/>
  <c r="F573" i="1"/>
  <c r="K572" i="1"/>
  <c r="C572" i="1"/>
  <c r="I571" i="1"/>
  <c r="G570" i="1"/>
  <c r="E569" i="1"/>
  <c r="K568" i="1"/>
  <c r="C568" i="1"/>
  <c r="I567" i="1"/>
  <c r="G566" i="1"/>
  <c r="E565" i="1"/>
  <c r="K564" i="1"/>
  <c r="C564" i="1"/>
  <c r="I563" i="1"/>
  <c r="G562" i="1"/>
  <c r="E561" i="1"/>
  <c r="K560" i="1"/>
  <c r="C560" i="1"/>
  <c r="I559" i="1"/>
  <c r="G558" i="1"/>
  <c r="E557" i="1"/>
  <c r="K556" i="1"/>
  <c r="C556" i="1"/>
  <c r="I555" i="1"/>
  <c r="G554" i="1"/>
  <c r="E553" i="1"/>
  <c r="K552" i="1"/>
  <c r="C552" i="1"/>
  <c r="I551" i="1"/>
  <c r="G550" i="1"/>
  <c r="E549" i="1"/>
  <c r="K548" i="1"/>
  <c r="C548" i="1"/>
  <c r="I547" i="1"/>
  <c r="F669" i="1"/>
  <c r="H631" i="1"/>
  <c r="K624" i="1"/>
  <c r="B621" i="1"/>
  <c r="E617" i="1"/>
  <c r="F614" i="1"/>
  <c r="H605" i="1"/>
  <c r="G595" i="1"/>
  <c r="H593" i="1"/>
  <c r="I590" i="1"/>
  <c r="I587" i="1"/>
  <c r="C584" i="1"/>
  <c r="H581" i="1"/>
  <c r="K577" i="1"/>
  <c r="F576" i="1"/>
  <c r="F575" i="1"/>
  <c r="C574" i="1"/>
  <c r="B572" i="1"/>
  <c r="B571" i="1"/>
  <c r="D569" i="1"/>
  <c r="D568" i="1"/>
  <c r="C567" i="1"/>
  <c r="F566" i="1"/>
  <c r="F565" i="1"/>
  <c r="E564" i="1"/>
  <c r="H563" i="1"/>
  <c r="H562" i="1"/>
  <c r="G561" i="1"/>
  <c r="J560" i="1"/>
  <c r="J559" i="1"/>
  <c r="I558" i="1"/>
  <c r="K555" i="1"/>
  <c r="B548" i="1"/>
  <c r="H547" i="1"/>
  <c r="E546" i="1"/>
  <c r="H545" i="1"/>
  <c r="C544" i="1"/>
  <c r="G543" i="1"/>
  <c r="J542" i="1"/>
  <c r="F541" i="1"/>
  <c r="D540" i="1"/>
  <c r="J539" i="1"/>
  <c r="B539" i="1"/>
  <c r="H538" i="1"/>
  <c r="F537" i="1"/>
  <c r="D536" i="1"/>
  <c r="J535" i="1"/>
  <c r="B535" i="1"/>
  <c r="H534" i="1"/>
  <c r="F533" i="1"/>
  <c r="D532" i="1"/>
  <c r="J531" i="1"/>
  <c r="B531" i="1"/>
  <c r="H530" i="1"/>
  <c r="F529" i="1"/>
  <c r="D528" i="1"/>
  <c r="I527" i="1"/>
  <c r="G526" i="1"/>
  <c r="E525" i="1"/>
  <c r="K524" i="1"/>
  <c r="C524" i="1"/>
  <c r="I523" i="1"/>
  <c r="G522" i="1"/>
  <c r="E521" i="1"/>
  <c r="K520" i="1"/>
  <c r="C520" i="1"/>
  <c r="I519" i="1"/>
  <c r="G518" i="1"/>
  <c r="E517" i="1"/>
  <c r="K516" i="1"/>
  <c r="C516" i="1"/>
  <c r="I515" i="1"/>
  <c r="G514" i="1"/>
  <c r="E513" i="1"/>
  <c r="K512" i="1"/>
  <c r="C512" i="1"/>
  <c r="I511" i="1"/>
  <c r="G510" i="1"/>
  <c r="E509" i="1"/>
  <c r="K508" i="1"/>
  <c r="C508" i="1"/>
  <c r="I507" i="1"/>
  <c r="G506" i="1"/>
  <c r="E505" i="1"/>
  <c r="K504" i="1"/>
  <c r="C504" i="1"/>
  <c r="I503" i="1"/>
  <c r="G502" i="1"/>
  <c r="E501" i="1"/>
  <c r="K500" i="1"/>
  <c r="C500" i="1"/>
  <c r="I499" i="1"/>
  <c r="G498" i="1"/>
  <c r="E497" i="1"/>
  <c r="K496" i="1"/>
  <c r="C496" i="1"/>
  <c r="I495" i="1"/>
  <c r="G494" i="1"/>
  <c r="E493" i="1"/>
  <c r="K492" i="1"/>
  <c r="C492" i="1"/>
  <c r="I491" i="1"/>
  <c r="G490" i="1"/>
  <c r="E489" i="1"/>
  <c r="K488" i="1"/>
  <c r="C488" i="1"/>
  <c r="I487" i="1"/>
  <c r="G486" i="1"/>
  <c r="E485" i="1"/>
  <c r="K484" i="1"/>
  <c r="C484" i="1"/>
  <c r="I483" i="1"/>
  <c r="G482" i="1"/>
  <c r="E481" i="1"/>
  <c r="K480" i="1"/>
  <c r="C480" i="1"/>
  <c r="I479" i="1"/>
  <c r="G478" i="1"/>
  <c r="E477" i="1"/>
  <c r="K476" i="1"/>
  <c r="C476" i="1"/>
  <c r="I475" i="1"/>
  <c r="G474" i="1"/>
  <c r="B667" i="1"/>
  <c r="I627" i="1"/>
  <c r="D617" i="1"/>
  <c r="H613" i="1"/>
  <c r="J610" i="1"/>
  <c r="J602" i="1"/>
  <c r="B595" i="1"/>
  <c r="G593" i="1"/>
  <c r="G590" i="1"/>
  <c r="I582" i="1"/>
  <c r="F581" i="1"/>
  <c r="H577" i="1"/>
  <c r="E576" i="1"/>
  <c r="B568" i="1"/>
  <c r="B567" i="1"/>
  <c r="D565" i="1"/>
  <c r="D564" i="1"/>
  <c r="C563" i="1"/>
  <c r="F562" i="1"/>
  <c r="F561" i="1"/>
  <c r="E560" i="1"/>
  <c r="H559" i="1"/>
  <c r="H558" i="1"/>
  <c r="G557" i="1"/>
  <c r="J556" i="1"/>
  <c r="J555" i="1"/>
  <c r="I554" i="1"/>
  <c r="K551" i="1"/>
  <c r="F547" i="1"/>
  <c r="D546" i="1"/>
  <c r="G545" i="1"/>
  <c r="K544" i="1"/>
  <c r="B544" i="1"/>
  <c r="F543" i="1"/>
  <c r="I542" i="1"/>
  <c r="E541" i="1"/>
  <c r="K540" i="1"/>
  <c r="C540" i="1"/>
  <c r="I539" i="1"/>
  <c r="G538" i="1"/>
  <c r="E537" i="1"/>
  <c r="K536" i="1"/>
  <c r="C536" i="1"/>
  <c r="I535" i="1"/>
  <c r="G534" i="1"/>
  <c r="E533" i="1"/>
  <c r="K532" i="1"/>
  <c r="C532" i="1"/>
  <c r="I531" i="1"/>
  <c r="G530" i="1"/>
  <c r="E529" i="1"/>
  <c r="K528" i="1"/>
  <c r="C528" i="1"/>
  <c r="H527" i="1"/>
  <c r="F526" i="1"/>
  <c r="D525" i="1"/>
  <c r="J524" i="1"/>
  <c r="B524" i="1"/>
  <c r="H523" i="1"/>
  <c r="F522" i="1"/>
  <c r="D521" i="1"/>
  <c r="J520" i="1"/>
  <c r="B520" i="1"/>
  <c r="H519" i="1"/>
  <c r="F518" i="1"/>
  <c r="D517" i="1"/>
  <c r="J516" i="1"/>
  <c r="B516" i="1"/>
  <c r="H515" i="1"/>
  <c r="F514" i="1"/>
  <c r="D513" i="1"/>
  <c r="J512" i="1"/>
  <c r="B512" i="1"/>
  <c r="H511" i="1"/>
  <c r="F510" i="1"/>
  <c r="D509" i="1"/>
  <c r="J508" i="1"/>
  <c r="B508" i="1"/>
  <c r="H507" i="1"/>
  <c r="F506" i="1"/>
  <c r="D505" i="1"/>
  <c r="J504" i="1"/>
  <c r="B504" i="1"/>
  <c r="H503" i="1"/>
  <c r="F502" i="1"/>
  <c r="D501" i="1"/>
  <c r="J500" i="1"/>
  <c r="B500" i="1"/>
  <c r="H499" i="1"/>
  <c r="F498" i="1"/>
  <c r="D497" i="1"/>
  <c r="J496" i="1"/>
  <c r="B496" i="1"/>
  <c r="H495" i="1"/>
  <c r="F494" i="1"/>
  <c r="D493" i="1"/>
  <c r="J492" i="1"/>
  <c r="B492" i="1"/>
  <c r="H491" i="1"/>
  <c r="F490" i="1"/>
  <c r="D489" i="1"/>
  <c r="J488" i="1"/>
  <c r="B488" i="1"/>
  <c r="H487" i="1"/>
  <c r="F486" i="1"/>
  <c r="D485" i="1"/>
  <c r="J484" i="1"/>
  <c r="B484" i="1"/>
  <c r="H483" i="1"/>
  <c r="F482" i="1"/>
  <c r="D481" i="1"/>
  <c r="J480" i="1"/>
  <c r="B480" i="1"/>
  <c r="H479" i="1"/>
  <c r="B642" i="1"/>
  <c r="H634" i="1"/>
  <c r="G630" i="1"/>
  <c r="G613" i="1"/>
  <c r="I607" i="1"/>
  <c r="E593" i="1"/>
  <c r="F585" i="1"/>
  <c r="H582" i="1"/>
  <c r="J578" i="1"/>
  <c r="B577" i="1"/>
  <c r="C576" i="1"/>
  <c r="B564" i="1"/>
  <c r="B563" i="1"/>
  <c r="D561" i="1"/>
  <c r="D560" i="1"/>
  <c r="C559" i="1"/>
  <c r="F558" i="1"/>
  <c r="F557" i="1"/>
  <c r="E556" i="1"/>
  <c r="H555" i="1"/>
  <c r="H554" i="1"/>
  <c r="G553" i="1"/>
  <c r="J552" i="1"/>
  <c r="J551" i="1"/>
  <c r="I550" i="1"/>
  <c r="C547" i="1"/>
  <c r="B546" i="1"/>
  <c r="F545" i="1"/>
  <c r="J544" i="1"/>
  <c r="D543" i="1"/>
  <c r="H542" i="1"/>
  <c r="D541" i="1"/>
  <c r="J540" i="1"/>
  <c r="B540" i="1"/>
  <c r="H539" i="1"/>
  <c r="F538" i="1"/>
  <c r="D537" i="1"/>
  <c r="J536" i="1"/>
  <c r="B536" i="1"/>
  <c r="H535" i="1"/>
  <c r="F534" i="1"/>
  <c r="D533" i="1"/>
  <c r="J532" i="1"/>
  <c r="B532" i="1"/>
  <c r="H531" i="1"/>
  <c r="F530" i="1"/>
  <c r="D529" i="1"/>
  <c r="J528" i="1"/>
  <c r="B528" i="1"/>
  <c r="G527" i="1"/>
  <c r="E526" i="1"/>
  <c r="K525" i="1"/>
  <c r="C525" i="1"/>
  <c r="I524" i="1"/>
  <c r="G523" i="1"/>
  <c r="E522" i="1"/>
  <c r="K521" i="1"/>
  <c r="C521" i="1"/>
  <c r="I520" i="1"/>
  <c r="G519" i="1"/>
  <c r="E518" i="1"/>
  <c r="K517" i="1"/>
  <c r="C517" i="1"/>
  <c r="I516" i="1"/>
  <c r="G515" i="1"/>
  <c r="E514" i="1"/>
  <c r="K513" i="1"/>
  <c r="C513" i="1"/>
  <c r="I512" i="1"/>
  <c r="G511" i="1"/>
  <c r="E510" i="1"/>
  <c r="K509" i="1"/>
  <c r="C509" i="1"/>
  <c r="I508" i="1"/>
  <c r="G507" i="1"/>
  <c r="E506" i="1"/>
  <c r="K505" i="1"/>
  <c r="C505" i="1"/>
  <c r="I504" i="1"/>
  <c r="G503" i="1"/>
  <c r="E502" i="1"/>
  <c r="K501" i="1"/>
  <c r="C501" i="1"/>
  <c r="I500" i="1"/>
  <c r="G499" i="1"/>
  <c r="E498" i="1"/>
  <c r="K497" i="1"/>
  <c r="C497" i="1"/>
  <c r="I496" i="1"/>
  <c r="G495" i="1"/>
  <c r="E494" i="1"/>
  <c r="K493" i="1"/>
  <c r="C493" i="1"/>
  <c r="I492" i="1"/>
  <c r="G491" i="1"/>
  <c r="E490" i="1"/>
  <c r="K489" i="1"/>
  <c r="C489" i="1"/>
  <c r="I488" i="1"/>
  <c r="G487" i="1"/>
  <c r="E486" i="1"/>
  <c r="K485" i="1"/>
  <c r="C485" i="1"/>
  <c r="I484" i="1"/>
  <c r="G483" i="1"/>
  <c r="E482" i="1"/>
  <c r="K481" i="1"/>
  <c r="C481" i="1"/>
  <c r="I480" i="1"/>
  <c r="G479" i="1"/>
  <c r="E478" i="1"/>
  <c r="K477" i="1"/>
  <c r="C477" i="1"/>
  <c r="I476" i="1"/>
  <c r="G475" i="1"/>
  <c r="E474" i="1"/>
  <c r="K473" i="1"/>
  <c r="C473" i="1"/>
  <c r="I472" i="1"/>
  <c r="G471" i="1"/>
  <c r="E470" i="1"/>
  <c r="K469" i="1"/>
  <c r="C469" i="1"/>
  <c r="I468" i="1"/>
  <c r="G467" i="1"/>
  <c r="E466" i="1"/>
  <c r="K465" i="1"/>
  <c r="C465" i="1"/>
  <c r="I464" i="1"/>
  <c r="G463" i="1"/>
  <c r="E462" i="1"/>
  <c r="K461" i="1"/>
  <c r="C461" i="1"/>
  <c r="I460" i="1"/>
  <c r="G459" i="1"/>
  <c r="E458" i="1"/>
  <c r="K457" i="1"/>
  <c r="C457" i="1"/>
  <c r="I456" i="1"/>
  <c r="G455" i="1"/>
  <c r="E454" i="1"/>
  <c r="K453" i="1"/>
  <c r="C453" i="1"/>
  <c r="I452" i="1"/>
  <c r="G451" i="1"/>
  <c r="E450" i="1"/>
  <c r="K449" i="1"/>
  <c r="C449" i="1"/>
  <c r="I448" i="1"/>
  <c r="G447" i="1"/>
  <c r="E446" i="1"/>
  <c r="K445" i="1"/>
  <c r="C445" i="1"/>
  <c r="I444" i="1"/>
  <c r="E658" i="1"/>
  <c r="J639" i="1"/>
  <c r="B634" i="1"/>
  <c r="I626" i="1"/>
  <c r="D623" i="1"/>
  <c r="K604" i="1"/>
  <c r="J591" i="1"/>
  <c r="D588" i="1"/>
  <c r="E585" i="1"/>
  <c r="K583" i="1"/>
  <c r="E582" i="1"/>
  <c r="K579" i="1"/>
  <c r="H578" i="1"/>
  <c r="B560" i="1"/>
  <c r="B559" i="1"/>
  <c r="D557" i="1"/>
  <c r="D556" i="1"/>
  <c r="C555" i="1"/>
  <c r="F554" i="1"/>
  <c r="F553" i="1"/>
  <c r="E552" i="1"/>
  <c r="H551" i="1"/>
  <c r="H550" i="1"/>
  <c r="G549" i="1"/>
  <c r="B547" i="1"/>
  <c r="J546" i="1"/>
  <c r="E545" i="1"/>
  <c r="I544" i="1"/>
  <c r="C543" i="1"/>
  <c r="G542" i="1"/>
  <c r="K541" i="1"/>
  <c r="C541" i="1"/>
  <c r="I540" i="1"/>
  <c r="G539" i="1"/>
  <c r="E538" i="1"/>
  <c r="K537" i="1"/>
  <c r="C537" i="1"/>
  <c r="I536" i="1"/>
  <c r="G535" i="1"/>
  <c r="E534" i="1"/>
  <c r="K533" i="1"/>
  <c r="C533" i="1"/>
  <c r="I532" i="1"/>
  <c r="G531" i="1"/>
  <c r="E530" i="1"/>
  <c r="K529" i="1"/>
  <c r="C529" i="1"/>
  <c r="I528" i="1"/>
  <c r="F527" i="1"/>
  <c r="D526" i="1"/>
  <c r="J525" i="1"/>
  <c r="B525" i="1"/>
  <c r="H524" i="1"/>
  <c r="F523" i="1"/>
  <c r="D522" i="1"/>
  <c r="J521" i="1"/>
  <c r="B521" i="1"/>
  <c r="H520" i="1"/>
  <c r="F519" i="1"/>
  <c r="D518" i="1"/>
  <c r="J517" i="1"/>
  <c r="B517" i="1"/>
  <c r="H516" i="1"/>
  <c r="F515" i="1"/>
  <c r="D514" i="1"/>
  <c r="J513" i="1"/>
  <c r="B513" i="1"/>
  <c r="H512" i="1"/>
  <c r="F511" i="1"/>
  <c r="D510" i="1"/>
  <c r="J509" i="1"/>
  <c r="B509" i="1"/>
  <c r="H508" i="1"/>
  <c r="F507" i="1"/>
  <c r="D506" i="1"/>
  <c r="J505" i="1"/>
  <c r="B505" i="1"/>
  <c r="H504" i="1"/>
  <c r="F503" i="1"/>
  <c r="D502" i="1"/>
  <c r="J501" i="1"/>
  <c r="B501" i="1"/>
  <c r="H500" i="1"/>
  <c r="F499" i="1"/>
  <c r="D498" i="1"/>
  <c r="J497" i="1"/>
  <c r="B497" i="1"/>
  <c r="H496" i="1"/>
  <c r="F495" i="1"/>
  <c r="D494" i="1"/>
  <c r="J493" i="1"/>
  <c r="B493" i="1"/>
  <c r="H492" i="1"/>
  <c r="F491" i="1"/>
  <c r="D490" i="1"/>
  <c r="J489" i="1"/>
  <c r="B489" i="1"/>
  <c r="H488" i="1"/>
  <c r="F487" i="1"/>
  <c r="D486" i="1"/>
  <c r="J485" i="1"/>
  <c r="B485" i="1"/>
  <c r="H484" i="1"/>
  <c r="F483" i="1"/>
  <c r="D482" i="1"/>
  <c r="J481" i="1"/>
  <c r="B481" i="1"/>
  <c r="H480" i="1"/>
  <c r="F479" i="1"/>
  <c r="D478" i="1"/>
  <c r="J477" i="1"/>
  <c r="B477" i="1"/>
  <c r="H476" i="1"/>
  <c r="F475" i="1"/>
  <c r="D474" i="1"/>
  <c r="J473" i="1"/>
  <c r="B473" i="1"/>
  <c r="H472" i="1"/>
  <c r="F471" i="1"/>
  <c r="D470" i="1"/>
  <c r="J469" i="1"/>
  <c r="D697" i="1"/>
  <c r="G632" i="1"/>
  <c r="G618" i="1"/>
  <c r="J603" i="1"/>
  <c r="E592" i="1"/>
  <c r="F589" i="1"/>
  <c r="E586" i="1"/>
  <c r="I580" i="1"/>
  <c r="J575" i="1"/>
  <c r="J574" i="1"/>
  <c r="G573" i="1"/>
  <c r="E572" i="1"/>
  <c r="H571" i="1"/>
  <c r="H570" i="1"/>
  <c r="G569" i="1"/>
  <c r="J568" i="1"/>
  <c r="J567" i="1"/>
  <c r="I566" i="1"/>
  <c r="K563" i="1"/>
  <c r="E548" i="1"/>
  <c r="K547" i="1"/>
  <c r="G546" i="1"/>
  <c r="K545" i="1"/>
  <c r="B545" i="1"/>
  <c r="E544" i="1"/>
  <c r="I543" i="1"/>
  <c r="D542" i="1"/>
  <c r="H541" i="1"/>
  <c r="F540" i="1"/>
  <c r="D539" i="1"/>
  <c r="J538" i="1"/>
  <c r="B538" i="1"/>
  <c r="H537" i="1"/>
  <c r="F536" i="1"/>
  <c r="D535" i="1"/>
  <c r="J534" i="1"/>
  <c r="B534" i="1"/>
  <c r="H533" i="1"/>
  <c r="F532" i="1"/>
  <c r="D531" i="1"/>
  <c r="J530" i="1"/>
  <c r="B530" i="1"/>
  <c r="H529" i="1"/>
  <c r="F528" i="1"/>
  <c r="K527" i="1"/>
  <c r="C527" i="1"/>
  <c r="I526" i="1"/>
  <c r="G525" i="1"/>
  <c r="E524" i="1"/>
  <c r="K523" i="1"/>
  <c r="C523" i="1"/>
  <c r="I522" i="1"/>
  <c r="G521" i="1"/>
  <c r="E520" i="1"/>
  <c r="K519" i="1"/>
  <c r="C519" i="1"/>
  <c r="I518" i="1"/>
  <c r="G517" i="1"/>
  <c r="E516" i="1"/>
  <c r="K515" i="1"/>
  <c r="C515" i="1"/>
  <c r="I514" i="1"/>
  <c r="G513" i="1"/>
  <c r="E512" i="1"/>
  <c r="K511" i="1"/>
  <c r="C511" i="1"/>
  <c r="I510" i="1"/>
  <c r="G509" i="1"/>
  <c r="E508" i="1"/>
  <c r="K507" i="1"/>
  <c r="C507" i="1"/>
  <c r="I506" i="1"/>
  <c r="G505" i="1"/>
  <c r="E504" i="1"/>
  <c r="K503" i="1"/>
  <c r="C503" i="1"/>
  <c r="I502" i="1"/>
  <c r="G501" i="1"/>
  <c r="E500" i="1"/>
  <c r="K499" i="1"/>
  <c r="C499" i="1"/>
  <c r="I498" i="1"/>
  <c r="G497" i="1"/>
  <c r="E496" i="1"/>
  <c r="K495" i="1"/>
  <c r="C495" i="1"/>
  <c r="I494" i="1"/>
  <c r="G493" i="1"/>
  <c r="E492" i="1"/>
  <c r="K491" i="1"/>
  <c r="C491" i="1"/>
  <c r="I490" i="1"/>
  <c r="G489" i="1"/>
  <c r="E488" i="1"/>
  <c r="K487" i="1"/>
  <c r="C487" i="1"/>
  <c r="I486" i="1"/>
  <c r="G485" i="1"/>
  <c r="E484" i="1"/>
  <c r="K483" i="1"/>
  <c r="C483" i="1"/>
  <c r="I482" i="1"/>
  <c r="G481" i="1"/>
  <c r="E480" i="1"/>
  <c r="K479" i="1"/>
  <c r="C479" i="1"/>
  <c r="I478" i="1"/>
  <c r="G477" i="1"/>
  <c r="E476" i="1"/>
  <c r="K475" i="1"/>
  <c r="C475" i="1"/>
  <c r="I474" i="1"/>
  <c r="G473" i="1"/>
  <c r="E472" i="1"/>
  <c r="K471" i="1"/>
  <c r="C471" i="1"/>
  <c r="I470" i="1"/>
  <c r="G469" i="1"/>
  <c r="E468" i="1"/>
  <c r="K467" i="1"/>
  <c r="C467" i="1"/>
  <c r="I466" i="1"/>
  <c r="G465" i="1"/>
  <c r="E464" i="1"/>
  <c r="K463" i="1"/>
  <c r="C463" i="1"/>
  <c r="I462" i="1"/>
  <c r="G461" i="1"/>
  <c r="E460" i="1"/>
  <c r="K459" i="1"/>
  <c r="C459" i="1"/>
  <c r="I458" i="1"/>
  <c r="G457" i="1"/>
  <c r="E456" i="1"/>
  <c r="K455" i="1"/>
  <c r="C455" i="1"/>
  <c r="I454" i="1"/>
  <c r="G453" i="1"/>
  <c r="E452" i="1"/>
  <c r="K451" i="1"/>
  <c r="C451" i="1"/>
  <c r="I450" i="1"/>
  <c r="G449" i="1"/>
  <c r="E448" i="1"/>
  <c r="K447" i="1"/>
  <c r="C447" i="1"/>
  <c r="I446" i="1"/>
  <c r="G445" i="1"/>
  <c r="E444" i="1"/>
  <c r="C621" i="1"/>
  <c r="C588" i="1"/>
  <c r="K584" i="1"/>
  <c r="K580" i="1"/>
  <c r="D574" i="1"/>
  <c r="J571" i="1"/>
  <c r="H566" i="1"/>
  <c r="D553" i="1"/>
  <c r="H548" i="1"/>
  <c r="I546" i="1"/>
  <c r="J545" i="1"/>
  <c r="F544" i="1"/>
  <c r="B543" i="1"/>
  <c r="B542" i="1"/>
  <c r="C539" i="1"/>
  <c r="C538" i="1"/>
  <c r="B537" i="1"/>
  <c r="E536" i="1"/>
  <c r="E535" i="1"/>
  <c r="D534" i="1"/>
  <c r="G533" i="1"/>
  <c r="G532" i="1"/>
  <c r="F531" i="1"/>
  <c r="I530" i="1"/>
  <c r="I529" i="1"/>
  <c r="H528" i="1"/>
  <c r="J527" i="1"/>
  <c r="J526" i="1"/>
  <c r="I525" i="1"/>
  <c r="K522" i="1"/>
  <c r="B507" i="1"/>
  <c r="B506" i="1"/>
  <c r="D504" i="1"/>
  <c r="D503" i="1"/>
  <c r="C502" i="1"/>
  <c r="F501" i="1"/>
  <c r="F500" i="1"/>
  <c r="E499" i="1"/>
  <c r="H498" i="1"/>
  <c r="H497" i="1"/>
  <c r="G496" i="1"/>
  <c r="J495" i="1"/>
  <c r="J494" i="1"/>
  <c r="I493" i="1"/>
  <c r="K490" i="1"/>
  <c r="B478" i="1"/>
  <c r="H477" i="1"/>
  <c r="D475" i="1"/>
  <c r="J474" i="1"/>
  <c r="K472" i="1"/>
  <c r="H471" i="1"/>
  <c r="C470" i="1"/>
  <c r="B468" i="1"/>
  <c r="B467" i="1"/>
  <c r="C466" i="1"/>
  <c r="D465" i="1"/>
  <c r="D464" i="1"/>
  <c r="E463" i="1"/>
  <c r="F462" i="1"/>
  <c r="F461" i="1"/>
  <c r="G460" i="1"/>
  <c r="H459" i="1"/>
  <c r="H458" i="1"/>
  <c r="I457" i="1"/>
  <c r="J456" i="1"/>
  <c r="J455" i="1"/>
  <c r="K454" i="1"/>
  <c r="B452" i="1"/>
  <c r="B451" i="1"/>
  <c r="C450" i="1"/>
  <c r="D449" i="1"/>
  <c r="D448" i="1"/>
  <c r="E447" i="1"/>
  <c r="F446" i="1"/>
  <c r="F445" i="1"/>
  <c r="G444" i="1"/>
  <c r="G619" i="1"/>
  <c r="C596" i="1"/>
  <c r="D592" i="1"/>
  <c r="J583" i="1"/>
  <c r="F580" i="1"/>
  <c r="C571" i="1"/>
  <c r="J563" i="1"/>
  <c r="F550" i="1"/>
  <c r="D548" i="1"/>
  <c r="H546" i="1"/>
  <c r="D545" i="1"/>
  <c r="D544" i="1"/>
  <c r="C535" i="1"/>
  <c r="C534" i="1"/>
  <c r="B533" i="1"/>
  <c r="E532" i="1"/>
  <c r="E531" i="1"/>
  <c r="D530" i="1"/>
  <c r="G529" i="1"/>
  <c r="G528" i="1"/>
  <c r="E527" i="1"/>
  <c r="H526" i="1"/>
  <c r="H525" i="1"/>
  <c r="G524" i="1"/>
  <c r="J523" i="1"/>
  <c r="J522" i="1"/>
  <c r="I521" i="1"/>
  <c r="K518" i="1"/>
  <c r="B503" i="1"/>
  <c r="B502" i="1"/>
  <c r="D500" i="1"/>
  <c r="D499" i="1"/>
  <c r="C498" i="1"/>
  <c r="F497" i="1"/>
  <c r="F496" i="1"/>
  <c r="E495" i="1"/>
  <c r="H494" i="1"/>
  <c r="H493" i="1"/>
  <c r="G492" i="1"/>
  <c r="J491" i="1"/>
  <c r="J490" i="1"/>
  <c r="I489" i="1"/>
  <c r="K486" i="1"/>
  <c r="F477" i="1"/>
  <c r="B475" i="1"/>
  <c r="H474" i="1"/>
  <c r="J472" i="1"/>
  <c r="E471" i="1"/>
  <c r="B470" i="1"/>
  <c r="K468" i="1"/>
  <c r="B466" i="1"/>
  <c r="B465" i="1"/>
  <c r="C464" i="1"/>
  <c r="D463" i="1"/>
  <c r="D462" i="1"/>
  <c r="E461" i="1"/>
  <c r="F460" i="1"/>
  <c r="F459" i="1"/>
  <c r="G458" i="1"/>
  <c r="H457" i="1"/>
  <c r="H456" i="1"/>
  <c r="I455" i="1"/>
  <c r="J454" i="1"/>
  <c r="J453" i="1"/>
  <c r="K452" i="1"/>
  <c r="B450" i="1"/>
  <c r="B449" i="1"/>
  <c r="C448" i="1"/>
  <c r="D447" i="1"/>
  <c r="D446" i="1"/>
  <c r="E445" i="1"/>
  <c r="F444" i="1"/>
  <c r="H443" i="1"/>
  <c r="D639" i="1"/>
  <c r="I628" i="1"/>
  <c r="F609" i="1"/>
  <c r="B591" i="1"/>
  <c r="K587" i="1"/>
  <c r="G583" i="1"/>
  <c r="J579" i="1"/>
  <c r="H573" i="1"/>
  <c r="E568" i="1"/>
  <c r="B555" i="1"/>
  <c r="F546" i="1"/>
  <c r="C545" i="1"/>
  <c r="C531" i="1"/>
  <c r="C530" i="1"/>
  <c r="B529" i="1"/>
  <c r="E528" i="1"/>
  <c r="D527" i="1"/>
  <c r="C526" i="1"/>
  <c r="F525" i="1"/>
  <c r="F524" i="1"/>
  <c r="E523" i="1"/>
  <c r="H522" i="1"/>
  <c r="H521" i="1"/>
  <c r="G520" i="1"/>
  <c r="J519" i="1"/>
  <c r="J518" i="1"/>
  <c r="I517" i="1"/>
  <c r="K514" i="1"/>
  <c r="B499" i="1"/>
  <c r="B498" i="1"/>
  <c r="D496" i="1"/>
  <c r="D495" i="1"/>
  <c r="C494" i="1"/>
  <c r="F493" i="1"/>
  <c r="F492" i="1"/>
  <c r="E491" i="1"/>
  <c r="H490" i="1"/>
  <c r="H489" i="1"/>
  <c r="G488" i="1"/>
  <c r="J487" i="1"/>
  <c r="J486" i="1"/>
  <c r="I485" i="1"/>
  <c r="K482" i="1"/>
  <c r="D477" i="1"/>
  <c r="J476" i="1"/>
  <c r="F474" i="1"/>
  <c r="G472" i="1"/>
  <c r="D471" i="1"/>
  <c r="I469" i="1"/>
  <c r="J468" i="1"/>
  <c r="J467" i="1"/>
  <c r="K466" i="1"/>
  <c r="B464" i="1"/>
  <c r="B463" i="1"/>
  <c r="C462" i="1"/>
  <c r="D461" i="1"/>
  <c r="D460" i="1"/>
  <c r="E459" i="1"/>
  <c r="F458" i="1"/>
  <c r="F457" i="1"/>
  <c r="G456" i="1"/>
  <c r="H455" i="1"/>
  <c r="H454" i="1"/>
  <c r="I453" i="1"/>
  <c r="J452" i="1"/>
  <c r="J451" i="1"/>
  <c r="K450" i="1"/>
  <c r="B448" i="1"/>
  <c r="B447" i="1"/>
  <c r="C446" i="1"/>
  <c r="D445" i="1"/>
  <c r="D444" i="1"/>
  <c r="G443" i="1"/>
  <c r="E442" i="1"/>
  <c r="K441" i="1"/>
  <c r="C441" i="1"/>
  <c r="I440" i="1"/>
  <c r="G439" i="1"/>
  <c r="B626" i="1"/>
  <c r="D618" i="1"/>
  <c r="I595" i="1"/>
  <c r="I586" i="1"/>
  <c r="G579" i="1"/>
  <c r="E573" i="1"/>
  <c r="I570" i="1"/>
  <c r="G565" i="1"/>
  <c r="D552" i="1"/>
  <c r="B527" i="1"/>
  <c r="B526" i="1"/>
  <c r="D524" i="1"/>
  <c r="D523" i="1"/>
  <c r="C522" i="1"/>
  <c r="F521" i="1"/>
  <c r="F520" i="1"/>
  <c r="E519" i="1"/>
  <c r="H518" i="1"/>
  <c r="H517" i="1"/>
  <c r="G516" i="1"/>
  <c r="J515" i="1"/>
  <c r="J514" i="1"/>
  <c r="I513" i="1"/>
  <c r="K510" i="1"/>
  <c r="B495" i="1"/>
  <c r="B494" i="1"/>
  <c r="D492" i="1"/>
  <c r="D491" i="1"/>
  <c r="C490" i="1"/>
  <c r="F489" i="1"/>
  <c r="F488" i="1"/>
  <c r="E487" i="1"/>
  <c r="H486" i="1"/>
  <c r="H485" i="1"/>
  <c r="G484" i="1"/>
  <c r="J483" i="1"/>
  <c r="J482" i="1"/>
  <c r="I481" i="1"/>
  <c r="K478" i="1"/>
  <c r="G476" i="1"/>
  <c r="C474" i="1"/>
  <c r="I473" i="1"/>
  <c r="F472" i="1"/>
  <c r="B471" i="1"/>
  <c r="K470" i="1"/>
  <c r="H469" i="1"/>
  <c r="H468" i="1"/>
  <c r="I467" i="1"/>
  <c r="J466" i="1"/>
  <c r="J465" i="1"/>
  <c r="K464" i="1"/>
  <c r="B462" i="1"/>
  <c r="B461" i="1"/>
  <c r="C460" i="1"/>
  <c r="D459" i="1"/>
  <c r="D458" i="1"/>
  <c r="E457" i="1"/>
  <c r="F456" i="1"/>
  <c r="F455" i="1"/>
  <c r="G454" i="1"/>
  <c r="H453" i="1"/>
  <c r="H452" i="1"/>
  <c r="I451" i="1"/>
  <c r="J450" i="1"/>
  <c r="J449" i="1"/>
  <c r="K448" i="1"/>
  <c r="B446" i="1"/>
  <c r="B445" i="1"/>
  <c r="C444" i="1"/>
  <c r="F443" i="1"/>
  <c r="D442" i="1"/>
  <c r="J441" i="1"/>
  <c r="B441" i="1"/>
  <c r="H440" i="1"/>
  <c r="F439" i="1"/>
  <c r="D438" i="1"/>
  <c r="J437" i="1"/>
  <c r="B437" i="1"/>
  <c r="H436" i="1"/>
  <c r="F435" i="1"/>
  <c r="D434" i="1"/>
  <c r="J433" i="1"/>
  <c r="B433" i="1"/>
  <c r="H432" i="1"/>
  <c r="J636" i="1"/>
  <c r="F608" i="1"/>
  <c r="H594" i="1"/>
  <c r="J590" i="1"/>
  <c r="H586" i="1"/>
  <c r="F570" i="1"/>
  <c r="K567" i="1"/>
  <c r="I562" i="1"/>
  <c r="B552" i="1"/>
  <c r="F549" i="1"/>
  <c r="J547" i="1"/>
  <c r="J541" i="1"/>
  <c r="B523" i="1"/>
  <c r="B522" i="1"/>
  <c r="D520" i="1"/>
  <c r="D519" i="1"/>
  <c r="C518" i="1"/>
  <c r="F517" i="1"/>
  <c r="F516" i="1"/>
  <c r="E515" i="1"/>
  <c r="H514" i="1"/>
  <c r="H513" i="1"/>
  <c r="G512" i="1"/>
  <c r="J511" i="1"/>
  <c r="J510" i="1"/>
  <c r="I509" i="1"/>
  <c r="K506" i="1"/>
  <c r="B491" i="1"/>
  <c r="B490" i="1"/>
  <c r="D488" i="1"/>
  <c r="D487" i="1"/>
  <c r="C486" i="1"/>
  <c r="F485" i="1"/>
  <c r="F484" i="1"/>
  <c r="E483" i="1"/>
  <c r="H482" i="1"/>
  <c r="H481" i="1"/>
  <c r="G480" i="1"/>
  <c r="J479" i="1"/>
  <c r="J478" i="1"/>
  <c r="F476" i="1"/>
  <c r="B474" i="1"/>
  <c r="H473" i="1"/>
  <c r="D472" i="1"/>
  <c r="J470" i="1"/>
  <c r="F469" i="1"/>
  <c r="G468" i="1"/>
  <c r="H467" i="1"/>
  <c r="H466" i="1"/>
  <c r="I465" i="1"/>
  <c r="J464" i="1"/>
  <c r="J463" i="1"/>
  <c r="K462" i="1"/>
  <c r="B460" i="1"/>
  <c r="B459" i="1"/>
  <c r="C458" i="1"/>
  <c r="D457" i="1"/>
  <c r="D456" i="1"/>
  <c r="E455" i="1"/>
  <c r="F454" i="1"/>
  <c r="F453" i="1"/>
  <c r="G452" i="1"/>
  <c r="H451" i="1"/>
  <c r="H450" i="1"/>
  <c r="I449" i="1"/>
  <c r="J448" i="1"/>
  <c r="J447" i="1"/>
  <c r="K446" i="1"/>
  <c r="B444" i="1"/>
  <c r="E443" i="1"/>
  <c r="K442" i="1"/>
  <c r="C442" i="1"/>
  <c r="I441" i="1"/>
  <c r="G440" i="1"/>
  <c r="J614" i="1"/>
  <c r="H606" i="1"/>
  <c r="G589" i="1"/>
  <c r="J581" i="1"/>
  <c r="D572" i="1"/>
  <c r="J564" i="1"/>
  <c r="C551" i="1"/>
  <c r="J543" i="1"/>
  <c r="F542" i="1"/>
  <c r="G541" i="1"/>
  <c r="G540" i="1"/>
  <c r="F539" i="1"/>
  <c r="I538" i="1"/>
  <c r="I537" i="1"/>
  <c r="H536" i="1"/>
  <c r="K535" i="1"/>
  <c r="K534" i="1"/>
  <c r="J533" i="1"/>
  <c r="B515" i="1"/>
  <c r="B514" i="1"/>
  <c r="D512" i="1"/>
  <c r="D511" i="1"/>
  <c r="C510" i="1"/>
  <c r="F509" i="1"/>
  <c r="F508" i="1"/>
  <c r="E507" i="1"/>
  <c r="H506" i="1"/>
  <c r="H505" i="1"/>
  <c r="G504" i="1"/>
  <c r="J503" i="1"/>
  <c r="J502" i="1"/>
  <c r="I501" i="1"/>
  <c r="K498" i="1"/>
  <c r="B483" i="1"/>
  <c r="B482" i="1"/>
  <c r="D480" i="1"/>
  <c r="D479" i="1"/>
  <c r="F478" i="1"/>
  <c r="B476" i="1"/>
  <c r="H475" i="1"/>
  <c r="E473" i="1"/>
  <c r="B472" i="1"/>
  <c r="J471" i="1"/>
  <c r="G470" i="1"/>
  <c r="D469" i="1"/>
  <c r="D468" i="1"/>
  <c r="E467" i="1"/>
  <c r="F466" i="1"/>
  <c r="F465" i="1"/>
  <c r="G464" i="1"/>
  <c r="H463" i="1"/>
  <c r="H462" i="1"/>
  <c r="I461" i="1"/>
  <c r="J460" i="1"/>
  <c r="J459" i="1"/>
  <c r="K458" i="1"/>
  <c r="B456" i="1"/>
  <c r="B455" i="1"/>
  <c r="C454" i="1"/>
  <c r="D453" i="1"/>
  <c r="D452" i="1"/>
  <c r="E451" i="1"/>
  <c r="F450" i="1"/>
  <c r="F449" i="1"/>
  <c r="G448" i="1"/>
  <c r="H447" i="1"/>
  <c r="H446" i="1"/>
  <c r="I445" i="1"/>
  <c r="J444" i="1"/>
  <c r="K443" i="1"/>
  <c r="C443" i="1"/>
  <c r="I442" i="1"/>
  <c r="G441" i="1"/>
  <c r="E440" i="1"/>
  <c r="K439" i="1"/>
  <c r="C439" i="1"/>
  <c r="I438" i="1"/>
  <c r="G437" i="1"/>
  <c r="E436" i="1"/>
  <c r="K435" i="1"/>
  <c r="C435" i="1"/>
  <c r="I434" i="1"/>
  <c r="G433" i="1"/>
  <c r="E432" i="1"/>
  <c r="K431" i="1"/>
  <c r="J631" i="1"/>
  <c r="F569" i="1"/>
  <c r="J548" i="1"/>
  <c r="H543" i="1"/>
  <c r="E539" i="1"/>
  <c r="F535" i="1"/>
  <c r="K531" i="1"/>
  <c r="D508" i="1"/>
  <c r="F504" i="1"/>
  <c r="G500" i="1"/>
  <c r="I477" i="1"/>
  <c r="K474" i="1"/>
  <c r="B454" i="1"/>
  <c r="C452" i="1"/>
  <c r="D450" i="1"/>
  <c r="F448" i="1"/>
  <c r="G446" i="1"/>
  <c r="H444" i="1"/>
  <c r="F442" i="1"/>
  <c r="B440" i="1"/>
  <c r="H439" i="1"/>
  <c r="G438" i="1"/>
  <c r="H437" i="1"/>
  <c r="I436" i="1"/>
  <c r="I435" i="1"/>
  <c r="J434" i="1"/>
  <c r="K433" i="1"/>
  <c r="K432" i="1"/>
  <c r="C431" i="1"/>
  <c r="I430" i="1"/>
  <c r="G429" i="1"/>
  <c r="E428" i="1"/>
  <c r="K427" i="1"/>
  <c r="C427" i="1"/>
  <c r="I426" i="1"/>
  <c r="G425" i="1"/>
  <c r="E424" i="1"/>
  <c r="K423" i="1"/>
  <c r="C423" i="1"/>
  <c r="I422" i="1"/>
  <c r="G421" i="1"/>
  <c r="E420" i="1"/>
  <c r="K419" i="1"/>
  <c r="C419" i="1"/>
  <c r="I418" i="1"/>
  <c r="G417" i="1"/>
  <c r="E416" i="1"/>
  <c r="K415" i="1"/>
  <c r="C415" i="1"/>
  <c r="I414" i="1"/>
  <c r="G413" i="1"/>
  <c r="E412" i="1"/>
  <c r="K411" i="1"/>
  <c r="C411" i="1"/>
  <c r="I410" i="1"/>
  <c r="G409" i="1"/>
  <c r="E408" i="1"/>
  <c r="K407" i="1"/>
  <c r="C407" i="1"/>
  <c r="I406" i="1"/>
  <c r="G405" i="1"/>
  <c r="E404" i="1"/>
  <c r="K403" i="1"/>
  <c r="C403" i="1"/>
  <c r="I402" i="1"/>
  <c r="G401" i="1"/>
  <c r="E400" i="1"/>
  <c r="K399" i="1"/>
  <c r="C399" i="1"/>
  <c r="I398" i="1"/>
  <c r="G397" i="1"/>
  <c r="E396" i="1"/>
  <c r="K395" i="1"/>
  <c r="C395" i="1"/>
  <c r="I394" i="1"/>
  <c r="G393" i="1"/>
  <c r="E392" i="1"/>
  <c r="K391" i="1"/>
  <c r="C391" i="1"/>
  <c r="I390" i="1"/>
  <c r="G389" i="1"/>
  <c r="E388" i="1"/>
  <c r="K387" i="1"/>
  <c r="C387" i="1"/>
  <c r="I386" i="1"/>
  <c r="G385" i="1"/>
  <c r="E384" i="1"/>
  <c r="K383" i="1"/>
  <c r="C383" i="1"/>
  <c r="I382" i="1"/>
  <c r="G381" i="1"/>
  <c r="E380" i="1"/>
  <c r="K379" i="1"/>
  <c r="C379" i="1"/>
  <c r="I378" i="1"/>
  <c r="G377" i="1"/>
  <c r="E376" i="1"/>
  <c r="K375" i="1"/>
  <c r="C375" i="1"/>
  <c r="I374" i="1"/>
  <c r="G373" i="1"/>
  <c r="E372" i="1"/>
  <c r="K371" i="1"/>
  <c r="C371" i="1"/>
  <c r="I370" i="1"/>
  <c r="G369" i="1"/>
  <c r="E368" i="1"/>
  <c r="K367" i="1"/>
  <c r="C367" i="1"/>
  <c r="I366" i="1"/>
  <c r="G365" i="1"/>
  <c r="E364" i="1"/>
  <c r="K363" i="1"/>
  <c r="C363" i="1"/>
  <c r="I362" i="1"/>
  <c r="G361" i="1"/>
  <c r="E360" i="1"/>
  <c r="K359" i="1"/>
  <c r="C359" i="1"/>
  <c r="I358" i="1"/>
  <c r="G357" i="1"/>
  <c r="E356" i="1"/>
  <c r="K355" i="1"/>
  <c r="C355" i="1"/>
  <c r="I354" i="1"/>
  <c r="G353" i="1"/>
  <c r="E352" i="1"/>
  <c r="K351" i="1"/>
  <c r="C351" i="1"/>
  <c r="I350" i="1"/>
  <c r="G349" i="1"/>
  <c r="E348" i="1"/>
  <c r="K347" i="1"/>
  <c r="C347" i="1"/>
  <c r="I346" i="1"/>
  <c r="H567" i="1"/>
  <c r="K538" i="1"/>
  <c r="B519" i="1"/>
  <c r="D515" i="1"/>
  <c r="E511" i="1"/>
  <c r="J507" i="1"/>
  <c r="D484" i="1"/>
  <c r="F480" i="1"/>
  <c r="E469" i="1"/>
  <c r="F467" i="1"/>
  <c r="H465" i="1"/>
  <c r="I463" i="1"/>
  <c r="J461" i="1"/>
  <c r="B442" i="1"/>
  <c r="H441" i="1"/>
  <c r="E439" i="1"/>
  <c r="F438" i="1"/>
  <c r="F437" i="1"/>
  <c r="G436" i="1"/>
  <c r="H435" i="1"/>
  <c r="H434" i="1"/>
  <c r="I433" i="1"/>
  <c r="J432" i="1"/>
  <c r="J431" i="1"/>
  <c r="B431" i="1"/>
  <c r="H430" i="1"/>
  <c r="F429" i="1"/>
  <c r="D428" i="1"/>
  <c r="J427" i="1"/>
  <c r="B427" i="1"/>
  <c r="H426" i="1"/>
  <c r="F425" i="1"/>
  <c r="D424" i="1"/>
  <c r="J423" i="1"/>
  <c r="B423" i="1"/>
  <c r="H422" i="1"/>
  <c r="F421" i="1"/>
  <c r="D420" i="1"/>
  <c r="J419" i="1"/>
  <c r="B419" i="1"/>
  <c r="H418" i="1"/>
  <c r="F417" i="1"/>
  <c r="D416" i="1"/>
  <c r="J415" i="1"/>
  <c r="B415" i="1"/>
  <c r="H414" i="1"/>
  <c r="F413" i="1"/>
  <c r="D412" i="1"/>
  <c r="J411" i="1"/>
  <c r="B411" i="1"/>
  <c r="H410" i="1"/>
  <c r="F409" i="1"/>
  <c r="D408" i="1"/>
  <c r="J407" i="1"/>
  <c r="B407" i="1"/>
  <c r="H406" i="1"/>
  <c r="F405" i="1"/>
  <c r="D404" i="1"/>
  <c r="J403" i="1"/>
  <c r="B403" i="1"/>
  <c r="H402" i="1"/>
  <c r="F401" i="1"/>
  <c r="D400" i="1"/>
  <c r="J399" i="1"/>
  <c r="B399" i="1"/>
  <c r="H398" i="1"/>
  <c r="F397" i="1"/>
  <c r="D396" i="1"/>
  <c r="J395" i="1"/>
  <c r="B395" i="1"/>
  <c r="H394" i="1"/>
  <c r="F393" i="1"/>
  <c r="D392" i="1"/>
  <c r="J391" i="1"/>
  <c r="B391" i="1"/>
  <c r="H390" i="1"/>
  <c r="F389" i="1"/>
  <c r="D388" i="1"/>
  <c r="J387" i="1"/>
  <c r="B387" i="1"/>
  <c r="H386" i="1"/>
  <c r="F385" i="1"/>
  <c r="D384" i="1"/>
  <c r="J383" i="1"/>
  <c r="B383" i="1"/>
  <c r="H382" i="1"/>
  <c r="F381" i="1"/>
  <c r="D380" i="1"/>
  <c r="J379" i="1"/>
  <c r="B379" i="1"/>
  <c r="H378" i="1"/>
  <c r="F377" i="1"/>
  <c r="D376" i="1"/>
  <c r="J375" i="1"/>
  <c r="B375" i="1"/>
  <c r="H374" i="1"/>
  <c r="F373" i="1"/>
  <c r="D372" i="1"/>
  <c r="J371" i="1"/>
  <c r="B371" i="1"/>
  <c r="H370" i="1"/>
  <c r="F369" i="1"/>
  <c r="D368" i="1"/>
  <c r="J367" i="1"/>
  <c r="B367" i="1"/>
  <c r="H366" i="1"/>
  <c r="F365" i="1"/>
  <c r="D364" i="1"/>
  <c r="J363" i="1"/>
  <c r="B363" i="1"/>
  <c r="H362" i="1"/>
  <c r="F361" i="1"/>
  <c r="D360" i="1"/>
  <c r="J359" i="1"/>
  <c r="B359" i="1"/>
  <c r="H358" i="1"/>
  <c r="F357" i="1"/>
  <c r="D356" i="1"/>
  <c r="J355" i="1"/>
  <c r="B355" i="1"/>
  <c r="H354" i="1"/>
  <c r="F353" i="1"/>
  <c r="D352" i="1"/>
  <c r="J351" i="1"/>
  <c r="B351" i="1"/>
  <c r="H350" i="1"/>
  <c r="F349" i="1"/>
  <c r="D348" i="1"/>
  <c r="J347" i="1"/>
  <c r="B347" i="1"/>
  <c r="H346" i="1"/>
  <c r="F345" i="1"/>
  <c r="D344" i="1"/>
  <c r="J343" i="1"/>
  <c r="B343" i="1"/>
  <c r="H342" i="1"/>
  <c r="F341" i="1"/>
  <c r="D340" i="1"/>
  <c r="J339" i="1"/>
  <c r="B339" i="1"/>
  <c r="H338" i="1"/>
  <c r="F337" i="1"/>
  <c r="D336" i="1"/>
  <c r="J335" i="1"/>
  <c r="B335" i="1"/>
  <c r="H334" i="1"/>
  <c r="F333" i="1"/>
  <c r="D332" i="1"/>
  <c r="J331" i="1"/>
  <c r="B331" i="1"/>
  <c r="H330" i="1"/>
  <c r="E622" i="1"/>
  <c r="B556" i="1"/>
  <c r="E542" i="1"/>
  <c r="D538" i="1"/>
  <c r="I534" i="1"/>
  <c r="K530" i="1"/>
  <c r="K526" i="1"/>
  <c r="B511" i="1"/>
  <c r="D507" i="1"/>
  <c r="E503" i="1"/>
  <c r="J499" i="1"/>
  <c r="I471" i="1"/>
  <c r="B469" i="1"/>
  <c r="D467" i="1"/>
  <c r="E465" i="1"/>
  <c r="F463" i="1"/>
  <c r="H461" i="1"/>
  <c r="I459" i="1"/>
  <c r="J457" i="1"/>
  <c r="F441" i="1"/>
  <c r="D439" i="1"/>
  <c r="E438" i="1"/>
  <c r="E437" i="1"/>
  <c r="F436" i="1"/>
  <c r="G435" i="1"/>
  <c r="G434" i="1"/>
  <c r="H433" i="1"/>
  <c r="I432" i="1"/>
  <c r="I431" i="1"/>
  <c r="G430" i="1"/>
  <c r="E429" i="1"/>
  <c r="K428" i="1"/>
  <c r="C428" i="1"/>
  <c r="I427" i="1"/>
  <c r="G426" i="1"/>
  <c r="E425" i="1"/>
  <c r="K424" i="1"/>
  <c r="C424" i="1"/>
  <c r="I423" i="1"/>
  <c r="G422" i="1"/>
  <c r="E421" i="1"/>
  <c r="K420" i="1"/>
  <c r="C420" i="1"/>
  <c r="I419" i="1"/>
  <c r="G418" i="1"/>
  <c r="E417" i="1"/>
  <c r="K416" i="1"/>
  <c r="C416" i="1"/>
  <c r="I415" i="1"/>
  <c r="G414" i="1"/>
  <c r="E413" i="1"/>
  <c r="K412" i="1"/>
  <c r="C412" i="1"/>
  <c r="I411" i="1"/>
  <c r="G410" i="1"/>
  <c r="E409" i="1"/>
  <c r="K408" i="1"/>
  <c r="C408" i="1"/>
  <c r="I407" i="1"/>
  <c r="G406" i="1"/>
  <c r="E405" i="1"/>
  <c r="K404" i="1"/>
  <c r="C404" i="1"/>
  <c r="I403" i="1"/>
  <c r="G402" i="1"/>
  <c r="E401" i="1"/>
  <c r="K400" i="1"/>
  <c r="C400" i="1"/>
  <c r="I399" i="1"/>
  <c r="G398" i="1"/>
  <c r="E397" i="1"/>
  <c r="K396" i="1"/>
  <c r="C396" i="1"/>
  <c r="I395" i="1"/>
  <c r="G394" i="1"/>
  <c r="E393" i="1"/>
  <c r="K392" i="1"/>
  <c r="C392" i="1"/>
  <c r="I391" i="1"/>
  <c r="G390" i="1"/>
  <c r="E389" i="1"/>
  <c r="K388" i="1"/>
  <c r="C388" i="1"/>
  <c r="I387" i="1"/>
  <c r="G386" i="1"/>
  <c r="E385" i="1"/>
  <c r="K384" i="1"/>
  <c r="C384" i="1"/>
  <c r="I383" i="1"/>
  <c r="G382" i="1"/>
  <c r="E381" i="1"/>
  <c r="K380" i="1"/>
  <c r="C380" i="1"/>
  <c r="I379" i="1"/>
  <c r="G378" i="1"/>
  <c r="E377" i="1"/>
  <c r="K376" i="1"/>
  <c r="C376" i="1"/>
  <c r="I375" i="1"/>
  <c r="G374" i="1"/>
  <c r="E373" i="1"/>
  <c r="K372" i="1"/>
  <c r="C372" i="1"/>
  <c r="I371" i="1"/>
  <c r="G370" i="1"/>
  <c r="E369" i="1"/>
  <c r="K368" i="1"/>
  <c r="C368" i="1"/>
  <c r="I367" i="1"/>
  <c r="G366" i="1"/>
  <c r="E365" i="1"/>
  <c r="K364" i="1"/>
  <c r="C364" i="1"/>
  <c r="I363" i="1"/>
  <c r="G362" i="1"/>
  <c r="E361" i="1"/>
  <c r="K360" i="1"/>
  <c r="C360" i="1"/>
  <c r="I359" i="1"/>
  <c r="G358" i="1"/>
  <c r="E357" i="1"/>
  <c r="K356" i="1"/>
  <c r="C356" i="1"/>
  <c r="I355" i="1"/>
  <c r="G354" i="1"/>
  <c r="E353" i="1"/>
  <c r="K352" i="1"/>
  <c r="C352" i="1"/>
  <c r="I351" i="1"/>
  <c r="G350" i="1"/>
  <c r="E349" i="1"/>
  <c r="K348" i="1"/>
  <c r="C348" i="1"/>
  <c r="I347" i="1"/>
  <c r="G346" i="1"/>
  <c r="E345" i="1"/>
  <c r="K344" i="1"/>
  <c r="C344" i="1"/>
  <c r="I343" i="1"/>
  <c r="G342" i="1"/>
  <c r="E341" i="1"/>
  <c r="K340" i="1"/>
  <c r="C340" i="1"/>
  <c r="I339" i="1"/>
  <c r="G338" i="1"/>
  <c r="E337" i="1"/>
  <c r="K336" i="1"/>
  <c r="C336" i="1"/>
  <c r="I335" i="1"/>
  <c r="G334" i="1"/>
  <c r="E333" i="1"/>
  <c r="K332" i="1"/>
  <c r="C332" i="1"/>
  <c r="I331" i="1"/>
  <c r="G330" i="1"/>
  <c r="I615" i="1"/>
  <c r="I575" i="1"/>
  <c r="I541" i="1"/>
  <c r="J537" i="1"/>
  <c r="B518" i="1"/>
  <c r="C514" i="1"/>
  <c r="H510" i="1"/>
  <c r="J506" i="1"/>
  <c r="K502" i="1"/>
  <c r="B487" i="1"/>
  <c r="D483" i="1"/>
  <c r="E479" i="1"/>
  <c r="D476" i="1"/>
  <c r="F473" i="1"/>
  <c r="B457" i="1"/>
  <c r="D455" i="1"/>
  <c r="E453" i="1"/>
  <c r="F451" i="1"/>
  <c r="H449" i="1"/>
  <c r="I447" i="1"/>
  <c r="J445" i="1"/>
  <c r="E441" i="1"/>
  <c r="K440" i="1"/>
  <c r="B439" i="1"/>
  <c r="C438" i="1"/>
  <c r="D437" i="1"/>
  <c r="D436" i="1"/>
  <c r="E435" i="1"/>
  <c r="F434" i="1"/>
  <c r="F433" i="1"/>
  <c r="G432" i="1"/>
  <c r="H431" i="1"/>
  <c r="F430" i="1"/>
  <c r="D429" i="1"/>
  <c r="J428" i="1"/>
  <c r="B428" i="1"/>
  <c r="H427" i="1"/>
  <c r="F426" i="1"/>
  <c r="D425" i="1"/>
  <c r="J424" i="1"/>
  <c r="B424" i="1"/>
  <c r="H423" i="1"/>
  <c r="F422" i="1"/>
  <c r="D421" i="1"/>
  <c r="J420" i="1"/>
  <c r="B420" i="1"/>
  <c r="H419" i="1"/>
  <c r="F418" i="1"/>
  <c r="D417" i="1"/>
  <c r="J416" i="1"/>
  <c r="B416" i="1"/>
  <c r="H415" i="1"/>
  <c r="F414" i="1"/>
  <c r="D413" i="1"/>
  <c r="J412" i="1"/>
  <c r="B412" i="1"/>
  <c r="H411" i="1"/>
  <c r="F410" i="1"/>
  <c r="D409" i="1"/>
  <c r="J408" i="1"/>
  <c r="B408" i="1"/>
  <c r="H407" i="1"/>
  <c r="F406" i="1"/>
  <c r="D405" i="1"/>
  <c r="J404" i="1"/>
  <c r="B404" i="1"/>
  <c r="H403" i="1"/>
  <c r="F402" i="1"/>
  <c r="D401" i="1"/>
  <c r="J400" i="1"/>
  <c r="B400" i="1"/>
  <c r="H399" i="1"/>
  <c r="F398" i="1"/>
  <c r="D397" i="1"/>
  <c r="J396" i="1"/>
  <c r="B396" i="1"/>
  <c r="H395" i="1"/>
  <c r="F394" i="1"/>
  <c r="D393" i="1"/>
  <c r="J392" i="1"/>
  <c r="B392" i="1"/>
  <c r="H391" i="1"/>
  <c r="F390" i="1"/>
  <c r="D389" i="1"/>
  <c r="J388" i="1"/>
  <c r="B388" i="1"/>
  <c r="H387" i="1"/>
  <c r="F386" i="1"/>
  <c r="D385" i="1"/>
  <c r="J384" i="1"/>
  <c r="B384" i="1"/>
  <c r="H383" i="1"/>
  <c r="F382" i="1"/>
  <c r="D381" i="1"/>
  <c r="J380" i="1"/>
  <c r="B380" i="1"/>
  <c r="H379" i="1"/>
  <c r="F378" i="1"/>
  <c r="D377" i="1"/>
  <c r="J376" i="1"/>
  <c r="B376" i="1"/>
  <c r="H375" i="1"/>
  <c r="F374" i="1"/>
  <c r="D373" i="1"/>
  <c r="C589" i="1"/>
  <c r="B541" i="1"/>
  <c r="G537" i="1"/>
  <c r="I533" i="1"/>
  <c r="J529" i="1"/>
  <c r="B510" i="1"/>
  <c r="C506" i="1"/>
  <c r="H502" i="1"/>
  <c r="J498" i="1"/>
  <c r="K494" i="1"/>
  <c r="B479" i="1"/>
  <c r="D473" i="1"/>
  <c r="B453" i="1"/>
  <c r="D451" i="1"/>
  <c r="E449" i="1"/>
  <c r="F447" i="1"/>
  <c r="H445" i="1"/>
  <c r="J443" i="1"/>
  <c r="D441" i="1"/>
  <c r="J440" i="1"/>
  <c r="B438" i="1"/>
  <c r="C437" i="1"/>
  <c r="C436" i="1"/>
  <c r="D435" i="1"/>
  <c r="E434" i="1"/>
  <c r="E433" i="1"/>
  <c r="F432" i="1"/>
  <c r="G431" i="1"/>
  <c r="E430" i="1"/>
  <c r="K429" i="1"/>
  <c r="C429" i="1"/>
  <c r="I428" i="1"/>
  <c r="G427" i="1"/>
  <c r="E426" i="1"/>
  <c r="K425" i="1"/>
  <c r="C425" i="1"/>
  <c r="I424" i="1"/>
  <c r="G423" i="1"/>
  <c r="E422" i="1"/>
  <c r="K421" i="1"/>
  <c r="C421" i="1"/>
  <c r="I420" i="1"/>
  <c r="G419" i="1"/>
  <c r="E418" i="1"/>
  <c r="K417" i="1"/>
  <c r="C417" i="1"/>
  <c r="I416" i="1"/>
  <c r="G415" i="1"/>
  <c r="E414" i="1"/>
  <c r="K413" i="1"/>
  <c r="C413" i="1"/>
  <c r="I412" i="1"/>
  <c r="G411" i="1"/>
  <c r="E410" i="1"/>
  <c r="K409" i="1"/>
  <c r="C409" i="1"/>
  <c r="I408" i="1"/>
  <c r="G407" i="1"/>
  <c r="E406" i="1"/>
  <c r="K405" i="1"/>
  <c r="C405" i="1"/>
  <c r="I404" i="1"/>
  <c r="G403" i="1"/>
  <c r="E402" i="1"/>
  <c r="K401" i="1"/>
  <c r="C401" i="1"/>
  <c r="I400" i="1"/>
  <c r="G399" i="1"/>
  <c r="E398" i="1"/>
  <c r="K397" i="1"/>
  <c r="C397" i="1"/>
  <c r="I396" i="1"/>
  <c r="G395" i="1"/>
  <c r="E394" i="1"/>
  <c r="K393" i="1"/>
  <c r="C393" i="1"/>
  <c r="I392" i="1"/>
  <c r="G391" i="1"/>
  <c r="E390" i="1"/>
  <c r="K389" i="1"/>
  <c r="C389" i="1"/>
  <c r="I388" i="1"/>
  <c r="G387" i="1"/>
  <c r="E386" i="1"/>
  <c r="K385" i="1"/>
  <c r="C385" i="1"/>
  <c r="I384" i="1"/>
  <c r="G383" i="1"/>
  <c r="E382" i="1"/>
  <c r="K381" i="1"/>
  <c r="C381" i="1"/>
  <c r="I380" i="1"/>
  <c r="G379" i="1"/>
  <c r="E378" i="1"/>
  <c r="K377" i="1"/>
  <c r="C377" i="1"/>
  <c r="I376" i="1"/>
  <c r="G375" i="1"/>
  <c r="E374" i="1"/>
  <c r="K373" i="1"/>
  <c r="C373" i="1"/>
  <c r="I372" i="1"/>
  <c r="G371" i="1"/>
  <c r="E370" i="1"/>
  <c r="K369" i="1"/>
  <c r="C369" i="1"/>
  <c r="I368" i="1"/>
  <c r="K571" i="1"/>
  <c r="B551" i="1"/>
  <c r="H544" i="1"/>
  <c r="E540" i="1"/>
  <c r="G536" i="1"/>
  <c r="H532" i="1"/>
  <c r="F505" i="1"/>
  <c r="H501" i="1"/>
  <c r="I497" i="1"/>
  <c r="C478" i="1"/>
  <c r="E475" i="1"/>
  <c r="F470" i="1"/>
  <c r="C468" i="1"/>
  <c r="D466" i="1"/>
  <c r="F464" i="1"/>
  <c r="G462" i="1"/>
  <c r="H460" i="1"/>
  <c r="J458" i="1"/>
  <c r="K456" i="1"/>
  <c r="D443" i="1"/>
  <c r="H442" i="1"/>
  <c r="D440" i="1"/>
  <c r="J439" i="1"/>
  <c r="J438" i="1"/>
  <c r="K437" i="1"/>
  <c r="K436" i="1"/>
  <c r="B434" i="1"/>
  <c r="C433" i="1"/>
  <c r="C432" i="1"/>
  <c r="E431" i="1"/>
  <c r="K430" i="1"/>
  <c r="C430" i="1"/>
  <c r="I429" i="1"/>
  <c r="G428" i="1"/>
  <c r="E427" i="1"/>
  <c r="K426" i="1"/>
  <c r="C426" i="1"/>
  <c r="I425" i="1"/>
  <c r="G424" i="1"/>
  <c r="E423" i="1"/>
  <c r="K422" i="1"/>
  <c r="C422" i="1"/>
  <c r="I421" i="1"/>
  <c r="G420" i="1"/>
  <c r="E419" i="1"/>
  <c r="K418" i="1"/>
  <c r="C418" i="1"/>
  <c r="I417" i="1"/>
  <c r="G416" i="1"/>
  <c r="E415" i="1"/>
  <c r="K414" i="1"/>
  <c r="C414" i="1"/>
  <c r="I413" i="1"/>
  <c r="G412" i="1"/>
  <c r="E411" i="1"/>
  <c r="K410" i="1"/>
  <c r="C410" i="1"/>
  <c r="I409" i="1"/>
  <c r="G408" i="1"/>
  <c r="E407" i="1"/>
  <c r="K406" i="1"/>
  <c r="C406" i="1"/>
  <c r="I405" i="1"/>
  <c r="G404" i="1"/>
  <c r="E403" i="1"/>
  <c r="K402" i="1"/>
  <c r="C402" i="1"/>
  <c r="I401" i="1"/>
  <c r="G400" i="1"/>
  <c r="E399" i="1"/>
  <c r="K398" i="1"/>
  <c r="C398" i="1"/>
  <c r="I397" i="1"/>
  <c r="G396" i="1"/>
  <c r="E395" i="1"/>
  <c r="K394" i="1"/>
  <c r="C394" i="1"/>
  <c r="I393" i="1"/>
  <c r="G392" i="1"/>
  <c r="E391" i="1"/>
  <c r="K390" i="1"/>
  <c r="C390" i="1"/>
  <c r="I389" i="1"/>
  <c r="G388" i="1"/>
  <c r="E387" i="1"/>
  <c r="K386" i="1"/>
  <c r="C386" i="1"/>
  <c r="I385" i="1"/>
  <c r="G384" i="1"/>
  <c r="E383" i="1"/>
  <c r="K382" i="1"/>
  <c r="C382" i="1"/>
  <c r="I381" i="1"/>
  <c r="G380" i="1"/>
  <c r="E379" i="1"/>
  <c r="K378" i="1"/>
  <c r="C378" i="1"/>
  <c r="I377" i="1"/>
  <c r="G376" i="1"/>
  <c r="E375" i="1"/>
  <c r="K374" i="1"/>
  <c r="C374" i="1"/>
  <c r="I373" i="1"/>
  <c r="G372" i="1"/>
  <c r="E371" i="1"/>
  <c r="K370" i="1"/>
  <c r="C370" i="1"/>
  <c r="I369" i="1"/>
  <c r="G368" i="1"/>
  <c r="E367" i="1"/>
  <c r="K366" i="1"/>
  <c r="C366" i="1"/>
  <c r="I365" i="1"/>
  <c r="G364" i="1"/>
  <c r="E363" i="1"/>
  <c r="K362" i="1"/>
  <c r="C362" i="1"/>
  <c r="I361" i="1"/>
  <c r="G360" i="1"/>
  <c r="E359" i="1"/>
  <c r="K358" i="1"/>
  <c r="C358" i="1"/>
  <c r="I357" i="1"/>
  <c r="D549" i="1"/>
  <c r="D516" i="1"/>
  <c r="C472" i="1"/>
  <c r="C456" i="1"/>
  <c r="H448" i="1"/>
  <c r="G442" i="1"/>
  <c r="I439" i="1"/>
  <c r="I437" i="1"/>
  <c r="J435" i="1"/>
  <c r="B430" i="1"/>
  <c r="D427" i="1"/>
  <c r="F424" i="1"/>
  <c r="H421" i="1"/>
  <c r="J418" i="1"/>
  <c r="B414" i="1"/>
  <c r="D411" i="1"/>
  <c r="F408" i="1"/>
  <c r="H405" i="1"/>
  <c r="J402" i="1"/>
  <c r="B398" i="1"/>
  <c r="D395" i="1"/>
  <c r="F392" i="1"/>
  <c r="H389" i="1"/>
  <c r="J386" i="1"/>
  <c r="B382" i="1"/>
  <c r="D379" i="1"/>
  <c r="F376" i="1"/>
  <c r="H373" i="1"/>
  <c r="B372" i="1"/>
  <c r="D371" i="1"/>
  <c r="D370" i="1"/>
  <c r="D369" i="1"/>
  <c r="F368" i="1"/>
  <c r="B366" i="1"/>
  <c r="H365" i="1"/>
  <c r="D363" i="1"/>
  <c r="J362" i="1"/>
  <c r="F360" i="1"/>
  <c r="B358" i="1"/>
  <c r="H357" i="1"/>
  <c r="F354" i="1"/>
  <c r="C353" i="1"/>
  <c r="H351" i="1"/>
  <c r="E350" i="1"/>
  <c r="B349" i="1"/>
  <c r="J348" i="1"/>
  <c r="G347" i="1"/>
  <c r="D346" i="1"/>
  <c r="B345" i="1"/>
  <c r="B344" i="1"/>
  <c r="D343" i="1"/>
  <c r="D342" i="1"/>
  <c r="D341" i="1"/>
  <c r="F340" i="1"/>
  <c r="F339" i="1"/>
  <c r="F338" i="1"/>
  <c r="H337" i="1"/>
  <c r="H336" i="1"/>
  <c r="H335" i="1"/>
  <c r="J334" i="1"/>
  <c r="J333" i="1"/>
  <c r="J332" i="1"/>
  <c r="B330" i="1"/>
  <c r="F329" i="1"/>
  <c r="D328" i="1"/>
  <c r="J327" i="1"/>
  <c r="B327" i="1"/>
  <c r="H326" i="1"/>
  <c r="F325" i="1"/>
  <c r="D324" i="1"/>
  <c r="J323" i="1"/>
  <c r="B323" i="1"/>
  <c r="H322" i="1"/>
  <c r="F321" i="1"/>
  <c r="D320" i="1"/>
  <c r="J319" i="1"/>
  <c r="B319" i="1"/>
  <c r="H318" i="1"/>
  <c r="F317" i="1"/>
  <c r="D316" i="1"/>
  <c r="J315" i="1"/>
  <c r="B315" i="1"/>
  <c r="H314" i="1"/>
  <c r="F313" i="1"/>
  <c r="D312" i="1"/>
  <c r="J311" i="1"/>
  <c r="B311" i="1"/>
  <c r="H310" i="1"/>
  <c r="F309" i="1"/>
  <c r="D308" i="1"/>
  <c r="J307" i="1"/>
  <c r="B307" i="1"/>
  <c r="H306" i="1"/>
  <c r="F305" i="1"/>
  <c r="D304" i="1"/>
  <c r="J303" i="1"/>
  <c r="B303" i="1"/>
  <c r="H302" i="1"/>
  <c r="F301" i="1"/>
  <c r="D300" i="1"/>
  <c r="J299" i="1"/>
  <c r="B299" i="1"/>
  <c r="H298" i="1"/>
  <c r="F297" i="1"/>
  <c r="D296" i="1"/>
  <c r="J295" i="1"/>
  <c r="B295" i="1"/>
  <c r="H294" i="1"/>
  <c r="F293" i="1"/>
  <c r="D292" i="1"/>
  <c r="J291" i="1"/>
  <c r="B291" i="1"/>
  <c r="F513" i="1"/>
  <c r="C482" i="1"/>
  <c r="H470" i="1"/>
  <c r="J462" i="1"/>
  <c r="B435" i="1"/>
  <c r="D433" i="1"/>
  <c r="F431" i="1"/>
  <c r="H428" i="1"/>
  <c r="J425" i="1"/>
  <c r="B421" i="1"/>
  <c r="D418" i="1"/>
  <c r="F415" i="1"/>
  <c r="H412" i="1"/>
  <c r="J409" i="1"/>
  <c r="B405" i="1"/>
  <c r="D402" i="1"/>
  <c r="F399" i="1"/>
  <c r="H396" i="1"/>
  <c r="J393" i="1"/>
  <c r="B389" i="1"/>
  <c r="D386" i="1"/>
  <c r="F383" i="1"/>
  <c r="H380" i="1"/>
  <c r="J377" i="1"/>
  <c r="B373" i="1"/>
  <c r="B370" i="1"/>
  <c r="B369" i="1"/>
  <c r="B368" i="1"/>
  <c r="H367" i="1"/>
  <c r="D365" i="1"/>
  <c r="J364" i="1"/>
  <c r="F362" i="1"/>
  <c r="B360" i="1"/>
  <c r="H359" i="1"/>
  <c r="D357" i="1"/>
  <c r="H355" i="1"/>
  <c r="E354" i="1"/>
  <c r="B353" i="1"/>
  <c r="J352" i="1"/>
  <c r="G351" i="1"/>
  <c r="D350" i="1"/>
  <c r="I348" i="1"/>
  <c r="F347" i="1"/>
  <c r="C346" i="1"/>
  <c r="K345" i="1"/>
  <c r="C343" i="1"/>
  <c r="C342" i="1"/>
  <c r="C341" i="1"/>
  <c r="E340" i="1"/>
  <c r="E339" i="1"/>
  <c r="E338" i="1"/>
  <c r="G337" i="1"/>
  <c r="G336" i="1"/>
  <c r="G335" i="1"/>
  <c r="I334" i="1"/>
  <c r="I333" i="1"/>
  <c r="I332" i="1"/>
  <c r="K331" i="1"/>
  <c r="K330" i="1"/>
  <c r="E329" i="1"/>
  <c r="K328" i="1"/>
  <c r="C328" i="1"/>
  <c r="I327" i="1"/>
  <c r="G326" i="1"/>
  <c r="E325" i="1"/>
  <c r="K324" i="1"/>
  <c r="C324" i="1"/>
  <c r="I323" i="1"/>
  <c r="G322" i="1"/>
  <c r="E321" i="1"/>
  <c r="K320" i="1"/>
  <c r="C320" i="1"/>
  <c r="I319" i="1"/>
  <c r="G318" i="1"/>
  <c r="E317" i="1"/>
  <c r="K316" i="1"/>
  <c r="C316" i="1"/>
  <c r="I315" i="1"/>
  <c r="G314" i="1"/>
  <c r="E313" i="1"/>
  <c r="K312" i="1"/>
  <c r="C312" i="1"/>
  <c r="I311" i="1"/>
  <c r="G310" i="1"/>
  <c r="E309" i="1"/>
  <c r="K308" i="1"/>
  <c r="C308" i="1"/>
  <c r="I307" i="1"/>
  <c r="G306" i="1"/>
  <c r="E305" i="1"/>
  <c r="K304" i="1"/>
  <c r="C304" i="1"/>
  <c r="I303" i="1"/>
  <c r="G302" i="1"/>
  <c r="E301" i="1"/>
  <c r="K300" i="1"/>
  <c r="C300" i="1"/>
  <c r="I299" i="1"/>
  <c r="G298" i="1"/>
  <c r="E297" i="1"/>
  <c r="K296" i="1"/>
  <c r="C296" i="1"/>
  <c r="I295" i="1"/>
  <c r="G294" i="1"/>
  <c r="E293" i="1"/>
  <c r="K292" i="1"/>
  <c r="C292" i="1"/>
  <c r="I291" i="1"/>
  <c r="F290" i="1"/>
  <c r="D289" i="1"/>
  <c r="J288" i="1"/>
  <c r="B288" i="1"/>
  <c r="H287" i="1"/>
  <c r="E286" i="1"/>
  <c r="K285" i="1"/>
  <c r="C285" i="1"/>
  <c r="I284" i="1"/>
  <c r="G283" i="1"/>
  <c r="E282" i="1"/>
  <c r="K281" i="1"/>
  <c r="C281" i="1"/>
  <c r="I280" i="1"/>
  <c r="G279" i="1"/>
  <c r="E278" i="1"/>
  <c r="K277" i="1"/>
  <c r="C277" i="1"/>
  <c r="I276" i="1"/>
  <c r="G275" i="1"/>
  <c r="E274" i="1"/>
  <c r="K273" i="1"/>
  <c r="C273" i="1"/>
  <c r="I272" i="1"/>
  <c r="G271" i="1"/>
  <c r="E270" i="1"/>
  <c r="K269" i="1"/>
  <c r="C269" i="1"/>
  <c r="I268" i="1"/>
  <c r="G267" i="1"/>
  <c r="E266" i="1"/>
  <c r="K265" i="1"/>
  <c r="C265" i="1"/>
  <c r="I264" i="1"/>
  <c r="G263" i="1"/>
  <c r="E262" i="1"/>
  <c r="K261" i="1"/>
  <c r="C261" i="1"/>
  <c r="I260" i="1"/>
  <c r="G259" i="1"/>
  <c r="E258" i="1"/>
  <c r="K257" i="1"/>
  <c r="C257" i="1"/>
  <c r="I256" i="1"/>
  <c r="G255" i="1"/>
  <c r="E254" i="1"/>
  <c r="K253" i="1"/>
  <c r="C253" i="1"/>
  <c r="I252" i="1"/>
  <c r="J572" i="1"/>
  <c r="H540" i="1"/>
  <c r="H509" i="1"/>
  <c r="H478" i="1"/>
  <c r="F468" i="1"/>
  <c r="K460" i="1"/>
  <c r="K438" i="1"/>
  <c r="J429" i="1"/>
  <c r="B425" i="1"/>
  <c r="D422" i="1"/>
  <c r="F419" i="1"/>
  <c r="H416" i="1"/>
  <c r="J413" i="1"/>
  <c r="B409" i="1"/>
  <c r="D406" i="1"/>
  <c r="F403" i="1"/>
  <c r="H400" i="1"/>
  <c r="J397" i="1"/>
  <c r="B393" i="1"/>
  <c r="D390" i="1"/>
  <c r="F387" i="1"/>
  <c r="H384" i="1"/>
  <c r="J381" i="1"/>
  <c r="B377" i="1"/>
  <c r="D374" i="1"/>
  <c r="F367" i="1"/>
  <c r="B365" i="1"/>
  <c r="H364" i="1"/>
  <c r="D362" i="1"/>
  <c r="J361" i="1"/>
  <c r="F359" i="1"/>
  <c r="B357" i="1"/>
  <c r="I356" i="1"/>
  <c r="F355" i="1"/>
  <c r="C354" i="1"/>
  <c r="K353" i="1"/>
  <c r="H352" i="1"/>
  <c r="E351" i="1"/>
  <c r="B350" i="1"/>
  <c r="J349" i="1"/>
  <c r="G348" i="1"/>
  <c r="D347" i="1"/>
  <c r="I345" i="1"/>
  <c r="I344" i="1"/>
  <c r="K343" i="1"/>
  <c r="K342" i="1"/>
  <c r="K341" i="1"/>
  <c r="C339" i="1"/>
  <c r="C338" i="1"/>
  <c r="C337" i="1"/>
  <c r="E336" i="1"/>
  <c r="E335" i="1"/>
  <c r="E334" i="1"/>
  <c r="G333" i="1"/>
  <c r="G332" i="1"/>
  <c r="G331" i="1"/>
  <c r="I330" i="1"/>
  <c r="K329" i="1"/>
  <c r="C329" i="1"/>
  <c r="I328" i="1"/>
  <c r="G327" i="1"/>
  <c r="E326" i="1"/>
  <c r="K325" i="1"/>
  <c r="C325" i="1"/>
  <c r="I324" i="1"/>
  <c r="G323" i="1"/>
  <c r="E322" i="1"/>
  <c r="K321" i="1"/>
  <c r="C321" i="1"/>
  <c r="I320" i="1"/>
  <c r="G319" i="1"/>
  <c r="E318" i="1"/>
  <c r="K317" i="1"/>
  <c r="C317" i="1"/>
  <c r="I316" i="1"/>
  <c r="G315" i="1"/>
  <c r="E314" i="1"/>
  <c r="K313" i="1"/>
  <c r="C313" i="1"/>
  <c r="I312" i="1"/>
  <c r="G311" i="1"/>
  <c r="E310" i="1"/>
  <c r="K309" i="1"/>
  <c r="C309" i="1"/>
  <c r="I308" i="1"/>
  <c r="G307" i="1"/>
  <c r="E306" i="1"/>
  <c r="K305" i="1"/>
  <c r="C305" i="1"/>
  <c r="I304" i="1"/>
  <c r="G303" i="1"/>
  <c r="E302" i="1"/>
  <c r="K301" i="1"/>
  <c r="C301" i="1"/>
  <c r="I300" i="1"/>
  <c r="G299" i="1"/>
  <c r="E298" i="1"/>
  <c r="K297" i="1"/>
  <c r="C297" i="1"/>
  <c r="I296" i="1"/>
  <c r="G295" i="1"/>
  <c r="E294" i="1"/>
  <c r="K293" i="1"/>
  <c r="C293" i="1"/>
  <c r="I292" i="1"/>
  <c r="G291" i="1"/>
  <c r="D290" i="1"/>
  <c r="J289" i="1"/>
  <c r="B289" i="1"/>
  <c r="H288" i="1"/>
  <c r="F287" i="1"/>
  <c r="K286" i="1"/>
  <c r="C286" i="1"/>
  <c r="I285" i="1"/>
  <c r="G284" i="1"/>
  <c r="E283" i="1"/>
  <c r="K282" i="1"/>
  <c r="C282" i="1"/>
  <c r="I281" i="1"/>
  <c r="G280" i="1"/>
  <c r="E279" i="1"/>
  <c r="K278" i="1"/>
  <c r="C278" i="1"/>
  <c r="I277" i="1"/>
  <c r="K539" i="1"/>
  <c r="G508" i="1"/>
  <c r="F452" i="1"/>
  <c r="K444" i="1"/>
  <c r="H438" i="1"/>
  <c r="J436" i="1"/>
  <c r="K434" i="1"/>
  <c r="H429" i="1"/>
  <c r="J426" i="1"/>
  <c r="B422" i="1"/>
  <c r="D419" i="1"/>
  <c r="F416" i="1"/>
  <c r="H413" i="1"/>
  <c r="J410" i="1"/>
  <c r="B406" i="1"/>
  <c r="D403" i="1"/>
  <c r="F400" i="1"/>
  <c r="H397" i="1"/>
  <c r="J394" i="1"/>
  <c r="B390" i="1"/>
  <c r="D387" i="1"/>
  <c r="F384" i="1"/>
  <c r="H381" i="1"/>
  <c r="J378" i="1"/>
  <c r="B374" i="1"/>
  <c r="D367" i="1"/>
  <c r="J366" i="1"/>
  <c r="F364" i="1"/>
  <c r="B362" i="1"/>
  <c r="H361" i="1"/>
  <c r="D359" i="1"/>
  <c r="J358" i="1"/>
  <c r="H356" i="1"/>
  <c r="E355" i="1"/>
  <c r="B354" i="1"/>
  <c r="J353" i="1"/>
  <c r="G352" i="1"/>
  <c r="D351" i="1"/>
  <c r="I349" i="1"/>
  <c r="F348" i="1"/>
  <c r="K346" i="1"/>
  <c r="H345" i="1"/>
  <c r="H344" i="1"/>
  <c r="H343" i="1"/>
  <c r="J342" i="1"/>
  <c r="J341" i="1"/>
  <c r="J340" i="1"/>
  <c r="B338" i="1"/>
  <c r="B337" i="1"/>
  <c r="B336" i="1"/>
  <c r="D335" i="1"/>
  <c r="D334" i="1"/>
  <c r="D333" i="1"/>
  <c r="F332" i="1"/>
  <c r="F331" i="1"/>
  <c r="F330" i="1"/>
  <c r="J329" i="1"/>
  <c r="B329" i="1"/>
  <c r="H328" i="1"/>
  <c r="F327" i="1"/>
  <c r="D326" i="1"/>
  <c r="J325" i="1"/>
  <c r="B325" i="1"/>
  <c r="H324" i="1"/>
  <c r="F323" i="1"/>
  <c r="D322" i="1"/>
  <c r="J321" i="1"/>
  <c r="B321" i="1"/>
  <c r="H320" i="1"/>
  <c r="F319" i="1"/>
  <c r="D318" i="1"/>
  <c r="J317" i="1"/>
  <c r="B317" i="1"/>
  <c r="H316" i="1"/>
  <c r="F315" i="1"/>
  <c r="D314" i="1"/>
  <c r="J313" i="1"/>
  <c r="B313" i="1"/>
  <c r="H312" i="1"/>
  <c r="F311" i="1"/>
  <c r="D310" i="1"/>
  <c r="J309" i="1"/>
  <c r="B309" i="1"/>
  <c r="H308" i="1"/>
  <c r="F307" i="1"/>
  <c r="D306" i="1"/>
  <c r="J305" i="1"/>
  <c r="B305" i="1"/>
  <c r="H304" i="1"/>
  <c r="F303" i="1"/>
  <c r="D302" i="1"/>
  <c r="J301" i="1"/>
  <c r="B301" i="1"/>
  <c r="H300" i="1"/>
  <c r="F299" i="1"/>
  <c r="D298" i="1"/>
  <c r="J297" i="1"/>
  <c r="B297" i="1"/>
  <c r="H296" i="1"/>
  <c r="F295" i="1"/>
  <c r="D294" i="1"/>
  <c r="J293" i="1"/>
  <c r="B293" i="1"/>
  <c r="H292" i="1"/>
  <c r="F291" i="1"/>
  <c r="K290" i="1"/>
  <c r="C290" i="1"/>
  <c r="I289" i="1"/>
  <c r="G288" i="1"/>
  <c r="E287" i="1"/>
  <c r="J286" i="1"/>
  <c r="B286" i="1"/>
  <c r="H285" i="1"/>
  <c r="F284" i="1"/>
  <c r="D283" i="1"/>
  <c r="J282" i="1"/>
  <c r="B282" i="1"/>
  <c r="H281" i="1"/>
  <c r="F280" i="1"/>
  <c r="D279" i="1"/>
  <c r="J278" i="1"/>
  <c r="B278" i="1"/>
  <c r="H277" i="1"/>
  <c r="F276" i="1"/>
  <c r="D275" i="1"/>
  <c r="J274" i="1"/>
  <c r="B274" i="1"/>
  <c r="H273" i="1"/>
  <c r="F272" i="1"/>
  <c r="D271" i="1"/>
  <c r="J270" i="1"/>
  <c r="B270" i="1"/>
  <c r="H269" i="1"/>
  <c r="F268" i="1"/>
  <c r="D267" i="1"/>
  <c r="J266" i="1"/>
  <c r="B266" i="1"/>
  <c r="H265" i="1"/>
  <c r="F264" i="1"/>
  <c r="D263" i="1"/>
  <c r="J262" i="1"/>
  <c r="B262" i="1"/>
  <c r="H261" i="1"/>
  <c r="F260" i="1"/>
  <c r="D259" i="1"/>
  <c r="J258" i="1"/>
  <c r="B258" i="1"/>
  <c r="H257" i="1"/>
  <c r="F256" i="1"/>
  <c r="D255" i="1"/>
  <c r="J254" i="1"/>
  <c r="B254" i="1"/>
  <c r="H253" i="1"/>
  <c r="F252" i="1"/>
  <c r="K559" i="1"/>
  <c r="B458" i="1"/>
  <c r="G450" i="1"/>
  <c r="B443" i="1"/>
  <c r="C440" i="1"/>
  <c r="B432" i="1"/>
  <c r="J430" i="1"/>
  <c r="B426" i="1"/>
  <c r="D423" i="1"/>
  <c r="F420" i="1"/>
  <c r="H417" i="1"/>
  <c r="J414" i="1"/>
  <c r="B410" i="1"/>
  <c r="D407" i="1"/>
  <c r="F404" i="1"/>
  <c r="H401" i="1"/>
  <c r="J398" i="1"/>
  <c r="B394" i="1"/>
  <c r="D391" i="1"/>
  <c r="F388" i="1"/>
  <c r="H385" i="1"/>
  <c r="J382" i="1"/>
  <c r="B378" i="1"/>
  <c r="D375" i="1"/>
  <c r="H372" i="1"/>
  <c r="H371" i="1"/>
  <c r="J370" i="1"/>
  <c r="J369" i="1"/>
  <c r="J368" i="1"/>
  <c r="E366" i="1"/>
  <c r="K365" i="1"/>
  <c r="G363" i="1"/>
  <c r="C361" i="1"/>
  <c r="I360" i="1"/>
  <c r="E358" i="1"/>
  <c r="K357" i="1"/>
  <c r="F356" i="1"/>
  <c r="K354" i="1"/>
  <c r="H353" i="1"/>
  <c r="B352" i="1"/>
  <c r="J350" i="1"/>
  <c r="D349" i="1"/>
  <c r="F346" i="1"/>
  <c r="D345" i="1"/>
  <c r="F344" i="1"/>
  <c r="F343" i="1"/>
  <c r="F342" i="1"/>
  <c r="H341" i="1"/>
  <c r="H340" i="1"/>
  <c r="H339" i="1"/>
  <c r="J338" i="1"/>
  <c r="J337" i="1"/>
  <c r="J336" i="1"/>
  <c r="B334" i="1"/>
  <c r="B333" i="1"/>
  <c r="B332" i="1"/>
  <c r="D331" i="1"/>
  <c r="D330" i="1"/>
  <c r="H329" i="1"/>
  <c r="F328" i="1"/>
  <c r="D327" i="1"/>
  <c r="J326" i="1"/>
  <c r="B326" i="1"/>
  <c r="H325" i="1"/>
  <c r="F324" i="1"/>
  <c r="D323" i="1"/>
  <c r="J322" i="1"/>
  <c r="B322" i="1"/>
  <c r="H321" i="1"/>
  <c r="F320" i="1"/>
  <c r="D319" i="1"/>
  <c r="J318" i="1"/>
  <c r="B318" i="1"/>
  <c r="H317" i="1"/>
  <c r="F316" i="1"/>
  <c r="D315" i="1"/>
  <c r="J314" i="1"/>
  <c r="B314" i="1"/>
  <c r="H313" i="1"/>
  <c r="F312" i="1"/>
  <c r="D311" i="1"/>
  <c r="J310" i="1"/>
  <c r="B310" i="1"/>
  <c r="H309" i="1"/>
  <c r="F308" i="1"/>
  <c r="D307" i="1"/>
  <c r="J306" i="1"/>
  <c r="B306" i="1"/>
  <c r="H305" i="1"/>
  <c r="F304" i="1"/>
  <c r="D303" i="1"/>
  <c r="J302" i="1"/>
  <c r="B302" i="1"/>
  <c r="H301" i="1"/>
  <c r="F300" i="1"/>
  <c r="D299" i="1"/>
  <c r="J298" i="1"/>
  <c r="B298" i="1"/>
  <c r="H297" i="1"/>
  <c r="F296" i="1"/>
  <c r="D295" i="1"/>
  <c r="J294" i="1"/>
  <c r="B294" i="1"/>
  <c r="H293" i="1"/>
  <c r="F292" i="1"/>
  <c r="D291" i="1"/>
  <c r="I290" i="1"/>
  <c r="G289" i="1"/>
  <c r="F512" i="1"/>
  <c r="B429" i="1"/>
  <c r="H425" i="1"/>
  <c r="J421" i="1"/>
  <c r="J417" i="1"/>
  <c r="B402" i="1"/>
  <c r="D398" i="1"/>
  <c r="D394" i="1"/>
  <c r="J390" i="1"/>
  <c r="B361" i="1"/>
  <c r="C357" i="1"/>
  <c r="I352" i="1"/>
  <c r="H349" i="1"/>
  <c r="E346" i="1"/>
  <c r="E342" i="1"/>
  <c r="I338" i="1"/>
  <c r="K334" i="1"/>
  <c r="C333" i="1"/>
  <c r="I329" i="1"/>
  <c r="J328" i="1"/>
  <c r="K327" i="1"/>
  <c r="K326" i="1"/>
  <c r="B308" i="1"/>
  <c r="C307" i="1"/>
  <c r="C306" i="1"/>
  <c r="D305" i="1"/>
  <c r="E304" i="1"/>
  <c r="E303" i="1"/>
  <c r="F302" i="1"/>
  <c r="G301" i="1"/>
  <c r="G300" i="1"/>
  <c r="H299" i="1"/>
  <c r="I298" i="1"/>
  <c r="I297" i="1"/>
  <c r="J296" i="1"/>
  <c r="K295" i="1"/>
  <c r="K294" i="1"/>
  <c r="C289" i="1"/>
  <c r="I288" i="1"/>
  <c r="D287" i="1"/>
  <c r="J285" i="1"/>
  <c r="E284" i="1"/>
  <c r="B283" i="1"/>
  <c r="G281" i="1"/>
  <c r="D280" i="1"/>
  <c r="I278" i="1"/>
  <c r="F277" i="1"/>
  <c r="G276" i="1"/>
  <c r="H275" i="1"/>
  <c r="H274" i="1"/>
  <c r="I273" i="1"/>
  <c r="J272" i="1"/>
  <c r="J271" i="1"/>
  <c r="K270" i="1"/>
  <c r="B268" i="1"/>
  <c r="B267" i="1"/>
  <c r="C266" i="1"/>
  <c r="D265" i="1"/>
  <c r="D264" i="1"/>
  <c r="E263" i="1"/>
  <c r="F262" i="1"/>
  <c r="F261" i="1"/>
  <c r="G260" i="1"/>
  <c r="H259" i="1"/>
  <c r="H258" i="1"/>
  <c r="I257" i="1"/>
  <c r="J256" i="1"/>
  <c r="J255" i="1"/>
  <c r="K254" i="1"/>
  <c r="B252" i="1"/>
  <c r="H251" i="1"/>
  <c r="F250" i="1"/>
  <c r="D249" i="1"/>
  <c r="J248" i="1"/>
  <c r="B248" i="1"/>
  <c r="H247" i="1"/>
  <c r="F246" i="1"/>
  <c r="D245" i="1"/>
  <c r="J244" i="1"/>
  <c r="B244" i="1"/>
  <c r="H243" i="1"/>
  <c r="F242" i="1"/>
  <c r="D241" i="1"/>
  <c r="J240" i="1"/>
  <c r="B240" i="1"/>
  <c r="H239" i="1"/>
  <c r="F238" i="1"/>
  <c r="D237" i="1"/>
  <c r="J236" i="1"/>
  <c r="B236" i="1"/>
  <c r="H235" i="1"/>
  <c r="F234" i="1"/>
  <c r="D233" i="1"/>
  <c r="J232" i="1"/>
  <c r="B232" i="1"/>
  <c r="H231" i="1"/>
  <c r="F230" i="1"/>
  <c r="D229" i="1"/>
  <c r="J228" i="1"/>
  <c r="B228" i="1"/>
  <c r="H227" i="1"/>
  <c r="F226" i="1"/>
  <c r="D225" i="1"/>
  <c r="J224" i="1"/>
  <c r="B224" i="1"/>
  <c r="H223" i="1"/>
  <c r="F222" i="1"/>
  <c r="D221" i="1"/>
  <c r="J220" i="1"/>
  <c r="B220" i="1"/>
  <c r="H219" i="1"/>
  <c r="F218" i="1"/>
  <c r="D217" i="1"/>
  <c r="J216" i="1"/>
  <c r="B216" i="1"/>
  <c r="H215" i="1"/>
  <c r="F214" i="1"/>
  <c r="D213" i="1"/>
  <c r="J212" i="1"/>
  <c r="B212" i="1"/>
  <c r="H211" i="1"/>
  <c r="F210" i="1"/>
  <c r="D209" i="1"/>
  <c r="J208" i="1"/>
  <c r="B208" i="1"/>
  <c r="H207" i="1"/>
  <c r="F206" i="1"/>
  <c r="D205" i="1"/>
  <c r="J204" i="1"/>
  <c r="B204" i="1"/>
  <c r="H203" i="1"/>
  <c r="F202" i="1"/>
  <c r="D201" i="1"/>
  <c r="J200" i="1"/>
  <c r="B200" i="1"/>
  <c r="H199" i="1"/>
  <c r="F198" i="1"/>
  <c r="D197" i="1"/>
  <c r="J196" i="1"/>
  <c r="B196" i="1"/>
  <c r="H195" i="1"/>
  <c r="F194" i="1"/>
  <c r="D193" i="1"/>
  <c r="J192" i="1"/>
  <c r="B192" i="1"/>
  <c r="H191" i="1"/>
  <c r="F190" i="1"/>
  <c r="D189" i="1"/>
  <c r="J188" i="1"/>
  <c r="B188" i="1"/>
  <c r="H187" i="1"/>
  <c r="I505" i="1"/>
  <c r="B417" i="1"/>
  <c r="B413" i="1"/>
  <c r="H409" i="1"/>
  <c r="J405" i="1"/>
  <c r="J401" i="1"/>
  <c r="B386" i="1"/>
  <c r="D382" i="1"/>
  <c r="D378" i="1"/>
  <c r="J374" i="1"/>
  <c r="F371" i="1"/>
  <c r="G355" i="1"/>
  <c r="F352" i="1"/>
  <c r="C349" i="1"/>
  <c r="B346" i="1"/>
  <c r="G343" i="1"/>
  <c r="B342" i="1"/>
  <c r="K339" i="1"/>
  <c r="D338" i="1"/>
  <c r="F334" i="1"/>
  <c r="J330" i="1"/>
  <c r="G329" i="1"/>
  <c r="G328" i="1"/>
  <c r="H327" i="1"/>
  <c r="I326" i="1"/>
  <c r="I325" i="1"/>
  <c r="J324" i="1"/>
  <c r="K323" i="1"/>
  <c r="K322" i="1"/>
  <c r="B304" i="1"/>
  <c r="C303" i="1"/>
  <c r="C302" i="1"/>
  <c r="D301" i="1"/>
  <c r="E300" i="1"/>
  <c r="E299" i="1"/>
  <c r="F298" i="1"/>
  <c r="G297" i="1"/>
  <c r="G296" i="1"/>
  <c r="H295" i="1"/>
  <c r="I294" i="1"/>
  <c r="I293" i="1"/>
  <c r="J292" i="1"/>
  <c r="K291" i="1"/>
  <c r="J290" i="1"/>
  <c r="F288" i="1"/>
  <c r="C287" i="1"/>
  <c r="G285" i="1"/>
  <c r="D284" i="1"/>
  <c r="I282" i="1"/>
  <c r="F281" i="1"/>
  <c r="C280" i="1"/>
  <c r="K279" i="1"/>
  <c r="H278" i="1"/>
  <c r="E277" i="1"/>
  <c r="E276" i="1"/>
  <c r="F275" i="1"/>
  <c r="G274" i="1"/>
  <c r="G273" i="1"/>
  <c r="H272" i="1"/>
  <c r="I271" i="1"/>
  <c r="I270" i="1"/>
  <c r="J269" i="1"/>
  <c r="K268" i="1"/>
  <c r="K267" i="1"/>
  <c r="B265" i="1"/>
  <c r="C264" i="1"/>
  <c r="C263" i="1"/>
  <c r="D262" i="1"/>
  <c r="E261" i="1"/>
  <c r="E260" i="1"/>
  <c r="F259" i="1"/>
  <c r="G258" i="1"/>
  <c r="G257" i="1"/>
  <c r="H256" i="1"/>
  <c r="I255" i="1"/>
  <c r="I254" i="1"/>
  <c r="J253" i="1"/>
  <c r="K252" i="1"/>
  <c r="G251" i="1"/>
  <c r="E250" i="1"/>
  <c r="K249" i="1"/>
  <c r="C249" i="1"/>
  <c r="I248" i="1"/>
  <c r="G247" i="1"/>
  <c r="E246" i="1"/>
  <c r="K245" i="1"/>
  <c r="C245" i="1"/>
  <c r="I244" i="1"/>
  <c r="G243" i="1"/>
  <c r="E242" i="1"/>
  <c r="K241" i="1"/>
  <c r="C241" i="1"/>
  <c r="I240" i="1"/>
  <c r="G239" i="1"/>
  <c r="E238" i="1"/>
  <c r="K237" i="1"/>
  <c r="C237" i="1"/>
  <c r="I236" i="1"/>
  <c r="G235" i="1"/>
  <c r="E234" i="1"/>
  <c r="K233" i="1"/>
  <c r="C233" i="1"/>
  <c r="I232" i="1"/>
  <c r="G231" i="1"/>
  <c r="E230" i="1"/>
  <c r="K229" i="1"/>
  <c r="C229" i="1"/>
  <c r="I228" i="1"/>
  <c r="G227" i="1"/>
  <c r="E226" i="1"/>
  <c r="K225" i="1"/>
  <c r="C225" i="1"/>
  <c r="I224" i="1"/>
  <c r="G223" i="1"/>
  <c r="E222" i="1"/>
  <c r="K221" i="1"/>
  <c r="C221" i="1"/>
  <c r="I220" i="1"/>
  <c r="G219" i="1"/>
  <c r="E218" i="1"/>
  <c r="K217" i="1"/>
  <c r="C217" i="1"/>
  <c r="I216" i="1"/>
  <c r="G215" i="1"/>
  <c r="E214" i="1"/>
  <c r="K213" i="1"/>
  <c r="C213" i="1"/>
  <c r="I212" i="1"/>
  <c r="G211" i="1"/>
  <c r="E210" i="1"/>
  <c r="K209" i="1"/>
  <c r="C209" i="1"/>
  <c r="I208" i="1"/>
  <c r="G207" i="1"/>
  <c r="E206" i="1"/>
  <c r="K205" i="1"/>
  <c r="C205" i="1"/>
  <c r="I204" i="1"/>
  <c r="G203" i="1"/>
  <c r="E202" i="1"/>
  <c r="K201" i="1"/>
  <c r="C201" i="1"/>
  <c r="I200" i="1"/>
  <c r="G199" i="1"/>
  <c r="E198" i="1"/>
  <c r="K197" i="1"/>
  <c r="C197" i="1"/>
  <c r="I196" i="1"/>
  <c r="G195" i="1"/>
  <c r="E194" i="1"/>
  <c r="K193" i="1"/>
  <c r="C193" i="1"/>
  <c r="I192" i="1"/>
  <c r="G191" i="1"/>
  <c r="E190" i="1"/>
  <c r="K543" i="1"/>
  <c r="G466" i="1"/>
  <c r="J446" i="1"/>
  <c r="D432" i="1"/>
  <c r="F428" i="1"/>
  <c r="H424" i="1"/>
  <c r="H420" i="1"/>
  <c r="B401" i="1"/>
  <c r="B397" i="1"/>
  <c r="H393" i="1"/>
  <c r="J389" i="1"/>
  <c r="J385" i="1"/>
  <c r="H368" i="1"/>
  <c r="F366" i="1"/>
  <c r="I364" i="1"/>
  <c r="J360" i="1"/>
  <c r="D355" i="1"/>
  <c r="K350" i="1"/>
  <c r="H347" i="1"/>
  <c r="J344" i="1"/>
  <c r="E343" i="1"/>
  <c r="G339" i="1"/>
  <c r="K335" i="1"/>
  <c r="C334" i="1"/>
  <c r="E330" i="1"/>
  <c r="D329" i="1"/>
  <c r="E328" i="1"/>
  <c r="E327" i="1"/>
  <c r="F326" i="1"/>
  <c r="G325" i="1"/>
  <c r="G324" i="1"/>
  <c r="H464" i="1"/>
  <c r="I443" i="1"/>
  <c r="F412" i="1"/>
  <c r="H408" i="1"/>
  <c r="H404" i="1"/>
  <c r="B385" i="1"/>
  <c r="B381" i="1"/>
  <c r="H377" i="1"/>
  <c r="J373" i="1"/>
  <c r="D366" i="1"/>
  <c r="B364" i="1"/>
  <c r="E362" i="1"/>
  <c r="H360" i="1"/>
  <c r="F358" i="1"/>
  <c r="J356" i="1"/>
  <c r="I353" i="1"/>
  <c r="F350" i="1"/>
  <c r="E347" i="1"/>
  <c r="G344" i="1"/>
  <c r="I340" i="1"/>
  <c r="D339" i="1"/>
  <c r="F335" i="1"/>
  <c r="H331" i="1"/>
  <c r="C330" i="1"/>
  <c r="B328" i="1"/>
  <c r="C327" i="1"/>
  <c r="C326" i="1"/>
  <c r="D325" i="1"/>
  <c r="E324" i="1"/>
  <c r="E323" i="1"/>
  <c r="F322" i="1"/>
  <c r="G321" i="1"/>
  <c r="G320" i="1"/>
  <c r="H319" i="1"/>
  <c r="I318" i="1"/>
  <c r="I317" i="1"/>
  <c r="J316" i="1"/>
  <c r="K315" i="1"/>
  <c r="K314" i="1"/>
  <c r="B296" i="1"/>
  <c r="C295" i="1"/>
  <c r="C294" i="1"/>
  <c r="D293" i="1"/>
  <c r="E292" i="1"/>
  <c r="E291" i="1"/>
  <c r="G290" i="1"/>
  <c r="D288" i="1"/>
  <c r="H286" i="1"/>
  <c r="E285" i="1"/>
  <c r="B284" i="1"/>
  <c r="J283" i="1"/>
  <c r="G282" i="1"/>
  <c r="D281" i="1"/>
  <c r="I279" i="1"/>
  <c r="F278" i="1"/>
  <c r="B277" i="1"/>
  <c r="C276" i="1"/>
  <c r="C275" i="1"/>
  <c r="D274" i="1"/>
  <c r="E273" i="1"/>
  <c r="E272" i="1"/>
  <c r="F271" i="1"/>
  <c r="G270" i="1"/>
  <c r="G269" i="1"/>
  <c r="H268" i="1"/>
  <c r="I267" i="1"/>
  <c r="I266" i="1"/>
  <c r="J265" i="1"/>
  <c r="K264" i="1"/>
  <c r="K263" i="1"/>
  <c r="B261" i="1"/>
  <c r="C260" i="1"/>
  <c r="C259" i="1"/>
  <c r="D258" i="1"/>
  <c r="E257" i="1"/>
  <c r="E256" i="1"/>
  <c r="F255" i="1"/>
  <c r="G254" i="1"/>
  <c r="G253" i="1"/>
  <c r="H252" i="1"/>
  <c r="E251" i="1"/>
  <c r="K250" i="1"/>
  <c r="C250" i="1"/>
  <c r="I249" i="1"/>
  <c r="G248" i="1"/>
  <c r="E247" i="1"/>
  <c r="K246" i="1"/>
  <c r="C246" i="1"/>
  <c r="I245" i="1"/>
  <c r="G244" i="1"/>
  <c r="E243" i="1"/>
  <c r="K242" i="1"/>
  <c r="C242" i="1"/>
  <c r="I241" i="1"/>
  <c r="G240" i="1"/>
  <c r="E239" i="1"/>
  <c r="K238" i="1"/>
  <c r="C238" i="1"/>
  <c r="I237" i="1"/>
  <c r="G236" i="1"/>
  <c r="E235" i="1"/>
  <c r="K234" i="1"/>
  <c r="C234" i="1"/>
  <c r="I233" i="1"/>
  <c r="G232" i="1"/>
  <c r="E231" i="1"/>
  <c r="K230" i="1"/>
  <c r="C230" i="1"/>
  <c r="I229" i="1"/>
  <c r="G228" i="1"/>
  <c r="E227" i="1"/>
  <c r="K226" i="1"/>
  <c r="C226" i="1"/>
  <c r="I225" i="1"/>
  <c r="G224" i="1"/>
  <c r="E223" i="1"/>
  <c r="K222" i="1"/>
  <c r="C222" i="1"/>
  <c r="I221" i="1"/>
  <c r="G220" i="1"/>
  <c r="E219" i="1"/>
  <c r="K218" i="1"/>
  <c r="C218" i="1"/>
  <c r="I217" i="1"/>
  <c r="G216" i="1"/>
  <c r="E215" i="1"/>
  <c r="K214" i="1"/>
  <c r="C214" i="1"/>
  <c r="I213" i="1"/>
  <c r="G212" i="1"/>
  <c r="E211" i="1"/>
  <c r="K210" i="1"/>
  <c r="C210" i="1"/>
  <c r="I209" i="1"/>
  <c r="G208" i="1"/>
  <c r="E207" i="1"/>
  <c r="K206" i="1"/>
  <c r="C206" i="1"/>
  <c r="I205" i="1"/>
  <c r="G204" i="1"/>
  <c r="E203" i="1"/>
  <c r="K202" i="1"/>
  <c r="C202" i="1"/>
  <c r="I201" i="1"/>
  <c r="G200" i="1"/>
  <c r="E199" i="1"/>
  <c r="K198" i="1"/>
  <c r="C198" i="1"/>
  <c r="I197" i="1"/>
  <c r="G196" i="1"/>
  <c r="E195" i="1"/>
  <c r="K194" i="1"/>
  <c r="C194" i="1"/>
  <c r="I193" i="1"/>
  <c r="J442" i="1"/>
  <c r="B436" i="1"/>
  <c r="D431" i="1"/>
  <c r="F427" i="1"/>
  <c r="F423" i="1"/>
  <c r="F396" i="1"/>
  <c r="H392" i="1"/>
  <c r="H388" i="1"/>
  <c r="F370" i="1"/>
  <c r="D358" i="1"/>
  <c r="G356" i="1"/>
  <c r="D353" i="1"/>
  <c r="C350" i="1"/>
  <c r="J345" i="1"/>
  <c r="E344" i="1"/>
  <c r="G340" i="1"/>
  <c r="I336" i="1"/>
  <c r="C335" i="1"/>
  <c r="E331" i="1"/>
  <c r="B324" i="1"/>
  <c r="C323" i="1"/>
  <c r="C322" i="1"/>
  <c r="D321" i="1"/>
  <c r="E320" i="1"/>
  <c r="E319" i="1"/>
  <c r="F318" i="1"/>
  <c r="G317" i="1"/>
  <c r="G316" i="1"/>
  <c r="H315" i="1"/>
  <c r="I314" i="1"/>
  <c r="I313" i="1"/>
  <c r="J312" i="1"/>
  <c r="K311" i="1"/>
  <c r="K310" i="1"/>
  <c r="B292" i="1"/>
  <c r="C291" i="1"/>
  <c r="E290" i="1"/>
  <c r="K289" i="1"/>
  <c r="C288" i="1"/>
  <c r="K287" i="1"/>
  <c r="G286" i="1"/>
  <c r="D285" i="1"/>
  <c r="I283" i="1"/>
  <c r="F282" i="1"/>
  <c r="B281" i="1"/>
  <c r="K280" i="1"/>
  <c r="H279" i="1"/>
  <c r="D278" i="1"/>
  <c r="B276" i="1"/>
  <c r="B275" i="1"/>
  <c r="C274" i="1"/>
  <c r="D273" i="1"/>
  <c r="D272" i="1"/>
  <c r="E271" i="1"/>
  <c r="F270" i="1"/>
  <c r="F269" i="1"/>
  <c r="G268" i="1"/>
  <c r="H267" i="1"/>
  <c r="H266" i="1"/>
  <c r="I265" i="1"/>
  <c r="J264" i="1"/>
  <c r="J263" i="1"/>
  <c r="K262" i="1"/>
  <c r="B260" i="1"/>
  <c r="B259" i="1"/>
  <c r="C258" i="1"/>
  <c r="D257" i="1"/>
  <c r="D256" i="1"/>
  <c r="E255" i="1"/>
  <c r="F254" i="1"/>
  <c r="F253" i="1"/>
  <c r="G252" i="1"/>
  <c r="D251" i="1"/>
  <c r="J250" i="1"/>
  <c r="B250" i="1"/>
  <c r="H249" i="1"/>
  <c r="F248" i="1"/>
  <c r="D247" i="1"/>
  <c r="J246" i="1"/>
  <c r="B246" i="1"/>
  <c r="H245" i="1"/>
  <c r="F244" i="1"/>
  <c r="D243" i="1"/>
  <c r="J242" i="1"/>
  <c r="B242" i="1"/>
  <c r="H241" i="1"/>
  <c r="F240" i="1"/>
  <c r="D239" i="1"/>
  <c r="J238" i="1"/>
  <c r="B238" i="1"/>
  <c r="H237" i="1"/>
  <c r="F236" i="1"/>
  <c r="D235" i="1"/>
  <c r="J234" i="1"/>
  <c r="B234" i="1"/>
  <c r="H233" i="1"/>
  <c r="F232" i="1"/>
  <c r="D231" i="1"/>
  <c r="J230" i="1"/>
  <c r="B230" i="1"/>
  <c r="H229" i="1"/>
  <c r="F228" i="1"/>
  <c r="D227" i="1"/>
  <c r="J226" i="1"/>
  <c r="B226" i="1"/>
  <c r="H225" i="1"/>
  <c r="F224" i="1"/>
  <c r="D223" i="1"/>
  <c r="J222" i="1"/>
  <c r="B222" i="1"/>
  <c r="H221" i="1"/>
  <c r="F220" i="1"/>
  <c r="D219" i="1"/>
  <c r="J218" i="1"/>
  <c r="B218" i="1"/>
  <c r="H217" i="1"/>
  <c r="F216" i="1"/>
  <c r="D215" i="1"/>
  <c r="J214" i="1"/>
  <c r="B214" i="1"/>
  <c r="H213" i="1"/>
  <c r="F212" i="1"/>
  <c r="D211" i="1"/>
  <c r="J210" i="1"/>
  <c r="B210" i="1"/>
  <c r="H209" i="1"/>
  <c r="F208" i="1"/>
  <c r="D207" i="1"/>
  <c r="J206" i="1"/>
  <c r="B206" i="1"/>
  <c r="H205" i="1"/>
  <c r="F204" i="1"/>
  <c r="D203" i="1"/>
  <c r="J202" i="1"/>
  <c r="B202" i="1"/>
  <c r="H201" i="1"/>
  <c r="F200" i="1"/>
  <c r="D199" i="1"/>
  <c r="J198" i="1"/>
  <c r="B198" i="1"/>
  <c r="H197" i="1"/>
  <c r="F196" i="1"/>
  <c r="D195" i="1"/>
  <c r="J194" i="1"/>
  <c r="C741" i="1"/>
  <c r="B486" i="1"/>
  <c r="D415" i="1"/>
  <c r="F411" i="1"/>
  <c r="F407" i="1"/>
  <c r="F380" i="1"/>
  <c r="H376" i="1"/>
  <c r="J372" i="1"/>
  <c r="B356" i="1"/>
  <c r="H348" i="1"/>
  <c r="G345" i="1"/>
  <c r="I341" i="1"/>
  <c r="B340" i="1"/>
  <c r="K337" i="1"/>
  <c r="F336" i="1"/>
  <c r="H332" i="1"/>
  <c r="C331" i="1"/>
  <c r="B320" i="1"/>
  <c r="C319" i="1"/>
  <c r="C318" i="1"/>
  <c r="D317" i="1"/>
  <c r="E316" i="1"/>
  <c r="E315" i="1"/>
  <c r="F314" i="1"/>
  <c r="G313" i="1"/>
  <c r="G312" i="1"/>
  <c r="H311" i="1"/>
  <c r="I310" i="1"/>
  <c r="I309" i="1"/>
  <c r="J308" i="1"/>
  <c r="K307" i="1"/>
  <c r="K306" i="1"/>
  <c r="B290" i="1"/>
  <c r="H289" i="1"/>
  <c r="J287" i="1"/>
  <c r="F286" i="1"/>
  <c r="B285" i="1"/>
  <c r="K284" i="1"/>
  <c r="H283" i="1"/>
  <c r="D282" i="1"/>
  <c r="F481" i="1"/>
  <c r="F440" i="1"/>
  <c r="D430" i="1"/>
  <c r="D426" i="1"/>
  <c r="J422" i="1"/>
  <c r="D399" i="1"/>
  <c r="F395" i="1"/>
  <c r="F391" i="1"/>
  <c r="F372" i="1"/>
  <c r="G367" i="1"/>
  <c r="J365" i="1"/>
  <c r="H363" i="1"/>
  <c r="K361" i="1"/>
  <c r="J354" i="1"/>
  <c r="F351" i="1"/>
  <c r="B348" i="1"/>
  <c r="C345" i="1"/>
  <c r="G341" i="1"/>
  <c r="I337" i="1"/>
  <c r="K333" i="1"/>
  <c r="E332" i="1"/>
  <c r="B316" i="1"/>
  <c r="C315" i="1"/>
  <c r="C314" i="1"/>
  <c r="D313" i="1"/>
  <c r="E312" i="1"/>
  <c r="E311" i="1"/>
  <c r="F310" i="1"/>
  <c r="G309" i="1"/>
  <c r="G308" i="1"/>
  <c r="H307" i="1"/>
  <c r="I306" i="1"/>
  <c r="I305" i="1"/>
  <c r="J304" i="1"/>
  <c r="K303" i="1"/>
  <c r="K302" i="1"/>
  <c r="F289" i="1"/>
  <c r="I287" i="1"/>
  <c r="D286" i="1"/>
  <c r="J284" i="1"/>
  <c r="F283" i="1"/>
  <c r="H280" i="1"/>
  <c r="C279" i="1"/>
  <c r="J277" i="1"/>
  <c r="J276" i="1"/>
  <c r="J275" i="1"/>
  <c r="K274" i="1"/>
  <c r="B272" i="1"/>
  <c r="B271" i="1"/>
  <c r="C270" i="1"/>
  <c r="D269" i="1"/>
  <c r="D268" i="1"/>
  <c r="E267" i="1"/>
  <c r="F266" i="1"/>
  <c r="F265" i="1"/>
  <c r="G264" i="1"/>
  <c r="H263" i="1"/>
  <c r="H262" i="1"/>
  <c r="I261" i="1"/>
  <c r="J260" i="1"/>
  <c r="J259" i="1"/>
  <c r="K258" i="1"/>
  <c r="B256" i="1"/>
  <c r="B255" i="1"/>
  <c r="C254" i="1"/>
  <c r="D253" i="1"/>
  <c r="D252" i="1"/>
  <c r="J251" i="1"/>
  <c r="B251" i="1"/>
  <c r="H250" i="1"/>
  <c r="F249" i="1"/>
  <c r="D248" i="1"/>
  <c r="J247" i="1"/>
  <c r="B247" i="1"/>
  <c r="H246" i="1"/>
  <c r="F245" i="1"/>
  <c r="D244" i="1"/>
  <c r="J243" i="1"/>
  <c r="B243" i="1"/>
  <c r="H242" i="1"/>
  <c r="F241" i="1"/>
  <c r="D240" i="1"/>
  <c r="J239" i="1"/>
  <c r="B239" i="1"/>
  <c r="H238" i="1"/>
  <c r="F237" i="1"/>
  <c r="D236" i="1"/>
  <c r="J235" i="1"/>
  <c r="B235" i="1"/>
  <c r="H234" i="1"/>
  <c r="F233" i="1"/>
  <c r="D232" i="1"/>
  <c r="J231" i="1"/>
  <c r="B231" i="1"/>
  <c r="H230" i="1"/>
  <c r="F229" i="1"/>
  <c r="D228" i="1"/>
  <c r="J227" i="1"/>
  <c r="B227" i="1"/>
  <c r="H226" i="1"/>
  <c r="F225" i="1"/>
  <c r="D224" i="1"/>
  <c r="J223" i="1"/>
  <c r="B223" i="1"/>
  <c r="H222" i="1"/>
  <c r="F221" i="1"/>
  <c r="D220" i="1"/>
  <c r="J219" i="1"/>
  <c r="B219" i="1"/>
  <c r="H218" i="1"/>
  <c r="F217" i="1"/>
  <c r="D216" i="1"/>
  <c r="J215" i="1"/>
  <c r="B215" i="1"/>
  <c r="H214" i="1"/>
  <c r="F213" i="1"/>
  <c r="D212" i="1"/>
  <c r="J211" i="1"/>
  <c r="B211" i="1"/>
  <c r="H210" i="1"/>
  <c r="F209" i="1"/>
  <c r="D208" i="1"/>
  <c r="J207" i="1"/>
  <c r="B207" i="1"/>
  <c r="H206" i="1"/>
  <c r="F205" i="1"/>
  <c r="D204" i="1"/>
  <c r="J203" i="1"/>
  <c r="B203" i="1"/>
  <c r="H202" i="1"/>
  <c r="F201" i="1"/>
  <c r="D200" i="1"/>
  <c r="J199" i="1"/>
  <c r="B199" i="1"/>
  <c r="D454" i="1"/>
  <c r="D410" i="1"/>
  <c r="F379" i="1"/>
  <c r="G359" i="1"/>
  <c r="J346" i="1"/>
  <c r="I321" i="1"/>
  <c r="C298" i="1"/>
  <c r="F294" i="1"/>
  <c r="H290" i="1"/>
  <c r="F285" i="1"/>
  <c r="J279" i="1"/>
  <c r="K276" i="1"/>
  <c r="E275" i="1"/>
  <c r="H271" i="1"/>
  <c r="J267" i="1"/>
  <c r="D266" i="1"/>
  <c r="G262" i="1"/>
  <c r="I258" i="1"/>
  <c r="B257" i="1"/>
  <c r="E253" i="1"/>
  <c r="B249" i="1"/>
  <c r="C248" i="1"/>
  <c r="C247" i="1"/>
  <c r="D246" i="1"/>
  <c r="E245" i="1"/>
  <c r="E244" i="1"/>
  <c r="F243" i="1"/>
  <c r="G242" i="1"/>
  <c r="G241" i="1"/>
  <c r="H240" i="1"/>
  <c r="I239" i="1"/>
  <c r="I238" i="1"/>
  <c r="J237" i="1"/>
  <c r="K236" i="1"/>
  <c r="K235" i="1"/>
  <c r="B217" i="1"/>
  <c r="C216" i="1"/>
  <c r="C215" i="1"/>
  <c r="D214" i="1"/>
  <c r="E213" i="1"/>
  <c r="E212" i="1"/>
  <c r="F211" i="1"/>
  <c r="G210" i="1"/>
  <c r="G209" i="1"/>
  <c r="H208" i="1"/>
  <c r="I207" i="1"/>
  <c r="I206" i="1"/>
  <c r="J205" i="1"/>
  <c r="K204" i="1"/>
  <c r="K203" i="1"/>
  <c r="F197" i="1"/>
  <c r="B195" i="1"/>
  <c r="H194" i="1"/>
  <c r="E193" i="1"/>
  <c r="D192" i="1"/>
  <c r="D191" i="1"/>
  <c r="D190" i="1"/>
  <c r="G189" i="1"/>
  <c r="K188" i="1"/>
  <c r="E187" i="1"/>
  <c r="K186" i="1"/>
  <c r="C186" i="1"/>
  <c r="I185" i="1"/>
  <c r="G184" i="1"/>
  <c r="E183" i="1"/>
  <c r="K182" i="1"/>
  <c r="C182" i="1"/>
  <c r="I181" i="1"/>
  <c r="G180" i="1"/>
  <c r="E179" i="1"/>
  <c r="K178" i="1"/>
  <c r="C178" i="1"/>
  <c r="I177" i="1"/>
  <c r="G176" i="1"/>
  <c r="E175" i="1"/>
  <c r="K174" i="1"/>
  <c r="C174" i="1"/>
  <c r="I173" i="1"/>
  <c r="G172" i="1"/>
  <c r="E171" i="1"/>
  <c r="J406" i="1"/>
  <c r="F375" i="1"/>
  <c r="J357" i="1"/>
  <c r="D309" i="1"/>
  <c r="G305" i="1"/>
  <c r="I301" i="1"/>
  <c r="G287" i="1"/>
  <c r="F279" i="1"/>
  <c r="H276" i="1"/>
  <c r="K272" i="1"/>
  <c r="C271" i="1"/>
  <c r="F267" i="1"/>
  <c r="I263" i="1"/>
  <c r="C262" i="1"/>
  <c r="K259" i="1"/>
  <c r="F258" i="1"/>
  <c r="H254" i="1"/>
  <c r="B253" i="1"/>
  <c r="B245" i="1"/>
  <c r="C244" i="1"/>
  <c r="C243" i="1"/>
  <c r="D242" i="1"/>
  <c r="E241" i="1"/>
  <c r="E240" i="1"/>
  <c r="F239" i="1"/>
  <c r="G238" i="1"/>
  <c r="G237" i="1"/>
  <c r="H236" i="1"/>
  <c r="I235" i="1"/>
  <c r="I234" i="1"/>
  <c r="J233" i="1"/>
  <c r="K232" i="1"/>
  <c r="K231" i="1"/>
  <c r="B213" i="1"/>
  <c r="C212" i="1"/>
  <c r="C211" i="1"/>
  <c r="D210" i="1"/>
  <c r="E209" i="1"/>
  <c r="E208" i="1"/>
  <c r="F207" i="1"/>
  <c r="G206" i="1"/>
  <c r="G205" i="1"/>
  <c r="H204" i="1"/>
  <c r="I203" i="1"/>
  <c r="I202" i="1"/>
  <c r="J201" i="1"/>
  <c r="K200" i="1"/>
  <c r="K199" i="1"/>
  <c r="E197" i="1"/>
  <c r="K196" i="1"/>
  <c r="G194" i="1"/>
  <c r="B193" i="1"/>
  <c r="C192" i="1"/>
  <c r="C191" i="1"/>
  <c r="C190" i="1"/>
  <c r="F189" i="1"/>
  <c r="I188" i="1"/>
  <c r="D187" i="1"/>
  <c r="J186" i="1"/>
  <c r="B186" i="1"/>
  <c r="H185" i="1"/>
  <c r="F184" i="1"/>
  <c r="D183" i="1"/>
  <c r="J182" i="1"/>
  <c r="B182" i="1"/>
  <c r="H181" i="1"/>
  <c r="F180" i="1"/>
  <c r="D179" i="1"/>
  <c r="J178" i="1"/>
  <c r="B178" i="1"/>
  <c r="H177" i="1"/>
  <c r="F176" i="1"/>
  <c r="D175" i="1"/>
  <c r="J174" i="1"/>
  <c r="B174" i="1"/>
  <c r="H173" i="1"/>
  <c r="F172" i="1"/>
  <c r="D171" i="1"/>
  <c r="J170" i="1"/>
  <c r="B170" i="1"/>
  <c r="H169" i="1"/>
  <c r="F168" i="1"/>
  <c r="D167" i="1"/>
  <c r="J166" i="1"/>
  <c r="B166" i="1"/>
  <c r="H165" i="1"/>
  <c r="F164" i="1"/>
  <c r="K163" i="1"/>
  <c r="C163" i="1"/>
  <c r="I162" i="1"/>
  <c r="G161" i="1"/>
  <c r="E160" i="1"/>
  <c r="K159" i="1"/>
  <c r="C159" i="1"/>
  <c r="I158" i="1"/>
  <c r="G157" i="1"/>
  <c r="E156" i="1"/>
  <c r="K155" i="1"/>
  <c r="C155" i="1"/>
  <c r="I154" i="1"/>
  <c r="G153" i="1"/>
  <c r="E152" i="1"/>
  <c r="K151" i="1"/>
  <c r="C151" i="1"/>
  <c r="I150" i="1"/>
  <c r="G149" i="1"/>
  <c r="E148" i="1"/>
  <c r="K147" i="1"/>
  <c r="C147" i="1"/>
  <c r="I146" i="1"/>
  <c r="G145" i="1"/>
  <c r="E144" i="1"/>
  <c r="K143" i="1"/>
  <c r="C143" i="1"/>
  <c r="I142" i="1"/>
  <c r="G141" i="1"/>
  <c r="E140" i="1"/>
  <c r="K139" i="1"/>
  <c r="C139" i="1"/>
  <c r="I138" i="1"/>
  <c r="G137" i="1"/>
  <c r="E136" i="1"/>
  <c r="K135" i="1"/>
  <c r="C135" i="1"/>
  <c r="I134" i="1"/>
  <c r="G133" i="1"/>
  <c r="E132" i="1"/>
  <c r="K131" i="1"/>
  <c r="C131" i="1"/>
  <c r="I130" i="1"/>
  <c r="G129" i="1"/>
  <c r="E128" i="1"/>
  <c r="K127" i="1"/>
  <c r="C127" i="1"/>
  <c r="I126" i="1"/>
  <c r="G125" i="1"/>
  <c r="E124" i="1"/>
  <c r="K123" i="1"/>
  <c r="C123" i="1"/>
  <c r="I122" i="1"/>
  <c r="G121" i="1"/>
  <c r="E120" i="1"/>
  <c r="K119" i="1"/>
  <c r="C119" i="1"/>
  <c r="I118" i="1"/>
  <c r="G117" i="1"/>
  <c r="E116" i="1"/>
  <c r="K115" i="1"/>
  <c r="C115" i="1"/>
  <c r="I114" i="1"/>
  <c r="G113" i="1"/>
  <c r="E112" i="1"/>
  <c r="K111" i="1"/>
  <c r="C111" i="1"/>
  <c r="I110" i="1"/>
  <c r="G109" i="1"/>
  <c r="E108" i="1"/>
  <c r="K107" i="1"/>
  <c r="C107" i="1"/>
  <c r="I106" i="1"/>
  <c r="H369" i="1"/>
  <c r="D354" i="1"/>
  <c r="I342" i="1"/>
  <c r="B312" i="1"/>
  <c r="E308" i="1"/>
  <c r="G304" i="1"/>
  <c r="J300" i="1"/>
  <c r="E289" i="1"/>
  <c r="H284" i="1"/>
  <c r="J280" i="1"/>
  <c r="G277" i="1"/>
  <c r="J273" i="1"/>
  <c r="C272" i="1"/>
  <c r="E268" i="1"/>
  <c r="H264" i="1"/>
  <c r="B263" i="1"/>
  <c r="K260" i="1"/>
  <c r="E259" i="1"/>
  <c r="H255" i="1"/>
  <c r="B237" i="1"/>
  <c r="C236" i="1"/>
  <c r="C235" i="1"/>
  <c r="D234" i="1"/>
  <c r="E233" i="1"/>
  <c r="E232" i="1"/>
  <c r="F231" i="1"/>
  <c r="G230" i="1"/>
  <c r="G229" i="1"/>
  <c r="H228" i="1"/>
  <c r="I227" i="1"/>
  <c r="I226" i="1"/>
  <c r="J225" i="1"/>
  <c r="K224" i="1"/>
  <c r="K223" i="1"/>
  <c r="B205" i="1"/>
  <c r="C204" i="1"/>
  <c r="C203" i="1"/>
  <c r="D202" i="1"/>
  <c r="E201" i="1"/>
  <c r="E200" i="1"/>
  <c r="F199" i="1"/>
  <c r="I198" i="1"/>
  <c r="E196" i="1"/>
  <c r="K195" i="1"/>
  <c r="B194" i="1"/>
  <c r="K192" i="1"/>
  <c r="K191" i="1"/>
  <c r="K190" i="1"/>
  <c r="C189" i="1"/>
  <c r="G188" i="1"/>
  <c r="K187" i="1"/>
  <c r="B187" i="1"/>
  <c r="H186" i="1"/>
  <c r="F185" i="1"/>
  <c r="D184" i="1"/>
  <c r="J183" i="1"/>
  <c r="B183" i="1"/>
  <c r="H182" i="1"/>
  <c r="F181" i="1"/>
  <c r="D180" i="1"/>
  <c r="J179" i="1"/>
  <c r="B179" i="1"/>
  <c r="H178" i="1"/>
  <c r="F177" i="1"/>
  <c r="D176" i="1"/>
  <c r="J175" i="1"/>
  <c r="B175" i="1"/>
  <c r="H174" i="1"/>
  <c r="F173" i="1"/>
  <c r="D172" i="1"/>
  <c r="J171" i="1"/>
  <c r="B171" i="1"/>
  <c r="H170" i="1"/>
  <c r="F169" i="1"/>
  <c r="D168" i="1"/>
  <c r="J167" i="1"/>
  <c r="B167" i="1"/>
  <c r="H166" i="1"/>
  <c r="F165" i="1"/>
  <c r="D164" i="1"/>
  <c r="I163" i="1"/>
  <c r="G162" i="1"/>
  <c r="E161" i="1"/>
  <c r="K160" i="1"/>
  <c r="C160" i="1"/>
  <c r="I159" i="1"/>
  <c r="G158" i="1"/>
  <c r="E157" i="1"/>
  <c r="K156" i="1"/>
  <c r="C156" i="1"/>
  <c r="I155" i="1"/>
  <c r="G154" i="1"/>
  <c r="E153" i="1"/>
  <c r="K152" i="1"/>
  <c r="C152" i="1"/>
  <c r="I151" i="1"/>
  <c r="G150" i="1"/>
  <c r="E149" i="1"/>
  <c r="K148" i="1"/>
  <c r="C148" i="1"/>
  <c r="I147" i="1"/>
  <c r="G146" i="1"/>
  <c r="E145" i="1"/>
  <c r="K144" i="1"/>
  <c r="C144" i="1"/>
  <c r="I143" i="1"/>
  <c r="G142" i="1"/>
  <c r="E141" i="1"/>
  <c r="K140" i="1"/>
  <c r="C140" i="1"/>
  <c r="I139" i="1"/>
  <c r="G138" i="1"/>
  <c r="E137" i="1"/>
  <c r="K136" i="1"/>
  <c r="C136" i="1"/>
  <c r="I135" i="1"/>
  <c r="G134" i="1"/>
  <c r="E133" i="1"/>
  <c r="K132" i="1"/>
  <c r="C132" i="1"/>
  <c r="I131" i="1"/>
  <c r="G130" i="1"/>
  <c r="E129" i="1"/>
  <c r="K128" i="1"/>
  <c r="C128" i="1"/>
  <c r="I127" i="1"/>
  <c r="G126" i="1"/>
  <c r="E125" i="1"/>
  <c r="K124" i="1"/>
  <c r="C124" i="1"/>
  <c r="I123" i="1"/>
  <c r="G122" i="1"/>
  <c r="E121" i="1"/>
  <c r="K120" i="1"/>
  <c r="C120" i="1"/>
  <c r="I119" i="1"/>
  <c r="G118" i="1"/>
  <c r="E117" i="1"/>
  <c r="K116" i="1"/>
  <c r="C116" i="1"/>
  <c r="I115" i="1"/>
  <c r="G114" i="1"/>
  <c r="E113" i="1"/>
  <c r="K112" i="1"/>
  <c r="C112" i="1"/>
  <c r="I111" i="1"/>
  <c r="G110" i="1"/>
  <c r="E109" i="1"/>
  <c r="K108" i="1"/>
  <c r="C108" i="1"/>
  <c r="I107" i="1"/>
  <c r="G106" i="1"/>
  <c r="B341" i="1"/>
  <c r="H323" i="1"/>
  <c r="K319" i="1"/>
  <c r="B300" i="1"/>
  <c r="E296" i="1"/>
  <c r="G292" i="1"/>
  <c r="I286" i="1"/>
  <c r="C284" i="1"/>
  <c r="E280" i="1"/>
  <c r="D277" i="1"/>
  <c r="F273" i="1"/>
  <c r="I269" i="1"/>
  <c r="C268" i="1"/>
  <c r="E264" i="1"/>
  <c r="H260" i="1"/>
  <c r="K256" i="1"/>
  <c r="C255" i="1"/>
  <c r="K251" i="1"/>
  <c r="B233" i="1"/>
  <c r="C232" i="1"/>
  <c r="C231" i="1"/>
  <c r="D230" i="1"/>
  <c r="E229" i="1"/>
  <c r="E228" i="1"/>
  <c r="F227" i="1"/>
  <c r="G226" i="1"/>
  <c r="G225" i="1"/>
  <c r="H224" i="1"/>
  <c r="I223" i="1"/>
  <c r="I222" i="1"/>
  <c r="J221" i="1"/>
  <c r="K220" i="1"/>
  <c r="K219" i="1"/>
  <c r="B201" i="1"/>
  <c r="C200" i="1"/>
  <c r="C199" i="1"/>
  <c r="H198" i="1"/>
  <c r="D196" i="1"/>
  <c r="J195" i="1"/>
  <c r="J193" i="1"/>
  <c r="H192" i="1"/>
  <c r="J191" i="1"/>
  <c r="J190" i="1"/>
  <c r="K189" i="1"/>
  <c r="B189" i="1"/>
  <c r="F188" i="1"/>
  <c r="J187" i="1"/>
  <c r="G186" i="1"/>
  <c r="E185" i="1"/>
  <c r="K184" i="1"/>
  <c r="C184" i="1"/>
  <c r="I183" i="1"/>
  <c r="G182" i="1"/>
  <c r="E181" i="1"/>
  <c r="K180" i="1"/>
  <c r="C180" i="1"/>
  <c r="I179" i="1"/>
  <c r="G178" i="1"/>
  <c r="E177" i="1"/>
  <c r="K176" i="1"/>
  <c r="C176" i="1"/>
  <c r="I175" i="1"/>
  <c r="G174" i="1"/>
  <c r="E173" i="1"/>
  <c r="K172" i="1"/>
  <c r="C172" i="1"/>
  <c r="I171" i="1"/>
  <c r="G170" i="1"/>
  <c r="E169" i="1"/>
  <c r="K168" i="1"/>
  <c r="C168" i="1"/>
  <c r="I167" i="1"/>
  <c r="G166" i="1"/>
  <c r="E165" i="1"/>
  <c r="K164" i="1"/>
  <c r="C164" i="1"/>
  <c r="H163" i="1"/>
  <c r="F162" i="1"/>
  <c r="D161" i="1"/>
  <c r="J160" i="1"/>
  <c r="B160" i="1"/>
  <c r="H159" i="1"/>
  <c r="F158" i="1"/>
  <c r="D157" i="1"/>
  <c r="J156" i="1"/>
  <c r="B156" i="1"/>
  <c r="H155" i="1"/>
  <c r="F154" i="1"/>
  <c r="D153" i="1"/>
  <c r="J152" i="1"/>
  <c r="B152" i="1"/>
  <c r="H151" i="1"/>
  <c r="F150" i="1"/>
  <c r="D149" i="1"/>
  <c r="J148" i="1"/>
  <c r="B148" i="1"/>
  <c r="H147" i="1"/>
  <c r="F146" i="1"/>
  <c r="D145" i="1"/>
  <c r="J144" i="1"/>
  <c r="B144" i="1"/>
  <c r="H143" i="1"/>
  <c r="F142" i="1"/>
  <c r="D141" i="1"/>
  <c r="J140" i="1"/>
  <c r="B140" i="1"/>
  <c r="H139" i="1"/>
  <c r="F138" i="1"/>
  <c r="D137" i="1"/>
  <c r="J136" i="1"/>
  <c r="B136" i="1"/>
  <c r="H135" i="1"/>
  <c r="F134" i="1"/>
  <c r="D133" i="1"/>
  <c r="J132" i="1"/>
  <c r="B132" i="1"/>
  <c r="H131" i="1"/>
  <c r="F130" i="1"/>
  <c r="D129" i="1"/>
  <c r="J128" i="1"/>
  <c r="B128" i="1"/>
  <c r="H127" i="1"/>
  <c r="F126" i="1"/>
  <c r="D125" i="1"/>
  <c r="J124" i="1"/>
  <c r="B124" i="1"/>
  <c r="H123" i="1"/>
  <c r="F122" i="1"/>
  <c r="D121" i="1"/>
  <c r="J120" i="1"/>
  <c r="B120" i="1"/>
  <c r="H119" i="1"/>
  <c r="F118" i="1"/>
  <c r="D117" i="1"/>
  <c r="J116" i="1"/>
  <c r="B116" i="1"/>
  <c r="H115" i="1"/>
  <c r="F114" i="1"/>
  <c r="D113" i="1"/>
  <c r="J112" i="1"/>
  <c r="B112" i="1"/>
  <c r="H111" i="1"/>
  <c r="F110" i="1"/>
  <c r="D109" i="1"/>
  <c r="J108" i="1"/>
  <c r="B108" i="1"/>
  <c r="H107" i="1"/>
  <c r="F106" i="1"/>
  <c r="D105" i="1"/>
  <c r="B418" i="1"/>
  <c r="F363" i="1"/>
  <c r="K349" i="1"/>
  <c r="K338" i="1"/>
  <c r="I322" i="1"/>
  <c r="K318" i="1"/>
  <c r="C299" i="1"/>
  <c r="E295" i="1"/>
  <c r="H291" i="1"/>
  <c r="E288" i="1"/>
  <c r="K283" i="1"/>
  <c r="J281" i="1"/>
  <c r="G278" i="1"/>
  <c r="K275" i="1"/>
  <c r="F274" i="1"/>
  <c r="H270" i="1"/>
  <c r="B269" i="1"/>
  <c r="K266" i="1"/>
  <c r="E265" i="1"/>
  <c r="G261" i="1"/>
  <c r="J257" i="1"/>
  <c r="C256" i="1"/>
  <c r="E252" i="1"/>
  <c r="F251" i="1"/>
  <c r="G250" i="1"/>
  <c r="G249" i="1"/>
  <c r="H248" i="1"/>
  <c r="I247" i="1"/>
  <c r="I246" i="1"/>
  <c r="J245" i="1"/>
  <c r="K244" i="1"/>
  <c r="K243" i="1"/>
  <c r="B225" i="1"/>
  <c r="C224" i="1"/>
  <c r="C223" i="1"/>
  <c r="D222" i="1"/>
  <c r="E221" i="1"/>
  <c r="E220" i="1"/>
  <c r="F219" i="1"/>
  <c r="G218" i="1"/>
  <c r="G217" i="1"/>
  <c r="H216" i="1"/>
  <c r="I215" i="1"/>
  <c r="I214" i="1"/>
  <c r="J213" i="1"/>
  <c r="K212" i="1"/>
  <c r="K211" i="1"/>
  <c r="D198" i="1"/>
  <c r="J197" i="1"/>
  <c r="F195" i="1"/>
  <c r="G193" i="1"/>
  <c r="F192" i="1"/>
  <c r="F191" i="1"/>
  <c r="H190" i="1"/>
  <c r="I189" i="1"/>
  <c r="D188" i="1"/>
  <c r="G187" i="1"/>
  <c r="E186" i="1"/>
  <c r="K185" i="1"/>
  <c r="C185" i="1"/>
  <c r="I184" i="1"/>
  <c r="G183" i="1"/>
  <c r="E182" i="1"/>
  <c r="K181" i="1"/>
  <c r="C181" i="1"/>
  <c r="I180" i="1"/>
  <c r="G179" i="1"/>
  <c r="E178" i="1"/>
  <c r="K177" i="1"/>
  <c r="C177" i="1"/>
  <c r="I176" i="1"/>
  <c r="G175" i="1"/>
  <c r="E174" i="1"/>
  <c r="K173" i="1"/>
  <c r="C173" i="1"/>
  <c r="I172" i="1"/>
  <c r="G171" i="1"/>
  <c r="E170" i="1"/>
  <c r="K169" i="1"/>
  <c r="C169" i="1"/>
  <c r="I168" i="1"/>
  <c r="G167" i="1"/>
  <c r="E166" i="1"/>
  <c r="K165" i="1"/>
  <c r="C165" i="1"/>
  <c r="I164" i="1"/>
  <c r="F163" i="1"/>
  <c r="D162" i="1"/>
  <c r="J161" i="1"/>
  <c r="B161" i="1"/>
  <c r="H160" i="1"/>
  <c r="F159" i="1"/>
  <c r="D158" i="1"/>
  <c r="J157" i="1"/>
  <c r="B157" i="1"/>
  <c r="H156" i="1"/>
  <c r="F155" i="1"/>
  <c r="D154" i="1"/>
  <c r="J153" i="1"/>
  <c r="B153" i="1"/>
  <c r="H152" i="1"/>
  <c r="F151" i="1"/>
  <c r="D150" i="1"/>
  <c r="J149" i="1"/>
  <c r="B149" i="1"/>
  <c r="H148" i="1"/>
  <c r="F147" i="1"/>
  <c r="D146" i="1"/>
  <c r="J145" i="1"/>
  <c r="B145" i="1"/>
  <c r="H144" i="1"/>
  <c r="F143" i="1"/>
  <c r="D142" i="1"/>
  <c r="J141" i="1"/>
  <c r="B141" i="1"/>
  <c r="H140" i="1"/>
  <c r="F139" i="1"/>
  <c r="D138" i="1"/>
  <c r="J137" i="1"/>
  <c r="B137" i="1"/>
  <c r="H136" i="1"/>
  <c r="F135" i="1"/>
  <c r="D134" i="1"/>
  <c r="J133" i="1"/>
  <c r="B133" i="1"/>
  <c r="H132" i="1"/>
  <c r="F131" i="1"/>
  <c r="D130" i="1"/>
  <c r="J129" i="1"/>
  <c r="B129" i="1"/>
  <c r="H128" i="1"/>
  <c r="F127" i="1"/>
  <c r="D126" i="1"/>
  <c r="J125" i="1"/>
  <c r="B125" i="1"/>
  <c r="H124" i="1"/>
  <c r="F123" i="1"/>
  <c r="D122" i="1"/>
  <c r="J121" i="1"/>
  <c r="B121" i="1"/>
  <c r="H120" i="1"/>
  <c r="F119" i="1"/>
  <c r="D118" i="1"/>
  <c r="J117" i="1"/>
  <c r="B117" i="1"/>
  <c r="H116" i="1"/>
  <c r="F115" i="1"/>
  <c r="D114" i="1"/>
  <c r="J113" i="1"/>
  <c r="B113" i="1"/>
  <c r="H112" i="1"/>
  <c r="F111" i="1"/>
  <c r="D110" i="1"/>
  <c r="J109" i="1"/>
  <c r="B109" i="1"/>
  <c r="H108" i="1"/>
  <c r="F107" i="1"/>
  <c r="D106" i="1"/>
  <c r="J105" i="1"/>
  <c r="B105" i="1"/>
  <c r="B273" i="1"/>
  <c r="G266" i="1"/>
  <c r="I259" i="1"/>
  <c r="J252" i="1"/>
  <c r="F247" i="1"/>
  <c r="K239" i="1"/>
  <c r="G234" i="1"/>
  <c r="B229" i="1"/>
  <c r="G221" i="1"/>
  <c r="E216" i="1"/>
  <c r="K208" i="1"/>
  <c r="F203" i="1"/>
  <c r="G198" i="1"/>
  <c r="H196" i="1"/>
  <c r="I194" i="1"/>
  <c r="G190" i="1"/>
  <c r="B181" i="1"/>
  <c r="B180" i="1"/>
  <c r="C179" i="1"/>
  <c r="D178" i="1"/>
  <c r="D177" i="1"/>
  <c r="E176" i="1"/>
  <c r="F175" i="1"/>
  <c r="F174" i="1"/>
  <c r="G173" i="1"/>
  <c r="H172" i="1"/>
  <c r="H171" i="1"/>
  <c r="K170" i="1"/>
  <c r="G168" i="1"/>
  <c r="C166" i="1"/>
  <c r="I165" i="1"/>
  <c r="D163" i="1"/>
  <c r="J162" i="1"/>
  <c r="F160" i="1"/>
  <c r="B158" i="1"/>
  <c r="H157" i="1"/>
  <c r="D155" i="1"/>
  <c r="J154" i="1"/>
  <c r="F152" i="1"/>
  <c r="B150" i="1"/>
  <c r="H149" i="1"/>
  <c r="D147" i="1"/>
  <c r="J146" i="1"/>
  <c r="F144" i="1"/>
  <c r="B142" i="1"/>
  <c r="H141" i="1"/>
  <c r="D139" i="1"/>
  <c r="J138" i="1"/>
  <c r="F136" i="1"/>
  <c r="B134" i="1"/>
  <c r="H133" i="1"/>
  <c r="D131" i="1"/>
  <c r="J130" i="1"/>
  <c r="F128" i="1"/>
  <c r="B126" i="1"/>
  <c r="H125" i="1"/>
  <c r="D123" i="1"/>
  <c r="J122" i="1"/>
  <c r="F120" i="1"/>
  <c r="B118" i="1"/>
  <c r="H117" i="1"/>
  <c r="D115" i="1"/>
  <c r="J114" i="1"/>
  <c r="F112" i="1"/>
  <c r="B110" i="1"/>
  <c r="H109" i="1"/>
  <c r="D107" i="1"/>
  <c r="J106" i="1"/>
  <c r="F105" i="1"/>
  <c r="J104" i="1"/>
  <c r="B104" i="1"/>
  <c r="H103" i="1"/>
  <c r="F102" i="1"/>
  <c r="D101" i="1"/>
  <c r="J100" i="1"/>
  <c r="B100" i="1"/>
  <c r="H99" i="1"/>
  <c r="F98" i="1"/>
  <c r="D97" i="1"/>
  <c r="J96" i="1"/>
  <c r="B96" i="1"/>
  <c r="H95" i="1"/>
  <c r="F94" i="1"/>
  <c r="D93" i="1"/>
  <c r="J92" i="1"/>
  <c r="B92" i="1"/>
  <c r="H91" i="1"/>
  <c r="F90" i="1"/>
  <c r="D89" i="1"/>
  <c r="J88" i="1"/>
  <c r="B88" i="1"/>
  <c r="H87" i="1"/>
  <c r="F86" i="1"/>
  <c r="D85" i="1"/>
  <c r="J84" i="1"/>
  <c r="B84" i="1"/>
  <c r="H83" i="1"/>
  <c r="F82" i="1"/>
  <c r="D81" i="1"/>
  <c r="J80" i="1"/>
  <c r="B80" i="1"/>
  <c r="H79" i="1"/>
  <c r="F78" i="1"/>
  <c r="D77" i="1"/>
  <c r="J76" i="1"/>
  <c r="B76" i="1"/>
  <c r="H75" i="1"/>
  <c r="F74" i="1"/>
  <c r="D73" i="1"/>
  <c r="J72" i="1"/>
  <c r="B72" i="1"/>
  <c r="D414" i="1"/>
  <c r="H303" i="1"/>
  <c r="G293" i="1"/>
  <c r="B280" i="1"/>
  <c r="D276" i="1"/>
  <c r="E269" i="1"/>
  <c r="I262" i="1"/>
  <c r="K255" i="1"/>
  <c r="C252" i="1"/>
  <c r="J249" i="1"/>
  <c r="H244" i="1"/>
  <c r="C239" i="1"/>
  <c r="I231" i="1"/>
  <c r="D226" i="1"/>
  <c r="B221" i="1"/>
  <c r="I218" i="1"/>
  <c r="G213" i="1"/>
  <c r="C208" i="1"/>
  <c r="H200" i="1"/>
  <c r="C196" i="1"/>
  <c r="D194" i="1"/>
  <c r="I191" i="1"/>
  <c r="B190" i="1"/>
  <c r="B177" i="1"/>
  <c r="B176" i="1"/>
  <c r="C175" i="1"/>
  <c r="D174" i="1"/>
  <c r="D173" i="1"/>
  <c r="E172" i="1"/>
  <c r="F171" i="1"/>
  <c r="I170" i="1"/>
  <c r="E168" i="1"/>
  <c r="K167" i="1"/>
  <c r="G165" i="1"/>
  <c r="B163" i="1"/>
  <c r="H162" i="1"/>
  <c r="D160" i="1"/>
  <c r="J159" i="1"/>
  <c r="F157" i="1"/>
  <c r="B155" i="1"/>
  <c r="H154" i="1"/>
  <c r="D152" i="1"/>
  <c r="J151" i="1"/>
  <c r="F149" i="1"/>
  <c r="B147" i="1"/>
  <c r="H146" i="1"/>
  <c r="D144" i="1"/>
  <c r="J143" i="1"/>
  <c r="F141" i="1"/>
  <c r="B139" i="1"/>
  <c r="H138" i="1"/>
  <c r="D136" i="1"/>
  <c r="J135" i="1"/>
  <c r="F133" i="1"/>
  <c r="B131" i="1"/>
  <c r="H130" i="1"/>
  <c r="D128" i="1"/>
  <c r="J127" i="1"/>
  <c r="F125" i="1"/>
  <c r="B123" i="1"/>
  <c r="H122" i="1"/>
  <c r="D120" i="1"/>
  <c r="J119" i="1"/>
  <c r="F117" i="1"/>
  <c r="B115" i="1"/>
  <c r="H114" i="1"/>
  <c r="D112" i="1"/>
  <c r="J111" i="1"/>
  <c r="F109" i="1"/>
  <c r="B107" i="1"/>
  <c r="H106" i="1"/>
  <c r="E105" i="1"/>
  <c r="I104" i="1"/>
  <c r="G103" i="1"/>
  <c r="E102" i="1"/>
  <c r="K101" i="1"/>
  <c r="C101" i="1"/>
  <c r="I100" i="1"/>
  <c r="G99" i="1"/>
  <c r="E98" i="1"/>
  <c r="K97" i="1"/>
  <c r="C97" i="1"/>
  <c r="I96" i="1"/>
  <c r="G95" i="1"/>
  <c r="E94" i="1"/>
  <c r="K93" i="1"/>
  <c r="C93" i="1"/>
  <c r="I92" i="1"/>
  <c r="G91" i="1"/>
  <c r="E90" i="1"/>
  <c r="K89" i="1"/>
  <c r="C89" i="1"/>
  <c r="I88" i="1"/>
  <c r="G87" i="1"/>
  <c r="E86" i="1"/>
  <c r="K85" i="1"/>
  <c r="C85" i="1"/>
  <c r="I84" i="1"/>
  <c r="G83" i="1"/>
  <c r="E82" i="1"/>
  <c r="K81" i="1"/>
  <c r="C81" i="1"/>
  <c r="I80" i="1"/>
  <c r="G79" i="1"/>
  <c r="E78" i="1"/>
  <c r="K77" i="1"/>
  <c r="C77" i="1"/>
  <c r="I76" i="1"/>
  <c r="G75" i="1"/>
  <c r="E74" i="1"/>
  <c r="K73" i="1"/>
  <c r="C73" i="1"/>
  <c r="I72" i="1"/>
  <c r="G71" i="1"/>
  <c r="E70" i="1"/>
  <c r="K69" i="1"/>
  <c r="C69" i="1"/>
  <c r="I68" i="1"/>
  <c r="G67" i="1"/>
  <c r="E66" i="1"/>
  <c r="K65" i="1"/>
  <c r="C65" i="1"/>
  <c r="I64" i="1"/>
  <c r="G63" i="1"/>
  <c r="E62" i="1"/>
  <c r="K61" i="1"/>
  <c r="C61" i="1"/>
  <c r="I60" i="1"/>
  <c r="G59" i="1"/>
  <c r="E58" i="1"/>
  <c r="K57" i="1"/>
  <c r="C57" i="1"/>
  <c r="I56" i="1"/>
  <c r="G55" i="1"/>
  <c r="E54" i="1"/>
  <c r="K53" i="1"/>
  <c r="C53" i="1"/>
  <c r="I52" i="1"/>
  <c r="G51" i="1"/>
  <c r="E50" i="1"/>
  <c r="K49" i="1"/>
  <c r="C49" i="1"/>
  <c r="I48" i="1"/>
  <c r="G47" i="1"/>
  <c r="E46" i="1"/>
  <c r="K45" i="1"/>
  <c r="C45" i="1"/>
  <c r="I44" i="1"/>
  <c r="G43" i="1"/>
  <c r="E42" i="1"/>
  <c r="K41" i="1"/>
  <c r="C41" i="1"/>
  <c r="I40" i="1"/>
  <c r="I302" i="1"/>
  <c r="G272" i="1"/>
  <c r="G265" i="1"/>
  <c r="E249" i="1"/>
  <c r="J241" i="1"/>
  <c r="E236" i="1"/>
  <c r="K228" i="1"/>
  <c r="F223" i="1"/>
  <c r="D218" i="1"/>
  <c r="K215" i="1"/>
  <c r="I210" i="1"/>
  <c r="E205" i="1"/>
  <c r="E191" i="1"/>
  <c r="B173" i="1"/>
  <c r="B172" i="1"/>
  <c r="C171" i="1"/>
  <c r="F170" i="1"/>
  <c r="B168" i="1"/>
  <c r="H167" i="1"/>
  <c r="D165" i="1"/>
  <c r="J164" i="1"/>
  <c r="E162" i="1"/>
  <c r="K161" i="1"/>
  <c r="G159" i="1"/>
  <c r="C157" i="1"/>
  <c r="I156" i="1"/>
  <c r="E154" i="1"/>
  <c r="K153" i="1"/>
  <c r="G151" i="1"/>
  <c r="C149" i="1"/>
  <c r="I148" i="1"/>
  <c r="E146" i="1"/>
  <c r="K145" i="1"/>
  <c r="G143" i="1"/>
  <c r="C141" i="1"/>
  <c r="I140" i="1"/>
  <c r="E138" i="1"/>
  <c r="K137" i="1"/>
  <c r="G135" i="1"/>
  <c r="C133" i="1"/>
  <c r="I132" i="1"/>
  <c r="E130" i="1"/>
  <c r="K129" i="1"/>
  <c r="G127" i="1"/>
  <c r="C125" i="1"/>
  <c r="I124" i="1"/>
  <c r="E122" i="1"/>
  <c r="K121" i="1"/>
  <c r="G119" i="1"/>
  <c r="C117" i="1"/>
  <c r="I116" i="1"/>
  <c r="E114" i="1"/>
  <c r="K113" i="1"/>
  <c r="G111" i="1"/>
  <c r="C109" i="1"/>
  <c r="I108" i="1"/>
  <c r="E106" i="1"/>
  <c r="C105" i="1"/>
  <c r="H104" i="1"/>
  <c r="F103" i="1"/>
  <c r="D102" i="1"/>
  <c r="J101" i="1"/>
  <c r="B101" i="1"/>
  <c r="H100" i="1"/>
  <c r="F99" i="1"/>
  <c r="D98" i="1"/>
  <c r="J97" i="1"/>
  <c r="B97" i="1"/>
  <c r="H96" i="1"/>
  <c r="F95" i="1"/>
  <c r="D94" i="1"/>
  <c r="J93" i="1"/>
  <c r="B93" i="1"/>
  <c r="H92" i="1"/>
  <c r="F91" i="1"/>
  <c r="D90" i="1"/>
  <c r="J89" i="1"/>
  <c r="B89" i="1"/>
  <c r="H88" i="1"/>
  <c r="F87" i="1"/>
  <c r="D86" i="1"/>
  <c r="J85" i="1"/>
  <c r="B85" i="1"/>
  <c r="H84" i="1"/>
  <c r="F83" i="1"/>
  <c r="D82" i="1"/>
  <c r="J81" i="1"/>
  <c r="B81" i="1"/>
  <c r="H80" i="1"/>
  <c r="F79" i="1"/>
  <c r="D78" i="1"/>
  <c r="J77" i="1"/>
  <c r="B77" i="1"/>
  <c r="H76" i="1"/>
  <c r="F75" i="1"/>
  <c r="D74" i="1"/>
  <c r="J73" i="1"/>
  <c r="B73" i="1"/>
  <c r="H72" i="1"/>
  <c r="F71" i="1"/>
  <c r="D70" i="1"/>
  <c r="J69" i="1"/>
  <c r="B69" i="1"/>
  <c r="H68" i="1"/>
  <c r="F67" i="1"/>
  <c r="D66" i="1"/>
  <c r="J65" i="1"/>
  <c r="B65" i="1"/>
  <c r="H64" i="1"/>
  <c r="F63" i="1"/>
  <c r="D62" i="1"/>
  <c r="J61" i="1"/>
  <c r="B61" i="1"/>
  <c r="H60" i="1"/>
  <c r="F59" i="1"/>
  <c r="D58" i="1"/>
  <c r="J57" i="1"/>
  <c r="B57" i="1"/>
  <c r="H56" i="1"/>
  <c r="F55" i="1"/>
  <c r="C311" i="1"/>
  <c r="B279" i="1"/>
  <c r="I275" i="1"/>
  <c r="J268" i="1"/>
  <c r="J261" i="1"/>
  <c r="I251" i="1"/>
  <c r="G246" i="1"/>
  <c r="B241" i="1"/>
  <c r="G233" i="1"/>
  <c r="C228" i="1"/>
  <c r="H220" i="1"/>
  <c r="F215" i="1"/>
  <c r="K207" i="1"/>
  <c r="G202" i="1"/>
  <c r="G192" i="1"/>
  <c r="B191" i="1"/>
  <c r="D170" i="1"/>
  <c r="J169" i="1"/>
  <c r="F167" i="1"/>
  <c r="B165" i="1"/>
  <c r="H164" i="1"/>
  <c r="C162" i="1"/>
  <c r="I161" i="1"/>
  <c r="E159" i="1"/>
  <c r="K158" i="1"/>
  <c r="G156" i="1"/>
  <c r="C154" i="1"/>
  <c r="I153" i="1"/>
  <c r="E151" i="1"/>
  <c r="K150" i="1"/>
  <c r="G148" i="1"/>
  <c r="C146" i="1"/>
  <c r="I145" i="1"/>
  <c r="E143" i="1"/>
  <c r="K142" i="1"/>
  <c r="G140" i="1"/>
  <c r="C138" i="1"/>
  <c r="I137" i="1"/>
  <c r="E135" i="1"/>
  <c r="K134" i="1"/>
  <c r="G132" i="1"/>
  <c r="C130" i="1"/>
  <c r="I129" i="1"/>
  <c r="E127" i="1"/>
  <c r="K126" i="1"/>
  <c r="G124" i="1"/>
  <c r="C122" i="1"/>
  <c r="I121" i="1"/>
  <c r="E119" i="1"/>
  <c r="K118" i="1"/>
  <c r="G116" i="1"/>
  <c r="C114" i="1"/>
  <c r="I113" i="1"/>
  <c r="E111" i="1"/>
  <c r="K110" i="1"/>
  <c r="G108" i="1"/>
  <c r="C106" i="1"/>
  <c r="G104" i="1"/>
  <c r="E103" i="1"/>
  <c r="K102" i="1"/>
  <c r="C102" i="1"/>
  <c r="I101" i="1"/>
  <c r="G100" i="1"/>
  <c r="E99" i="1"/>
  <c r="K98" i="1"/>
  <c r="C98" i="1"/>
  <c r="I97" i="1"/>
  <c r="G96" i="1"/>
  <c r="E95" i="1"/>
  <c r="K94" i="1"/>
  <c r="C94" i="1"/>
  <c r="I93" i="1"/>
  <c r="G92" i="1"/>
  <c r="E91" i="1"/>
  <c r="K90" i="1"/>
  <c r="C90" i="1"/>
  <c r="I89" i="1"/>
  <c r="G88" i="1"/>
  <c r="E87" i="1"/>
  <c r="K86" i="1"/>
  <c r="C86" i="1"/>
  <c r="I85" i="1"/>
  <c r="G84" i="1"/>
  <c r="E83" i="1"/>
  <c r="K82" i="1"/>
  <c r="C82" i="1"/>
  <c r="I81" i="1"/>
  <c r="G80" i="1"/>
  <c r="E79" i="1"/>
  <c r="K78" i="1"/>
  <c r="C78" i="1"/>
  <c r="I77" i="1"/>
  <c r="G76" i="1"/>
  <c r="E75" i="1"/>
  <c r="K74" i="1"/>
  <c r="C74" i="1"/>
  <c r="I73" i="1"/>
  <c r="G72" i="1"/>
  <c r="E71" i="1"/>
  <c r="K70" i="1"/>
  <c r="C70" i="1"/>
  <c r="D383" i="1"/>
  <c r="J320" i="1"/>
  <c r="C310" i="1"/>
  <c r="K299" i="1"/>
  <c r="C283" i="1"/>
  <c r="K271" i="1"/>
  <c r="D261" i="1"/>
  <c r="D254" i="1"/>
  <c r="C251" i="1"/>
  <c r="K248" i="1"/>
  <c r="I243" i="1"/>
  <c r="D238" i="1"/>
  <c r="I230" i="1"/>
  <c r="E225" i="1"/>
  <c r="C220" i="1"/>
  <c r="J217" i="1"/>
  <c r="H212" i="1"/>
  <c r="C207" i="1"/>
  <c r="I199" i="1"/>
  <c r="G197" i="1"/>
  <c r="I195" i="1"/>
  <c r="E192" i="1"/>
  <c r="I187" i="1"/>
  <c r="I186" i="1"/>
  <c r="J185" i="1"/>
  <c r="J184" i="1"/>
  <c r="K183" i="1"/>
  <c r="C170" i="1"/>
  <c r="I169" i="1"/>
  <c r="E167" i="1"/>
  <c r="K166" i="1"/>
  <c r="G164" i="1"/>
  <c r="B162" i="1"/>
  <c r="H161" i="1"/>
  <c r="D159" i="1"/>
  <c r="J158" i="1"/>
  <c r="F156" i="1"/>
  <c r="B154" i="1"/>
  <c r="H153" i="1"/>
  <c r="D151" i="1"/>
  <c r="J150" i="1"/>
  <c r="F148" i="1"/>
  <c r="B146" i="1"/>
  <c r="H145" i="1"/>
  <c r="D143" i="1"/>
  <c r="J142" i="1"/>
  <c r="F140" i="1"/>
  <c r="B138" i="1"/>
  <c r="H137" i="1"/>
  <c r="D135" i="1"/>
  <c r="J134" i="1"/>
  <c r="F132" i="1"/>
  <c r="B130" i="1"/>
  <c r="H129" i="1"/>
  <c r="D127" i="1"/>
  <c r="J126" i="1"/>
  <c r="F124" i="1"/>
  <c r="B122" i="1"/>
  <c r="H121" i="1"/>
  <c r="D119" i="1"/>
  <c r="J118" i="1"/>
  <c r="F116" i="1"/>
  <c r="B114" i="1"/>
  <c r="H113" i="1"/>
  <c r="D111" i="1"/>
  <c r="J110" i="1"/>
  <c r="F108" i="1"/>
  <c r="B106" i="1"/>
  <c r="K105" i="1"/>
  <c r="F104" i="1"/>
  <c r="D103" i="1"/>
  <c r="J102" i="1"/>
  <c r="B102" i="1"/>
  <c r="H101" i="1"/>
  <c r="F100" i="1"/>
  <c r="D99" i="1"/>
  <c r="J98" i="1"/>
  <c r="B98" i="1"/>
  <c r="H97" i="1"/>
  <c r="F96" i="1"/>
  <c r="D95" i="1"/>
  <c r="J94" i="1"/>
  <c r="B94" i="1"/>
  <c r="H93" i="1"/>
  <c r="F92" i="1"/>
  <c r="D91" i="1"/>
  <c r="J90" i="1"/>
  <c r="B90" i="1"/>
  <c r="H89" i="1"/>
  <c r="F88" i="1"/>
  <c r="D87" i="1"/>
  <c r="J86" i="1"/>
  <c r="B86" i="1"/>
  <c r="H85" i="1"/>
  <c r="F84" i="1"/>
  <c r="D83" i="1"/>
  <c r="J82" i="1"/>
  <c r="B82" i="1"/>
  <c r="H81" i="1"/>
  <c r="F80" i="1"/>
  <c r="D79" i="1"/>
  <c r="J78" i="1"/>
  <c r="B78" i="1"/>
  <c r="H77" i="1"/>
  <c r="F76" i="1"/>
  <c r="D75" i="1"/>
  <c r="J74" i="1"/>
  <c r="B74" i="1"/>
  <c r="H73" i="1"/>
  <c r="F72" i="1"/>
  <c r="D71" i="1"/>
  <c r="J70" i="1"/>
  <c r="B70" i="1"/>
  <c r="H69" i="1"/>
  <c r="F68" i="1"/>
  <c r="D67" i="1"/>
  <c r="J66" i="1"/>
  <c r="B66" i="1"/>
  <c r="H65" i="1"/>
  <c r="F64" i="1"/>
  <c r="D63" i="1"/>
  <c r="J62" i="1"/>
  <c r="B62" i="1"/>
  <c r="H61" i="1"/>
  <c r="F60" i="1"/>
  <c r="D59" i="1"/>
  <c r="J58" i="1"/>
  <c r="B58" i="1"/>
  <c r="H57" i="1"/>
  <c r="F56" i="1"/>
  <c r="D55" i="1"/>
  <c r="J54" i="1"/>
  <c r="B54" i="1"/>
  <c r="H53" i="1"/>
  <c r="F52" i="1"/>
  <c r="D51" i="1"/>
  <c r="J50" i="1"/>
  <c r="B50" i="1"/>
  <c r="H49" i="1"/>
  <c r="F48" i="1"/>
  <c r="D47" i="1"/>
  <c r="J46" i="1"/>
  <c r="B46" i="1"/>
  <c r="H45" i="1"/>
  <c r="F44" i="1"/>
  <c r="D43" i="1"/>
  <c r="J42" i="1"/>
  <c r="B42" i="1"/>
  <c r="H41" i="1"/>
  <c r="F40" i="1"/>
  <c r="D39" i="1"/>
  <c r="J38" i="1"/>
  <c r="B38" i="1"/>
  <c r="H37" i="1"/>
  <c r="F36" i="1"/>
  <c r="D337" i="1"/>
  <c r="K298" i="1"/>
  <c r="K288" i="1"/>
  <c r="H282" i="1"/>
  <c r="I274" i="1"/>
  <c r="B264" i="1"/>
  <c r="F257" i="1"/>
  <c r="E248" i="1"/>
  <c r="K240" i="1"/>
  <c r="F235" i="1"/>
  <c r="K227" i="1"/>
  <c r="G222" i="1"/>
  <c r="E217" i="1"/>
  <c r="J209" i="1"/>
  <c r="E204" i="1"/>
  <c r="B197" i="1"/>
  <c r="C195" i="1"/>
  <c r="H193" i="1"/>
  <c r="J189" i="1"/>
  <c r="H188" i="1"/>
  <c r="F187" i="1"/>
  <c r="F186" i="1"/>
  <c r="G185" i="1"/>
  <c r="H184" i="1"/>
  <c r="H183" i="1"/>
  <c r="I182" i="1"/>
  <c r="J181" i="1"/>
  <c r="J180" i="1"/>
  <c r="K179" i="1"/>
  <c r="G169" i="1"/>
  <c r="C167" i="1"/>
  <c r="I166" i="1"/>
  <c r="E164" i="1"/>
  <c r="J163" i="1"/>
  <c r="F161" i="1"/>
  <c r="B159" i="1"/>
  <c r="H158" i="1"/>
  <c r="D156" i="1"/>
  <c r="J155" i="1"/>
  <c r="F153" i="1"/>
  <c r="B151" i="1"/>
  <c r="H150" i="1"/>
  <c r="D148" i="1"/>
  <c r="J147" i="1"/>
  <c r="F145" i="1"/>
  <c r="B143" i="1"/>
  <c r="H142" i="1"/>
  <c r="D140" i="1"/>
  <c r="J139" i="1"/>
  <c r="F137" i="1"/>
  <c r="B135" i="1"/>
  <c r="H134" i="1"/>
  <c r="D132" i="1"/>
  <c r="J131" i="1"/>
  <c r="F129" i="1"/>
  <c r="B127" i="1"/>
  <c r="H126" i="1"/>
  <c r="D124" i="1"/>
  <c r="J123" i="1"/>
  <c r="F121" i="1"/>
  <c r="B119" i="1"/>
  <c r="H118" i="1"/>
  <c r="D116" i="1"/>
  <c r="J115" i="1"/>
  <c r="F113" i="1"/>
  <c r="B111" i="1"/>
  <c r="H110" i="1"/>
  <c r="D108" i="1"/>
  <c r="J107" i="1"/>
  <c r="I105" i="1"/>
  <c r="E104" i="1"/>
  <c r="K103" i="1"/>
  <c r="C103" i="1"/>
  <c r="I102" i="1"/>
  <c r="G101" i="1"/>
  <c r="E100" i="1"/>
  <c r="K99" i="1"/>
  <c r="C99" i="1"/>
  <c r="I98" i="1"/>
  <c r="G97" i="1"/>
  <c r="E96" i="1"/>
  <c r="K95" i="1"/>
  <c r="C95" i="1"/>
  <c r="I94" i="1"/>
  <c r="G93" i="1"/>
  <c r="E92" i="1"/>
  <c r="K91" i="1"/>
  <c r="C91" i="1"/>
  <c r="I90" i="1"/>
  <c r="G89" i="1"/>
  <c r="E88" i="1"/>
  <c r="K87" i="1"/>
  <c r="C87" i="1"/>
  <c r="I86" i="1"/>
  <c r="G85" i="1"/>
  <c r="E84" i="1"/>
  <c r="K83" i="1"/>
  <c r="C83" i="1"/>
  <c r="I82" i="1"/>
  <c r="G81" i="1"/>
  <c r="E80" i="1"/>
  <c r="K79" i="1"/>
  <c r="C79" i="1"/>
  <c r="I78" i="1"/>
  <c r="G77" i="1"/>
  <c r="E76" i="1"/>
  <c r="K75" i="1"/>
  <c r="C75" i="1"/>
  <c r="I74" i="1"/>
  <c r="G73" i="1"/>
  <c r="E72" i="1"/>
  <c r="K71" i="1"/>
  <c r="C71" i="1"/>
  <c r="I70" i="1"/>
  <c r="G69" i="1"/>
  <c r="E68" i="1"/>
  <c r="K67" i="1"/>
  <c r="C67" i="1"/>
  <c r="I66" i="1"/>
  <c r="G65" i="1"/>
  <c r="E64" i="1"/>
  <c r="K63" i="1"/>
  <c r="C63" i="1"/>
  <c r="I62" i="1"/>
  <c r="G61" i="1"/>
  <c r="E60" i="1"/>
  <c r="K59" i="1"/>
  <c r="C59" i="1"/>
  <c r="I58" i="1"/>
  <c r="G57" i="1"/>
  <c r="E56" i="1"/>
  <c r="K55" i="1"/>
  <c r="C55" i="1"/>
  <c r="I54" i="1"/>
  <c r="G53" i="1"/>
  <c r="E52" i="1"/>
  <c r="K51" i="1"/>
  <c r="C51" i="1"/>
  <c r="I50" i="1"/>
  <c r="G49" i="1"/>
  <c r="E48" i="1"/>
  <c r="K47" i="1"/>
  <c r="C47" i="1"/>
  <c r="I46" i="1"/>
  <c r="G45" i="1"/>
  <c r="E44" i="1"/>
  <c r="K43" i="1"/>
  <c r="C43" i="1"/>
  <c r="I42" i="1"/>
  <c r="G41" i="1"/>
  <c r="E40" i="1"/>
  <c r="K39" i="1"/>
  <c r="C39" i="1"/>
  <c r="I38" i="1"/>
  <c r="G37" i="1"/>
  <c r="J475" i="1"/>
  <c r="C365" i="1"/>
  <c r="H333" i="1"/>
  <c r="E307" i="1"/>
  <c r="D297" i="1"/>
  <c r="C267" i="1"/>
  <c r="D260" i="1"/>
  <c r="I253" i="1"/>
  <c r="I250" i="1"/>
  <c r="G245" i="1"/>
  <c r="C240" i="1"/>
  <c r="H232" i="1"/>
  <c r="C227" i="1"/>
  <c r="I219" i="1"/>
  <c r="G214" i="1"/>
  <c r="B209" i="1"/>
  <c r="G201" i="1"/>
  <c r="F193" i="1"/>
  <c r="H189" i="1"/>
  <c r="E188" i="1"/>
  <c r="C187" i="1"/>
  <c r="D186" i="1"/>
  <c r="D185" i="1"/>
  <c r="E184" i="1"/>
  <c r="F183" i="1"/>
  <c r="F182" i="1"/>
  <c r="G181" i="1"/>
  <c r="H180" i="1"/>
  <c r="H179" i="1"/>
  <c r="I178" i="1"/>
  <c r="J177" i="1"/>
  <c r="J176" i="1"/>
  <c r="K175" i="1"/>
  <c r="D169" i="1"/>
  <c r="J168" i="1"/>
  <c r="F166" i="1"/>
  <c r="B164" i="1"/>
  <c r="G163" i="1"/>
  <c r="C161" i="1"/>
  <c r="I160" i="1"/>
  <c r="E158" i="1"/>
  <c r="K157" i="1"/>
  <c r="G155" i="1"/>
  <c r="C153" i="1"/>
  <c r="I152" i="1"/>
  <c r="E150" i="1"/>
  <c r="K149" i="1"/>
  <c r="G147" i="1"/>
  <c r="C145" i="1"/>
  <c r="I144" i="1"/>
  <c r="E142" i="1"/>
  <c r="K141" i="1"/>
  <c r="G139" i="1"/>
  <c r="C137" i="1"/>
  <c r="I136" i="1"/>
  <c r="E134" i="1"/>
  <c r="K133" i="1"/>
  <c r="G131" i="1"/>
  <c r="C129" i="1"/>
  <c r="I128" i="1"/>
  <c r="E126" i="1"/>
  <c r="K125" i="1"/>
  <c r="G123" i="1"/>
  <c r="C121" i="1"/>
  <c r="I120" i="1"/>
  <c r="E118" i="1"/>
  <c r="K117" i="1"/>
  <c r="G115" i="1"/>
  <c r="C113" i="1"/>
  <c r="I112" i="1"/>
  <c r="E110" i="1"/>
  <c r="K109" i="1"/>
  <c r="G107" i="1"/>
  <c r="H105" i="1"/>
  <c r="D104" i="1"/>
  <c r="J103" i="1"/>
  <c r="B103" i="1"/>
  <c r="H102" i="1"/>
  <c r="F101" i="1"/>
  <c r="D100" i="1"/>
  <c r="J99" i="1"/>
  <c r="B99" i="1"/>
  <c r="H98" i="1"/>
  <c r="F97" i="1"/>
  <c r="D96" i="1"/>
  <c r="J95" i="1"/>
  <c r="B95" i="1"/>
  <c r="H94" i="1"/>
  <c r="F93" i="1"/>
  <c r="D92" i="1"/>
  <c r="J91" i="1"/>
  <c r="B91" i="1"/>
  <c r="H90" i="1"/>
  <c r="F89" i="1"/>
  <c r="D88" i="1"/>
  <c r="J87" i="1"/>
  <c r="B87" i="1"/>
  <c r="H86" i="1"/>
  <c r="F85" i="1"/>
  <c r="D84" i="1"/>
  <c r="J83" i="1"/>
  <c r="B83" i="1"/>
  <c r="H82" i="1"/>
  <c r="F81" i="1"/>
  <c r="D80" i="1"/>
  <c r="J79" i="1"/>
  <c r="B79" i="1"/>
  <c r="H78" i="1"/>
  <c r="F77" i="1"/>
  <c r="D76" i="1"/>
  <c r="J75" i="1"/>
  <c r="B75" i="1"/>
  <c r="H74" i="1"/>
  <c r="F73" i="1"/>
  <c r="D72" i="1"/>
  <c r="J71" i="1"/>
  <c r="B71" i="1"/>
  <c r="H70" i="1"/>
  <c r="F69" i="1"/>
  <c r="D68" i="1"/>
  <c r="J67" i="1"/>
  <c r="B67" i="1"/>
  <c r="H66" i="1"/>
  <c r="F65" i="1"/>
  <c r="D4" i="1"/>
  <c r="H6" i="1"/>
  <c r="J11" i="1"/>
  <c r="F13" i="1"/>
  <c r="D16" i="1"/>
  <c r="H18" i="1"/>
  <c r="D20" i="1"/>
  <c r="D24" i="1"/>
  <c r="H34" i="1"/>
  <c r="D36" i="1"/>
  <c r="C37" i="1"/>
  <c r="D41" i="1"/>
  <c r="F49" i="1"/>
  <c r="K50" i="1"/>
  <c r="D52" i="1"/>
  <c r="I53" i="1"/>
  <c r="E55" i="1"/>
  <c r="I57" i="1"/>
  <c r="I67" i="1"/>
  <c r="F4" i="1"/>
  <c r="H5" i="1"/>
  <c r="B6" i="1"/>
  <c r="J6" i="1"/>
  <c r="D7" i="1"/>
  <c r="F8" i="1"/>
  <c r="H9" i="1"/>
  <c r="B10" i="1"/>
  <c r="J10" i="1"/>
  <c r="D11" i="1"/>
  <c r="F12" i="1"/>
  <c r="H13" i="1"/>
  <c r="B14" i="1"/>
  <c r="J14" i="1"/>
  <c r="D15" i="1"/>
  <c r="F16" i="1"/>
  <c r="H17" i="1"/>
  <c r="B18" i="1"/>
  <c r="J18" i="1"/>
  <c r="D19" i="1"/>
  <c r="F20" i="1"/>
  <c r="H21" i="1"/>
  <c r="B22" i="1"/>
  <c r="J22" i="1"/>
  <c r="D23" i="1"/>
  <c r="F24" i="1"/>
  <c r="H25" i="1"/>
  <c r="B26" i="1"/>
  <c r="J26" i="1"/>
  <c r="D27" i="1"/>
  <c r="F28" i="1"/>
  <c r="H29" i="1"/>
  <c r="B30" i="1"/>
  <c r="J30" i="1"/>
  <c r="D31" i="1"/>
  <c r="F32" i="1"/>
  <c r="H33" i="1"/>
  <c r="B34" i="1"/>
  <c r="J34" i="1"/>
  <c r="D35" i="1"/>
  <c r="G36" i="1"/>
  <c r="E37" i="1"/>
  <c r="E38" i="1"/>
  <c r="E39" i="1"/>
  <c r="C40" i="1"/>
  <c r="F41" i="1"/>
  <c r="K42" i="1"/>
  <c r="D44" i="1"/>
  <c r="I45" i="1"/>
  <c r="B47" i="1"/>
  <c r="G48" i="1"/>
  <c r="J49" i="1"/>
  <c r="E51" i="1"/>
  <c r="H52" i="1"/>
  <c r="C54" i="1"/>
  <c r="I55" i="1"/>
  <c r="C56" i="1"/>
  <c r="G58" i="1"/>
  <c r="K60" i="1"/>
  <c r="E61" i="1"/>
  <c r="I63" i="1"/>
  <c r="C64" i="1"/>
  <c r="E73" i="1"/>
  <c r="C76" i="1"/>
  <c r="K96" i="1"/>
  <c r="I99" i="1"/>
  <c r="G102" i="1"/>
  <c r="G105" i="1"/>
  <c r="K122" i="1"/>
  <c r="G128" i="1"/>
  <c r="C134" i="1"/>
  <c r="I157" i="1"/>
  <c r="E163" i="1"/>
  <c r="B169" i="1"/>
  <c r="H176" i="1"/>
  <c r="B184" i="1"/>
  <c r="I211" i="1"/>
  <c r="E281" i="1"/>
  <c r="H10" i="1"/>
  <c r="H14" i="1"/>
  <c r="D32" i="1"/>
  <c r="G12" i="1"/>
  <c r="C14" i="1"/>
  <c r="G16" i="1"/>
  <c r="I17" i="1"/>
  <c r="C18" i="1"/>
  <c r="K18" i="1"/>
  <c r="E19" i="1"/>
  <c r="G20" i="1"/>
  <c r="I21" i="1"/>
  <c r="C22" i="1"/>
  <c r="K22" i="1"/>
  <c r="E23" i="1"/>
  <c r="G24" i="1"/>
  <c r="I25" i="1"/>
  <c r="C26" i="1"/>
  <c r="K26" i="1"/>
  <c r="E27" i="1"/>
  <c r="G28" i="1"/>
  <c r="I29" i="1"/>
  <c r="C30" i="1"/>
  <c r="K30" i="1"/>
  <c r="E31" i="1"/>
  <c r="G32" i="1"/>
  <c r="I33" i="1"/>
  <c r="C34" i="1"/>
  <c r="K34" i="1"/>
  <c r="E35" i="1"/>
  <c r="H36" i="1"/>
  <c r="F37" i="1"/>
  <c r="F38" i="1"/>
  <c r="F39" i="1"/>
  <c r="D40" i="1"/>
  <c r="I41" i="1"/>
  <c r="B43" i="1"/>
  <c r="G44" i="1"/>
  <c r="J45" i="1"/>
  <c r="E47" i="1"/>
  <c r="H48" i="1"/>
  <c r="C50" i="1"/>
  <c r="F51" i="1"/>
  <c r="J52" i="1"/>
  <c r="D54" i="1"/>
  <c r="J55" i="1"/>
  <c r="D56" i="1"/>
  <c r="H58" i="1"/>
  <c r="B59" i="1"/>
  <c r="F61" i="1"/>
  <c r="J63" i="1"/>
  <c r="D64" i="1"/>
  <c r="K76" i="1"/>
  <c r="I79" i="1"/>
  <c r="G82" i="1"/>
  <c r="E85" i="1"/>
  <c r="C88" i="1"/>
  <c r="I117" i="1"/>
  <c r="E123" i="1"/>
  <c r="K146" i="1"/>
  <c r="G152" i="1"/>
  <c r="C158" i="1"/>
  <c r="G177" i="1"/>
  <c r="B185" i="1"/>
  <c r="G256" i="1"/>
  <c r="B287" i="1"/>
  <c r="D8" i="1"/>
  <c r="B19" i="1"/>
  <c r="J23" i="1"/>
  <c r="F33" i="1"/>
  <c r="C10" i="1"/>
  <c r="H4" i="1"/>
  <c r="J5" i="1"/>
  <c r="F7" i="1"/>
  <c r="D10" i="1"/>
  <c r="B13" i="1"/>
  <c r="D14" i="1"/>
  <c r="F15" i="1"/>
  <c r="H16" i="1"/>
  <c r="B17" i="1"/>
  <c r="J17" i="1"/>
  <c r="D18" i="1"/>
  <c r="F19" i="1"/>
  <c r="H20" i="1"/>
  <c r="B21" i="1"/>
  <c r="J21" i="1"/>
  <c r="D22" i="1"/>
  <c r="F23" i="1"/>
  <c r="H24" i="1"/>
  <c r="B25" i="1"/>
  <c r="J25" i="1"/>
  <c r="D26" i="1"/>
  <c r="F27" i="1"/>
  <c r="H28" i="1"/>
  <c r="B29" i="1"/>
  <c r="J29" i="1"/>
  <c r="D30" i="1"/>
  <c r="F31" i="1"/>
  <c r="H32" i="1"/>
  <c r="B33" i="1"/>
  <c r="J33" i="1"/>
  <c r="D34" i="1"/>
  <c r="F35" i="1"/>
  <c r="I36" i="1"/>
  <c r="I37" i="1"/>
  <c r="G38" i="1"/>
  <c r="G39" i="1"/>
  <c r="G40" i="1"/>
  <c r="J41" i="1"/>
  <c r="E43" i="1"/>
  <c r="H44" i="1"/>
  <c r="C46" i="1"/>
  <c r="F47" i="1"/>
  <c r="J48" i="1"/>
  <c r="D50" i="1"/>
  <c r="H51" i="1"/>
  <c r="K52" i="1"/>
  <c r="B53" i="1"/>
  <c r="F54" i="1"/>
  <c r="G56" i="1"/>
  <c r="K58" i="1"/>
  <c r="E59" i="1"/>
  <c r="I61" i="1"/>
  <c r="C62" i="1"/>
  <c r="G64" i="1"/>
  <c r="H71" i="1"/>
  <c r="K88" i="1"/>
  <c r="I91" i="1"/>
  <c r="G94" i="1"/>
  <c r="E97" i="1"/>
  <c r="C100" i="1"/>
  <c r="K106" i="1"/>
  <c r="G112" i="1"/>
  <c r="C118" i="1"/>
  <c r="I141" i="1"/>
  <c r="E147" i="1"/>
  <c r="F178" i="1"/>
  <c r="K216" i="1"/>
  <c r="E237" i="1"/>
  <c r="B11" i="1"/>
  <c r="H22" i="1"/>
  <c r="G4" i="1"/>
  <c r="I5" i="1"/>
  <c r="K6" i="1"/>
  <c r="E11" i="1"/>
  <c r="I13" i="1"/>
  <c r="K14" i="1"/>
  <c r="B5" i="1"/>
  <c r="B9" i="1"/>
  <c r="J13" i="1"/>
  <c r="I4" i="1"/>
  <c r="C5" i="1"/>
  <c r="K5" i="1"/>
  <c r="E6" i="1"/>
  <c r="G7" i="1"/>
  <c r="I8" i="1"/>
  <c r="C9" i="1"/>
  <c r="K9" i="1"/>
  <c r="E10" i="1"/>
  <c r="G11" i="1"/>
  <c r="I12" i="1"/>
  <c r="C13" i="1"/>
  <c r="K13" i="1"/>
  <c r="E14" i="1"/>
  <c r="G15" i="1"/>
  <c r="I16" i="1"/>
  <c r="C17" i="1"/>
  <c r="K17" i="1"/>
  <c r="E18" i="1"/>
  <c r="G19" i="1"/>
  <c r="I20" i="1"/>
  <c r="C21" i="1"/>
  <c r="K21" i="1"/>
  <c r="E22" i="1"/>
  <c r="G23" i="1"/>
  <c r="I24" i="1"/>
  <c r="C25" i="1"/>
  <c r="K25" i="1"/>
  <c r="E26" i="1"/>
  <c r="G27" i="1"/>
  <c r="I28" i="1"/>
  <c r="C29" i="1"/>
  <c r="K29" i="1"/>
  <c r="E30" i="1"/>
  <c r="G31" i="1"/>
  <c r="I32" i="1"/>
  <c r="C33" i="1"/>
  <c r="K33" i="1"/>
  <c r="E34" i="1"/>
  <c r="G35" i="1"/>
  <c r="J36" i="1"/>
  <c r="J37" i="1"/>
  <c r="H38" i="1"/>
  <c r="H39" i="1"/>
  <c r="H40" i="1"/>
  <c r="C42" i="1"/>
  <c r="F43" i="1"/>
  <c r="J44" i="1"/>
  <c r="D46" i="1"/>
  <c r="H47" i="1"/>
  <c r="K48" i="1"/>
  <c r="B49" i="1"/>
  <c r="F50" i="1"/>
  <c r="I51" i="1"/>
  <c r="D53" i="1"/>
  <c r="G54" i="1"/>
  <c r="J56" i="1"/>
  <c r="D57" i="1"/>
  <c r="H59" i="1"/>
  <c r="B60" i="1"/>
  <c r="F62" i="1"/>
  <c r="J64" i="1"/>
  <c r="D65" i="1"/>
  <c r="C66" i="1"/>
  <c r="B68" i="1"/>
  <c r="I71" i="1"/>
  <c r="G74" i="1"/>
  <c r="E77" i="1"/>
  <c r="C80" i="1"/>
  <c r="K100" i="1"/>
  <c r="I103" i="1"/>
  <c r="E107" i="1"/>
  <c r="K130" i="1"/>
  <c r="G136" i="1"/>
  <c r="C142" i="1"/>
  <c r="J165" i="1"/>
  <c r="K171" i="1"/>
  <c r="F179" i="1"/>
  <c r="C219" i="1"/>
  <c r="F263" i="1"/>
  <c r="F306" i="1"/>
  <c r="F5" i="1"/>
  <c r="B7" i="1"/>
  <c r="F9" i="1"/>
  <c r="B15" i="1"/>
  <c r="F21" i="1"/>
  <c r="D28" i="1"/>
  <c r="C6" i="1"/>
  <c r="E7" i="1"/>
  <c r="G8" i="1"/>
  <c r="I9" i="1"/>
  <c r="K10" i="1"/>
  <c r="E15" i="1"/>
  <c r="D6" i="1"/>
  <c r="H8" i="1"/>
  <c r="J9" i="1"/>
  <c r="F11" i="1"/>
  <c r="H12" i="1"/>
  <c r="B2" i="1"/>
  <c r="B4" i="1"/>
  <c r="J4" i="1"/>
  <c r="D5" i="1"/>
  <c r="F6" i="1"/>
  <c r="H7" i="1"/>
  <c r="B8" i="1"/>
  <c r="J8" i="1"/>
  <c r="D9" i="1"/>
  <c r="F10" i="1"/>
  <c r="H11" i="1"/>
  <c r="B12" i="1"/>
  <c r="J12" i="1"/>
  <c r="D13" i="1"/>
  <c r="F14" i="1"/>
  <c r="H15" i="1"/>
  <c r="B16" i="1"/>
  <c r="J16" i="1"/>
  <c r="D17" i="1"/>
  <c r="F18" i="1"/>
  <c r="H19" i="1"/>
  <c r="B20" i="1"/>
  <c r="J20" i="1"/>
  <c r="D21" i="1"/>
  <c r="F22" i="1"/>
  <c r="H23" i="1"/>
  <c r="B24" i="1"/>
  <c r="J24" i="1"/>
  <c r="D25" i="1"/>
  <c r="F26" i="1"/>
  <c r="H27" i="1"/>
  <c r="B28" i="1"/>
  <c r="J28" i="1"/>
  <c r="D29" i="1"/>
  <c r="F30" i="1"/>
  <c r="H31" i="1"/>
  <c r="B32" i="1"/>
  <c r="J32" i="1"/>
  <c r="D33" i="1"/>
  <c r="F34" i="1"/>
  <c r="H35" i="1"/>
  <c r="B36" i="1"/>
  <c r="K36" i="1"/>
  <c r="K37" i="1"/>
  <c r="K38" i="1"/>
  <c r="I39" i="1"/>
  <c r="J40" i="1"/>
  <c r="D42" i="1"/>
  <c r="H43" i="1"/>
  <c r="K44" i="1"/>
  <c r="B45" i="1"/>
  <c r="F46" i="1"/>
  <c r="I47" i="1"/>
  <c r="D49" i="1"/>
  <c r="G50" i="1"/>
  <c r="J51" i="1"/>
  <c r="B52" i="1"/>
  <c r="E53" i="1"/>
  <c r="H54" i="1"/>
  <c r="K56" i="1"/>
  <c r="E57" i="1"/>
  <c r="I59" i="1"/>
  <c r="C60" i="1"/>
  <c r="G62" i="1"/>
  <c r="K64" i="1"/>
  <c r="E65" i="1"/>
  <c r="F66" i="1"/>
  <c r="E67" i="1"/>
  <c r="C68" i="1"/>
  <c r="D69" i="1"/>
  <c r="F70" i="1"/>
  <c r="K80" i="1"/>
  <c r="I83" i="1"/>
  <c r="G86" i="1"/>
  <c r="E89" i="1"/>
  <c r="C92" i="1"/>
  <c r="I125" i="1"/>
  <c r="E131" i="1"/>
  <c r="K154" i="1"/>
  <c r="G160" i="1"/>
  <c r="D166" i="1"/>
  <c r="J172" i="1"/>
  <c r="E180" i="1"/>
  <c r="C188" i="1"/>
  <c r="I242" i="1"/>
  <c r="D890" i="1"/>
  <c r="F880" i="1"/>
  <c r="E872" i="1"/>
  <c r="J867" i="1"/>
  <c r="K865" i="1"/>
  <c r="F860" i="1"/>
  <c r="H857" i="1"/>
  <c r="J854" i="1"/>
  <c r="I847" i="1"/>
  <c r="D844" i="1"/>
  <c r="F841" i="1"/>
  <c r="I839" i="1"/>
  <c r="F838" i="1"/>
  <c r="C837" i="1"/>
  <c r="B836" i="1"/>
  <c r="B835" i="1"/>
  <c r="D834" i="1"/>
  <c r="D833" i="1"/>
  <c r="D832" i="1"/>
  <c r="F831" i="1"/>
  <c r="G830" i="1"/>
  <c r="K829" i="1"/>
  <c r="I822" i="1"/>
  <c r="G821" i="1"/>
  <c r="E820" i="1"/>
  <c r="K819" i="1"/>
  <c r="C819" i="1"/>
  <c r="I818" i="1"/>
  <c r="G817" i="1"/>
  <c r="E816" i="1"/>
  <c r="K815" i="1"/>
  <c r="C815" i="1"/>
  <c r="I814" i="1"/>
  <c r="G813" i="1"/>
  <c r="E812" i="1"/>
  <c r="K811" i="1"/>
  <c r="C811" i="1"/>
  <c r="I810" i="1"/>
  <c r="G809" i="1"/>
  <c r="E808" i="1"/>
  <c r="K807" i="1"/>
  <c r="C807" i="1"/>
  <c r="I806" i="1"/>
  <c r="G805" i="1"/>
  <c r="E804" i="1"/>
  <c r="K803" i="1"/>
  <c r="C803" i="1"/>
  <c r="I802" i="1"/>
  <c r="G801" i="1"/>
  <c r="E800" i="1"/>
  <c r="K799" i="1"/>
  <c r="C799" i="1"/>
  <c r="I798" i="1"/>
  <c r="G797" i="1"/>
  <c r="E796" i="1"/>
  <c r="K795" i="1"/>
  <c r="C795" i="1"/>
  <c r="I794" i="1"/>
  <c r="G793" i="1"/>
  <c r="E792" i="1"/>
  <c r="K791" i="1"/>
  <c r="C791" i="1"/>
  <c r="I790" i="1"/>
  <c r="D861" i="1"/>
  <c r="F858" i="1"/>
  <c r="H855" i="1"/>
  <c r="J851" i="1"/>
  <c r="K850" i="1"/>
  <c r="E846" i="1"/>
  <c r="K845" i="1"/>
  <c r="D843" i="1"/>
  <c r="H842" i="1"/>
  <c r="I840" i="1"/>
  <c r="D839" i="1"/>
  <c r="K837" i="1"/>
  <c r="I836" i="1"/>
  <c r="I835" i="1"/>
  <c r="J834" i="1"/>
  <c r="K833" i="1"/>
  <c r="K832" i="1"/>
  <c r="D830" i="1"/>
  <c r="H829" i="1"/>
  <c r="K828" i="1"/>
  <c r="C828" i="1"/>
  <c r="I827" i="1"/>
  <c r="G826" i="1"/>
  <c r="E825" i="1"/>
  <c r="K824" i="1"/>
  <c r="C824" i="1"/>
  <c r="I823" i="1"/>
  <c r="D894" i="1"/>
  <c r="B885" i="1"/>
  <c r="H877" i="1"/>
  <c r="H870" i="1"/>
  <c r="F868" i="1"/>
  <c r="K866" i="1"/>
  <c r="I864" i="1"/>
  <c r="C858" i="1"/>
  <c r="E855" i="1"/>
  <c r="F852" i="1"/>
  <c r="I851" i="1"/>
  <c r="H850" i="1"/>
  <c r="C846" i="1"/>
  <c r="J845" i="1"/>
  <c r="B843" i="1"/>
  <c r="E842" i="1"/>
  <c r="F840" i="1"/>
  <c r="B839" i="1"/>
  <c r="H837" i="1"/>
  <c r="H836" i="1"/>
  <c r="H835" i="1"/>
  <c r="H834" i="1"/>
  <c r="J833" i="1"/>
  <c r="J832" i="1"/>
  <c r="J831" i="1"/>
  <c r="C830" i="1"/>
  <c r="F829" i="1"/>
  <c r="J828" i="1"/>
  <c r="B828" i="1"/>
  <c r="H827" i="1"/>
  <c r="F826" i="1"/>
  <c r="D825" i="1"/>
  <c r="J824" i="1"/>
  <c r="B824" i="1"/>
  <c r="H823" i="1"/>
  <c r="F822" i="1"/>
  <c r="D821" i="1"/>
  <c r="J820" i="1"/>
  <c r="B820" i="1"/>
  <c r="H819" i="1"/>
  <c r="F818" i="1"/>
  <c r="F915" i="1"/>
  <c r="F892" i="1"/>
  <c r="D864" i="1"/>
  <c r="B862" i="1"/>
  <c r="D859" i="1"/>
  <c r="F856" i="1"/>
  <c r="H853" i="1"/>
  <c r="B851" i="1"/>
  <c r="E850" i="1"/>
  <c r="E849" i="1"/>
  <c r="I848" i="1"/>
  <c r="C845" i="1"/>
  <c r="K844" i="1"/>
  <c r="C842" i="1"/>
  <c r="H841" i="1"/>
  <c r="C840" i="1"/>
  <c r="H838" i="1"/>
  <c r="E837" i="1"/>
  <c r="J886" i="1"/>
  <c r="I872" i="1"/>
  <c r="F866" i="1"/>
  <c r="I861" i="1"/>
  <c r="I857" i="1"/>
  <c r="K853" i="1"/>
  <c r="D848" i="1"/>
  <c r="B846" i="1"/>
  <c r="B842" i="1"/>
  <c r="D840" i="1"/>
  <c r="D837" i="1"/>
  <c r="C836" i="1"/>
  <c r="D835" i="1"/>
  <c r="E834" i="1"/>
  <c r="E833" i="1"/>
  <c r="F832" i="1"/>
  <c r="G831" i="1"/>
  <c r="H830" i="1"/>
  <c r="D828" i="1"/>
  <c r="J826" i="1"/>
  <c r="F825" i="1"/>
  <c r="H822" i="1"/>
  <c r="I821" i="1"/>
  <c r="I820" i="1"/>
  <c r="J819" i="1"/>
  <c r="K818" i="1"/>
  <c r="D817" i="1"/>
  <c r="H816" i="1"/>
  <c r="B815" i="1"/>
  <c r="F814" i="1"/>
  <c r="J813" i="1"/>
  <c r="D812" i="1"/>
  <c r="H811" i="1"/>
  <c r="C810" i="1"/>
  <c r="F809" i="1"/>
  <c r="J808" i="1"/>
  <c r="E807" i="1"/>
  <c r="H806" i="1"/>
  <c r="C805" i="1"/>
  <c r="G804" i="1"/>
  <c r="J803" i="1"/>
  <c r="E802" i="1"/>
  <c r="I801" i="1"/>
  <c r="D914" i="1"/>
  <c r="D871" i="1"/>
  <c r="C857" i="1"/>
  <c r="G850" i="1"/>
  <c r="B840" i="1"/>
  <c r="J838" i="1"/>
  <c r="B833" i="1"/>
  <c r="B832" i="1"/>
  <c r="B831" i="1"/>
  <c r="E830" i="1"/>
  <c r="I829" i="1"/>
  <c r="H826" i="1"/>
  <c r="C825" i="1"/>
  <c r="J823" i="1"/>
  <c r="G822" i="1"/>
  <c r="H821" i="1"/>
  <c r="H820" i="1"/>
  <c r="I819" i="1"/>
  <c r="J818" i="1"/>
  <c r="C817" i="1"/>
  <c r="G816" i="1"/>
  <c r="J815" i="1"/>
  <c r="E814" i="1"/>
  <c r="I813" i="1"/>
  <c r="G880" i="1"/>
  <c r="B870" i="1"/>
  <c r="C865" i="1"/>
  <c r="J860" i="1"/>
  <c r="I856" i="1"/>
  <c r="C850" i="1"/>
  <c r="J841" i="1"/>
  <c r="G838" i="1"/>
  <c r="B830" i="1"/>
  <c r="E829" i="1"/>
  <c r="J827" i="1"/>
  <c r="E826" i="1"/>
  <c r="B825" i="1"/>
  <c r="G823" i="1"/>
  <c r="E822" i="1"/>
  <c r="F821" i="1"/>
  <c r="G820" i="1"/>
  <c r="G819" i="1"/>
  <c r="H818" i="1"/>
  <c r="G879" i="1"/>
  <c r="I869" i="1"/>
  <c r="G864" i="1"/>
  <c r="D856" i="1"/>
  <c r="C852" i="1"/>
  <c r="J847" i="1"/>
  <c r="F845" i="1"/>
  <c r="C877" i="1"/>
  <c r="G859" i="1"/>
  <c r="J855" i="1"/>
  <c r="H849" i="1"/>
  <c r="B847" i="1"/>
  <c r="B845" i="1"/>
  <c r="J839" i="1"/>
  <c r="C829" i="1"/>
  <c r="I828" i="1"/>
  <c r="F827" i="1"/>
  <c r="C826" i="1"/>
  <c r="K825" i="1"/>
  <c r="H824" i="1"/>
  <c r="E823" i="1"/>
  <c r="C822" i="1"/>
  <c r="C821" i="1"/>
  <c r="D820" i="1"/>
  <c r="E819" i="1"/>
  <c r="E818" i="1"/>
  <c r="I817" i="1"/>
  <c r="C816" i="1"/>
  <c r="G815" i="1"/>
  <c r="K814" i="1"/>
  <c r="B814" i="1"/>
  <c r="E813" i="1"/>
  <c r="I812" i="1"/>
  <c r="D811" i="1"/>
  <c r="G810" i="1"/>
  <c r="K809" i="1"/>
  <c r="B809" i="1"/>
  <c r="F808" i="1"/>
  <c r="I807" i="1"/>
  <c r="D806" i="1"/>
  <c r="H805" i="1"/>
  <c r="K804" i="1"/>
  <c r="B804" i="1"/>
  <c r="F803" i="1"/>
  <c r="J802" i="1"/>
  <c r="D801" i="1"/>
  <c r="C964" i="1"/>
  <c r="G892" i="1"/>
  <c r="J862" i="1"/>
  <c r="H858" i="1"/>
  <c r="K854" i="1"/>
  <c r="G851" i="1"/>
  <c r="F836" i="1"/>
  <c r="G835" i="1"/>
  <c r="G834" i="1"/>
  <c r="H833" i="1"/>
  <c r="I832" i="1"/>
  <c r="I831" i="1"/>
  <c r="K830" i="1"/>
  <c r="G828" i="1"/>
  <c r="D827" i="1"/>
  <c r="I825" i="1"/>
  <c r="F824" i="1"/>
  <c r="B823" i="1"/>
  <c r="K822" i="1"/>
  <c r="K821" i="1"/>
  <c r="B819" i="1"/>
  <c r="C818" i="1"/>
  <c r="F817" i="1"/>
  <c r="J816" i="1"/>
  <c r="E815" i="1"/>
  <c r="H814" i="1"/>
  <c r="C813" i="1"/>
  <c r="G812" i="1"/>
  <c r="J811" i="1"/>
  <c r="E810" i="1"/>
  <c r="I809" i="1"/>
  <c r="C808" i="1"/>
  <c r="G807" i="1"/>
  <c r="K806" i="1"/>
  <c r="B806" i="1"/>
  <c r="E805" i="1"/>
  <c r="I804" i="1"/>
  <c r="D803" i="1"/>
  <c r="H804" i="1"/>
  <c r="G806" i="1"/>
  <c r="H808" i="1"/>
  <c r="H810" i="1"/>
  <c r="H812" i="1"/>
  <c r="D813" i="1"/>
  <c r="K816" i="1"/>
  <c r="H817" i="1"/>
  <c r="D818" i="1"/>
  <c r="B822" i="1"/>
  <c r="F828" i="1"/>
  <c r="F835" i="1"/>
  <c r="B838" i="1"/>
  <c r="B827" i="1"/>
  <c r="F833" i="1"/>
  <c r="G839" i="1"/>
  <c r="G844" i="1"/>
  <c r="D873" i="1"/>
  <c r="D836" i="1"/>
  <c r="G876" i="1"/>
  <c r="G827" i="1"/>
  <c r="B829" i="1"/>
  <c r="H831" i="1"/>
  <c r="J836" i="1"/>
  <c r="J840" i="1"/>
  <c r="J846" i="1"/>
  <c r="F891" i="1"/>
  <c r="G918" i="1"/>
  <c r="B914" i="1"/>
  <c r="D895" i="1"/>
  <c r="B893" i="1"/>
  <c r="E891" i="1"/>
  <c r="H889" i="1"/>
  <c r="F887" i="1"/>
  <c r="I885" i="1"/>
  <c r="I881" i="1"/>
  <c r="E880" i="1"/>
  <c r="E879" i="1"/>
  <c r="C878" i="1"/>
  <c r="G877" i="1"/>
  <c r="J876" i="1"/>
  <c r="C874" i="1"/>
  <c r="H873" i="1"/>
  <c r="D872" i="1"/>
  <c r="J871" i="1"/>
  <c r="E870" i="1"/>
  <c r="G869" i="1"/>
  <c r="E868" i="1"/>
  <c r="K867" i="1"/>
  <c r="C867" i="1"/>
  <c r="I866" i="1"/>
  <c r="G865" i="1"/>
  <c r="E864" i="1"/>
  <c r="K863" i="1"/>
  <c r="C863" i="1"/>
  <c r="I862" i="1"/>
  <c r="G861" i="1"/>
  <c r="E860" i="1"/>
  <c r="K859" i="1"/>
  <c r="C859" i="1"/>
  <c r="I858" i="1"/>
  <c r="G857" i="1"/>
  <c r="E856" i="1"/>
  <c r="K855" i="1"/>
  <c r="C855" i="1"/>
  <c r="I854" i="1"/>
  <c r="G853" i="1"/>
  <c r="F930" i="1"/>
  <c r="I925" i="1"/>
  <c r="J909" i="1"/>
  <c r="B906" i="1"/>
  <c r="C902" i="1"/>
  <c r="F900" i="1"/>
  <c r="D898" i="1"/>
  <c r="G896" i="1"/>
  <c r="J894" i="1"/>
  <c r="H892" i="1"/>
  <c r="K890" i="1"/>
  <c r="E876" i="1"/>
  <c r="K875" i="1"/>
  <c r="F873" i="1"/>
  <c r="G871" i="1"/>
  <c r="E869" i="1"/>
  <c r="K868" i="1"/>
  <c r="C868" i="1"/>
  <c r="I867" i="1"/>
  <c r="G866" i="1"/>
  <c r="E865" i="1"/>
  <c r="K864" i="1"/>
  <c r="C864" i="1"/>
  <c r="I863" i="1"/>
  <c r="G862" i="1"/>
  <c r="E861" i="1"/>
  <c r="K860" i="1"/>
  <c r="C860" i="1"/>
  <c r="I859" i="1"/>
  <c r="G858" i="1"/>
  <c r="E857" i="1"/>
  <c r="K856" i="1"/>
  <c r="C856" i="1"/>
  <c r="I855" i="1"/>
  <c r="G854" i="1"/>
  <c r="E853" i="1"/>
  <c r="G1031" i="1"/>
  <c r="H955" i="1"/>
  <c r="F911" i="1"/>
  <c r="J905" i="1"/>
  <c r="B890" i="1"/>
  <c r="C886" i="1"/>
  <c r="F884" i="1"/>
  <c r="D882" i="1"/>
  <c r="D875" i="1"/>
  <c r="I874" i="1"/>
  <c r="G872" i="1"/>
  <c r="B871" i="1"/>
  <c r="I870" i="1"/>
  <c r="J869" i="1"/>
  <c r="B869" i="1"/>
  <c r="H868" i="1"/>
  <c r="F867" i="1"/>
  <c r="D866" i="1"/>
  <c r="J865" i="1"/>
  <c r="B865" i="1"/>
  <c r="H864" i="1"/>
  <c r="F863" i="1"/>
  <c r="D862" i="1"/>
  <c r="J861" i="1"/>
  <c r="B861" i="1"/>
  <c r="H860" i="1"/>
  <c r="F859" i="1"/>
  <c r="D858" i="1"/>
  <c r="J857" i="1"/>
  <c r="B857" i="1"/>
  <c r="H856" i="1"/>
  <c r="F855" i="1"/>
  <c r="D854" i="1"/>
  <c r="J853" i="1"/>
  <c r="B853" i="1"/>
  <c r="H852" i="1"/>
  <c r="K932" i="1"/>
  <c r="F925" i="1"/>
  <c r="H912" i="1"/>
  <c r="K906" i="1"/>
  <c r="D903" i="1"/>
  <c r="B897" i="1"/>
  <c r="C894" i="1"/>
  <c r="B878" i="1"/>
  <c r="H875" i="1"/>
  <c r="E874" i="1"/>
  <c r="C873" i="1"/>
  <c r="H869" i="1"/>
  <c r="D868" i="1"/>
  <c r="J866" i="1"/>
  <c r="F865" i="1"/>
  <c r="B864" i="1"/>
  <c r="H862" i="1"/>
  <c r="G966" i="1"/>
  <c r="G932" i="1"/>
  <c r="C917" i="1"/>
  <c r="D911" i="1"/>
  <c r="I893" i="1"/>
  <c r="J890" i="1"/>
  <c r="H884" i="1"/>
  <c r="G881" i="1"/>
  <c r="K879" i="1"/>
  <c r="G875" i="1"/>
  <c r="F869" i="1"/>
  <c r="B868" i="1"/>
  <c r="H866" i="1"/>
  <c r="D865" i="1"/>
  <c r="J863" i="1"/>
  <c r="F862" i="1"/>
  <c r="C861" i="1"/>
  <c r="H859" i="1"/>
  <c r="E858" i="1"/>
  <c r="J856" i="1"/>
  <c r="G855" i="1"/>
  <c r="C854" i="1"/>
  <c r="K852" i="1"/>
  <c r="B852" i="1"/>
  <c r="H851" i="1"/>
  <c r="F850" i="1"/>
  <c r="D849" i="1"/>
  <c r="J848" i="1"/>
  <c r="B848" i="1"/>
  <c r="H847" i="1"/>
  <c r="F846" i="1"/>
  <c r="D845" i="1"/>
  <c r="J844" i="1"/>
  <c r="B844" i="1"/>
  <c r="H843" i="1"/>
  <c r="F842" i="1"/>
  <c r="D841" i="1"/>
  <c r="G923" i="1"/>
  <c r="B902" i="1"/>
  <c r="D899" i="1"/>
  <c r="J889" i="1"/>
  <c r="K886" i="1"/>
  <c r="C879" i="1"/>
  <c r="I877" i="1"/>
  <c r="B876" i="1"/>
  <c r="C869" i="1"/>
  <c r="H867" i="1"/>
  <c r="E866" i="1"/>
  <c r="J864" i="1"/>
  <c r="G863" i="1"/>
  <c r="C862" i="1"/>
  <c r="I860" i="1"/>
  <c r="E859" i="1"/>
  <c r="B858" i="1"/>
  <c r="K857" i="1"/>
  <c r="G856" i="1"/>
  <c r="D855" i="1"/>
  <c r="I853" i="1"/>
  <c r="I852" i="1"/>
  <c r="F851" i="1"/>
  <c r="D850" i="1"/>
  <c r="J849" i="1"/>
  <c r="B849" i="1"/>
  <c r="H848" i="1"/>
  <c r="C937" i="1"/>
  <c r="G920" i="1"/>
  <c r="B898" i="1"/>
  <c r="H888" i="1"/>
  <c r="J885" i="1"/>
  <c r="K882" i="1"/>
  <c r="K878" i="1"/>
  <c r="J874" i="1"/>
  <c r="G873" i="1"/>
  <c r="F872" i="1"/>
  <c r="E871" i="1"/>
  <c r="F870" i="1"/>
  <c r="K869" i="1"/>
  <c r="G868" i="1"/>
  <c r="D867" i="1"/>
  <c r="I865" i="1"/>
  <c r="F864" i="1"/>
  <c r="B863" i="1"/>
  <c r="K862" i="1"/>
  <c r="H861" i="1"/>
  <c r="D860" i="1"/>
  <c r="J858" i="1"/>
  <c r="F857" i="1"/>
  <c r="B856" i="1"/>
  <c r="H854" i="1"/>
  <c r="D853" i="1"/>
  <c r="E852" i="1"/>
  <c r="K851" i="1"/>
  <c r="C851" i="1"/>
  <c r="I850" i="1"/>
  <c r="G849" i="1"/>
  <c r="E848" i="1"/>
  <c r="K847" i="1"/>
  <c r="C847" i="1"/>
  <c r="I846" i="1"/>
  <c r="G845" i="1"/>
  <c r="E844" i="1"/>
  <c r="K843" i="1"/>
  <c r="C843" i="1"/>
  <c r="I842" i="1"/>
  <c r="I952" i="1"/>
  <c r="H908" i="1"/>
  <c r="F895" i="1"/>
  <c r="I889" i="1"/>
  <c r="E883" i="1"/>
  <c r="J868" i="1"/>
  <c r="G867" i="1"/>
  <c r="C866" i="1"/>
  <c r="B855" i="1"/>
  <c r="E854" i="1"/>
  <c r="F853" i="1"/>
  <c r="J852" i="1"/>
  <c r="E851" i="1"/>
  <c r="B850" i="1"/>
  <c r="K849" i="1"/>
  <c r="G848" i="1"/>
  <c r="G847" i="1"/>
  <c r="H846" i="1"/>
  <c r="I845" i="1"/>
  <c r="I844" i="1"/>
  <c r="J843" i="1"/>
  <c r="K842" i="1"/>
  <c r="C841" i="1"/>
  <c r="H840" i="1"/>
  <c r="F839" i="1"/>
  <c r="D838" i="1"/>
  <c r="J837" i="1"/>
  <c r="B837" i="1"/>
  <c r="I944" i="1"/>
  <c r="I920" i="1"/>
  <c r="F908" i="1"/>
  <c r="B901" i="1"/>
  <c r="E895" i="1"/>
  <c r="K873" i="1"/>
  <c r="H871" i="1"/>
  <c r="I868" i="1"/>
  <c r="E867" i="1"/>
  <c r="B866" i="1"/>
  <c r="K861" i="1"/>
  <c r="B854" i="1"/>
  <c r="C853" i="1"/>
  <c r="G852" i="1"/>
  <c r="D851" i="1"/>
  <c r="I849" i="1"/>
  <c r="F848" i="1"/>
  <c r="F847" i="1"/>
  <c r="G846" i="1"/>
  <c r="H845" i="1"/>
  <c r="H844" i="1"/>
  <c r="I843" i="1"/>
  <c r="J842" i="1"/>
  <c r="K841" i="1"/>
  <c r="B841" i="1"/>
  <c r="G840" i="1"/>
  <c r="E839" i="1"/>
  <c r="K838" i="1"/>
  <c r="C838" i="1"/>
  <c r="I837" i="1"/>
  <c r="G836" i="1"/>
  <c r="E835" i="1"/>
  <c r="K834" i="1"/>
  <c r="C834" i="1"/>
  <c r="I833" i="1"/>
  <c r="G832" i="1"/>
  <c r="E831" i="1"/>
  <c r="H930" i="1"/>
  <c r="E899" i="1"/>
  <c r="H893" i="1"/>
  <c r="D887" i="1"/>
  <c r="D869" i="1"/>
  <c r="H863" i="1"/>
  <c r="E862" i="1"/>
  <c r="F861" i="1"/>
  <c r="G860" i="1"/>
  <c r="J859" i="1"/>
  <c r="K858" i="1"/>
  <c r="D852" i="1"/>
  <c r="J850" i="1"/>
  <c r="F849" i="1"/>
  <c r="C848" i="1"/>
  <c r="D847" i="1"/>
  <c r="D846" i="1"/>
  <c r="E845" i="1"/>
  <c r="F844" i="1"/>
  <c r="F843" i="1"/>
  <c r="G842" i="1"/>
  <c r="I841" i="1"/>
  <c r="E840" i="1"/>
  <c r="K839" i="1"/>
  <c r="C839" i="1"/>
  <c r="I838" i="1"/>
  <c r="G837" i="1"/>
  <c r="E836" i="1"/>
  <c r="K835" i="1"/>
  <c r="C835" i="1"/>
  <c r="I834" i="1"/>
  <c r="G833" i="1"/>
  <c r="E832" i="1"/>
  <c r="K831" i="1"/>
  <c r="C831" i="1"/>
  <c r="I830" i="1"/>
  <c r="G829" i="1"/>
  <c r="J870" i="1"/>
  <c r="F874" i="1"/>
  <c r="I878" i="1"/>
  <c r="F896" i="1"/>
  <c r="C823" i="1"/>
  <c r="K823" i="1"/>
  <c r="E824" i="1"/>
  <c r="G825" i="1"/>
  <c r="I826" i="1"/>
  <c r="C827" i="1"/>
  <c r="K827" i="1"/>
  <c r="E828" i="1"/>
  <c r="J829" i="1"/>
  <c r="F830" i="1"/>
  <c r="D831" i="1"/>
  <c r="C832" i="1"/>
  <c r="C833" i="1"/>
  <c r="B834" i="1"/>
  <c r="K836" i="1"/>
  <c r="E838" i="1"/>
  <c r="H839" i="1"/>
  <c r="K840" i="1"/>
  <c r="E841" i="1"/>
  <c r="G843" i="1"/>
  <c r="C844" i="1"/>
  <c r="K846" i="1"/>
  <c r="E847" i="1"/>
  <c r="F854" i="1"/>
  <c r="D857" i="1"/>
  <c r="B860" i="1"/>
  <c r="E863" i="1"/>
  <c r="H865" i="1"/>
  <c r="B867" i="1"/>
  <c r="G888" i="1"/>
  <c r="C898" i="1"/>
  <c r="B1169" i="1"/>
  <c r="H1168" i="1"/>
  <c r="F1167" i="1"/>
  <c r="D1166" i="1"/>
  <c r="J1165" i="1"/>
  <c r="B1165" i="1"/>
  <c r="H1164" i="1"/>
  <c r="F1163" i="1"/>
  <c r="D1162" i="1"/>
  <c r="G1168" i="1"/>
  <c r="E1167" i="1"/>
  <c r="K1166" i="1"/>
  <c r="C1166" i="1"/>
  <c r="I1165" i="1"/>
  <c r="G1164" i="1"/>
  <c r="E1163" i="1"/>
  <c r="K1162" i="1"/>
  <c r="C1162" i="1"/>
  <c r="I1161" i="1"/>
  <c r="G1160" i="1"/>
  <c r="E1159" i="1"/>
  <c r="K1158" i="1"/>
  <c r="C1158" i="1"/>
  <c r="I1157" i="1"/>
  <c r="G1156" i="1"/>
  <c r="E1155" i="1"/>
  <c r="K1154" i="1"/>
  <c r="C1154" i="1"/>
  <c r="I1153" i="1"/>
  <c r="G1152" i="1"/>
  <c r="E1151" i="1"/>
  <c r="K1150" i="1"/>
  <c r="C1150" i="1"/>
  <c r="I1149" i="1"/>
  <c r="G1148" i="1"/>
  <c r="E1147" i="1"/>
  <c r="K1146" i="1"/>
  <c r="C1146" i="1"/>
  <c r="I1145" i="1"/>
  <c r="G1144" i="1"/>
  <c r="E1143" i="1"/>
  <c r="K1142" i="1"/>
  <c r="C1142" i="1"/>
  <c r="I1141" i="1"/>
  <c r="G1140" i="1"/>
  <c r="E1139" i="1"/>
  <c r="K1138" i="1"/>
  <c r="E1168" i="1"/>
  <c r="K1167" i="1"/>
  <c r="C1167" i="1"/>
  <c r="I1166" i="1"/>
  <c r="G1165" i="1"/>
  <c r="E1164" i="1"/>
  <c r="K1163" i="1"/>
  <c r="C1163" i="1"/>
  <c r="I1162" i="1"/>
  <c r="G1161" i="1"/>
  <c r="E1160" i="1"/>
  <c r="K1159" i="1"/>
  <c r="C1159" i="1"/>
  <c r="I1158" i="1"/>
  <c r="G1157" i="1"/>
  <c r="E1156" i="1"/>
  <c r="K1155" i="1"/>
  <c r="C1155" i="1"/>
  <c r="I1154" i="1"/>
  <c r="G1153" i="1"/>
  <c r="E1152" i="1"/>
  <c r="K1151" i="1"/>
  <c r="C1151" i="1"/>
  <c r="I1150" i="1"/>
  <c r="G1149" i="1"/>
  <c r="E1148" i="1"/>
  <c r="K1147" i="1"/>
  <c r="C1147" i="1"/>
  <c r="I1146" i="1"/>
  <c r="G1145" i="1"/>
  <c r="E1144" i="1"/>
  <c r="K1143" i="1"/>
  <c r="C1143" i="1"/>
  <c r="I1142" i="1"/>
  <c r="G1141" i="1"/>
  <c r="E1140" i="1"/>
  <c r="K1139" i="1"/>
  <c r="C1139" i="1"/>
  <c r="I1138" i="1"/>
  <c r="D1168" i="1"/>
  <c r="J1167" i="1"/>
  <c r="B1167" i="1"/>
  <c r="H1166" i="1"/>
  <c r="F1165" i="1"/>
  <c r="D1164" i="1"/>
  <c r="J1163" i="1"/>
  <c r="B1163" i="1"/>
  <c r="H1162" i="1"/>
  <c r="F1161" i="1"/>
  <c r="D1160" i="1"/>
  <c r="J1159" i="1"/>
  <c r="B1159" i="1"/>
  <c r="H1158" i="1"/>
  <c r="F1157" i="1"/>
  <c r="D1156" i="1"/>
  <c r="J1155" i="1"/>
  <c r="B1155" i="1"/>
  <c r="H1154" i="1"/>
  <c r="F1153" i="1"/>
  <c r="D1152" i="1"/>
  <c r="J1151" i="1"/>
  <c r="B1151" i="1"/>
  <c r="H1150" i="1"/>
  <c r="D1169" i="1"/>
  <c r="I1168" i="1"/>
  <c r="G1167" i="1"/>
  <c r="E1166" i="1"/>
  <c r="K1165" i="1"/>
  <c r="G1163" i="1"/>
  <c r="E1161" i="1"/>
  <c r="B1160" i="1"/>
  <c r="G1158" i="1"/>
  <c r="D1157" i="1"/>
  <c r="I1155" i="1"/>
  <c r="F1154" i="1"/>
  <c r="C1153" i="1"/>
  <c r="K1152" i="1"/>
  <c r="H1151" i="1"/>
  <c r="E1150" i="1"/>
  <c r="D1149" i="1"/>
  <c r="D1148" i="1"/>
  <c r="F1147" i="1"/>
  <c r="F1146" i="1"/>
  <c r="F1145" i="1"/>
  <c r="H1144" i="1"/>
  <c r="H1143" i="1"/>
  <c r="H1142" i="1"/>
  <c r="J1141" i="1"/>
  <c r="J1140" i="1"/>
  <c r="J1139" i="1"/>
  <c r="B1138" i="1"/>
  <c r="H1137" i="1"/>
  <c r="F1136" i="1"/>
  <c r="D1135" i="1"/>
  <c r="J1134" i="1"/>
  <c r="B1134" i="1"/>
  <c r="H1133" i="1"/>
  <c r="E1132" i="1"/>
  <c r="K1131" i="1"/>
  <c r="C1131" i="1"/>
  <c r="I1130" i="1"/>
  <c r="G1129" i="1"/>
  <c r="E1128" i="1"/>
  <c r="K1127" i="1"/>
  <c r="C1127" i="1"/>
  <c r="B1166" i="1"/>
  <c r="H1165" i="1"/>
  <c r="D1163" i="1"/>
  <c r="J1162" i="1"/>
  <c r="D1161" i="1"/>
  <c r="I1159" i="1"/>
  <c r="F1158" i="1"/>
  <c r="C1157" i="1"/>
  <c r="K1156" i="1"/>
  <c r="H1155" i="1"/>
  <c r="E1154" i="1"/>
  <c r="B1153" i="1"/>
  <c r="J1152" i="1"/>
  <c r="G1151" i="1"/>
  <c r="D1150" i="1"/>
  <c r="C1149" i="1"/>
  <c r="C1148" i="1"/>
  <c r="D1147" i="1"/>
  <c r="E1146" i="1"/>
  <c r="E1145" i="1"/>
  <c r="F1144" i="1"/>
  <c r="G1143" i="1"/>
  <c r="G1142" i="1"/>
  <c r="H1141" i="1"/>
  <c r="I1140" i="1"/>
  <c r="I1139" i="1"/>
  <c r="J1138" i="1"/>
  <c r="G1137" i="1"/>
  <c r="E1136" i="1"/>
  <c r="K1135" i="1"/>
  <c r="C1135" i="1"/>
  <c r="I1134" i="1"/>
  <c r="G1133" i="1"/>
  <c r="D1132" i="1"/>
  <c r="J1131" i="1"/>
  <c r="B1131" i="1"/>
  <c r="H1130" i="1"/>
  <c r="J1168" i="1"/>
  <c r="I1167" i="1"/>
  <c r="C1165" i="1"/>
  <c r="I1164" i="1"/>
  <c r="E1162" i="1"/>
  <c r="I1160" i="1"/>
  <c r="F1159" i="1"/>
  <c r="B1158" i="1"/>
  <c r="K1157" i="1"/>
  <c r="H1156" i="1"/>
  <c r="D1155" i="1"/>
  <c r="J1153" i="1"/>
  <c r="F1152" i="1"/>
  <c r="J1149" i="1"/>
  <c r="J1148" i="1"/>
  <c r="J1147" i="1"/>
  <c r="B1145" i="1"/>
  <c r="B1144" i="1"/>
  <c r="B1143" i="1"/>
  <c r="D1142" i="1"/>
  <c r="D1141" i="1"/>
  <c r="D1140" i="1"/>
  <c r="F1139" i="1"/>
  <c r="F1138" i="1"/>
  <c r="D1137" i="1"/>
  <c r="J1136" i="1"/>
  <c r="B1136" i="1"/>
  <c r="H1135" i="1"/>
  <c r="F1134" i="1"/>
  <c r="D1133" i="1"/>
  <c r="I1132" i="1"/>
  <c r="G1131" i="1"/>
  <c r="E1130" i="1"/>
  <c r="D1167" i="1"/>
  <c r="G1162" i="1"/>
  <c r="J1161" i="1"/>
  <c r="J1160" i="1"/>
  <c r="B1152" i="1"/>
  <c r="D1151" i="1"/>
  <c r="F1150" i="1"/>
  <c r="H1149" i="1"/>
  <c r="G1146" i="1"/>
  <c r="K1145" i="1"/>
  <c r="D1143" i="1"/>
  <c r="J1142" i="1"/>
  <c r="B1140" i="1"/>
  <c r="G1139" i="1"/>
  <c r="F1137" i="1"/>
  <c r="C1136" i="1"/>
  <c r="H1134" i="1"/>
  <c r="E1133" i="1"/>
  <c r="I1131" i="1"/>
  <c r="F1130" i="1"/>
  <c r="H1129" i="1"/>
  <c r="K1128" i="1"/>
  <c r="B1128" i="1"/>
  <c r="F1127" i="1"/>
  <c r="K1126" i="1"/>
  <c r="C1126" i="1"/>
  <c r="I1125" i="1"/>
  <c r="G1124" i="1"/>
  <c r="E1123" i="1"/>
  <c r="K1122" i="1"/>
  <c r="C1122" i="1"/>
  <c r="I1121" i="1"/>
  <c r="G1120" i="1"/>
  <c r="E1119" i="1"/>
  <c r="K1118" i="1"/>
  <c r="C1118" i="1"/>
  <c r="I1117" i="1"/>
  <c r="G1116" i="1"/>
  <c r="E1115" i="1"/>
  <c r="K1114" i="1"/>
  <c r="C1114" i="1"/>
  <c r="I1113" i="1"/>
  <c r="K1168" i="1"/>
  <c r="K1164" i="1"/>
  <c r="I1163" i="1"/>
  <c r="F1162" i="1"/>
  <c r="H1161" i="1"/>
  <c r="H1160" i="1"/>
  <c r="H1159" i="1"/>
  <c r="B1150" i="1"/>
  <c r="F1149" i="1"/>
  <c r="K1148" i="1"/>
  <c r="D1146" i="1"/>
  <c r="J1145" i="1"/>
  <c r="F1142" i="1"/>
  <c r="D1139" i="1"/>
  <c r="H1138" i="1"/>
  <c r="E1137" i="1"/>
  <c r="J1135" i="1"/>
  <c r="G1134" i="1"/>
  <c r="C1133" i="1"/>
  <c r="K1132" i="1"/>
  <c r="H1131" i="1"/>
  <c r="D1130" i="1"/>
  <c r="F1129" i="1"/>
  <c r="J1128" i="1"/>
  <c r="C1168" i="1"/>
  <c r="F1164" i="1"/>
  <c r="B1161" i="1"/>
  <c r="C1160" i="1"/>
  <c r="D1159" i="1"/>
  <c r="E1158" i="1"/>
  <c r="H1157" i="1"/>
  <c r="I1156" i="1"/>
  <c r="B1149" i="1"/>
  <c r="H1148" i="1"/>
  <c r="D1145" i="1"/>
  <c r="J1144" i="1"/>
  <c r="B1142" i="1"/>
  <c r="F1141" i="1"/>
  <c r="E1138" i="1"/>
  <c r="B1137" i="1"/>
  <c r="K1136" i="1"/>
  <c r="G1135" i="1"/>
  <c r="D1134" i="1"/>
  <c r="H1132" i="1"/>
  <c r="E1131" i="1"/>
  <c r="B1130" i="1"/>
  <c r="D1129" i="1"/>
  <c r="H1128" i="1"/>
  <c r="B1127" i="1"/>
  <c r="H1126" i="1"/>
  <c r="F1125" i="1"/>
  <c r="D1124" i="1"/>
  <c r="J1123" i="1"/>
  <c r="B1123" i="1"/>
  <c r="H1122" i="1"/>
  <c r="F1121" i="1"/>
  <c r="D1120" i="1"/>
  <c r="J1119" i="1"/>
  <c r="B1119" i="1"/>
  <c r="H1118" i="1"/>
  <c r="F1117" i="1"/>
  <c r="B1168" i="1"/>
  <c r="J1166" i="1"/>
  <c r="E1165" i="1"/>
  <c r="C1164" i="1"/>
  <c r="D1158" i="1"/>
  <c r="E1157" i="1"/>
  <c r="F1156" i="1"/>
  <c r="G1155" i="1"/>
  <c r="J1154" i="1"/>
  <c r="K1153" i="1"/>
  <c r="F1148" i="1"/>
  <c r="I1147" i="1"/>
  <c r="C1145" i="1"/>
  <c r="I1144" i="1"/>
  <c r="E1141" i="1"/>
  <c r="K1140" i="1"/>
  <c r="D1138" i="1"/>
  <c r="I1136" i="1"/>
  <c r="F1135" i="1"/>
  <c r="C1134" i="1"/>
  <c r="K1133" i="1"/>
  <c r="G1132" i="1"/>
  <c r="D1131" i="1"/>
  <c r="C1129" i="1"/>
  <c r="G1128" i="1"/>
  <c r="J1127" i="1"/>
  <c r="G1126" i="1"/>
  <c r="E1125" i="1"/>
  <c r="K1124" i="1"/>
  <c r="C1124" i="1"/>
  <c r="I1123" i="1"/>
  <c r="G1122" i="1"/>
  <c r="E1121" i="1"/>
  <c r="K1120" i="1"/>
  <c r="C1120" i="1"/>
  <c r="I1119" i="1"/>
  <c r="G1118" i="1"/>
  <c r="E1117" i="1"/>
  <c r="K1116" i="1"/>
  <c r="C1116" i="1"/>
  <c r="F1168" i="1"/>
  <c r="H1163" i="1"/>
  <c r="C1161" i="1"/>
  <c r="G1159" i="1"/>
  <c r="J1157" i="1"/>
  <c r="I1148" i="1"/>
  <c r="H1145" i="1"/>
  <c r="E1142" i="1"/>
  <c r="B1139" i="1"/>
  <c r="I1135" i="1"/>
  <c r="E1134" i="1"/>
  <c r="B1133" i="1"/>
  <c r="G1127" i="1"/>
  <c r="B1126" i="1"/>
  <c r="K1125" i="1"/>
  <c r="H1124" i="1"/>
  <c r="D1123" i="1"/>
  <c r="J1121" i="1"/>
  <c r="F1120" i="1"/>
  <c r="C1119" i="1"/>
  <c r="H1117" i="1"/>
  <c r="H1116" i="1"/>
  <c r="J1115" i="1"/>
  <c r="E1114" i="1"/>
  <c r="H1113" i="1"/>
  <c r="E1112" i="1"/>
  <c r="K1111" i="1"/>
  <c r="C1111" i="1"/>
  <c r="I1110" i="1"/>
  <c r="G1109" i="1"/>
  <c r="E1108" i="1"/>
  <c r="K1107" i="1"/>
  <c r="C1107" i="1"/>
  <c r="I1106" i="1"/>
  <c r="G1105" i="1"/>
  <c r="E1104" i="1"/>
  <c r="K1103" i="1"/>
  <c r="C1103" i="1"/>
  <c r="I1102" i="1"/>
  <c r="G1101" i="1"/>
  <c r="E1100" i="1"/>
  <c r="K1099" i="1"/>
  <c r="C1099" i="1"/>
  <c r="I1098" i="1"/>
  <c r="D1165" i="1"/>
  <c r="B1157" i="1"/>
  <c r="F1155" i="1"/>
  <c r="H1153" i="1"/>
  <c r="B1148" i="1"/>
  <c r="J1143" i="1"/>
  <c r="H1140" i="1"/>
  <c r="K1137" i="1"/>
  <c r="H1136" i="1"/>
  <c r="E1135" i="1"/>
  <c r="K1130" i="1"/>
  <c r="K1129" i="1"/>
  <c r="E1127" i="1"/>
  <c r="J1125" i="1"/>
  <c r="F1124" i="1"/>
  <c r="C1123" i="1"/>
  <c r="H1121" i="1"/>
  <c r="E1120" i="1"/>
  <c r="J1118" i="1"/>
  <c r="G1117" i="1"/>
  <c r="F1116" i="1"/>
  <c r="I1115" i="1"/>
  <c r="D1114" i="1"/>
  <c r="G1113" i="1"/>
  <c r="D1112" i="1"/>
  <c r="J1111" i="1"/>
  <c r="B1111" i="1"/>
  <c r="H1110" i="1"/>
  <c r="F1109" i="1"/>
  <c r="D1108" i="1"/>
  <c r="J1107" i="1"/>
  <c r="B1107" i="1"/>
  <c r="H1106" i="1"/>
  <c r="F1105" i="1"/>
  <c r="D1104" i="1"/>
  <c r="J1103" i="1"/>
  <c r="B1103" i="1"/>
  <c r="H1102" i="1"/>
  <c r="H1167" i="1"/>
  <c r="K1160" i="1"/>
  <c r="D1153" i="1"/>
  <c r="F1151" i="1"/>
  <c r="K1149" i="1"/>
  <c r="H1146" i="1"/>
  <c r="F1143" i="1"/>
  <c r="C1140" i="1"/>
  <c r="I1137" i="1"/>
  <c r="D1136" i="1"/>
  <c r="G1130" i="1"/>
  <c r="I1129" i="1"/>
  <c r="J1126" i="1"/>
  <c r="G1125" i="1"/>
  <c r="B1124" i="1"/>
  <c r="I1122" i="1"/>
  <c r="D1121" i="1"/>
  <c r="K1119" i="1"/>
  <c r="F1118" i="1"/>
  <c r="C1117" i="1"/>
  <c r="D1116" i="1"/>
  <c r="G1115" i="1"/>
  <c r="J1114" i="1"/>
  <c r="E1113" i="1"/>
  <c r="J1112" i="1"/>
  <c r="B1112" i="1"/>
  <c r="H1111" i="1"/>
  <c r="F1110" i="1"/>
  <c r="D1109" i="1"/>
  <c r="J1108" i="1"/>
  <c r="B1108" i="1"/>
  <c r="H1107" i="1"/>
  <c r="F1106" i="1"/>
  <c r="D1105" i="1"/>
  <c r="J1104" i="1"/>
  <c r="B1104" i="1"/>
  <c r="H1103" i="1"/>
  <c r="F1102" i="1"/>
  <c r="J1164" i="1"/>
  <c r="B1162" i="1"/>
  <c r="F1160" i="1"/>
  <c r="J1158" i="1"/>
  <c r="J1156" i="1"/>
  <c r="E1149" i="1"/>
  <c r="B1146" i="1"/>
  <c r="K1144" i="1"/>
  <c r="K1141" i="1"/>
  <c r="G1138" i="1"/>
  <c r="C1137" i="1"/>
  <c r="J1132" i="1"/>
  <c r="F1131" i="1"/>
  <c r="C1130" i="1"/>
  <c r="E1129" i="1"/>
  <c r="I1128" i="1"/>
  <c r="I1126" i="1"/>
  <c r="D1125" i="1"/>
  <c r="K1123" i="1"/>
  <c r="F1122" i="1"/>
  <c r="C1121" i="1"/>
  <c r="H1119" i="1"/>
  <c r="E1118" i="1"/>
  <c r="B1117" i="1"/>
  <c r="B1116" i="1"/>
  <c r="F1115" i="1"/>
  <c r="I1114" i="1"/>
  <c r="D1113" i="1"/>
  <c r="I1151" i="1"/>
  <c r="G1136" i="1"/>
  <c r="J1129" i="1"/>
  <c r="H1125" i="1"/>
  <c r="E1124" i="1"/>
  <c r="I1118" i="1"/>
  <c r="D1117" i="1"/>
  <c r="E1116" i="1"/>
  <c r="H1115" i="1"/>
  <c r="F1112" i="1"/>
  <c r="K1110" i="1"/>
  <c r="H1109" i="1"/>
  <c r="C1108" i="1"/>
  <c r="J1106" i="1"/>
  <c r="E1105" i="1"/>
  <c r="G1102" i="1"/>
  <c r="F1101" i="1"/>
  <c r="J1100" i="1"/>
  <c r="E1099" i="1"/>
  <c r="H1098" i="1"/>
  <c r="E1097" i="1"/>
  <c r="K1096" i="1"/>
  <c r="C1096" i="1"/>
  <c r="I1095" i="1"/>
  <c r="G1094" i="1"/>
  <c r="E1093" i="1"/>
  <c r="K1092" i="1"/>
  <c r="C1092" i="1"/>
  <c r="I1091" i="1"/>
  <c r="G1090" i="1"/>
  <c r="E1089" i="1"/>
  <c r="K1088" i="1"/>
  <c r="C1088" i="1"/>
  <c r="H1087" i="1"/>
  <c r="F1086" i="1"/>
  <c r="D1085" i="1"/>
  <c r="J1084" i="1"/>
  <c r="B1084" i="1"/>
  <c r="H1083" i="1"/>
  <c r="F1082" i="1"/>
  <c r="D1081" i="1"/>
  <c r="J1080" i="1"/>
  <c r="B1080" i="1"/>
  <c r="H1079" i="1"/>
  <c r="F1078" i="1"/>
  <c r="D1077" i="1"/>
  <c r="J1076" i="1"/>
  <c r="B1076" i="1"/>
  <c r="H1075" i="1"/>
  <c r="F1074" i="1"/>
  <c r="D1073" i="1"/>
  <c r="J1072" i="1"/>
  <c r="B1072" i="1"/>
  <c r="H1071" i="1"/>
  <c r="F1070" i="1"/>
  <c r="D1069" i="1"/>
  <c r="J1068" i="1"/>
  <c r="B1068" i="1"/>
  <c r="H1067" i="1"/>
  <c r="F1066" i="1"/>
  <c r="D1065" i="1"/>
  <c r="J1064" i="1"/>
  <c r="B1064" i="1"/>
  <c r="H1063" i="1"/>
  <c r="F1062" i="1"/>
  <c r="D1061" i="1"/>
  <c r="J1060" i="1"/>
  <c r="B1060" i="1"/>
  <c r="G1166" i="1"/>
  <c r="G1154" i="1"/>
  <c r="H1147" i="1"/>
  <c r="D1144" i="1"/>
  <c r="C1141" i="1"/>
  <c r="C1138" i="1"/>
  <c r="J1133" i="1"/>
  <c r="B1129" i="1"/>
  <c r="F1126" i="1"/>
  <c r="C1125" i="1"/>
  <c r="J1120" i="1"/>
  <c r="G1119" i="1"/>
  <c r="D1118" i="1"/>
  <c r="D1115" i="1"/>
  <c r="H1114" i="1"/>
  <c r="C1112" i="1"/>
  <c r="J1110" i="1"/>
  <c r="E1109" i="1"/>
  <c r="G1106" i="1"/>
  <c r="C1105" i="1"/>
  <c r="I1103" i="1"/>
  <c r="E1102" i="1"/>
  <c r="E1101" i="1"/>
  <c r="I1100" i="1"/>
  <c r="D1099" i="1"/>
  <c r="G1098" i="1"/>
  <c r="D1097" i="1"/>
  <c r="J1096" i="1"/>
  <c r="B1096" i="1"/>
  <c r="H1095" i="1"/>
  <c r="F1094" i="1"/>
  <c r="D1093" i="1"/>
  <c r="J1092" i="1"/>
  <c r="B1092" i="1"/>
  <c r="H1091" i="1"/>
  <c r="F1090" i="1"/>
  <c r="D1089" i="1"/>
  <c r="J1088" i="1"/>
  <c r="B1088" i="1"/>
  <c r="G1087" i="1"/>
  <c r="E1086" i="1"/>
  <c r="K1085" i="1"/>
  <c r="C1085" i="1"/>
  <c r="I1084" i="1"/>
  <c r="G1083" i="1"/>
  <c r="E1082" i="1"/>
  <c r="K1081" i="1"/>
  <c r="C1081" i="1"/>
  <c r="I1080" i="1"/>
  <c r="G1079" i="1"/>
  <c r="E1078" i="1"/>
  <c r="K1077" i="1"/>
  <c r="C1077" i="1"/>
  <c r="I1076" i="1"/>
  <c r="G1075" i="1"/>
  <c r="E1074" i="1"/>
  <c r="K1073" i="1"/>
  <c r="C1073" i="1"/>
  <c r="I1072" i="1"/>
  <c r="G1071" i="1"/>
  <c r="K1161" i="1"/>
  <c r="B1154" i="1"/>
  <c r="G1150" i="1"/>
  <c r="B1147" i="1"/>
  <c r="F1133" i="1"/>
  <c r="H1127" i="1"/>
  <c r="D1126" i="1"/>
  <c r="K1121" i="1"/>
  <c r="H1120" i="1"/>
  <c r="D1119" i="1"/>
  <c r="B1115" i="1"/>
  <c r="F1114" i="1"/>
  <c r="J1113" i="1"/>
  <c r="I1111" i="1"/>
  <c r="E1110" i="1"/>
  <c r="B1109" i="1"/>
  <c r="K1108" i="1"/>
  <c r="G1107" i="1"/>
  <c r="D1106" i="1"/>
  <c r="I1104" i="1"/>
  <c r="F1103" i="1"/>
  <c r="C1102" i="1"/>
  <c r="C1101" i="1"/>
  <c r="G1100" i="1"/>
  <c r="J1099" i="1"/>
  <c r="E1098" i="1"/>
  <c r="J1097" i="1"/>
  <c r="B1097" i="1"/>
  <c r="H1096" i="1"/>
  <c r="F1095" i="1"/>
  <c r="D1094" i="1"/>
  <c r="J1093" i="1"/>
  <c r="B1093" i="1"/>
  <c r="H1092" i="1"/>
  <c r="F1091" i="1"/>
  <c r="D1090" i="1"/>
  <c r="J1089" i="1"/>
  <c r="B1089" i="1"/>
  <c r="H1088" i="1"/>
  <c r="E1087" i="1"/>
  <c r="K1086" i="1"/>
  <c r="C1086" i="1"/>
  <c r="I1085" i="1"/>
  <c r="G1084" i="1"/>
  <c r="E1083" i="1"/>
  <c r="K1082" i="1"/>
  <c r="C1082" i="1"/>
  <c r="I1081" i="1"/>
  <c r="G1080" i="1"/>
  <c r="E1079" i="1"/>
  <c r="K1078" i="1"/>
  <c r="C1078" i="1"/>
  <c r="I1077" i="1"/>
  <c r="G1076" i="1"/>
  <c r="E1075" i="1"/>
  <c r="K1074" i="1"/>
  <c r="C1074" i="1"/>
  <c r="I1073" i="1"/>
  <c r="G1072" i="1"/>
  <c r="E1071" i="1"/>
  <c r="K1070" i="1"/>
  <c r="C1070" i="1"/>
  <c r="I1069" i="1"/>
  <c r="G1068" i="1"/>
  <c r="E1067" i="1"/>
  <c r="K1066" i="1"/>
  <c r="C1066" i="1"/>
  <c r="I1065" i="1"/>
  <c r="G1064" i="1"/>
  <c r="E1063" i="1"/>
  <c r="K1062" i="1"/>
  <c r="C1062" i="1"/>
  <c r="E1153" i="1"/>
  <c r="J1146" i="1"/>
  <c r="I1143" i="1"/>
  <c r="F1140" i="1"/>
  <c r="J1137" i="1"/>
  <c r="B1135" i="1"/>
  <c r="J1130" i="1"/>
  <c r="D1127" i="1"/>
  <c r="J1122" i="1"/>
  <c r="G1121" i="1"/>
  <c r="B1120" i="1"/>
  <c r="B1114" i="1"/>
  <c r="F1113" i="1"/>
  <c r="K1112" i="1"/>
  <c r="G1111" i="1"/>
  <c r="D1110" i="1"/>
  <c r="I1108" i="1"/>
  <c r="F1107" i="1"/>
  <c r="C1106" i="1"/>
  <c r="K1105" i="1"/>
  <c r="H1104" i="1"/>
  <c r="E1103" i="1"/>
  <c r="B1102" i="1"/>
  <c r="K1101" i="1"/>
  <c r="B1101" i="1"/>
  <c r="F1100" i="1"/>
  <c r="I1099" i="1"/>
  <c r="D1098" i="1"/>
  <c r="I1097" i="1"/>
  <c r="G1096" i="1"/>
  <c r="E1095" i="1"/>
  <c r="K1094" i="1"/>
  <c r="C1094" i="1"/>
  <c r="I1093" i="1"/>
  <c r="G1092" i="1"/>
  <c r="E1091" i="1"/>
  <c r="K1090" i="1"/>
  <c r="C1090" i="1"/>
  <c r="I1089" i="1"/>
  <c r="G1088" i="1"/>
  <c r="D1087" i="1"/>
  <c r="J1086" i="1"/>
  <c r="B1086" i="1"/>
  <c r="H1085" i="1"/>
  <c r="F1084" i="1"/>
  <c r="D1083" i="1"/>
  <c r="J1082" i="1"/>
  <c r="B1082" i="1"/>
  <c r="H1081" i="1"/>
  <c r="F1080" i="1"/>
  <c r="D1079" i="1"/>
  <c r="J1078" i="1"/>
  <c r="B1078" i="1"/>
  <c r="H1077" i="1"/>
  <c r="F1076" i="1"/>
  <c r="D1075" i="1"/>
  <c r="J1074" i="1"/>
  <c r="B1074" i="1"/>
  <c r="H1073" i="1"/>
  <c r="F1072" i="1"/>
  <c r="D1071" i="1"/>
  <c r="J1070" i="1"/>
  <c r="B1070" i="1"/>
  <c r="H1069" i="1"/>
  <c r="F1068" i="1"/>
  <c r="D1067" i="1"/>
  <c r="J1066" i="1"/>
  <c r="B1066" i="1"/>
  <c r="H1065" i="1"/>
  <c r="F1064" i="1"/>
  <c r="D1063" i="1"/>
  <c r="J1062" i="1"/>
  <c r="B1062" i="1"/>
  <c r="H1061" i="1"/>
  <c r="F1060" i="1"/>
  <c r="D1059" i="1"/>
  <c r="J1058" i="1"/>
  <c r="B1058" i="1"/>
  <c r="H1057" i="1"/>
  <c r="F1056" i="1"/>
  <c r="F1166" i="1"/>
  <c r="J1150" i="1"/>
  <c r="C1144" i="1"/>
  <c r="I1133" i="1"/>
  <c r="E1126" i="1"/>
  <c r="F1119" i="1"/>
  <c r="C1115" i="1"/>
  <c r="K1113" i="1"/>
  <c r="I1107" i="1"/>
  <c r="E1106" i="1"/>
  <c r="B1105" i="1"/>
  <c r="B1099" i="1"/>
  <c r="F1098" i="1"/>
  <c r="K1097" i="1"/>
  <c r="G1095" i="1"/>
  <c r="C1093" i="1"/>
  <c r="I1092" i="1"/>
  <c r="E1090" i="1"/>
  <c r="K1089" i="1"/>
  <c r="F1087" i="1"/>
  <c r="B1085" i="1"/>
  <c r="H1084" i="1"/>
  <c r="D1082" i="1"/>
  <c r="J1081" i="1"/>
  <c r="F1079" i="1"/>
  <c r="B1077" i="1"/>
  <c r="H1076" i="1"/>
  <c r="D1074" i="1"/>
  <c r="J1073" i="1"/>
  <c r="F1071" i="1"/>
  <c r="K1069" i="1"/>
  <c r="H1068" i="1"/>
  <c r="C1067" i="1"/>
  <c r="J1065" i="1"/>
  <c r="E1064" i="1"/>
  <c r="B1063" i="1"/>
  <c r="J1061" i="1"/>
  <c r="K1060" i="1"/>
  <c r="C1059" i="1"/>
  <c r="G1058" i="1"/>
  <c r="K1057" i="1"/>
  <c r="B1057" i="1"/>
  <c r="E1056" i="1"/>
  <c r="K1055" i="1"/>
  <c r="C1055" i="1"/>
  <c r="I1054" i="1"/>
  <c r="G1053" i="1"/>
  <c r="E1052" i="1"/>
  <c r="K1051" i="1"/>
  <c r="C1051" i="1"/>
  <c r="I1050" i="1"/>
  <c r="G1049" i="1"/>
  <c r="E1048" i="1"/>
  <c r="K1047" i="1"/>
  <c r="C1047" i="1"/>
  <c r="I1046" i="1"/>
  <c r="G1045" i="1"/>
  <c r="E1044" i="1"/>
  <c r="K1043" i="1"/>
  <c r="C1043" i="1"/>
  <c r="I1042" i="1"/>
  <c r="G1041" i="1"/>
  <c r="E1040" i="1"/>
  <c r="K1039" i="1"/>
  <c r="C1039" i="1"/>
  <c r="I1038" i="1"/>
  <c r="G1037" i="1"/>
  <c r="E1036" i="1"/>
  <c r="K1035" i="1"/>
  <c r="C1035" i="1"/>
  <c r="I1034" i="1"/>
  <c r="G1033" i="1"/>
  <c r="E1032" i="1"/>
  <c r="K1031" i="1"/>
  <c r="C1031" i="1"/>
  <c r="I1030" i="1"/>
  <c r="G1029" i="1"/>
  <c r="B1164" i="1"/>
  <c r="C1156" i="1"/>
  <c r="F1132" i="1"/>
  <c r="F1128" i="1"/>
  <c r="H1123" i="1"/>
  <c r="B1121" i="1"/>
  <c r="C1113" i="1"/>
  <c r="K1109" i="1"/>
  <c r="H1108" i="1"/>
  <c r="E1107" i="1"/>
  <c r="B1106" i="1"/>
  <c r="J1101" i="1"/>
  <c r="C1098" i="1"/>
  <c r="H1097" i="1"/>
  <c r="D1095" i="1"/>
  <c r="J1094" i="1"/>
  <c r="F1092" i="1"/>
  <c r="B1090" i="1"/>
  <c r="H1089" i="1"/>
  <c r="C1087" i="1"/>
  <c r="I1086" i="1"/>
  <c r="E1084" i="1"/>
  <c r="K1083" i="1"/>
  <c r="G1081" i="1"/>
  <c r="C1079" i="1"/>
  <c r="I1078" i="1"/>
  <c r="E1076" i="1"/>
  <c r="K1075" i="1"/>
  <c r="G1073" i="1"/>
  <c r="C1071" i="1"/>
  <c r="B1132" i="1"/>
  <c r="C1128" i="1"/>
  <c r="F1123" i="1"/>
  <c r="I1116" i="1"/>
  <c r="I1109" i="1"/>
  <c r="F1108" i="1"/>
  <c r="J1102" i="1"/>
  <c r="H1101" i="1"/>
  <c r="K1100" i="1"/>
  <c r="F1097" i="1"/>
  <c r="B1095" i="1"/>
  <c r="H1094" i="1"/>
  <c r="D1092" i="1"/>
  <c r="J1091" i="1"/>
  <c r="F1089" i="1"/>
  <c r="G1086" i="1"/>
  <c r="C1084" i="1"/>
  <c r="I1083" i="1"/>
  <c r="E1081" i="1"/>
  <c r="K1080" i="1"/>
  <c r="G1078" i="1"/>
  <c r="C1076" i="1"/>
  <c r="I1075" i="1"/>
  <c r="E1073" i="1"/>
  <c r="K1072" i="1"/>
  <c r="I1070" i="1"/>
  <c r="F1069" i="1"/>
  <c r="C1068" i="1"/>
  <c r="K1067" i="1"/>
  <c r="H1066" i="1"/>
  <c r="E1065" i="1"/>
  <c r="J1063" i="1"/>
  <c r="G1062" i="1"/>
  <c r="F1061" i="1"/>
  <c r="G1060" i="1"/>
  <c r="I1059" i="1"/>
  <c r="D1058" i="1"/>
  <c r="G1057" i="1"/>
  <c r="K1056" i="1"/>
  <c r="B1056" i="1"/>
  <c r="H1055" i="1"/>
  <c r="F1054" i="1"/>
  <c r="D1053" i="1"/>
  <c r="J1052" i="1"/>
  <c r="B1052" i="1"/>
  <c r="H1051" i="1"/>
  <c r="F1050" i="1"/>
  <c r="D1049" i="1"/>
  <c r="J1048" i="1"/>
  <c r="B1048" i="1"/>
  <c r="H1047" i="1"/>
  <c r="F1046" i="1"/>
  <c r="D1045" i="1"/>
  <c r="J1044" i="1"/>
  <c r="B1044" i="1"/>
  <c r="H1043" i="1"/>
  <c r="D1154" i="1"/>
  <c r="G1147" i="1"/>
  <c r="B1141" i="1"/>
  <c r="I1127" i="1"/>
  <c r="B1125" i="1"/>
  <c r="I1120" i="1"/>
  <c r="B1118" i="1"/>
  <c r="G1114" i="1"/>
  <c r="G1110" i="1"/>
  <c r="C1109" i="1"/>
  <c r="K1104" i="1"/>
  <c r="G1103" i="1"/>
  <c r="D1102" i="1"/>
  <c r="D1101" i="1"/>
  <c r="H1100" i="1"/>
  <c r="C1097" i="1"/>
  <c r="I1096" i="1"/>
  <c r="E1094" i="1"/>
  <c r="K1093" i="1"/>
  <c r="G1091" i="1"/>
  <c r="C1089" i="1"/>
  <c r="I1088" i="1"/>
  <c r="D1086" i="1"/>
  <c r="J1085" i="1"/>
  <c r="F1083" i="1"/>
  <c r="B1081" i="1"/>
  <c r="H1080" i="1"/>
  <c r="D1078" i="1"/>
  <c r="J1077" i="1"/>
  <c r="F1075" i="1"/>
  <c r="B1073" i="1"/>
  <c r="H1072" i="1"/>
  <c r="H1070" i="1"/>
  <c r="E1069" i="1"/>
  <c r="J1067" i="1"/>
  <c r="G1066" i="1"/>
  <c r="C1065" i="1"/>
  <c r="I1063" i="1"/>
  <c r="E1062" i="1"/>
  <c r="E1061" i="1"/>
  <c r="E1060" i="1"/>
  <c r="H1059" i="1"/>
  <c r="C1058" i="1"/>
  <c r="F1057" i="1"/>
  <c r="J1056" i="1"/>
  <c r="G1055" i="1"/>
  <c r="E1054" i="1"/>
  <c r="K1053" i="1"/>
  <c r="C1053" i="1"/>
  <c r="I1052" i="1"/>
  <c r="G1051" i="1"/>
  <c r="E1050" i="1"/>
  <c r="K1049" i="1"/>
  <c r="D1128" i="1"/>
  <c r="G1123" i="1"/>
  <c r="J1109" i="1"/>
  <c r="D1107" i="1"/>
  <c r="K1102" i="1"/>
  <c r="G1097" i="1"/>
  <c r="I1094" i="1"/>
  <c r="K1091" i="1"/>
  <c r="B1087" i="1"/>
  <c r="D1084" i="1"/>
  <c r="F1081" i="1"/>
  <c r="H1078" i="1"/>
  <c r="J1075" i="1"/>
  <c r="B1071" i="1"/>
  <c r="D1070" i="1"/>
  <c r="C1069" i="1"/>
  <c r="E1068" i="1"/>
  <c r="G1067" i="1"/>
  <c r="I1066" i="1"/>
  <c r="K1065" i="1"/>
  <c r="K1064" i="1"/>
  <c r="D1060" i="1"/>
  <c r="K1059" i="1"/>
  <c r="E1058" i="1"/>
  <c r="D1056" i="1"/>
  <c r="J1054" i="1"/>
  <c r="F1053" i="1"/>
  <c r="C1052" i="1"/>
  <c r="H1050" i="1"/>
  <c r="E1049" i="1"/>
  <c r="F1048" i="1"/>
  <c r="F1047" i="1"/>
  <c r="G1046" i="1"/>
  <c r="H1045" i="1"/>
  <c r="H1044" i="1"/>
  <c r="I1043" i="1"/>
  <c r="K1042" i="1"/>
  <c r="B1042" i="1"/>
  <c r="E1041" i="1"/>
  <c r="I1040" i="1"/>
  <c r="D1039" i="1"/>
  <c r="G1038" i="1"/>
  <c r="K1037" i="1"/>
  <c r="B1037" i="1"/>
  <c r="F1036" i="1"/>
  <c r="I1035" i="1"/>
  <c r="D1034" i="1"/>
  <c r="H1033" i="1"/>
  <c r="K1032" i="1"/>
  <c r="B1032" i="1"/>
  <c r="F1031" i="1"/>
  <c r="J1030" i="1"/>
  <c r="D1029" i="1"/>
  <c r="H1028" i="1"/>
  <c r="F1027" i="1"/>
  <c r="D1026" i="1"/>
  <c r="J1025" i="1"/>
  <c r="B1025" i="1"/>
  <c r="H1024" i="1"/>
  <c r="K1134" i="1"/>
  <c r="B1122" i="1"/>
  <c r="J1117" i="1"/>
  <c r="D1111" i="1"/>
  <c r="K1106" i="1"/>
  <c r="C1104" i="1"/>
  <c r="B1100" i="1"/>
  <c r="J1098" i="1"/>
  <c r="J1095" i="1"/>
  <c r="B1091" i="1"/>
  <c r="D1088" i="1"/>
  <c r="E1085" i="1"/>
  <c r="G1082" i="1"/>
  <c r="I1079" i="1"/>
  <c r="K1076" i="1"/>
  <c r="C1072" i="1"/>
  <c r="B1065" i="1"/>
  <c r="D1064" i="1"/>
  <c r="F1063" i="1"/>
  <c r="H1062" i="1"/>
  <c r="K1061" i="1"/>
  <c r="F1059" i="1"/>
  <c r="E1057" i="1"/>
  <c r="I1055" i="1"/>
  <c r="D1054" i="1"/>
  <c r="K1052" i="1"/>
  <c r="F1051" i="1"/>
  <c r="C1050" i="1"/>
  <c r="B1047" i="1"/>
  <c r="C1046" i="1"/>
  <c r="C1045" i="1"/>
  <c r="D1044" i="1"/>
  <c r="E1043" i="1"/>
  <c r="G1042" i="1"/>
  <c r="K1041" i="1"/>
  <c r="B1041" i="1"/>
  <c r="F1040" i="1"/>
  <c r="I1039" i="1"/>
  <c r="D1038" i="1"/>
  <c r="H1037" i="1"/>
  <c r="K1036" i="1"/>
  <c r="B1036" i="1"/>
  <c r="F1035" i="1"/>
  <c r="J1034" i="1"/>
  <c r="D1033" i="1"/>
  <c r="H1032" i="1"/>
  <c r="B1031" i="1"/>
  <c r="F1030" i="1"/>
  <c r="J1029" i="1"/>
  <c r="E1028" i="1"/>
  <c r="K1027" i="1"/>
  <c r="C1027" i="1"/>
  <c r="I1026" i="1"/>
  <c r="G1025" i="1"/>
  <c r="E1024" i="1"/>
  <c r="K1023" i="1"/>
  <c r="C1023" i="1"/>
  <c r="I1022" i="1"/>
  <c r="G1021" i="1"/>
  <c r="E1020" i="1"/>
  <c r="K1019" i="1"/>
  <c r="C1019" i="1"/>
  <c r="I1018" i="1"/>
  <c r="G1017" i="1"/>
  <c r="E1016" i="1"/>
  <c r="K1015" i="1"/>
  <c r="C1015" i="1"/>
  <c r="I1014" i="1"/>
  <c r="G1013" i="1"/>
  <c r="E1012" i="1"/>
  <c r="K1011" i="1"/>
  <c r="C1011" i="1"/>
  <c r="I1010" i="1"/>
  <c r="G1009" i="1"/>
  <c r="E1008" i="1"/>
  <c r="K1007" i="1"/>
  <c r="C1007" i="1"/>
  <c r="B1156" i="1"/>
  <c r="C1132" i="1"/>
  <c r="J1116" i="1"/>
  <c r="B1113" i="1"/>
  <c r="G1108" i="1"/>
  <c r="I1101" i="1"/>
  <c r="B1098" i="1"/>
  <c r="C1095" i="1"/>
  <c r="E1092" i="1"/>
  <c r="G1089" i="1"/>
  <c r="H1086" i="1"/>
  <c r="J1083" i="1"/>
  <c r="B1079" i="1"/>
  <c r="D1076" i="1"/>
  <c r="F1073" i="1"/>
  <c r="C1064" i="1"/>
  <c r="C1063" i="1"/>
  <c r="D1062" i="1"/>
  <c r="I1061" i="1"/>
  <c r="E1059" i="1"/>
  <c r="K1058" i="1"/>
  <c r="D1057" i="1"/>
  <c r="F1055" i="1"/>
  <c r="C1054" i="1"/>
  <c r="H1052" i="1"/>
  <c r="E1051" i="1"/>
  <c r="B1050" i="1"/>
  <c r="J1049" i="1"/>
  <c r="K1048" i="1"/>
  <c r="B1046" i="1"/>
  <c r="B1045" i="1"/>
  <c r="C1044" i="1"/>
  <c r="D1043" i="1"/>
  <c r="F1042" i="1"/>
  <c r="J1041" i="1"/>
  <c r="D1040" i="1"/>
  <c r="E1169" i="1"/>
  <c r="H1152" i="1"/>
  <c r="J1124" i="1"/>
  <c r="H1112" i="1"/>
  <c r="B1110" i="1"/>
  <c r="I1105" i="1"/>
  <c r="G1099" i="1"/>
  <c r="E1096" i="1"/>
  <c r="G1093" i="1"/>
  <c r="I1090" i="1"/>
  <c r="J1087" i="1"/>
  <c r="B1083" i="1"/>
  <c r="D1122" i="1"/>
  <c r="F1104" i="1"/>
  <c r="C1100" i="1"/>
  <c r="C1091" i="1"/>
  <c r="E1088" i="1"/>
  <c r="F1085" i="1"/>
  <c r="H1082" i="1"/>
  <c r="C1080" i="1"/>
  <c r="G1077" i="1"/>
  <c r="C1075" i="1"/>
  <c r="G1069" i="1"/>
  <c r="E1066" i="1"/>
  <c r="G1063" i="1"/>
  <c r="J1059" i="1"/>
  <c r="H1058" i="1"/>
  <c r="I1057" i="1"/>
  <c r="G1056" i="1"/>
  <c r="E1055" i="1"/>
  <c r="H1054" i="1"/>
  <c r="I1053" i="1"/>
  <c r="C1048" i="1"/>
  <c r="G1047" i="1"/>
  <c r="K1046" i="1"/>
  <c r="F1044" i="1"/>
  <c r="J1043" i="1"/>
  <c r="H1041" i="1"/>
  <c r="H1039" i="1"/>
  <c r="F1038" i="1"/>
  <c r="D1037" i="1"/>
  <c r="H1034" i="1"/>
  <c r="F1033" i="1"/>
  <c r="D1032" i="1"/>
  <c r="I1029" i="1"/>
  <c r="G1028" i="1"/>
  <c r="H1027" i="1"/>
  <c r="H1026" i="1"/>
  <c r="I1025" i="1"/>
  <c r="J1024" i="1"/>
  <c r="B1023" i="1"/>
  <c r="F1022" i="1"/>
  <c r="J1021" i="1"/>
  <c r="D1020" i="1"/>
  <c r="H1019" i="1"/>
  <c r="C1018" i="1"/>
  <c r="F1017" i="1"/>
  <c r="J1016" i="1"/>
  <c r="I1152" i="1"/>
  <c r="I1112" i="1"/>
  <c r="D1103" i="1"/>
  <c r="H1099" i="1"/>
  <c r="F1096" i="1"/>
  <c r="H1093" i="1"/>
  <c r="J1090" i="1"/>
  <c r="K1087" i="1"/>
  <c r="K1079" i="1"/>
  <c r="F1077" i="1"/>
  <c r="B1075" i="1"/>
  <c r="B1069" i="1"/>
  <c r="D1066" i="1"/>
  <c r="I1060" i="1"/>
  <c r="G1059" i="1"/>
  <c r="F1058" i="1"/>
  <c r="C1057" i="1"/>
  <c r="C1056" i="1"/>
  <c r="D1055" i="1"/>
  <c r="G1054" i="1"/>
  <c r="H1053" i="1"/>
  <c r="G1052" i="1"/>
  <c r="J1051" i="1"/>
  <c r="K1050" i="1"/>
  <c r="E1047" i="1"/>
  <c r="J1046" i="1"/>
  <c r="G1043" i="1"/>
  <c r="F1041" i="1"/>
  <c r="G1039" i="1"/>
  <c r="E1038" i="1"/>
  <c r="C1037" i="1"/>
  <c r="J1035" i="1"/>
  <c r="G1034" i="1"/>
  <c r="E1033" i="1"/>
  <c r="C1032" i="1"/>
  <c r="K1030" i="1"/>
  <c r="H1029" i="1"/>
  <c r="F1028" i="1"/>
  <c r="G1027" i="1"/>
  <c r="G1026" i="1"/>
  <c r="H1025" i="1"/>
  <c r="I1024" i="1"/>
  <c r="J1023" i="1"/>
  <c r="E1022" i="1"/>
  <c r="I1021" i="1"/>
  <c r="C1020" i="1"/>
  <c r="G1019" i="1"/>
  <c r="K1018" i="1"/>
  <c r="B1018" i="1"/>
  <c r="E1017" i="1"/>
  <c r="I1016" i="1"/>
  <c r="D1015" i="1"/>
  <c r="G1014" i="1"/>
  <c r="K1013" i="1"/>
  <c r="B1013" i="1"/>
  <c r="F1012" i="1"/>
  <c r="I1011" i="1"/>
  <c r="D1010" i="1"/>
  <c r="F1111" i="1"/>
  <c r="H1074" i="1"/>
  <c r="D1072" i="1"/>
  <c r="E1070" i="1"/>
  <c r="F1067" i="1"/>
  <c r="H1064" i="1"/>
  <c r="G1061" i="1"/>
  <c r="C1060" i="1"/>
  <c r="B1053" i="1"/>
  <c r="D1052" i="1"/>
  <c r="D1051" i="1"/>
  <c r="G1050" i="1"/>
  <c r="H1049" i="1"/>
  <c r="E1046" i="1"/>
  <c r="J1045" i="1"/>
  <c r="B1043" i="1"/>
  <c r="J1042" i="1"/>
  <c r="C1041" i="1"/>
  <c r="J1040" i="1"/>
  <c r="E1039" i="1"/>
  <c r="B1038" i="1"/>
  <c r="I1036" i="1"/>
  <c r="G1035" i="1"/>
  <c r="E1034" i="1"/>
  <c r="B1033" i="1"/>
  <c r="I1031" i="1"/>
  <c r="G1030" i="1"/>
  <c r="E1029" i="1"/>
  <c r="C1028" i="1"/>
  <c r="D1027" i="1"/>
  <c r="E1026" i="1"/>
  <c r="E1025" i="1"/>
  <c r="F1024" i="1"/>
  <c r="H1023" i="1"/>
  <c r="C1022" i="1"/>
  <c r="K1117" i="1"/>
  <c r="E1111" i="1"/>
  <c r="K1098" i="1"/>
  <c r="K1095" i="1"/>
  <c r="G1074" i="1"/>
  <c r="K1071" i="1"/>
  <c r="K1068" i="1"/>
  <c r="B1067" i="1"/>
  <c r="C1061" i="1"/>
  <c r="B1051" i="1"/>
  <c r="D1050" i="1"/>
  <c r="F1049" i="1"/>
  <c r="I1048" i="1"/>
  <c r="D1046" i="1"/>
  <c r="I1045" i="1"/>
  <c r="H1042" i="1"/>
  <c r="H1040" i="1"/>
  <c r="B1039" i="1"/>
  <c r="J1037" i="1"/>
  <c r="H1036" i="1"/>
  <c r="E1035" i="1"/>
  <c r="C1034" i="1"/>
  <c r="J1032" i="1"/>
  <c r="H1031" i="1"/>
  <c r="E1030" i="1"/>
  <c r="C1029" i="1"/>
  <c r="B1028" i="1"/>
  <c r="B1027" i="1"/>
  <c r="C1026" i="1"/>
  <c r="D1025" i="1"/>
  <c r="D1024" i="1"/>
  <c r="G1023" i="1"/>
  <c r="K1022" i="1"/>
  <c r="B1022" i="1"/>
  <c r="E1021" i="1"/>
  <c r="I1020" i="1"/>
  <c r="D1019" i="1"/>
  <c r="G1018" i="1"/>
  <c r="H1139" i="1"/>
  <c r="I1124" i="1"/>
  <c r="K1115" i="1"/>
  <c r="H1105" i="1"/>
  <c r="E1080" i="1"/>
  <c r="I1071" i="1"/>
  <c r="D1068" i="1"/>
  <c r="F1065" i="1"/>
  <c r="I1056" i="1"/>
  <c r="B1049" i="1"/>
  <c r="G1048" i="1"/>
  <c r="J1047" i="1"/>
  <c r="E1045" i="1"/>
  <c r="I1044" i="1"/>
  <c r="D1042" i="1"/>
  <c r="C1040" i="1"/>
  <c r="J1038" i="1"/>
  <c r="F1037" i="1"/>
  <c r="D1036" i="1"/>
  <c r="B1035" i="1"/>
  <c r="J1033" i="1"/>
  <c r="G1032" i="1"/>
  <c r="E1031" i="1"/>
  <c r="C1030" i="1"/>
  <c r="J1028" i="1"/>
  <c r="J1027" i="1"/>
  <c r="K1026" i="1"/>
  <c r="B1024" i="1"/>
  <c r="E1023" i="1"/>
  <c r="H1022" i="1"/>
  <c r="E1122" i="1"/>
  <c r="G1104" i="1"/>
  <c r="D1100" i="1"/>
  <c r="B1094" i="1"/>
  <c r="D1091" i="1"/>
  <c r="F1088" i="1"/>
  <c r="G1085" i="1"/>
  <c r="I1082" i="1"/>
  <c r="D1080" i="1"/>
  <c r="J1069" i="1"/>
  <c r="K1063" i="1"/>
  <c r="I1058" i="1"/>
  <c r="J1057" i="1"/>
  <c r="H1056" i="1"/>
  <c r="J1055" i="1"/>
  <c r="K1054" i="1"/>
  <c r="J1053" i="1"/>
  <c r="D1048" i="1"/>
  <c r="I1047" i="1"/>
  <c r="G1044" i="1"/>
  <c r="C1042" i="1"/>
  <c r="I1041" i="1"/>
  <c r="B1040" i="1"/>
  <c r="J1039" i="1"/>
  <c r="H1038" i="1"/>
  <c r="E1037" i="1"/>
  <c r="C1036" i="1"/>
  <c r="K1034" i="1"/>
  <c r="I1033" i="1"/>
  <c r="F1032" i="1"/>
  <c r="D1031" i="1"/>
  <c r="B1030" i="1"/>
  <c r="K1029" i="1"/>
  <c r="I1028" i="1"/>
  <c r="I1027" i="1"/>
  <c r="J1026" i="1"/>
  <c r="K1025" i="1"/>
  <c r="K1024" i="1"/>
  <c r="D1023" i="1"/>
  <c r="G1022" i="1"/>
  <c r="K1021" i="1"/>
  <c r="H1090" i="1"/>
  <c r="J1079" i="1"/>
  <c r="G1070" i="1"/>
  <c r="I1064" i="1"/>
  <c r="B1059" i="1"/>
  <c r="B1055" i="1"/>
  <c r="I1051" i="1"/>
  <c r="F1039" i="1"/>
  <c r="H1030" i="1"/>
  <c r="D1028" i="1"/>
  <c r="F1026" i="1"/>
  <c r="G1024" i="1"/>
  <c r="F1021" i="1"/>
  <c r="F1019" i="1"/>
  <c r="I1017" i="1"/>
  <c r="F1016" i="1"/>
  <c r="G1015" i="1"/>
  <c r="H1014" i="1"/>
  <c r="I1013" i="1"/>
  <c r="J1012" i="1"/>
  <c r="B1010" i="1"/>
  <c r="E1009" i="1"/>
  <c r="I1008" i="1"/>
  <c r="D1007" i="1"/>
  <c r="H1006" i="1"/>
  <c r="F1005" i="1"/>
  <c r="D1004" i="1"/>
  <c r="J1003" i="1"/>
  <c r="B1003" i="1"/>
  <c r="H1002" i="1"/>
  <c r="F1001" i="1"/>
  <c r="D1000" i="1"/>
  <c r="J999" i="1"/>
  <c r="K1044" i="1"/>
  <c r="I1032" i="1"/>
  <c r="D1030" i="1"/>
  <c r="B1026" i="1"/>
  <c r="C1024" i="1"/>
  <c r="J1022" i="1"/>
  <c r="D1021" i="1"/>
  <c r="K1020" i="1"/>
  <c r="E1019" i="1"/>
  <c r="H1017" i="1"/>
  <c r="D1016" i="1"/>
  <c r="F1015" i="1"/>
  <c r="F1014" i="1"/>
  <c r="H1013" i="1"/>
  <c r="I1012" i="1"/>
  <c r="J1011" i="1"/>
  <c r="K1010" i="1"/>
  <c r="D1009" i="1"/>
  <c r="H1008" i="1"/>
  <c r="B1007" i="1"/>
  <c r="G1006" i="1"/>
  <c r="E1005" i="1"/>
  <c r="K1004" i="1"/>
  <c r="C1004" i="1"/>
  <c r="I1003" i="1"/>
  <c r="G1002" i="1"/>
  <c r="E1001" i="1"/>
  <c r="K1000" i="1"/>
  <c r="C1000" i="1"/>
  <c r="I999" i="1"/>
  <c r="G998" i="1"/>
  <c r="E997" i="1"/>
  <c r="K996" i="1"/>
  <c r="C996" i="1"/>
  <c r="I995" i="1"/>
  <c r="G994" i="1"/>
  <c r="E993" i="1"/>
  <c r="K992" i="1"/>
  <c r="C992" i="1"/>
  <c r="I991" i="1"/>
  <c r="G990" i="1"/>
  <c r="E989" i="1"/>
  <c r="K988" i="1"/>
  <c r="C988" i="1"/>
  <c r="I987" i="1"/>
  <c r="G986" i="1"/>
  <c r="E985" i="1"/>
  <c r="K984" i="1"/>
  <c r="C984" i="1"/>
  <c r="I983" i="1"/>
  <c r="G982" i="1"/>
  <c r="E981" i="1"/>
  <c r="K980" i="1"/>
  <c r="C980" i="1"/>
  <c r="I979" i="1"/>
  <c r="G978" i="1"/>
  <c r="E977" i="1"/>
  <c r="K976" i="1"/>
  <c r="C976" i="1"/>
  <c r="I1068" i="1"/>
  <c r="I1062" i="1"/>
  <c r="K1038" i="1"/>
  <c r="G1036" i="1"/>
  <c r="B1034" i="1"/>
  <c r="B1021" i="1"/>
  <c r="H1020" i="1"/>
  <c r="H1018" i="1"/>
  <c r="C1017" i="1"/>
  <c r="B1016" i="1"/>
  <c r="B1015" i="1"/>
  <c r="D1014" i="1"/>
  <c r="E1013" i="1"/>
  <c r="G1012" i="1"/>
  <c r="G1011" i="1"/>
  <c r="H1010" i="1"/>
  <c r="K1009" i="1"/>
  <c r="B1009" i="1"/>
  <c r="F1008" i="1"/>
  <c r="I1007" i="1"/>
  <c r="E1006" i="1"/>
  <c r="K1005" i="1"/>
  <c r="C1005" i="1"/>
  <c r="I1004" i="1"/>
  <c r="G1003" i="1"/>
  <c r="E1002" i="1"/>
  <c r="K1001" i="1"/>
  <c r="C1001" i="1"/>
  <c r="I1000" i="1"/>
  <c r="G999" i="1"/>
  <c r="E998" i="1"/>
  <c r="K997" i="1"/>
  <c r="C997" i="1"/>
  <c r="I996" i="1"/>
  <c r="G995" i="1"/>
  <c r="E994" i="1"/>
  <c r="K993" i="1"/>
  <c r="C993" i="1"/>
  <c r="I992" i="1"/>
  <c r="G991" i="1"/>
  <c r="E990" i="1"/>
  <c r="K989" i="1"/>
  <c r="C989" i="1"/>
  <c r="I988" i="1"/>
  <c r="G987" i="1"/>
  <c r="G1112" i="1"/>
  <c r="D1096" i="1"/>
  <c r="K1084" i="1"/>
  <c r="I1074" i="1"/>
  <c r="I1067" i="1"/>
  <c r="E1053" i="1"/>
  <c r="I1049" i="1"/>
  <c r="H1046" i="1"/>
  <c r="F1043" i="1"/>
  <c r="K1040" i="1"/>
  <c r="C1038" i="1"/>
  <c r="J1031" i="1"/>
  <c r="F1029" i="1"/>
  <c r="E1027" i="1"/>
  <c r="F1025" i="1"/>
  <c r="I1023" i="1"/>
  <c r="G1020" i="1"/>
  <c r="F1018" i="1"/>
  <c r="B1017" i="1"/>
  <c r="C1014" i="1"/>
  <c r="D1013" i="1"/>
  <c r="D1012" i="1"/>
  <c r="F1011" i="1"/>
  <c r="G1010" i="1"/>
  <c r="J1009" i="1"/>
  <c r="D1008" i="1"/>
  <c r="H1007" i="1"/>
  <c r="D1006" i="1"/>
  <c r="J1005" i="1"/>
  <c r="B1005" i="1"/>
  <c r="H1004" i="1"/>
  <c r="F1003" i="1"/>
  <c r="D1002" i="1"/>
  <c r="J1001" i="1"/>
  <c r="B1001" i="1"/>
  <c r="H1000" i="1"/>
  <c r="F999" i="1"/>
  <c r="D998" i="1"/>
  <c r="J997" i="1"/>
  <c r="B997" i="1"/>
  <c r="H996" i="1"/>
  <c r="F995" i="1"/>
  <c r="D994" i="1"/>
  <c r="J993" i="1"/>
  <c r="B993" i="1"/>
  <c r="H992" i="1"/>
  <c r="F991" i="1"/>
  <c r="D990" i="1"/>
  <c r="J989" i="1"/>
  <c r="B989" i="1"/>
  <c r="H988" i="1"/>
  <c r="F987" i="1"/>
  <c r="D986" i="1"/>
  <c r="J985" i="1"/>
  <c r="B985" i="1"/>
  <c r="H984" i="1"/>
  <c r="F983" i="1"/>
  <c r="D982" i="1"/>
  <c r="J981" i="1"/>
  <c r="B981" i="1"/>
  <c r="H980" i="1"/>
  <c r="F979" i="1"/>
  <c r="D978" i="1"/>
  <c r="J977" i="1"/>
  <c r="B977" i="1"/>
  <c r="H976" i="1"/>
  <c r="C1152" i="1"/>
  <c r="F1093" i="1"/>
  <c r="E1072" i="1"/>
  <c r="H1060" i="1"/>
  <c r="F1052" i="1"/>
  <c r="K1045" i="1"/>
  <c r="H1035" i="1"/>
  <c r="C1033" i="1"/>
  <c r="B1020" i="1"/>
  <c r="J1019" i="1"/>
  <c r="D1018" i="1"/>
  <c r="K1017" i="1"/>
  <c r="H1016" i="1"/>
  <c r="I1015" i="1"/>
  <c r="K1014" i="1"/>
  <c r="B1012" i="1"/>
  <c r="D1011" i="1"/>
  <c r="E1010" i="1"/>
  <c r="H1009" i="1"/>
  <c r="K1008" i="1"/>
  <c r="B1008" i="1"/>
  <c r="F1007" i="1"/>
  <c r="J1006" i="1"/>
  <c r="B1006" i="1"/>
  <c r="H1005" i="1"/>
  <c r="F1004" i="1"/>
  <c r="D1003" i="1"/>
  <c r="J1002" i="1"/>
  <c r="B1002" i="1"/>
  <c r="H1001" i="1"/>
  <c r="F1000" i="1"/>
  <c r="D999" i="1"/>
  <c r="J998" i="1"/>
  <c r="B998" i="1"/>
  <c r="H997" i="1"/>
  <c r="F996" i="1"/>
  <c r="D995" i="1"/>
  <c r="J994" i="1"/>
  <c r="B994" i="1"/>
  <c r="J1105" i="1"/>
  <c r="J1071" i="1"/>
  <c r="G1065" i="1"/>
  <c r="H1048" i="1"/>
  <c r="F1045" i="1"/>
  <c r="E1042" i="1"/>
  <c r="I1037" i="1"/>
  <c r="D1035" i="1"/>
  <c r="K1028" i="1"/>
  <c r="H1021" i="1"/>
  <c r="I1019" i="1"/>
  <c r="J1017" i="1"/>
  <c r="G1016" i="1"/>
  <c r="H1015" i="1"/>
  <c r="J1014" i="1"/>
  <c r="J1013" i="1"/>
  <c r="K1012" i="1"/>
  <c r="B1011" i="1"/>
  <c r="C1010" i="1"/>
  <c r="F1009" i="1"/>
  <c r="J1008" i="1"/>
  <c r="E1007" i="1"/>
  <c r="I1006" i="1"/>
  <c r="G1005" i="1"/>
  <c r="E1004" i="1"/>
  <c r="K1003" i="1"/>
  <c r="C1003" i="1"/>
  <c r="I1002" i="1"/>
  <c r="G1001" i="1"/>
  <c r="E1000" i="1"/>
  <c r="K999" i="1"/>
  <c r="C999" i="1"/>
  <c r="I998" i="1"/>
  <c r="G997" i="1"/>
  <c r="E996" i="1"/>
  <c r="K995" i="1"/>
  <c r="C995" i="1"/>
  <c r="I994" i="1"/>
  <c r="F1099" i="1"/>
  <c r="D1047" i="1"/>
  <c r="J1036" i="1"/>
  <c r="C1021" i="1"/>
  <c r="J1018" i="1"/>
  <c r="C1016" i="1"/>
  <c r="E1014" i="1"/>
  <c r="H1012" i="1"/>
  <c r="J1010" i="1"/>
  <c r="B1004" i="1"/>
  <c r="D1001" i="1"/>
  <c r="F993" i="1"/>
  <c r="B992" i="1"/>
  <c r="K991" i="1"/>
  <c r="H990" i="1"/>
  <c r="D989" i="1"/>
  <c r="J987" i="1"/>
  <c r="H986" i="1"/>
  <c r="H985" i="1"/>
  <c r="I984" i="1"/>
  <c r="J983" i="1"/>
  <c r="J982" i="1"/>
  <c r="K981" i="1"/>
  <c r="B979" i="1"/>
  <c r="B978" i="1"/>
  <c r="C977" i="1"/>
  <c r="D976" i="1"/>
  <c r="F975" i="1"/>
  <c r="D974" i="1"/>
  <c r="J973" i="1"/>
  <c r="B973" i="1"/>
  <c r="H972" i="1"/>
  <c r="F971" i="1"/>
  <c r="D970" i="1"/>
  <c r="J969" i="1"/>
  <c r="B969" i="1"/>
  <c r="H968" i="1"/>
  <c r="F967" i="1"/>
  <c r="D966" i="1"/>
  <c r="J965" i="1"/>
  <c r="B965" i="1"/>
  <c r="H964" i="1"/>
  <c r="F963" i="1"/>
  <c r="D962" i="1"/>
  <c r="J961" i="1"/>
  <c r="B961" i="1"/>
  <c r="H960" i="1"/>
  <c r="F959" i="1"/>
  <c r="K958" i="1"/>
  <c r="C958" i="1"/>
  <c r="I957" i="1"/>
  <c r="G956" i="1"/>
  <c r="E955" i="1"/>
  <c r="J954" i="1"/>
  <c r="B954" i="1"/>
  <c r="H953" i="1"/>
  <c r="F952" i="1"/>
  <c r="D951" i="1"/>
  <c r="J950" i="1"/>
  <c r="B950" i="1"/>
  <c r="H949" i="1"/>
  <c r="F948" i="1"/>
  <c r="D947" i="1"/>
  <c r="J946" i="1"/>
  <c r="B946" i="1"/>
  <c r="H945" i="1"/>
  <c r="F944" i="1"/>
  <c r="D943" i="1"/>
  <c r="J942" i="1"/>
  <c r="B942" i="1"/>
  <c r="H941" i="1"/>
  <c r="F940" i="1"/>
  <c r="D939" i="1"/>
  <c r="J938" i="1"/>
  <c r="B938" i="1"/>
  <c r="H937" i="1"/>
  <c r="B1061" i="1"/>
  <c r="E1018" i="1"/>
  <c r="B1014" i="1"/>
  <c r="C1012" i="1"/>
  <c r="F1010" i="1"/>
  <c r="I1005" i="1"/>
  <c r="K1002" i="1"/>
  <c r="K998" i="1"/>
  <c r="D993" i="1"/>
  <c r="J991" i="1"/>
  <c r="F990" i="1"/>
  <c r="H987" i="1"/>
  <c r="F986" i="1"/>
  <c r="G985" i="1"/>
  <c r="G984" i="1"/>
  <c r="H983" i="1"/>
  <c r="I982" i="1"/>
  <c r="I981" i="1"/>
  <c r="J980" i="1"/>
  <c r="K979" i="1"/>
  <c r="K978" i="1"/>
  <c r="B976" i="1"/>
  <c r="E975" i="1"/>
  <c r="K974" i="1"/>
  <c r="C974" i="1"/>
  <c r="I973" i="1"/>
  <c r="G972" i="1"/>
  <c r="E971" i="1"/>
  <c r="K970" i="1"/>
  <c r="C970" i="1"/>
  <c r="I969" i="1"/>
  <c r="G968" i="1"/>
  <c r="E967" i="1"/>
  <c r="K966" i="1"/>
  <c r="C966" i="1"/>
  <c r="I965" i="1"/>
  <c r="G964" i="1"/>
  <c r="E963" i="1"/>
  <c r="K962" i="1"/>
  <c r="C962" i="1"/>
  <c r="I961" i="1"/>
  <c r="G960" i="1"/>
  <c r="E959" i="1"/>
  <c r="J958" i="1"/>
  <c r="B958" i="1"/>
  <c r="H957" i="1"/>
  <c r="F956" i="1"/>
  <c r="D955" i="1"/>
  <c r="I954" i="1"/>
  <c r="G953" i="1"/>
  <c r="E952" i="1"/>
  <c r="K951" i="1"/>
  <c r="C951" i="1"/>
  <c r="I950" i="1"/>
  <c r="G949" i="1"/>
  <c r="E948" i="1"/>
  <c r="K947" i="1"/>
  <c r="C947" i="1"/>
  <c r="I946" i="1"/>
  <c r="G945" i="1"/>
  <c r="E944" i="1"/>
  <c r="K943" i="1"/>
  <c r="C943" i="1"/>
  <c r="I942" i="1"/>
  <c r="G941" i="1"/>
  <c r="E940" i="1"/>
  <c r="K939" i="1"/>
  <c r="C939" i="1"/>
  <c r="I938" i="1"/>
  <c r="G937" i="1"/>
  <c r="E936" i="1"/>
  <c r="K935" i="1"/>
  <c r="C935" i="1"/>
  <c r="I1087" i="1"/>
  <c r="F1034" i="1"/>
  <c r="J1020" i="1"/>
  <c r="G1008" i="1"/>
  <c r="D1005" i="1"/>
  <c r="F1002" i="1"/>
  <c r="H999" i="1"/>
  <c r="H998" i="1"/>
  <c r="I997" i="1"/>
  <c r="J996" i="1"/>
  <c r="J995" i="1"/>
  <c r="K994" i="1"/>
  <c r="H991" i="1"/>
  <c r="C990" i="1"/>
  <c r="J988" i="1"/>
  <c r="C1083" i="1"/>
  <c r="K1033" i="1"/>
  <c r="C1025" i="1"/>
  <c r="F1020" i="1"/>
  <c r="J1015" i="1"/>
  <c r="C1008" i="1"/>
  <c r="K1006" i="1"/>
  <c r="C1002" i="1"/>
  <c r="E999" i="1"/>
  <c r="F998" i="1"/>
  <c r="F997" i="1"/>
  <c r="G996" i="1"/>
  <c r="H995" i="1"/>
  <c r="H994" i="1"/>
  <c r="J992" i="1"/>
  <c r="E991" i="1"/>
  <c r="B990" i="1"/>
  <c r="G988" i="1"/>
  <c r="D987" i="1"/>
  <c r="C986" i="1"/>
  <c r="D985" i="1"/>
  <c r="E1077" i="1"/>
  <c r="B1054" i="1"/>
  <c r="D1041" i="1"/>
  <c r="D1017" i="1"/>
  <c r="E1015" i="1"/>
  <c r="F1013" i="1"/>
  <c r="H1011" i="1"/>
  <c r="F1006" i="1"/>
  <c r="H1003" i="1"/>
  <c r="J1000" i="1"/>
  <c r="B999" i="1"/>
  <c r="C998" i="1"/>
  <c r="D997" i="1"/>
  <c r="D996" i="1"/>
  <c r="E995" i="1"/>
  <c r="F994" i="1"/>
  <c r="G992" i="1"/>
  <c r="D991" i="1"/>
  <c r="I989" i="1"/>
  <c r="F988" i="1"/>
  <c r="C987" i="1"/>
  <c r="B986" i="1"/>
  <c r="C985" i="1"/>
  <c r="D984" i="1"/>
  <c r="D983" i="1"/>
  <c r="E982" i="1"/>
  <c r="F981" i="1"/>
  <c r="F980" i="1"/>
  <c r="G979" i="1"/>
  <c r="H978" i="1"/>
  <c r="H977" i="1"/>
  <c r="I976" i="1"/>
  <c r="J975" i="1"/>
  <c r="B975" i="1"/>
  <c r="H974" i="1"/>
  <c r="F973" i="1"/>
  <c r="D972" i="1"/>
  <c r="J971" i="1"/>
  <c r="B971" i="1"/>
  <c r="H970" i="1"/>
  <c r="F969" i="1"/>
  <c r="D968" i="1"/>
  <c r="J967" i="1"/>
  <c r="B967" i="1"/>
  <c r="H966" i="1"/>
  <c r="F965" i="1"/>
  <c r="D964" i="1"/>
  <c r="J963" i="1"/>
  <c r="B963" i="1"/>
  <c r="H962" i="1"/>
  <c r="F961" i="1"/>
  <c r="D960" i="1"/>
  <c r="J959" i="1"/>
  <c r="B959" i="1"/>
  <c r="G958" i="1"/>
  <c r="E957" i="1"/>
  <c r="K956" i="1"/>
  <c r="C956" i="1"/>
  <c r="I955" i="1"/>
  <c r="F954" i="1"/>
  <c r="D953" i="1"/>
  <c r="J952" i="1"/>
  <c r="B952" i="1"/>
  <c r="H951" i="1"/>
  <c r="F950" i="1"/>
  <c r="D949" i="1"/>
  <c r="J948" i="1"/>
  <c r="B948" i="1"/>
  <c r="H947" i="1"/>
  <c r="F946" i="1"/>
  <c r="D945" i="1"/>
  <c r="J944" i="1"/>
  <c r="B944" i="1"/>
  <c r="H943" i="1"/>
  <c r="F942" i="1"/>
  <c r="D941" i="1"/>
  <c r="J940" i="1"/>
  <c r="B940" i="1"/>
  <c r="H939" i="1"/>
  <c r="F938" i="1"/>
  <c r="D937" i="1"/>
  <c r="J936" i="1"/>
  <c r="B936" i="1"/>
  <c r="H935" i="1"/>
  <c r="J1050" i="1"/>
  <c r="D1022" i="1"/>
  <c r="B1019" i="1"/>
  <c r="C1009" i="1"/>
  <c r="J1007" i="1"/>
  <c r="J1004" i="1"/>
  <c r="B1000" i="1"/>
  <c r="H993" i="1"/>
  <c r="E992" i="1"/>
  <c r="B991" i="1"/>
  <c r="J990" i="1"/>
  <c r="G989" i="1"/>
  <c r="D988" i="1"/>
  <c r="J986" i="1"/>
  <c r="K985" i="1"/>
  <c r="B983" i="1"/>
  <c r="B982" i="1"/>
  <c r="C981" i="1"/>
  <c r="D980" i="1"/>
  <c r="D979" i="1"/>
  <c r="E978" i="1"/>
  <c r="F977" i="1"/>
  <c r="F976" i="1"/>
  <c r="H975" i="1"/>
  <c r="F974" i="1"/>
  <c r="D973" i="1"/>
  <c r="J972" i="1"/>
  <c r="B972" i="1"/>
  <c r="H971" i="1"/>
  <c r="F970" i="1"/>
  <c r="D969" i="1"/>
  <c r="J968" i="1"/>
  <c r="B968" i="1"/>
  <c r="H967" i="1"/>
  <c r="F966" i="1"/>
  <c r="D965" i="1"/>
  <c r="J964" i="1"/>
  <c r="B964" i="1"/>
  <c r="H963" i="1"/>
  <c r="F962" i="1"/>
  <c r="D961" i="1"/>
  <c r="J960" i="1"/>
  <c r="B960" i="1"/>
  <c r="H959" i="1"/>
  <c r="E958" i="1"/>
  <c r="K957" i="1"/>
  <c r="C957" i="1"/>
  <c r="I956" i="1"/>
  <c r="G955" i="1"/>
  <c r="D954" i="1"/>
  <c r="J953" i="1"/>
  <c r="B953" i="1"/>
  <c r="H952" i="1"/>
  <c r="F951" i="1"/>
  <c r="D950" i="1"/>
  <c r="J949" i="1"/>
  <c r="B949" i="1"/>
  <c r="H948" i="1"/>
  <c r="F947" i="1"/>
  <c r="D946" i="1"/>
  <c r="J945" i="1"/>
  <c r="B945" i="1"/>
  <c r="H944" i="1"/>
  <c r="F943" i="1"/>
  <c r="D942" i="1"/>
  <c r="J941" i="1"/>
  <c r="B941" i="1"/>
  <c r="H940" i="1"/>
  <c r="F939" i="1"/>
  <c r="D938" i="1"/>
  <c r="J937" i="1"/>
  <c r="B937" i="1"/>
  <c r="I990" i="1"/>
  <c r="B988" i="1"/>
  <c r="K986" i="1"/>
  <c r="F985" i="1"/>
  <c r="E984" i="1"/>
  <c r="E983" i="1"/>
  <c r="F982" i="1"/>
  <c r="G981" i="1"/>
  <c r="G980" i="1"/>
  <c r="H979" i="1"/>
  <c r="I978" i="1"/>
  <c r="I977" i="1"/>
  <c r="J976" i="1"/>
  <c r="K975" i="1"/>
  <c r="G973" i="1"/>
  <c r="C971" i="1"/>
  <c r="I970" i="1"/>
  <c r="E968" i="1"/>
  <c r="K967" i="1"/>
  <c r="G965" i="1"/>
  <c r="C963" i="1"/>
  <c r="I962" i="1"/>
  <c r="E960" i="1"/>
  <c r="K959" i="1"/>
  <c r="F957" i="1"/>
  <c r="B955" i="1"/>
  <c r="G954" i="1"/>
  <c r="C952" i="1"/>
  <c r="I951" i="1"/>
  <c r="E949" i="1"/>
  <c r="K948" i="1"/>
  <c r="G946" i="1"/>
  <c r="C944" i="1"/>
  <c r="I943" i="1"/>
  <c r="E941" i="1"/>
  <c r="K940" i="1"/>
  <c r="G938" i="1"/>
  <c r="F936" i="1"/>
  <c r="F935" i="1"/>
  <c r="J934" i="1"/>
  <c r="B934" i="1"/>
  <c r="H933" i="1"/>
  <c r="F932" i="1"/>
  <c r="D931" i="1"/>
  <c r="J930" i="1"/>
  <c r="B930" i="1"/>
  <c r="H929" i="1"/>
  <c r="F928" i="1"/>
  <c r="D927" i="1"/>
  <c r="J926" i="1"/>
  <c r="B926" i="1"/>
  <c r="H925" i="1"/>
  <c r="F924" i="1"/>
  <c r="D923" i="1"/>
  <c r="J922" i="1"/>
  <c r="B922" i="1"/>
  <c r="H921" i="1"/>
  <c r="F920" i="1"/>
  <c r="D919" i="1"/>
  <c r="J918" i="1"/>
  <c r="B918" i="1"/>
  <c r="E1011" i="1"/>
  <c r="B995" i="1"/>
  <c r="F992" i="1"/>
  <c r="I986" i="1"/>
  <c r="B984" i="1"/>
  <c r="C983" i="1"/>
  <c r="C982" i="1"/>
  <c r="D981" i="1"/>
  <c r="E980" i="1"/>
  <c r="E979" i="1"/>
  <c r="F978" i="1"/>
  <c r="G977" i="1"/>
  <c r="G976" i="1"/>
  <c r="I975" i="1"/>
  <c r="E973" i="1"/>
  <c r="K972" i="1"/>
  <c r="G970" i="1"/>
  <c r="C968" i="1"/>
  <c r="I967" i="1"/>
  <c r="E965" i="1"/>
  <c r="K964" i="1"/>
  <c r="G962" i="1"/>
  <c r="C960" i="1"/>
  <c r="I959" i="1"/>
  <c r="D957" i="1"/>
  <c r="J956" i="1"/>
  <c r="E954" i="1"/>
  <c r="K953" i="1"/>
  <c r="G951" i="1"/>
  <c r="C949" i="1"/>
  <c r="I948" i="1"/>
  <c r="E946" i="1"/>
  <c r="K945" i="1"/>
  <c r="G943" i="1"/>
  <c r="C941" i="1"/>
  <c r="I940" i="1"/>
  <c r="E938" i="1"/>
  <c r="K937" i="1"/>
  <c r="D936" i="1"/>
  <c r="E935" i="1"/>
  <c r="I934" i="1"/>
  <c r="G933" i="1"/>
  <c r="E932" i="1"/>
  <c r="K931" i="1"/>
  <c r="C1049" i="1"/>
  <c r="G1004" i="1"/>
  <c r="D992" i="1"/>
  <c r="E986" i="1"/>
  <c r="B980" i="1"/>
  <c r="C979" i="1"/>
  <c r="C978" i="1"/>
  <c r="D977" i="1"/>
  <c r="E976" i="1"/>
  <c r="G975" i="1"/>
  <c r="C973" i="1"/>
  <c r="I972" i="1"/>
  <c r="E970" i="1"/>
  <c r="K969" i="1"/>
  <c r="G967" i="1"/>
  <c r="C965" i="1"/>
  <c r="I964" i="1"/>
  <c r="E962" i="1"/>
  <c r="K961" i="1"/>
  <c r="G959" i="1"/>
  <c r="B957" i="1"/>
  <c r="H956" i="1"/>
  <c r="C954" i="1"/>
  <c r="I953" i="1"/>
  <c r="E951" i="1"/>
  <c r="K950" i="1"/>
  <c r="G948" i="1"/>
  <c r="C946" i="1"/>
  <c r="I945" i="1"/>
  <c r="E943" i="1"/>
  <c r="K942" i="1"/>
  <c r="G940" i="1"/>
  <c r="C938" i="1"/>
  <c r="I937" i="1"/>
  <c r="C936" i="1"/>
  <c r="D935" i="1"/>
  <c r="H934" i="1"/>
  <c r="F933" i="1"/>
  <c r="D932" i="1"/>
  <c r="G1040" i="1"/>
  <c r="I1009" i="1"/>
  <c r="E1003" i="1"/>
  <c r="C994" i="1"/>
  <c r="H989" i="1"/>
  <c r="K987" i="1"/>
  <c r="D975" i="1"/>
  <c r="J974" i="1"/>
  <c r="F972" i="1"/>
  <c r="B970" i="1"/>
  <c r="H969" i="1"/>
  <c r="D967" i="1"/>
  <c r="J966" i="1"/>
  <c r="F964" i="1"/>
  <c r="B962" i="1"/>
  <c r="H961" i="1"/>
  <c r="D959" i="1"/>
  <c r="I958" i="1"/>
  <c r="E956" i="1"/>
  <c r="K955" i="1"/>
  <c r="F953" i="1"/>
  <c r="B951" i="1"/>
  <c r="H950" i="1"/>
  <c r="D948" i="1"/>
  <c r="J947" i="1"/>
  <c r="K1016" i="1"/>
  <c r="F989" i="1"/>
  <c r="E987" i="1"/>
  <c r="C975" i="1"/>
  <c r="I974" i="1"/>
  <c r="E972" i="1"/>
  <c r="K971" i="1"/>
  <c r="G969" i="1"/>
  <c r="C967" i="1"/>
  <c r="I966" i="1"/>
  <c r="E964" i="1"/>
  <c r="K963" i="1"/>
  <c r="G961" i="1"/>
  <c r="C959" i="1"/>
  <c r="H958" i="1"/>
  <c r="D956" i="1"/>
  <c r="J955" i="1"/>
  <c r="E953" i="1"/>
  <c r="K952" i="1"/>
  <c r="G950" i="1"/>
  <c r="C948" i="1"/>
  <c r="I947" i="1"/>
  <c r="E945" i="1"/>
  <c r="K944" i="1"/>
  <c r="G942" i="1"/>
  <c r="C940" i="1"/>
  <c r="I939" i="1"/>
  <c r="E937" i="1"/>
  <c r="K936" i="1"/>
  <c r="F934" i="1"/>
  <c r="D933" i="1"/>
  <c r="J932" i="1"/>
  <c r="B932" i="1"/>
  <c r="C1110" i="1"/>
  <c r="B1029" i="1"/>
  <c r="G1007" i="1"/>
  <c r="I1001" i="1"/>
  <c r="G993" i="1"/>
  <c r="J984" i="1"/>
  <c r="K983" i="1"/>
  <c r="K982" i="1"/>
  <c r="E974" i="1"/>
  <c r="K973" i="1"/>
  <c r="G971" i="1"/>
  <c r="C969" i="1"/>
  <c r="I968" i="1"/>
  <c r="E966" i="1"/>
  <c r="K965" i="1"/>
  <c r="G963" i="1"/>
  <c r="C961" i="1"/>
  <c r="I960" i="1"/>
  <c r="D958" i="1"/>
  <c r="J957" i="1"/>
  <c r="F955" i="1"/>
  <c r="K954" i="1"/>
  <c r="G952" i="1"/>
  <c r="C950" i="1"/>
  <c r="I949" i="1"/>
  <c r="E947" i="1"/>
  <c r="K946" i="1"/>
  <c r="G944" i="1"/>
  <c r="C942" i="1"/>
  <c r="I941" i="1"/>
  <c r="E939" i="1"/>
  <c r="K938" i="1"/>
  <c r="H936" i="1"/>
  <c r="I935" i="1"/>
  <c r="D934" i="1"/>
  <c r="J933" i="1"/>
  <c r="B933" i="1"/>
  <c r="H932" i="1"/>
  <c r="F1023" i="1"/>
  <c r="B996" i="1"/>
  <c r="H982" i="1"/>
  <c r="J978" i="1"/>
  <c r="B966" i="1"/>
  <c r="D963" i="1"/>
  <c r="F960" i="1"/>
  <c r="G957" i="1"/>
  <c r="H954" i="1"/>
  <c r="J951" i="1"/>
  <c r="D944" i="1"/>
  <c r="E942" i="1"/>
  <c r="D940" i="1"/>
  <c r="H938" i="1"/>
  <c r="I936" i="1"/>
  <c r="B935" i="1"/>
  <c r="C934" i="1"/>
  <c r="C933" i="1"/>
  <c r="C932" i="1"/>
  <c r="J931" i="1"/>
  <c r="E930" i="1"/>
  <c r="I929" i="1"/>
  <c r="C928" i="1"/>
  <c r="G927" i="1"/>
  <c r="K926" i="1"/>
  <c r="E925" i="1"/>
  <c r="I924" i="1"/>
  <c r="C923" i="1"/>
  <c r="G922" i="1"/>
  <c r="K921" i="1"/>
  <c r="B921" i="1"/>
  <c r="E920" i="1"/>
  <c r="I919" i="1"/>
  <c r="D918" i="1"/>
  <c r="H917" i="1"/>
  <c r="F916" i="1"/>
  <c r="K915" i="1"/>
  <c r="C915" i="1"/>
  <c r="I914" i="1"/>
  <c r="G913" i="1"/>
  <c r="E912" i="1"/>
  <c r="K911" i="1"/>
  <c r="C911" i="1"/>
  <c r="I910" i="1"/>
  <c r="G909" i="1"/>
  <c r="E908" i="1"/>
  <c r="K907" i="1"/>
  <c r="C907" i="1"/>
  <c r="I906" i="1"/>
  <c r="G905" i="1"/>
  <c r="E904" i="1"/>
  <c r="K903" i="1"/>
  <c r="C903" i="1"/>
  <c r="I902" i="1"/>
  <c r="G901" i="1"/>
  <c r="E900" i="1"/>
  <c r="K899" i="1"/>
  <c r="C899" i="1"/>
  <c r="I898" i="1"/>
  <c r="G897" i="1"/>
  <c r="E896" i="1"/>
  <c r="K895" i="1"/>
  <c r="C895" i="1"/>
  <c r="I894" i="1"/>
  <c r="G893" i="1"/>
  <c r="E892" i="1"/>
  <c r="K891" i="1"/>
  <c r="C891" i="1"/>
  <c r="I890" i="1"/>
  <c r="G889" i="1"/>
  <c r="E888" i="1"/>
  <c r="K887" i="1"/>
  <c r="C887" i="1"/>
  <c r="I886" i="1"/>
  <c r="G885" i="1"/>
  <c r="E884" i="1"/>
  <c r="K883" i="1"/>
  <c r="C883" i="1"/>
  <c r="I882" i="1"/>
  <c r="F881" i="1"/>
  <c r="D880" i="1"/>
  <c r="J879" i="1"/>
  <c r="B879" i="1"/>
  <c r="H878" i="1"/>
  <c r="F877" i="1"/>
  <c r="D876" i="1"/>
  <c r="J875" i="1"/>
  <c r="B875" i="1"/>
  <c r="H874" i="1"/>
  <c r="I993" i="1"/>
  <c r="G974" i="1"/>
  <c r="I971" i="1"/>
  <c r="K968" i="1"/>
  <c r="G936" i="1"/>
  <c r="I931" i="1"/>
  <c r="D930" i="1"/>
  <c r="G929" i="1"/>
  <c r="K928" i="1"/>
  <c r="B928" i="1"/>
  <c r="F927" i="1"/>
  <c r="I926" i="1"/>
  <c r="D925" i="1"/>
  <c r="H924" i="1"/>
  <c r="K923" i="1"/>
  <c r="B923" i="1"/>
  <c r="F922" i="1"/>
  <c r="J921" i="1"/>
  <c r="D920" i="1"/>
  <c r="H919" i="1"/>
  <c r="C918" i="1"/>
  <c r="G917" i="1"/>
  <c r="E916" i="1"/>
  <c r="J915" i="1"/>
  <c r="B915" i="1"/>
  <c r="H914" i="1"/>
  <c r="F913" i="1"/>
  <c r="D912" i="1"/>
  <c r="J911" i="1"/>
  <c r="B911" i="1"/>
  <c r="H910" i="1"/>
  <c r="F909" i="1"/>
  <c r="D908" i="1"/>
  <c r="J907" i="1"/>
  <c r="B907" i="1"/>
  <c r="H906" i="1"/>
  <c r="F905" i="1"/>
  <c r="D904" i="1"/>
  <c r="J903" i="1"/>
  <c r="B903" i="1"/>
  <c r="H902" i="1"/>
  <c r="F901" i="1"/>
  <c r="D900" i="1"/>
  <c r="J899" i="1"/>
  <c r="B899" i="1"/>
  <c r="H898" i="1"/>
  <c r="F897" i="1"/>
  <c r="D896" i="1"/>
  <c r="J895" i="1"/>
  <c r="B895" i="1"/>
  <c r="H894" i="1"/>
  <c r="F893" i="1"/>
  <c r="D892" i="1"/>
  <c r="J891" i="1"/>
  <c r="B891" i="1"/>
  <c r="H890" i="1"/>
  <c r="F889" i="1"/>
  <c r="D888" i="1"/>
  <c r="J887" i="1"/>
  <c r="B887" i="1"/>
  <c r="H886" i="1"/>
  <c r="F885" i="1"/>
  <c r="D884" i="1"/>
  <c r="J883" i="1"/>
  <c r="B883" i="1"/>
  <c r="H882" i="1"/>
  <c r="E881" i="1"/>
  <c r="K880" i="1"/>
  <c r="C880" i="1"/>
  <c r="I879" i="1"/>
  <c r="G878" i="1"/>
  <c r="E877" i="1"/>
  <c r="K876" i="1"/>
  <c r="C876" i="1"/>
  <c r="I875" i="1"/>
  <c r="G874" i="1"/>
  <c r="E873" i="1"/>
  <c r="K872" i="1"/>
  <c r="C872" i="1"/>
  <c r="I871" i="1"/>
  <c r="G870" i="1"/>
  <c r="C1013" i="1"/>
  <c r="I985" i="1"/>
  <c r="H981" i="1"/>
  <c r="K977" i="1"/>
  <c r="B974" i="1"/>
  <c r="D971" i="1"/>
  <c r="F968" i="1"/>
  <c r="H965" i="1"/>
  <c r="J962" i="1"/>
  <c r="H931" i="1"/>
  <c r="C930" i="1"/>
  <c r="F929" i="1"/>
  <c r="J928" i="1"/>
  <c r="E927" i="1"/>
  <c r="H926" i="1"/>
  <c r="C925" i="1"/>
  <c r="G924" i="1"/>
  <c r="J923" i="1"/>
  <c r="E922" i="1"/>
  <c r="I921" i="1"/>
  <c r="C920" i="1"/>
  <c r="G919" i="1"/>
  <c r="K918" i="1"/>
  <c r="F917" i="1"/>
  <c r="D916" i="1"/>
  <c r="I915" i="1"/>
  <c r="G914" i="1"/>
  <c r="E913" i="1"/>
  <c r="K912" i="1"/>
  <c r="C912" i="1"/>
  <c r="I911" i="1"/>
  <c r="G910" i="1"/>
  <c r="E909" i="1"/>
  <c r="K908" i="1"/>
  <c r="C908" i="1"/>
  <c r="I907" i="1"/>
  <c r="G906" i="1"/>
  <c r="E905" i="1"/>
  <c r="K904" i="1"/>
  <c r="C904" i="1"/>
  <c r="I903" i="1"/>
  <c r="G902" i="1"/>
  <c r="E901" i="1"/>
  <c r="K900" i="1"/>
  <c r="C900" i="1"/>
  <c r="I899" i="1"/>
  <c r="G898" i="1"/>
  <c r="E897" i="1"/>
  <c r="K896" i="1"/>
  <c r="C896" i="1"/>
  <c r="I895" i="1"/>
  <c r="G894" i="1"/>
  <c r="E893" i="1"/>
  <c r="K892" i="1"/>
  <c r="C892" i="1"/>
  <c r="I891" i="1"/>
  <c r="G890" i="1"/>
  <c r="E889" i="1"/>
  <c r="K888" i="1"/>
  <c r="C888" i="1"/>
  <c r="I887" i="1"/>
  <c r="G886" i="1"/>
  <c r="E885" i="1"/>
  <c r="K884" i="1"/>
  <c r="C884" i="1"/>
  <c r="I883" i="1"/>
  <c r="G882" i="1"/>
  <c r="D881" i="1"/>
  <c r="J880" i="1"/>
  <c r="B880" i="1"/>
  <c r="H879" i="1"/>
  <c r="F878" i="1"/>
  <c r="D877" i="1"/>
  <c r="C991" i="1"/>
  <c r="B956" i="1"/>
  <c r="C953" i="1"/>
  <c r="E950" i="1"/>
  <c r="G947" i="1"/>
  <c r="F945" i="1"/>
  <c r="J943" i="1"/>
  <c r="K941" i="1"/>
  <c r="J939" i="1"/>
  <c r="G931" i="1"/>
  <c r="K930" i="1"/>
  <c r="E929" i="1"/>
  <c r="I928" i="1"/>
  <c r="C927" i="1"/>
  <c r="G926" i="1"/>
  <c r="K925" i="1"/>
  <c r="B925" i="1"/>
  <c r="E924" i="1"/>
  <c r="I923" i="1"/>
  <c r="D922" i="1"/>
  <c r="G921" i="1"/>
  <c r="K920" i="1"/>
  <c r="B920" i="1"/>
  <c r="F919" i="1"/>
  <c r="I918" i="1"/>
  <c r="E917" i="1"/>
  <c r="K916" i="1"/>
  <c r="C916" i="1"/>
  <c r="H915" i="1"/>
  <c r="F914" i="1"/>
  <c r="D913" i="1"/>
  <c r="J912" i="1"/>
  <c r="B912" i="1"/>
  <c r="H911" i="1"/>
  <c r="F910" i="1"/>
  <c r="D909" i="1"/>
  <c r="J908" i="1"/>
  <c r="B908" i="1"/>
  <c r="H907" i="1"/>
  <c r="F906" i="1"/>
  <c r="D905" i="1"/>
  <c r="J904" i="1"/>
  <c r="B904" i="1"/>
  <c r="H903" i="1"/>
  <c r="F902" i="1"/>
  <c r="D901" i="1"/>
  <c r="J900" i="1"/>
  <c r="B900" i="1"/>
  <c r="H899" i="1"/>
  <c r="F898" i="1"/>
  <c r="D897" i="1"/>
  <c r="J896" i="1"/>
  <c r="B896" i="1"/>
  <c r="H895" i="1"/>
  <c r="F894" i="1"/>
  <c r="D893" i="1"/>
  <c r="J892" i="1"/>
  <c r="B892" i="1"/>
  <c r="H891" i="1"/>
  <c r="F890" i="1"/>
  <c r="D889" i="1"/>
  <c r="J888" i="1"/>
  <c r="B888" i="1"/>
  <c r="H887" i="1"/>
  <c r="F886" i="1"/>
  <c r="D885" i="1"/>
  <c r="J884" i="1"/>
  <c r="B884" i="1"/>
  <c r="H883" i="1"/>
  <c r="F882" i="1"/>
  <c r="K881" i="1"/>
  <c r="C1006" i="1"/>
  <c r="K990" i="1"/>
  <c r="F984" i="1"/>
  <c r="I980" i="1"/>
  <c r="H973" i="1"/>
  <c r="J970" i="1"/>
  <c r="B947" i="1"/>
  <c r="C945" i="1"/>
  <c r="B943" i="1"/>
  <c r="F941" i="1"/>
  <c r="G939" i="1"/>
  <c r="F937" i="1"/>
  <c r="F931" i="1"/>
  <c r="I930" i="1"/>
  <c r="D929" i="1"/>
  <c r="H928" i="1"/>
  <c r="K927" i="1"/>
  <c r="B927" i="1"/>
  <c r="F926" i="1"/>
  <c r="J925" i="1"/>
  <c r="D924" i="1"/>
  <c r="H923" i="1"/>
  <c r="C922" i="1"/>
  <c r="F921" i="1"/>
  <c r="J920" i="1"/>
  <c r="E919" i="1"/>
  <c r="H918" i="1"/>
  <c r="D917" i="1"/>
  <c r="J916" i="1"/>
  <c r="B916" i="1"/>
  <c r="G915" i="1"/>
  <c r="E914" i="1"/>
  <c r="K913" i="1"/>
  <c r="C913" i="1"/>
  <c r="I912" i="1"/>
  <c r="G911" i="1"/>
  <c r="E910" i="1"/>
  <c r="K909" i="1"/>
  <c r="C909" i="1"/>
  <c r="I908" i="1"/>
  <c r="G907" i="1"/>
  <c r="E906" i="1"/>
  <c r="K905" i="1"/>
  <c r="C905" i="1"/>
  <c r="I904" i="1"/>
  <c r="G903" i="1"/>
  <c r="E902" i="1"/>
  <c r="K901" i="1"/>
  <c r="C901" i="1"/>
  <c r="I900" i="1"/>
  <c r="G899" i="1"/>
  <c r="E898" i="1"/>
  <c r="K897" i="1"/>
  <c r="C897" i="1"/>
  <c r="I896" i="1"/>
  <c r="G895" i="1"/>
  <c r="E894" i="1"/>
  <c r="K893" i="1"/>
  <c r="C893" i="1"/>
  <c r="I892" i="1"/>
  <c r="G891" i="1"/>
  <c r="E890" i="1"/>
  <c r="K889" i="1"/>
  <c r="C889" i="1"/>
  <c r="I888" i="1"/>
  <c r="G887" i="1"/>
  <c r="E886" i="1"/>
  <c r="K885" i="1"/>
  <c r="C885" i="1"/>
  <c r="I884" i="1"/>
  <c r="G883" i="1"/>
  <c r="E882" i="1"/>
  <c r="J881" i="1"/>
  <c r="B881" i="1"/>
  <c r="H880" i="1"/>
  <c r="F879" i="1"/>
  <c r="D878" i="1"/>
  <c r="J877" i="1"/>
  <c r="B877" i="1"/>
  <c r="H876" i="1"/>
  <c r="F875" i="1"/>
  <c r="D874" i="1"/>
  <c r="J873" i="1"/>
  <c r="B873" i="1"/>
  <c r="H872" i="1"/>
  <c r="F871" i="1"/>
  <c r="D870" i="1"/>
  <c r="G1000" i="1"/>
  <c r="E988" i="1"/>
  <c r="G983" i="1"/>
  <c r="J979" i="1"/>
  <c r="C955" i="1"/>
  <c r="D952" i="1"/>
  <c r="F949" i="1"/>
  <c r="J935" i="1"/>
  <c r="G934" i="1"/>
  <c r="I933" i="1"/>
  <c r="I932" i="1"/>
  <c r="C931" i="1"/>
  <c r="G930" i="1"/>
  <c r="K929" i="1"/>
  <c r="B929" i="1"/>
  <c r="E928" i="1"/>
  <c r="I927" i="1"/>
  <c r="D926" i="1"/>
  <c r="G925" i="1"/>
  <c r="K924" i="1"/>
  <c r="B924" i="1"/>
  <c r="F923" i="1"/>
  <c r="I922" i="1"/>
  <c r="D921" i="1"/>
  <c r="H920" i="1"/>
  <c r="K919" i="1"/>
  <c r="B919" i="1"/>
  <c r="F918" i="1"/>
  <c r="J917" i="1"/>
  <c r="B917" i="1"/>
  <c r="H916" i="1"/>
  <c r="E915" i="1"/>
  <c r="K914" i="1"/>
  <c r="C914" i="1"/>
  <c r="I913" i="1"/>
  <c r="G912" i="1"/>
  <c r="E911" i="1"/>
  <c r="K910" i="1"/>
  <c r="C910" i="1"/>
  <c r="I909" i="1"/>
  <c r="G908" i="1"/>
  <c r="E907" i="1"/>
  <c r="J893" i="1"/>
  <c r="K894" i="1"/>
  <c r="H896" i="1"/>
  <c r="I897" i="1"/>
  <c r="J898" i="1"/>
  <c r="F899" i="1"/>
  <c r="G900" i="1"/>
  <c r="H901" i="1"/>
  <c r="D902" i="1"/>
  <c r="E903" i="1"/>
  <c r="F904" i="1"/>
  <c r="B905" i="1"/>
  <c r="C906" i="1"/>
  <c r="D907" i="1"/>
  <c r="B910" i="1"/>
  <c r="J914" i="1"/>
  <c r="I917" i="1"/>
  <c r="H922" i="1"/>
  <c r="H927" i="1"/>
  <c r="E933" i="1"/>
  <c r="H946" i="1"/>
  <c r="E969" i="1"/>
  <c r="B882" i="1"/>
  <c r="J897" i="1"/>
  <c r="K898" i="1"/>
  <c r="H900" i="1"/>
  <c r="I901" i="1"/>
  <c r="J902" i="1"/>
  <c r="F903" i="1"/>
  <c r="G904" i="1"/>
  <c r="H905" i="1"/>
  <c r="D906" i="1"/>
  <c r="F907" i="1"/>
  <c r="D910" i="1"/>
  <c r="B913" i="1"/>
  <c r="K917" i="1"/>
  <c r="C919" i="1"/>
  <c r="K922" i="1"/>
  <c r="C924" i="1"/>
  <c r="J927" i="1"/>
  <c r="C929" i="1"/>
  <c r="K933" i="1"/>
  <c r="B939" i="1"/>
  <c r="F958" i="1"/>
  <c r="K870" i="1"/>
  <c r="K871" i="1"/>
  <c r="J872" i="1"/>
  <c r="I873" i="1"/>
  <c r="K874" i="1"/>
  <c r="C875" i="1"/>
  <c r="F876" i="1"/>
  <c r="K877" i="1"/>
  <c r="E878" i="1"/>
  <c r="I880" i="1"/>
  <c r="C881" i="1"/>
  <c r="C882" i="1"/>
  <c r="D883" i="1"/>
  <c r="B886" i="1"/>
  <c r="J901" i="1"/>
  <c r="K902" i="1"/>
  <c r="H904" i="1"/>
  <c r="I905" i="1"/>
  <c r="J906" i="1"/>
  <c r="J910" i="1"/>
  <c r="H913" i="1"/>
  <c r="G916" i="1"/>
  <c r="J919" i="1"/>
  <c r="C921" i="1"/>
  <c r="J924" i="1"/>
  <c r="C926" i="1"/>
  <c r="J929" i="1"/>
  <c r="B931" i="1"/>
  <c r="E934" i="1"/>
  <c r="K960" i="1"/>
  <c r="C972" i="1"/>
  <c r="B987" i="1"/>
  <c r="B909" i="1"/>
  <c r="J913" i="1"/>
  <c r="I916" i="1"/>
  <c r="E921" i="1"/>
  <c r="E926" i="1"/>
  <c r="E931" i="1"/>
  <c r="K934" i="1"/>
  <c r="K949" i="1"/>
  <c r="E961" i="1"/>
  <c r="C870" i="1"/>
  <c r="C871" i="1"/>
  <c r="B872" i="1"/>
  <c r="B874" i="1"/>
  <c r="E875" i="1"/>
  <c r="I876" i="1"/>
  <c r="J878" i="1"/>
  <c r="D879" i="1"/>
  <c r="H881" i="1"/>
  <c r="J882" i="1"/>
  <c r="F883" i="1"/>
  <c r="G884" i="1"/>
  <c r="H885" i="1"/>
  <c r="D886" i="1"/>
  <c r="E887" i="1"/>
  <c r="F888" i="1"/>
  <c r="B889" i="1"/>
  <c r="C890" i="1"/>
  <c r="D891" i="1"/>
  <c r="B894" i="1"/>
  <c r="H909" i="1"/>
  <c r="F912" i="1"/>
  <c r="D915" i="1"/>
  <c r="E918" i="1"/>
  <c r="E923" i="1"/>
  <c r="D928" i="1"/>
  <c r="G935" i="1"/>
  <c r="H942" i="1"/>
  <c r="I963" i="1"/>
</calcChain>
</file>

<file path=xl/sharedStrings.xml><?xml version="1.0" encoding="utf-8"?>
<sst xmlns="http://schemas.openxmlformats.org/spreadsheetml/2006/main" count="1612" uniqueCount="35">
  <si>
    <t>Pricer</t>
  </si>
  <si>
    <t>CCU</t>
  </si>
  <si>
    <t>Magasin</t>
  </si>
  <si>
    <t>Ens.</t>
  </si>
  <si>
    <t>Affiliation</t>
  </si>
  <si>
    <t>Dpt</t>
  </si>
  <si>
    <t>Adresse</t>
  </si>
  <si>
    <t>Téléphone</t>
  </si>
  <si>
    <t>Nom associé</t>
  </si>
  <si>
    <t>Ref PDV USB</t>
  </si>
  <si>
    <t>Email Ref PDV USB</t>
  </si>
  <si>
    <t>Type migration</t>
  </si>
  <si>
    <t>Commentaires</t>
  </si>
  <si>
    <t>Srv Pricer</t>
  </si>
  <si>
    <t>Statut</t>
  </si>
  <si>
    <t>U Express</t>
  </si>
  <si>
    <t>Coop U Enseigne Sud</t>
  </si>
  <si>
    <t>R5</t>
  </si>
  <si>
    <t>Primo</t>
  </si>
  <si>
    <t>Terminé</t>
  </si>
  <si>
    <t>R3</t>
  </si>
  <si>
    <t>Pricer &lt;8Go</t>
  </si>
  <si>
    <t>Pas de commande</t>
  </si>
  <si>
    <t>PC mag &lt;8Go</t>
  </si>
  <si>
    <t>U StoreBox</t>
  </si>
  <si>
    <t>Prérequis déposés</t>
  </si>
  <si>
    <t>Mig_std</t>
  </si>
  <si>
    <t>Toshiba</t>
  </si>
  <si>
    <t>Commande validée</t>
  </si>
  <si>
    <t>Mig_spe</t>
  </si>
  <si>
    <t>VM magasin</t>
  </si>
  <si>
    <t>PC mag</t>
  </si>
  <si>
    <t>E-mail</t>
  </si>
  <si>
    <t>Version</t>
  </si>
  <si>
    <t>Assignation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</si>
</sst>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hh:mm:ss"/>
    <numFmt numFmtId="165" formatCode="d/m"/>
  </numFmts>
  <fonts count="8" x14ac:knownFonts="1">
    <font>
      <sz val="10"/>
      <color rgb="FF000000"/>
      <name val="Arial"/>
    </font>
    <font>
      <sz val="10"/>
      <name val="Arial"/>
    </font>
    <font>
      <b/>
      <sz val="10"/>
      <name val="Arial"/>
    </font>
    <font>
      <b/>
      <sz val="10"/>
      <name val="Arial"/>
    </font>
    <font>
      <b/>
      <sz val="10"/>
      <color rgb="FF0000FF"/>
      <name val="Arial"/>
    </font>
    <font>
      <b/>
      <sz val="10"/>
      <color rgb="FF0000FF"/>
      <name val="Arial"/>
    </font>
    <font>
      <sz val="10"/>
      <color rgb="FF0000FF"/>
      <name val="Arial"/>
    </font>
    <font>
      <b/>
      <sz val="10"/>
      <color rgb="FF0000FF"/>
      <name val="Arial"/>
      <family val="2"/>
    </font>
  </fonts>
  <fills count="5">
    <fill>
      <patternFill patternType="none"/>
    </fill>
    <fill>
      <patternFill patternType="gray125"/>
    </fill>
    <fill>
      <patternFill patternType="solid">
        <fgColor rgb="FF4A86E8"/>
        <bgColor rgb="FF4A86E8"/>
      </patternFill>
    </fill>
    <fill>
      <patternFill patternType="solid">
        <fgColor rgb="FFF4CCCC"/>
        <bgColor rgb="FFF4CCCC"/>
      </patternFill>
    </fill>
    <fill>
      <patternFill patternType="solid">
        <fgColor rgb="FFFF9900"/>
        <bgColor rgb="FFFF9900"/>
      </patternFill>
    </fill>
  </fills>
  <borders count="1">
    <border>
      <left/>
      <right/>
      <top/>
      <bottom/>
      <diagonal/>
    </border>
  </borders>
  <cellStyleXfs count="1">
    <xf numFmtId="0" fontId="0" fillId="0" borderId="0"/>
  </cellStyleXfs>
  <cellXfs count="28">
    <xf numFmtId="0" fontId="0" fillId="0" borderId="0" xfId="0" applyFont="1" applyAlignment="1"/>
    <xf numFmtId="0" fontId="1" fillId="0" borderId="0" xfId="0" applyFont="1" applyAlignment="1"/>
    <xf numFmtId="0" fontId="1" fillId="4" borderId="0" xfId="0" applyFont="1" applyFill="1"/>
    <xf numFmtId="0" fontId="3" fillId="2" borderId="0" xfId="0" applyFont="1" applyFill="1" applyAlignment="1"/>
    <xf numFmtId="0" fontId="3" fillId="2" borderId="0" xfId="0" applyFont="1" applyFill="1" applyAlignment="1">
      <alignment wrapText="1"/>
    </xf>
    <xf numFmtId="14" fontId="1" fillId="0" borderId="0" xfId="0" applyNumberFormat="1" applyFont="1"/>
    <xf numFmtId="164" fontId="1" fillId="0" borderId="0" xfId="0" applyNumberFormat="1" applyFont="1"/>
    <xf numFmtId="0" fontId="4" fillId="3" borderId="0" xfId="0" applyFont="1" applyFill="1" applyAlignment="1">
      <alignment wrapText="1"/>
    </xf>
    <xf numFmtId="14" fontId="1" fillId="0" borderId="0" xfId="0" applyNumberFormat="1" applyFont="1"/>
    <xf numFmtId="0" fontId="4" fillId="3" borderId="0" xfId="0" applyFont="1" applyFill="1"/>
    <xf numFmtId="0" fontId="4" fillId="3" borderId="0" xfId="0" applyFont="1" applyFill="1" applyAlignment="1"/>
    <xf numFmtId="165" fontId="1" fillId="0" borderId="0" xfId="0" applyNumberFormat="1" applyFont="1"/>
    <xf numFmtId="0" fontId="5" fillId="3" borderId="0" xfId="0" applyFont="1" applyFill="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vertical="top" wrapText="1"/>
    </xf>
    <xf numFmtId="0" fontId="1" fillId="0" borderId="0" xfId="0" applyFont="1" applyAlignment="1">
      <alignment vertical="top"/>
    </xf>
    <xf numFmtId="0" fontId="1" fillId="0" borderId="0" xfId="0" applyFont="1" applyAlignment="1">
      <alignment vertical="top"/>
    </xf>
    <xf numFmtId="0" fontId="1" fillId="0" borderId="0" xfId="0" applyFont="1" applyAlignment="1">
      <alignment vertical="top" wrapText="1"/>
    </xf>
    <xf numFmtId="0" fontId="1" fillId="0" borderId="0" xfId="0" applyFont="1" applyAlignment="1">
      <alignment horizontal="left" vertical="top" wrapText="1"/>
    </xf>
    <xf numFmtId="0" fontId="6" fillId="0" borderId="0" xfId="0" applyFont="1" applyAlignment="1"/>
    <xf numFmtId="0" fontId="6" fillId="0" borderId="0" xfId="0" applyFont="1"/>
    <xf numFmtId="0" fontId="2" fillId="2" borderId="0" xfId="0" applyFont="1" applyFill="1" applyAlignment="1"/>
    <xf numFmtId="0" fontId="3" fillId="2" borderId="0" xfId="0" applyFont="1" applyFill="1" applyAlignment="1">
      <alignment shrinkToFit="1"/>
    </xf>
    <xf numFmtId="0" fontId="0" fillId="0" borderId="0" xfId="0" applyFont="1" applyAlignment="1">
      <alignment shrinkToFit="1"/>
    </xf>
    <xf numFmtId="0" fontId="1" fillId="0" borderId="0" xfId="0" applyFont="1" applyAlignment="1">
      <alignment vertical="top" shrinkToFit="1"/>
    </xf>
    <xf numFmtId="0" fontId="6" fillId="0" borderId="0" xfId="0" applyFont="1" applyAlignment="1">
      <alignment shrinkToFit="1"/>
    </xf>
    <xf numFmtId="0" fontId="7" fillId="3" borderId="0" xfId="0" applyFont="1" applyFill="1" applyAlignment="1">
      <alignment wrapText="1"/>
    </xf>
  </cellXfs>
  <cellStyles count="1">
    <cellStyle name="Normal" xfId="0" builtinId="0"/>
  </cellStyles>
  <dxfs count="12">
    <dxf>
      <fill>
        <patternFill patternType="solid">
          <fgColor rgb="FFEAD1DC"/>
          <bgColor rgb="FFEAD1DC"/>
        </patternFill>
      </fill>
    </dxf>
    <dxf>
      <fill>
        <patternFill patternType="solid">
          <fgColor rgb="FFD9EAD3"/>
          <bgColor rgb="FFD9EAD3"/>
        </patternFill>
      </fill>
    </dxf>
    <dxf>
      <fill>
        <patternFill patternType="solid">
          <fgColor rgb="FFCFE2F3"/>
          <bgColor rgb="FFCFE2F3"/>
        </patternFill>
      </fill>
    </dxf>
    <dxf>
      <fill>
        <patternFill patternType="solid">
          <fgColor rgb="FFEAD1DC"/>
          <bgColor rgb="FFEAD1DC"/>
        </patternFill>
      </fill>
    </dxf>
    <dxf>
      <fill>
        <patternFill patternType="solid">
          <fgColor rgb="FFD9EAD3"/>
          <bgColor rgb="FFD9EAD3"/>
        </patternFill>
      </fill>
    </dxf>
    <dxf>
      <fill>
        <patternFill patternType="solid">
          <fgColor rgb="FFCFE2F3"/>
          <bgColor rgb="FFCFE2F3"/>
        </patternFill>
      </fill>
    </dxf>
    <dxf>
      <fill>
        <patternFill patternType="solid">
          <fgColor rgb="FFEAD1DC"/>
          <bgColor rgb="FFEAD1DC"/>
        </patternFill>
      </fill>
    </dxf>
    <dxf>
      <fill>
        <patternFill patternType="solid">
          <fgColor rgb="FFD9EAD3"/>
          <bgColor rgb="FFD9EAD3"/>
        </patternFill>
      </fill>
    </dxf>
    <dxf>
      <fill>
        <patternFill patternType="solid">
          <fgColor rgb="FFCFE2F3"/>
          <bgColor rgb="FFCFE2F3"/>
        </patternFill>
      </fill>
    </dxf>
    <dxf>
      <fill>
        <patternFill patternType="solid">
          <fgColor rgb="FFEAD1DC"/>
          <bgColor rgb="FFEAD1DC"/>
        </patternFill>
      </fill>
    </dxf>
    <dxf>
      <fill>
        <patternFill patternType="solid">
          <fgColor rgb="FFD9EAD3"/>
          <bgColor rgb="FFD9EAD3"/>
        </patternFill>
      </fill>
    </dxf>
    <dxf>
      <fill>
        <patternFill patternType="solid">
          <fgColor rgb="FFCFE2F3"/>
          <bgColor rgb="FFCFE2F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R1169"/>
  <sheetViews>
    <sheetView tabSelected="1" workbookViewId="0">
      <pane xSplit="2" ySplit="1" topLeftCell="C257" activePane="bottomRight" state="frozen"/>
      <selection pane="topRight" activeCell="C1" sqref="C1"/>
      <selection pane="bottomLeft" activeCell="A3" sqref="A3"/>
      <selection pane="bottomRight" activeCell="Q616" sqref="Q616"/>
    </sheetView>
  </sheetViews>
  <sheetFormatPr baseColWidth="10" defaultColWidth="14.42578125" defaultRowHeight="15.75" customHeight="1" x14ac:dyDescent="0.2"/>
  <cols>
    <col min="1" max="1" width="6.28515625" customWidth="1"/>
    <col min="2" max="2" width="30.5703125" customWidth="1"/>
    <col min="3" max="3" width="11.7109375" customWidth="1"/>
    <col min="5" max="5" width="8.140625" customWidth="1"/>
    <col min="6" max="6" width="25.85546875" customWidth="1"/>
    <col min="7" max="7" width="15.42578125" customWidth="1"/>
    <col min="8" max="8" width="9.28515625" customWidth="1"/>
    <col min="9" max="9" width="42.85546875" hidden="1" customWidth="1"/>
    <col min="10" max="10" width="23.7109375" style="24" customWidth="1"/>
    <col min="11" max="11" width="34" hidden="1" customWidth="1"/>
    <col min="12" max="12" width="7.85546875" customWidth="1"/>
    <col min="14" max="14" width="12.7109375" hidden="1" customWidth="1"/>
    <col min="15" max="15" width="19.7109375" hidden="1" customWidth="1"/>
    <col min="16" max="16" width="15" customWidth="1"/>
    <col min="17" max="17" width="13.5703125" customWidth="1"/>
    <col min="18" max="18" width="67.140625" customWidth="1"/>
  </cols>
  <sheetData>
    <row r="1" spans="1:18" ht="25.5" x14ac:dyDescent="0.2">
      <c r="A1" s="2" t="s">
        <v>1</v>
      </c>
      <c r="B1" s="3" t="s">
        <v>2</v>
      </c>
      <c r="C1" s="3" t="s">
        <v>3</v>
      </c>
      <c r="D1" s="3" t="s">
        <v>4</v>
      </c>
      <c r="E1" s="3" t="s">
        <v>5</v>
      </c>
      <c r="F1" s="3" t="s">
        <v>6</v>
      </c>
      <c r="G1" s="22" t="s">
        <v>7</v>
      </c>
      <c r="H1" s="3" t="s">
        <v>8</v>
      </c>
      <c r="I1" s="22" t="s">
        <v>32</v>
      </c>
      <c r="J1" s="23" t="s">
        <v>9</v>
      </c>
      <c r="K1" s="4" t="s">
        <v>10</v>
      </c>
      <c r="L1" s="7" t="s">
        <v>33</v>
      </c>
      <c r="M1" s="9" t="s">
        <v>13</v>
      </c>
      <c r="N1" s="7" t="s">
        <v>11</v>
      </c>
      <c r="O1" s="10" t="s">
        <v>14</v>
      </c>
      <c r="P1" s="27" t="s">
        <v>34</v>
      </c>
      <c r="Q1" s="27" t="s">
        <v>14</v>
      </c>
      <c r="R1" s="12" t="s">
        <v>12</v>
      </c>
    </row>
    <row r="2" spans="1:18" ht="21.75" customHeight="1" x14ac:dyDescent="0.2">
      <c r="A2" s="1">
        <v>91278</v>
      </c>
      <c r="B2" t="str">
        <f ca="1">VLOOKUP(A2,Import_SuiviGlobal_MigAppliSate!A:I,2,FALSE)</f>
        <v>ST CANNAT</v>
      </c>
      <c r="C2" s="1" t="s">
        <v>15</v>
      </c>
      <c r="D2" s="1" t="s">
        <v>16</v>
      </c>
      <c r="L2" s="1" t="s">
        <v>17</v>
      </c>
      <c r="M2" s="1" t="s">
        <v>0</v>
      </c>
      <c r="N2" s="1" t="s">
        <v>18</v>
      </c>
      <c r="O2" s="1" t="s">
        <v>19</v>
      </c>
      <c r="P2" s="13"/>
      <c r="Q2" s="14"/>
      <c r="R2" s="14"/>
    </row>
    <row r="3" spans="1:18" ht="12.75" hidden="1" x14ac:dyDescent="0.2">
      <c r="A3">
        <v>25908</v>
      </c>
      <c r="B3" t="str">
        <f ca="1">VLOOKUP(A3,Import_SuiviGlobal_MigAppliSate!A:I,2,FALSE)</f>
        <v>ABBEVILLE</v>
      </c>
      <c r="C3" t="str">
        <f ca="1">VLOOKUP(A3,Import_SuiviGlobal_MigAppliSate!A:I,3,FALSE)</f>
        <v>Hyper U</v>
      </c>
      <c r="D3" s="1" t="str">
        <f ca="1">VLOOKUP(A3,Import_SuiviGlobal_MigAppliSate!A:I,4,FALSE)</f>
        <v>Coop U Enseigne NordOuest</v>
      </c>
      <c r="E3">
        <f ca="1">VLOOKUP(A3,Import_SuiviGlobal_MigAppliSate!A:I,5,FALSE)</f>
        <v>80100</v>
      </c>
      <c r="F3" t="str">
        <f ca="1">VLOOKUP(A3,Import_SuiviGlobal_MigAppliSate!A:I,6,FALSE)</f>
        <v>AVENUE VINCENT AURIOL</v>
      </c>
      <c r="G3" t="str">
        <f ca="1">VLOOKUP(A3,Import_SuiviGlobal_MigAppliSate!A:I,7,FALSE)</f>
        <v>03.22.25.44.44</v>
      </c>
      <c r="H3" t="str">
        <f ca="1">VLOOKUP(A3,Import_SuiviGlobal_MigAppliSate!A:I,8,FALSE)</f>
        <v>BARRE Stéphane</v>
      </c>
      <c r="I3" t="str">
        <f ca="1">VLOOKUP(A3,Import_SuiviGlobal_MigAppliSate!A:I,9,FALSE)</f>
        <v>stephane.barre@systeme-u.fr</v>
      </c>
      <c r="J3" s="24" t="str">
        <f ca="1">VLOOKUP(A3,Import_SuiviGlobal_MigAppliSate!A:K,10,FALSE)</f>
        <v>Mme GRADEL (caisse)
Mr CHRETIEN (UPLV)</v>
      </c>
      <c r="K3" t="str">
        <f ca="1">VLOOKUP(A3,Import_SuiviGlobal_MigAppliSate!A:K,11,FALSE)</f>
        <v>claudine.gradel@coop-cnp.coop,philippe.cappe@coop-cnp.coop, pascal.cressent@coop-cnp.coop, jean-philippe.chretien@coop-cnp.coop</v>
      </c>
      <c r="L3" t="s">
        <v>20</v>
      </c>
      <c r="M3" t="s">
        <v>21</v>
      </c>
      <c r="O3" s="1" t="s">
        <v>22</v>
      </c>
    </row>
    <row r="4" spans="1:18" ht="12.75" hidden="1" x14ac:dyDescent="0.2">
      <c r="A4">
        <v>23798</v>
      </c>
      <c r="B4" t="str">
        <f ca="1">VLOOKUP(A4,Import_SuiviGlobal_MigAppliSate!A:I,2,FALSE)</f>
        <v>ABLIS</v>
      </c>
      <c r="C4" t="str">
        <f ca="1">VLOOKUP(A4,Import_SuiviGlobal_MigAppliSate!A:I,3,FALSE)</f>
        <v>U Express</v>
      </c>
      <c r="D4" s="1" t="str">
        <f ca="1">VLOOKUP(A4,Import_SuiviGlobal_MigAppliSate!A:I,4,FALSE)</f>
        <v>Coop U Enseigne NordOuest</v>
      </c>
      <c r="E4">
        <f ca="1">VLOOKUP(A4,Import_SuiviGlobal_MigAppliSate!A:I,5,FALSE)</f>
        <v>78660</v>
      </c>
      <c r="F4" t="str">
        <f ca="1">VLOOKUP(A4,Import_SuiviGlobal_MigAppliSate!A:I,6,FALSE)</f>
        <v>1 &amp; 3 RUE DE BOINVILLE</v>
      </c>
      <c r="G4" t="str">
        <f ca="1">VLOOKUP(A4,Import_SuiviGlobal_MigAppliSate!A:I,7,FALSE)</f>
        <v>01.30.88.04.38</v>
      </c>
      <c r="H4" t="str">
        <f ca="1">VLOOKUP(A4,Import_SuiviGlobal_MigAppliSate!A:I,8,FALSE)</f>
        <v>LANDEMAINE Bruno</v>
      </c>
      <c r="I4" t="str">
        <f ca="1">VLOOKUP(A4,Import_SuiviGlobal_MigAppliSate!A:I,9,FALSE)</f>
        <v>bruno.landemaine@systeme-u.fr</v>
      </c>
      <c r="J4" s="24" t="str">
        <f ca="1">VLOOKUP(A4,Import_SuiviGlobal_MigAppliSate!A:K,10,FALSE)</f>
        <v>Mr Landemaine Bruno</v>
      </c>
      <c r="K4" t="str">
        <f ca="1">VLOOKUP(A4,Import_SuiviGlobal_MigAppliSate!A:K,11,FALSE)</f>
        <v/>
      </c>
      <c r="O4" s="1" t="s">
        <v>22</v>
      </c>
    </row>
    <row r="5" spans="1:18" ht="12.75" hidden="1" x14ac:dyDescent="0.2">
      <c r="A5">
        <v>90503</v>
      </c>
      <c r="B5" t="str">
        <f ca="1">VLOOKUP(A5,Import_SuiviGlobal_MigAppliSate!A:I,2,FALSE)</f>
        <v>AGAY CAP ESTEREL</v>
      </c>
      <c r="C5" t="str">
        <f ca="1">VLOOKUP(A5,Import_SuiviGlobal_MigAppliSate!A:I,3,FALSE)</f>
        <v>U Express</v>
      </c>
      <c r="D5" s="1" t="str">
        <f ca="1">VLOOKUP(A5,Import_SuiviGlobal_MigAppliSate!A:I,4,FALSE)</f>
        <v>Coop U Enseigne Sud</v>
      </c>
      <c r="E5">
        <f ca="1">VLOOKUP(A5,Import_SuiviGlobal_MigAppliSate!A:I,5,FALSE)</f>
        <v>83530</v>
      </c>
      <c r="F5" t="str">
        <f ca="1">VLOOKUP(A5,Import_SuiviGlobal_MigAppliSate!A:I,6,FALSE)</f>
        <v>U EXPRESS CAP ESTEREL</v>
      </c>
      <c r="G5" t="str">
        <f ca="1">VLOOKUP(A5,Import_SuiviGlobal_MigAppliSate!A:I,7,FALSE)</f>
        <v>04.94.82.12.50</v>
      </c>
      <c r="H5" t="str">
        <f ca="1">VLOOKUP(A5,Import_SuiviGlobal_MigAppliSate!A:I,8,FALSE)</f>
        <v/>
      </c>
      <c r="I5" t="str">
        <f ca="1">VLOOKUP(A5,Import_SuiviGlobal_MigAppliSate!A:I,9,FALSE)</f>
        <v>pascal.ducastel@systeme-u.fr</v>
      </c>
      <c r="J5" s="24" t="str">
        <f ca="1">VLOOKUP(A5,Import_SuiviGlobal_MigAppliSate!A:K,10,FALSE)</f>
        <v>Mr Licata</v>
      </c>
      <c r="K5" t="str">
        <f ca="1">VLOOKUP(A5,Import_SuiviGlobal_MigAppliSate!A:K,11,FALSE)</f>
        <v>a.licata@pacapart.fr</v>
      </c>
      <c r="O5" s="1" t="s">
        <v>22</v>
      </c>
    </row>
    <row r="6" spans="1:18" ht="12.75" x14ac:dyDescent="0.2">
      <c r="A6">
        <v>90434</v>
      </c>
      <c r="B6" t="str">
        <f ca="1">VLOOKUP(A6,Import_SuiviGlobal_MigAppliSate!A:I,2,FALSE)</f>
        <v>AGDE</v>
      </c>
      <c r="C6" t="str">
        <f ca="1">VLOOKUP(A6,Import_SuiviGlobal_MigAppliSate!A:I,3,FALSE)</f>
        <v>Hyper U</v>
      </c>
      <c r="D6" s="1" t="str">
        <f ca="1">VLOOKUP(A6,Import_SuiviGlobal_MigAppliSate!A:I,4,FALSE)</f>
        <v>Coop U Enseigne Sud</v>
      </c>
      <c r="E6">
        <f ca="1">VLOOKUP(A6,Import_SuiviGlobal_MigAppliSate!A:I,5,FALSE)</f>
        <v>34300</v>
      </c>
      <c r="F6" t="str">
        <f ca="1">VLOOKUP(A6,Import_SuiviGlobal_MigAppliSate!A:I,6,FALSE)</f>
        <v>BD MAURICE PACULL RN112</v>
      </c>
      <c r="G6" t="str">
        <f ca="1">VLOOKUP(A6,Import_SuiviGlobal_MigAppliSate!A:I,7,FALSE)</f>
        <v>04.67.01.06.80</v>
      </c>
      <c r="H6" t="str">
        <f ca="1">VLOOKUP(A6,Import_SuiviGlobal_MigAppliSate!A:I,8,FALSE)</f>
        <v>PROU Sébastien</v>
      </c>
      <c r="I6" t="str">
        <f ca="1">VLOOKUP(A6,Import_SuiviGlobal_MigAppliSate!A:I,9,FALSE)</f>
        <v>sebastien.prou@systeme-u.fr</v>
      </c>
      <c r="J6" s="24" t="str">
        <f ca="1">VLOOKUP(A6,Import_SuiviGlobal_MigAppliSate!A:K,10,FALSE)</f>
        <v>M. Jean-Michel EZRATI</v>
      </c>
      <c r="K6" t="str">
        <f ca="1">VLOOKUP(A6,Import_SuiviGlobal_MigAppliSate!A:K,11,FALSE)</f>
        <v>hyperu.agde.controlegestion@systeme-u.fr</v>
      </c>
      <c r="L6" t="s">
        <v>17</v>
      </c>
      <c r="M6" t="s">
        <v>0</v>
      </c>
      <c r="O6" s="1" t="s">
        <v>22</v>
      </c>
    </row>
    <row r="7" spans="1:18" ht="12.75" x14ac:dyDescent="0.2">
      <c r="A7">
        <v>95468</v>
      </c>
      <c r="B7" t="str">
        <f ca="1">VLOOKUP(A7,Import_SuiviGlobal_MigAppliSate!A:I,2,FALSE)</f>
        <v>AGEN</v>
      </c>
      <c r="C7" t="str">
        <f ca="1">VLOOKUP(A7,Import_SuiviGlobal_MigAppliSate!A:I,3,FALSE)</f>
        <v>U Express</v>
      </c>
      <c r="D7" s="1" t="str">
        <f ca="1">VLOOKUP(A7,Import_SuiviGlobal_MigAppliSate!A:I,4,FALSE)</f>
        <v>Coop UPSO</v>
      </c>
      <c r="E7">
        <f ca="1">VLOOKUP(A7,Import_SuiviGlobal_MigAppliSate!A:I,5,FALSE)</f>
        <v>47000</v>
      </c>
      <c r="F7" t="str">
        <f ca="1">VLOOKUP(A7,Import_SuiviGlobal_MigAppliSate!A:I,6,FALSE)</f>
        <v>25 RUE ROLAND GOUMY</v>
      </c>
      <c r="G7" t="str">
        <f ca="1">VLOOKUP(A7,Import_SuiviGlobal_MigAppliSate!A:I,7,FALSE)</f>
        <v>05.53.99.55.55</v>
      </c>
      <c r="H7" t="str">
        <f ca="1">VLOOKUP(A7,Import_SuiviGlobal_MigAppliSate!A:I,8,FALSE)</f>
        <v>BOISARD Isabelle et Philippe</v>
      </c>
      <c r="I7" t="str">
        <f ca="1">VLOOKUP(A7,Import_SuiviGlobal_MigAppliSate!A:I,9,FALSE)</f>
        <v>philippe.boisard@systeme-u.fr</v>
      </c>
      <c r="J7" s="24" t="str">
        <f ca="1">VLOOKUP(A7,Import_SuiviGlobal_MigAppliSate!A:K,10,FALSE)</f>
        <v>Mme Boisard</v>
      </c>
      <c r="K7" t="str">
        <f ca="1">VLOOKUP(A7,Import_SuiviGlobal_MigAppliSate!A:K,11,FALSE)</f>
        <v>uexpress.agen@systeme-u.fr</v>
      </c>
      <c r="L7" t="s">
        <v>17</v>
      </c>
      <c r="M7" t="s">
        <v>0</v>
      </c>
      <c r="O7" s="1" t="s">
        <v>22</v>
      </c>
    </row>
    <row r="8" spans="1:18" ht="12.75" hidden="1" x14ac:dyDescent="0.2">
      <c r="A8">
        <v>20051</v>
      </c>
      <c r="B8" t="str">
        <f ca="1">VLOOKUP(A8,Import_SuiviGlobal_MigAppliSate!A:I,2,FALSE)</f>
        <v>AGON COUTAINVILLE</v>
      </c>
      <c r="C8" t="str">
        <f ca="1">VLOOKUP(A8,Import_SuiviGlobal_MigAppliSate!A:I,3,FALSE)</f>
        <v>U Express</v>
      </c>
      <c r="D8" s="1" t="str">
        <f ca="1">VLOOKUP(A8,Import_SuiviGlobal_MigAppliSate!A:I,4,FALSE)</f>
        <v>Coop U Enseigne NordOuest</v>
      </c>
      <c r="E8">
        <f ca="1">VLOOKUP(A8,Import_SuiviGlobal_MigAppliSate!A:I,5,FALSE)</f>
        <v>50230</v>
      </c>
      <c r="F8" t="str">
        <f ca="1">VLOOKUP(A8,Import_SuiviGlobal_MigAppliSate!A:I,6,FALSE)</f>
        <v>RUE DU RUET DU GOULOT</v>
      </c>
      <c r="G8" t="str">
        <f ca="1">VLOOKUP(A8,Import_SuiviGlobal_MigAppliSate!A:I,7,FALSE)</f>
        <v>02.33.46.26.13</v>
      </c>
      <c r="H8" t="str">
        <f ca="1">VLOOKUP(A8,Import_SuiviGlobal_MigAppliSate!A:I,8,FALSE)</f>
        <v>DE MONDESIR Eric et Carole</v>
      </c>
      <c r="I8" t="str">
        <f ca="1">VLOOKUP(A8,Import_SuiviGlobal_MigAppliSate!A:I,9,FALSE)</f>
        <v>eric.demondesir@systeme-u.fr</v>
      </c>
      <c r="J8" s="24" t="str">
        <f ca="1">VLOOKUP(A8,Import_SuiviGlobal_MigAppliSate!A:K,10,FALSE)</f>
        <v>M. dE MONDESIR LEO</v>
      </c>
      <c r="K8" t="str">
        <f ca="1">VLOOKUP(A8,Import_SuiviGlobal_MigAppliSate!A:K,11,FALSE)</f>
        <v>leo.demondesir@systeme-u.fr</v>
      </c>
      <c r="O8" s="1" t="s">
        <v>22</v>
      </c>
    </row>
    <row r="9" spans="1:18" ht="12.75" hidden="1" x14ac:dyDescent="0.2">
      <c r="A9">
        <v>66073</v>
      </c>
      <c r="B9" t="str">
        <f ca="1">VLOOKUP(A9,Import_SuiviGlobal_MigAppliSate!A:I,2,FALSE)</f>
        <v>AIGUEBLANCHE</v>
      </c>
      <c r="C9" t="str">
        <f ca="1">VLOOKUP(A9,Import_SuiviGlobal_MigAppliSate!A:I,3,FALSE)</f>
        <v>Super U</v>
      </c>
      <c r="D9" s="1" t="str">
        <f ca="1">VLOOKUP(A9,Import_SuiviGlobal_MigAppliSate!A:I,4,FALSE)</f>
        <v>Coop U Enseigne Est</v>
      </c>
      <c r="E9">
        <f ca="1">VLOOKUP(A9,Import_SuiviGlobal_MigAppliSate!A:I,5,FALSE)</f>
        <v>73260</v>
      </c>
      <c r="F9" t="str">
        <f ca="1">VLOOKUP(A9,Import_SuiviGlobal_MigAppliSate!A:I,6,FALSE)</f>
        <v>ZAC DE LA PETITE PRAIRIE</v>
      </c>
      <c r="G9" t="str">
        <f ca="1">VLOOKUP(A9,Import_SuiviGlobal_MigAppliSate!A:I,7,FALSE)</f>
        <v>04.79.24.23.14</v>
      </c>
      <c r="H9" t="str">
        <f ca="1">VLOOKUP(A9,Import_SuiviGlobal_MigAppliSate!A:I,8,FALSE)</f>
        <v>PERDRISET Matthieu</v>
      </c>
      <c r="I9" t="str">
        <f ca="1">VLOOKUP(A9,Import_SuiviGlobal_MigAppliSate!A:I,9,FALSE)</f>
        <v>matthieu.perdriset@systeme-u.fr</v>
      </c>
      <c r="J9" s="24" t="str">
        <f ca="1">VLOOKUP(A9,Import_SuiviGlobal_MigAppliSate!A:K,10,FALSE)</f>
        <v/>
      </c>
      <c r="K9" t="str">
        <f ca="1">VLOOKUP(A9,Import_SuiviGlobal_MigAppliSate!A:K,11,FALSE)</f>
        <v/>
      </c>
      <c r="O9" s="1" t="s">
        <v>22</v>
      </c>
    </row>
    <row r="10" spans="1:18" ht="12.75" hidden="1" x14ac:dyDescent="0.2">
      <c r="A10">
        <v>90184</v>
      </c>
      <c r="B10" t="str">
        <f ca="1">VLOOKUP(A10,Import_SuiviGlobal_MigAppliSate!A:I,2,FALSE)</f>
        <v>AIGUES MORTES</v>
      </c>
      <c r="C10" t="str">
        <f ca="1">VLOOKUP(A10,Import_SuiviGlobal_MigAppliSate!A:I,3,FALSE)</f>
        <v>Super U</v>
      </c>
      <c r="D10" s="1" t="str">
        <f ca="1">VLOOKUP(A10,Import_SuiviGlobal_MigAppliSate!A:I,4,FALSE)</f>
        <v>Coop U Enseigne Sud</v>
      </c>
      <c r="E10">
        <f ca="1">VLOOKUP(A10,Import_SuiviGlobal_MigAppliSate!A:I,5,FALSE)</f>
        <v>30220</v>
      </c>
      <c r="F10" t="str">
        <f ca="1">VLOOKUP(A10,Import_SuiviGlobal_MigAppliSate!A:I,6,FALSE)</f>
        <v>940 ROUTE DE NIMES</v>
      </c>
      <c r="G10" t="str">
        <f ca="1">VLOOKUP(A10,Import_SuiviGlobal_MigAppliSate!A:I,7,FALSE)</f>
        <v>04.66.35.70.30</v>
      </c>
      <c r="H10" t="str">
        <f ca="1">VLOOKUP(A10,Import_SuiviGlobal_MigAppliSate!A:I,8,FALSE)</f>
        <v>VERRIER Raphael</v>
      </c>
      <c r="I10" t="str">
        <f ca="1">VLOOKUP(A10,Import_SuiviGlobal_MigAppliSate!A:I,9,FALSE)</f>
        <v>raphael.verrier@systeme-u.fr</v>
      </c>
      <c r="J10" s="24" t="str">
        <f ca="1">VLOOKUP(A10,Import_SuiviGlobal_MigAppliSate!A:K,10,FALSE)</f>
        <v>Mme ROUAUD</v>
      </c>
      <c r="K10" t="str">
        <f ca="1">VLOOKUP(A10,Import_SuiviGlobal_MigAppliSate!A:K,11,FALSE)</f>
        <v/>
      </c>
      <c r="O10" s="1" t="s">
        <v>22</v>
      </c>
    </row>
    <row r="11" spans="1:18" ht="12.75" hidden="1" x14ac:dyDescent="0.2">
      <c r="A11">
        <v>66067</v>
      </c>
      <c r="B11" t="str">
        <f ca="1">VLOOKUP(A11,Import_SuiviGlobal_MigAppliSate!A:I,2,FALSE)</f>
        <v>AIGUILHE</v>
      </c>
      <c r="C11" t="str">
        <f ca="1">VLOOKUP(A11,Import_SuiviGlobal_MigAppliSate!A:I,3,FALSE)</f>
        <v>Super U</v>
      </c>
      <c r="D11" s="1" t="str">
        <f ca="1">VLOOKUP(A11,Import_SuiviGlobal_MigAppliSate!A:I,4,FALSE)</f>
        <v>Coop U Enseigne Est</v>
      </c>
      <c r="E11">
        <f ca="1">VLOOKUP(A11,Import_SuiviGlobal_MigAppliSate!A:I,5,FALSE)</f>
        <v>43000</v>
      </c>
      <c r="F11" t="str">
        <f ca="1">VLOOKUP(A11,Import_SuiviGlobal_MigAppliSate!A:I,6,FALSE)</f>
        <v>1 Chemin de Jalavoux</v>
      </c>
      <c r="G11" t="str">
        <f ca="1">VLOOKUP(A11,Import_SuiviGlobal_MigAppliSate!A:I,7,FALSE)</f>
        <v>04.71.04.51.40</v>
      </c>
      <c r="H11" t="str">
        <f ca="1">VLOOKUP(A11,Import_SuiviGlobal_MigAppliSate!A:I,8,FALSE)</f>
        <v>BOUTREUX RPT SAS CABAJUFI Philippe</v>
      </c>
      <c r="I11" t="str">
        <f ca="1">VLOOKUP(A11,Import_SuiviGlobal_MigAppliSate!A:I,9,FALSE)</f>
        <v>philippe.boutreux@systeme-u.fr</v>
      </c>
      <c r="J11" s="24" t="str">
        <f ca="1">VLOOKUP(A11,Import_SuiviGlobal_MigAppliSate!A:K,10,FALSE)</f>
        <v>BOYER Lydie/ Mme Bonnefoi</v>
      </c>
      <c r="K11" t="str">
        <f ca="1">VLOOKUP(A11,Import_SuiviGlobal_MigAppliSate!A:K,11,FALSE)</f>
        <v>superu.aiguilhe@systeme-u.fr</v>
      </c>
      <c r="O11" s="1" t="s">
        <v>22</v>
      </c>
    </row>
    <row r="12" spans="1:18" ht="12.75" hidden="1" x14ac:dyDescent="0.2">
      <c r="A12">
        <v>90426</v>
      </c>
      <c r="B12" t="str">
        <f ca="1">VLOOKUP(A12,Import_SuiviGlobal_MigAppliSate!A:I,2,FALSE)</f>
        <v>AIMARGUES</v>
      </c>
      <c r="C12" t="str">
        <f ca="1">VLOOKUP(A12,Import_SuiviGlobal_MigAppliSate!A:I,3,FALSE)</f>
        <v>Super U</v>
      </c>
      <c r="D12" s="1" t="str">
        <f ca="1">VLOOKUP(A12,Import_SuiviGlobal_MigAppliSate!A:I,4,FALSE)</f>
        <v>Coop U Enseigne Sud</v>
      </c>
      <c r="E12">
        <f ca="1">VLOOKUP(A12,Import_SuiviGlobal_MigAppliSate!A:I,5,FALSE)</f>
        <v>30470</v>
      </c>
      <c r="F12" t="str">
        <f ca="1">VLOOKUP(A12,Import_SuiviGlobal_MigAppliSate!A:I,6,FALSE)</f>
        <v>ROUTE DES PLAGES</v>
      </c>
      <c r="G12" t="str">
        <f ca="1">VLOOKUP(A12,Import_SuiviGlobal_MigAppliSate!A:I,7,FALSE)</f>
        <v>04.66.88.50.08</v>
      </c>
      <c r="H12" t="str">
        <f ca="1">VLOOKUP(A12,Import_SuiviGlobal_MigAppliSate!A:I,8,FALSE)</f>
        <v>BUISSON Jean Henri</v>
      </c>
      <c r="I12" t="str">
        <f ca="1">VLOOKUP(A12,Import_SuiviGlobal_MigAppliSate!A:I,9,FALSE)</f>
        <v>jean.buisson@systeme-u.fr</v>
      </c>
      <c r="J12" s="24" t="str">
        <f ca="1">VLOOKUP(A12,Import_SuiviGlobal_MigAppliSate!A:K,10,FALSE)</f>
        <v>DUNAND PASCALE</v>
      </c>
      <c r="K12" t="str">
        <f ca="1">VLOOKUP(A12,Import_SuiviGlobal_MigAppliSate!A:K,11,FALSE)</f>
        <v>superu.aimargues@systeme-u.fr</v>
      </c>
      <c r="O12" s="1" t="s">
        <v>22</v>
      </c>
    </row>
    <row r="13" spans="1:18" ht="12.75" hidden="1" x14ac:dyDescent="0.2">
      <c r="A13">
        <v>90453</v>
      </c>
      <c r="B13" t="str">
        <f ca="1">VLOOKUP(A13,Import_SuiviGlobal_MigAppliSate!A:I,2,FALSE)</f>
        <v>AIX EN PROV.EUROPE</v>
      </c>
      <c r="C13" t="str">
        <f ca="1">VLOOKUP(A13,Import_SuiviGlobal_MigAppliSate!A:I,3,FALSE)</f>
        <v>Super U</v>
      </c>
      <c r="D13" s="1" t="str">
        <f ca="1">VLOOKUP(A13,Import_SuiviGlobal_MigAppliSate!A:I,4,FALSE)</f>
        <v>Coop U Enseigne Sud</v>
      </c>
      <c r="E13">
        <f ca="1">VLOOKUP(A13,Import_SuiviGlobal_MigAppliSate!A:I,5,FALSE)</f>
        <v>13090</v>
      </c>
      <c r="F13" t="str">
        <f ca="1">VLOOKUP(A13,Import_SuiviGlobal_MigAppliSate!A:I,6,FALSE)</f>
        <v>AVENUE DE L'EUROPE</v>
      </c>
      <c r="G13" t="str">
        <f ca="1">VLOOKUP(A13,Import_SuiviGlobal_MigAppliSate!A:I,7,FALSE)</f>
        <v>04.42.52.72.20</v>
      </c>
      <c r="H13" t="str">
        <f ca="1">VLOOKUP(A13,Import_SuiviGlobal_MigAppliSate!A:I,8,FALSE)</f>
        <v>HAIM Jean-Louis</v>
      </c>
      <c r="I13" t="str">
        <f ca="1">VLOOKUP(A13,Import_SuiviGlobal_MigAppliSate!A:I,9,FALSE)</f>
        <v>jean-louis.haim@systeme-u.fr</v>
      </c>
      <c r="J13" s="24" t="str">
        <f ca="1">VLOOKUP(A13,Import_SuiviGlobal_MigAppliSate!A:K,10,FALSE)</f>
        <v>M. GLAISE</v>
      </c>
      <c r="K13" t="str">
        <f ca="1">VLOOKUP(A13,Import_SuiviGlobal_MigAppliSate!A:K,11,FALSE)</f>
        <v>superu.aix.direction@systeme-u.fr</v>
      </c>
      <c r="O13" s="1" t="s">
        <v>22</v>
      </c>
    </row>
    <row r="14" spans="1:18" ht="12.75" hidden="1" x14ac:dyDescent="0.2">
      <c r="A14">
        <v>34163</v>
      </c>
      <c r="B14" t="str">
        <f ca="1">VLOOKUP(A14,Import_SuiviGlobal_MigAppliSate!A:I,2,FALSE)</f>
        <v>AIXE-SUR-VIENNE</v>
      </c>
      <c r="C14" t="str">
        <f ca="1">VLOOKUP(A14,Import_SuiviGlobal_MigAppliSate!A:I,3,FALSE)</f>
        <v>U Express</v>
      </c>
      <c r="D14" s="1" t="str">
        <f ca="1">VLOOKUP(A14,Import_SuiviGlobal_MigAppliSate!A:I,4,FALSE)</f>
        <v>Coop Atlantique</v>
      </c>
      <c r="E14">
        <f ca="1">VLOOKUP(A14,Import_SuiviGlobal_MigAppliSate!A:I,5,FALSE)</f>
        <v>87700</v>
      </c>
      <c r="F14" t="str">
        <f ca="1">VLOOKUP(A14,Import_SuiviGlobal_MigAppliSate!A:I,6,FALSE)</f>
        <v>3, AVENUE PASTEUR</v>
      </c>
      <c r="G14" t="str">
        <f ca="1">VLOOKUP(A14,Import_SuiviGlobal_MigAppliSate!A:I,7,FALSE)</f>
        <v>05.55.70.24.43</v>
      </c>
      <c r="H14" t="str">
        <f ca="1">VLOOKUP(A14,Import_SuiviGlobal_MigAppliSate!A:I,8,FALSE)</f>
        <v>FLAMBARD Hervé</v>
      </c>
      <c r="I14" t="str">
        <f ca="1">VLOOKUP(A14,Import_SuiviGlobal_MigAppliSate!A:I,9,FALSE)</f>
        <v>bertrand.defontaine_coop_su_uex@systeme-u.fr</v>
      </c>
      <c r="J14" s="24" t="str">
        <f ca="1">VLOOKUP(A14,Import_SuiviGlobal_MigAppliSate!A:K,10,FALSE)</f>
        <v>Philippe GOURSAUD</v>
      </c>
      <c r="K14" t="str">
        <f ca="1">VLOOKUP(A14,Import_SuiviGlobal_MigAppliSate!A:K,11,FALSE)</f>
        <v>uexpress.aixesurvienne.direction@systeme-u.fr,nbrigant@coop-atlantique.fr,sjaud@coop-atlantique.fr,pgoursaud@coop-atlantique.fr</v>
      </c>
      <c r="O14" s="1" t="s">
        <v>22</v>
      </c>
    </row>
    <row r="15" spans="1:18" ht="12.75" hidden="1" x14ac:dyDescent="0.2">
      <c r="A15">
        <v>37450</v>
      </c>
      <c r="B15" t="str">
        <f ca="1">VLOOKUP(A15,Import_SuiviGlobal_MigAppliSate!A:I,2,FALSE)</f>
        <v>AIXE-SUR-VIENNE</v>
      </c>
      <c r="C15" t="str">
        <f ca="1">VLOOKUP(A15,Import_SuiviGlobal_MigAppliSate!A:I,3,FALSE)</f>
        <v>Super U</v>
      </c>
      <c r="D15" s="1" t="str">
        <f ca="1">VLOOKUP(A15,Import_SuiviGlobal_MigAppliSate!A:I,4,FALSE)</f>
        <v>Coop U Enseigne Ouest</v>
      </c>
      <c r="E15">
        <f ca="1">VLOOKUP(A15,Import_SuiviGlobal_MigAppliSate!A:I,5,FALSE)</f>
        <v>87700</v>
      </c>
      <c r="F15" t="str">
        <f ca="1">VLOOKUP(A15,Import_SuiviGlobal_MigAppliSate!A:I,6,FALSE)</f>
        <v>ZAC DU GRAND RIEUX</v>
      </c>
      <c r="G15" t="str">
        <f ca="1">VLOOKUP(A15,Import_SuiviGlobal_MigAppliSate!A:I,7,FALSE)</f>
        <v>05.55.06.51.91</v>
      </c>
      <c r="H15" t="str">
        <f ca="1">VLOOKUP(A15,Import_SuiviGlobal_MigAppliSate!A:I,8,FALSE)</f>
        <v>DUPIN Gilles</v>
      </c>
      <c r="I15" t="str">
        <f ca="1">VLOOKUP(A15,Import_SuiviGlobal_MigAppliSate!A:I,9,FALSE)</f>
        <v>gilles.dupin@systeme-u.fr</v>
      </c>
      <c r="J15" s="24" t="str">
        <f ca="1">VLOOKUP(A15,Import_SuiviGlobal_MigAppliSate!A:K,10,FALSE)</f>
        <v>Mr GUILBAUD Josselin (Directeur)</v>
      </c>
      <c r="K15" t="str">
        <f ca="1">VLOOKUP(A15,Import_SuiviGlobal_MigAppliSate!A:K,11,FALSE)</f>
        <v>superu.aixesurvienne.gescom@systeme-u.fr</v>
      </c>
      <c r="O15" s="1" t="s">
        <v>22</v>
      </c>
    </row>
    <row r="16" spans="1:18" ht="12.75" hidden="1" x14ac:dyDescent="0.2">
      <c r="A16">
        <v>30973</v>
      </c>
      <c r="B16" t="str">
        <f ca="1">VLOOKUP(A16,Import_SuiviGlobal_MigAppliSate!A:I,2,FALSE)</f>
        <v>AIZENAY</v>
      </c>
      <c r="C16" t="str">
        <f ca="1">VLOOKUP(A16,Import_SuiviGlobal_MigAppliSate!A:I,3,FALSE)</f>
        <v>Hyper U</v>
      </c>
      <c r="D16" s="1" t="str">
        <f ca="1">VLOOKUP(A16,Import_SuiviGlobal_MigAppliSate!A:I,4,FALSE)</f>
        <v>Coop U Enseigne Ouest</v>
      </c>
      <c r="E16">
        <f ca="1">VLOOKUP(A16,Import_SuiviGlobal_MigAppliSate!A:I,5,FALSE)</f>
        <v>85190</v>
      </c>
      <c r="F16" t="str">
        <f ca="1">VLOOKUP(A16,Import_SuiviGlobal_MigAppliSate!A:I,6,FALSE)</f>
        <v>ESPACE COMMERCIAL</v>
      </c>
      <c r="G16" t="str">
        <f ca="1">VLOOKUP(A16,Import_SuiviGlobal_MigAppliSate!A:I,7,FALSE)</f>
        <v>02.51.31.23.12</v>
      </c>
      <c r="H16" t="str">
        <f ca="1">VLOOKUP(A16,Import_SuiviGlobal_MigAppliSate!A:I,8,FALSE)</f>
        <v>THOUZEAU RPT SAS SOPARVIL Baptiste</v>
      </c>
      <c r="I16" t="str">
        <f ca="1">VLOOKUP(A16,Import_SuiviGlobal_MigAppliSate!A:I,9,FALSE)</f>
        <v>baptiste.thouzeau@systeme-u.fr</v>
      </c>
      <c r="J16" s="24" t="str">
        <f ca="1">VLOOKUP(A16,Import_SuiviGlobal_MigAppliSate!A:K,10,FALSE)</f>
        <v>PIVETEAU Eric</v>
      </c>
      <c r="K16" t="str">
        <f ca="1">VLOOKUP(A16,Import_SuiviGlobal_MigAppliSate!A:K,11,FALSE)</f>
        <v>hyperu.aizenay.direction@systeme-u.fr</v>
      </c>
      <c r="O16" s="1" t="s">
        <v>22</v>
      </c>
    </row>
    <row r="17" spans="1:15" ht="12.75" hidden="1" x14ac:dyDescent="0.2">
      <c r="A17">
        <v>25886</v>
      </c>
      <c r="B17" t="str">
        <f ca="1">VLOOKUP(A17,Import_SuiviGlobal_MigAppliSate!A:I,2,FALSE)</f>
        <v>ALBERT</v>
      </c>
      <c r="C17" t="str">
        <f ca="1">VLOOKUP(A17,Import_SuiviGlobal_MigAppliSate!A:I,3,FALSE)</f>
        <v>Super U</v>
      </c>
      <c r="D17" s="1" t="str">
        <f ca="1">VLOOKUP(A17,Import_SuiviGlobal_MigAppliSate!A:I,4,FALSE)</f>
        <v>Coop U Enseigne NordOuest</v>
      </c>
      <c r="E17">
        <f ca="1">VLOOKUP(A17,Import_SuiviGlobal_MigAppliSate!A:I,5,FALSE)</f>
        <v>80300</v>
      </c>
      <c r="F17" t="str">
        <f ca="1">VLOOKUP(A17,Import_SuiviGlobal_MigAppliSate!A:I,6,FALSE)</f>
        <v>ROUTE DE BAPAUME</v>
      </c>
      <c r="G17" t="str">
        <f ca="1">VLOOKUP(A17,Import_SuiviGlobal_MigAppliSate!A:I,7,FALSE)</f>
        <v>03.22.75.16.25</v>
      </c>
      <c r="H17" t="str">
        <f ca="1">VLOOKUP(A17,Import_SuiviGlobal_MigAppliSate!A:I,8,FALSE)</f>
        <v>BARRE Stéphane</v>
      </c>
      <c r="I17" t="str">
        <f ca="1">VLOOKUP(A17,Import_SuiviGlobal_MigAppliSate!A:I,9,FALSE)</f>
        <v>stephane.barre@systeme-u.fr</v>
      </c>
      <c r="J17" s="24" t="str">
        <f ca="1">VLOOKUP(A17,Import_SuiviGlobal_MigAppliSate!A:K,10,FALSE)</f>
        <v>Patrick Devaux</v>
      </c>
      <c r="K17" t="str">
        <f ca="1">VLOOKUP(A17,Import_SuiviGlobal_MigAppliSate!A:K,11,FALSE)</f>
        <v>superu.albert.direction@systeme-u.fr,philippe.cappe@coop-cnp.coop</v>
      </c>
      <c r="L17" t="s">
        <v>20</v>
      </c>
      <c r="M17" t="s">
        <v>21</v>
      </c>
      <c r="O17" s="1" t="s">
        <v>22</v>
      </c>
    </row>
    <row r="18" spans="1:15" ht="12.75" hidden="1" x14ac:dyDescent="0.2">
      <c r="A18">
        <v>38208</v>
      </c>
      <c r="B18" t="str">
        <f ca="1">VLOOKUP(A18,Import_SuiviGlobal_MigAppliSate!A:I,2,FALSE)</f>
        <v>ALENCON</v>
      </c>
      <c r="C18" t="str">
        <f ca="1">VLOOKUP(A18,Import_SuiviGlobal_MigAppliSate!A:I,3,FALSE)</f>
        <v>Super U</v>
      </c>
      <c r="D18" s="1" t="str">
        <f ca="1">VLOOKUP(A18,Import_SuiviGlobal_MigAppliSate!A:I,4,FALSE)</f>
        <v>Coop U Enseigne Ouest</v>
      </c>
      <c r="E18">
        <f ca="1">VLOOKUP(A18,Import_SuiviGlobal_MigAppliSate!A:I,5,FALSE)</f>
        <v>61000</v>
      </c>
      <c r="F18" t="str">
        <f ca="1">VLOOKUP(A18,Import_SuiviGlobal_MigAppliSate!A:I,6,FALSE)</f>
        <v>107 AVENUE DE BASINGSTOKE</v>
      </c>
      <c r="G18" t="str">
        <f ca="1">VLOOKUP(A18,Import_SuiviGlobal_MigAppliSate!A:I,7,FALSE)</f>
        <v>02.33.80.10.02</v>
      </c>
      <c r="H18" t="str">
        <f ca="1">VLOOKUP(A18,Import_SuiviGlobal_MigAppliSate!A:I,8,FALSE)</f>
        <v>COSNARD Annick</v>
      </c>
      <c r="I18" t="str">
        <f ca="1">VLOOKUP(A18,Import_SuiviGlobal_MigAppliSate!A:I,9,FALSE)</f>
        <v>annick.cosnard@systeme-u.fr</v>
      </c>
      <c r="J18" s="24" t="str">
        <f ca="1">VLOOKUP(A18,Import_SuiviGlobal_MigAppliSate!A:K,10,FALSE)</f>
        <v>Mme Chemin</v>
      </c>
      <c r="K18" t="str">
        <f ca="1">VLOOKUP(A18,Import_SuiviGlobal_MigAppliSate!A:K,11,FALSE)</f>
        <v>brian.chemin@systeme-u.fr,anne-sophie.chemin@systeme-u.fr</v>
      </c>
      <c r="O18" s="1" t="s">
        <v>22</v>
      </c>
    </row>
    <row r="19" spans="1:15" ht="12.75" hidden="1" x14ac:dyDescent="0.2">
      <c r="A19">
        <v>90232</v>
      </c>
      <c r="B19" t="str">
        <f ca="1">VLOOKUP(A19,Import_SuiviGlobal_MigAppliSate!A:I,2,FALSE)</f>
        <v>ALES OLIVIER DE SERRES</v>
      </c>
      <c r="C19" t="str">
        <f ca="1">VLOOKUP(A19,Import_SuiviGlobal_MigAppliSate!A:I,3,FALSE)</f>
        <v>Hyper U</v>
      </c>
      <c r="D19" s="1" t="str">
        <f ca="1">VLOOKUP(A19,Import_SuiviGlobal_MigAppliSate!A:I,4,FALSE)</f>
        <v>Coop U Enseigne Sud</v>
      </c>
      <c r="E19">
        <f ca="1">VLOOKUP(A19,Import_SuiviGlobal_MigAppliSate!A:I,5,FALSE)</f>
        <v>30100</v>
      </c>
      <c r="F19" t="str">
        <f ca="1">VLOOKUP(A19,Import_SuiviGlobal_MigAppliSate!A:I,6,FALSE)</f>
        <v>AV. OLIVIER DE SERRES</v>
      </c>
      <c r="G19" t="str">
        <f ca="1">VLOOKUP(A19,Import_SuiviGlobal_MigAppliSate!A:I,7,FALSE)</f>
        <v>04.66.52.92.40</v>
      </c>
      <c r="H19" t="str">
        <f ca="1">VLOOKUP(A19,Import_SuiviGlobal_MigAppliSate!A:I,8,FALSE)</f>
        <v>DIAZ Christian</v>
      </c>
      <c r="I19" t="str">
        <f ca="1">VLOOKUP(A19,Import_SuiviGlobal_MigAppliSate!A:I,9,FALSE)</f>
        <v>christian.diaz@systeme-u.fr</v>
      </c>
      <c r="J19" s="24" t="str">
        <f ca="1">VLOOKUP(A19,Import_SuiviGlobal_MigAppliSate!A:K,10,FALSE)</f>
        <v>M. Machillot</v>
      </c>
      <c r="K19" t="str">
        <f ca="1">VLOOKUP(A19,Import_SuiviGlobal_MigAppliSate!A:K,11,FALSE)</f>
        <v>hyperu.ales.direction@systeme-u.fr</v>
      </c>
      <c r="O19" s="1" t="s">
        <v>22</v>
      </c>
    </row>
    <row r="20" spans="1:15" ht="12.75" hidden="1" x14ac:dyDescent="0.2">
      <c r="A20">
        <v>90355</v>
      </c>
      <c r="B20" t="str">
        <f ca="1">VLOOKUP(A20,Import_SuiviGlobal_MigAppliSate!A:I,2,FALSE)</f>
        <v>ALES SALINDRES</v>
      </c>
      <c r="C20" t="str">
        <f ca="1">VLOOKUP(A20,Import_SuiviGlobal_MigAppliSate!A:I,3,FALSE)</f>
        <v>Super U</v>
      </c>
      <c r="D20" s="1" t="str">
        <f ca="1">VLOOKUP(A20,Import_SuiviGlobal_MigAppliSate!A:I,4,FALSE)</f>
        <v>Coop U Enseigne Sud</v>
      </c>
      <c r="E20">
        <f ca="1">VLOOKUP(A20,Import_SuiviGlobal_MigAppliSate!A:I,5,FALSE)</f>
        <v>30100</v>
      </c>
      <c r="F20" t="str">
        <f ca="1">VLOOKUP(A20,Import_SuiviGlobal_MigAppliSate!A:I,6,FALSE)</f>
        <v>42 CHEMIN DE BRUEGES</v>
      </c>
      <c r="G20" t="str">
        <f ca="1">VLOOKUP(A20,Import_SuiviGlobal_MigAppliSate!A:I,7,FALSE)</f>
        <v>04.66.86.15.40</v>
      </c>
      <c r="H20" t="str">
        <f ca="1">VLOOKUP(A20,Import_SuiviGlobal_MigAppliSate!A:I,8,FALSE)</f>
        <v>BUISSON Damien</v>
      </c>
      <c r="I20" t="str">
        <f ca="1">VLOOKUP(A20,Import_SuiviGlobal_MigAppliSate!A:I,9,FALSE)</f>
        <v>damien.buisson@systeme-u.fr</v>
      </c>
      <c r="J20" s="24" t="str">
        <f ca="1">VLOOKUP(A20,Import_SuiviGlobal_MigAppliSate!A:K,10,FALSE)</f>
        <v>Martial</v>
      </c>
      <c r="K20" t="str">
        <f ca="1">VLOOKUP(A20,Import_SuiviGlobal_MigAppliSate!A:K,11,FALSE)</f>
        <v>superu.alessalindres.direction@systeme-u.fr</v>
      </c>
      <c r="O20" s="1" t="s">
        <v>22</v>
      </c>
    </row>
    <row r="21" spans="1:15" ht="12.75" hidden="1" x14ac:dyDescent="0.2">
      <c r="A21">
        <v>65033</v>
      </c>
      <c r="B21" t="str">
        <f ca="1">VLOOKUP(A21,Import_SuiviGlobal_MigAppliSate!A:I,2,FALSE)</f>
        <v>ALGRANGE</v>
      </c>
      <c r="C21" t="str">
        <f ca="1">VLOOKUP(A21,Import_SuiviGlobal_MigAppliSate!A:I,3,FALSE)</f>
        <v>Super U</v>
      </c>
      <c r="D21" s="1" t="str">
        <f ca="1">VLOOKUP(A21,Import_SuiviGlobal_MigAppliSate!A:I,4,FALSE)</f>
        <v>Coop U Enseigne Est</v>
      </c>
      <c r="E21">
        <f ca="1">VLOOKUP(A21,Import_SuiviGlobal_MigAppliSate!A:I,5,FALSE)</f>
        <v>57440</v>
      </c>
      <c r="F21" t="str">
        <f ca="1">VLOOKUP(A21,Import_SuiviGlobal_MigAppliSate!A:I,6,FALSE)</f>
        <v>Rue de Knutange</v>
      </c>
      <c r="G21" t="str">
        <f ca="1">VLOOKUP(A21,Import_SuiviGlobal_MigAppliSate!A:I,7,FALSE)</f>
        <v>03.82.85.57.07</v>
      </c>
      <c r="H21" t="str">
        <f ca="1">VLOOKUP(A21,Import_SuiviGlobal_MigAppliSate!A:I,8,FALSE)</f>
        <v>BRIEUC Lucie</v>
      </c>
      <c r="I21" t="str">
        <f ca="1">VLOOKUP(A21,Import_SuiviGlobal_MigAppliSate!A:I,9,FALSE)</f>
        <v>lucie.brieuc@systeme-u.fr</v>
      </c>
      <c r="J21" s="24" t="str">
        <f ca="1">VLOOKUP(A21,Import_SuiviGlobal_MigAppliSate!A:K,10,FALSE)</f>
        <v>M. Brieuc</v>
      </c>
      <c r="K21" t="str">
        <f ca="1">VLOOKUP(A21,Import_SuiviGlobal_MigAppliSate!A:K,11,FALSE)</f>
        <v>christophe.brieuc@systeme-u.fr</v>
      </c>
      <c r="O21" s="1" t="s">
        <v>22</v>
      </c>
    </row>
    <row r="22" spans="1:15" ht="12.75" hidden="1" x14ac:dyDescent="0.2">
      <c r="A22">
        <v>90189</v>
      </c>
      <c r="B22" t="str">
        <f ca="1">VLOOKUP(A22,Import_SuiviGlobal_MigAppliSate!A:I,2,FALSE)</f>
        <v>ALISSAS</v>
      </c>
      <c r="C22" t="str">
        <f ca="1">VLOOKUP(A22,Import_SuiviGlobal_MigAppliSate!A:I,3,FALSE)</f>
        <v>Hyper U</v>
      </c>
      <c r="D22" s="1" t="str">
        <f ca="1">VLOOKUP(A22,Import_SuiviGlobal_MigAppliSate!A:I,4,FALSE)</f>
        <v>Coop U Enseigne Sud</v>
      </c>
      <c r="E22">
        <f ca="1">VLOOKUP(A22,Import_SuiviGlobal_MigAppliSate!A:I,5,FALSE)</f>
        <v>7210</v>
      </c>
      <c r="F22" t="str">
        <f ca="1">VLOOKUP(A22,Import_SuiviGlobal_MigAppliSate!A:I,6,FALSE)</f>
        <v>QUARTIER CLE DU SAC</v>
      </c>
      <c r="G22" t="str">
        <f ca="1">VLOOKUP(A22,Import_SuiviGlobal_MigAppliSate!A:I,7,FALSE)</f>
        <v>04.75.66.96.69</v>
      </c>
      <c r="H22" t="str">
        <f ca="1">VLOOKUP(A22,Import_SuiviGlobal_MigAppliSate!A:I,8,FALSE)</f>
        <v>DOIRE Philippe</v>
      </c>
      <c r="I22" t="str">
        <f ca="1">VLOOKUP(A22,Import_SuiviGlobal_MigAppliSate!A:I,9,FALSE)</f>
        <v>philippe.doire@systeme-u.fr</v>
      </c>
      <c r="J22" s="24" t="str">
        <f ca="1">VLOOKUP(A22,Import_SuiviGlobal_MigAppliSate!A:K,10,FALSE)</f>
        <v>SARTRE David - Directeur</v>
      </c>
      <c r="K22" t="str">
        <f ca="1">VLOOKUP(A22,Import_SuiviGlobal_MigAppliSate!A:K,11,FALSE)</f>
        <v>hyperu.alissas.directeur@systeme-u.fr</v>
      </c>
      <c r="O22" s="1" t="s">
        <v>22</v>
      </c>
    </row>
    <row r="23" spans="1:15" ht="12.75" x14ac:dyDescent="0.2">
      <c r="A23">
        <v>90698</v>
      </c>
      <c r="B23" t="str">
        <f ca="1">VLOOKUP(A23,Import_SuiviGlobal_MigAppliSate!A:I,2,FALSE)</f>
        <v>ALTHEN DES PALUDS</v>
      </c>
      <c r="C23" t="str">
        <f ca="1">VLOOKUP(A23,Import_SuiviGlobal_MigAppliSate!A:I,3,FALSE)</f>
        <v>U Express</v>
      </c>
      <c r="D23" s="1" t="str">
        <f ca="1">VLOOKUP(A23,Import_SuiviGlobal_MigAppliSate!A:I,4,FALSE)</f>
        <v>Coop MISTRAL</v>
      </c>
      <c r="E23">
        <f ca="1">VLOOKUP(A23,Import_SuiviGlobal_MigAppliSate!A:I,5,FALSE)</f>
        <v>84210</v>
      </c>
      <c r="F23" t="str">
        <f ca="1">VLOOKUP(A23,Import_SuiviGlobal_MigAppliSate!A:I,6,FALSE)</f>
        <v>204 RUE DE LA GARANCE</v>
      </c>
      <c r="G23" t="str">
        <f ca="1">VLOOKUP(A23,Import_SuiviGlobal_MigAppliSate!A:I,7,FALSE)</f>
        <v>04.90.62.14.40</v>
      </c>
      <c r="H23" t="str">
        <f ca="1">VLOOKUP(A23,Import_SuiviGlobal_MigAppliSate!A:I,8,FALSE)</f>
        <v>BLAISE Alice</v>
      </c>
      <c r="I23" t="str">
        <f ca="1">VLOOKUP(A23,Import_SuiviGlobal_MigAppliSate!A:I,9,FALSE)</f>
        <v/>
      </c>
      <c r="J23" s="24" t="str">
        <f ca="1">VLOOKUP(A23,Import_SuiviGlobal_MigAppliSate!A:K,10,FALSE)</f>
        <v>Mr Brusetti</v>
      </c>
      <c r="K23" t="str">
        <f ca="1">VLOOKUP(A23,Import_SuiviGlobal_MigAppliSate!A:K,11,FALSE)</f>
        <v>delphine.damian@lemistral.fr,helene.mina@lemistral.fr, uexpress.althen@mistral-u.fr</v>
      </c>
      <c r="L23" s="1" t="s">
        <v>17</v>
      </c>
      <c r="M23" s="1" t="s">
        <v>0</v>
      </c>
      <c r="O23" s="1" t="s">
        <v>22</v>
      </c>
    </row>
    <row r="24" spans="1:15" ht="12.75" hidden="1" x14ac:dyDescent="0.2">
      <c r="A24">
        <v>60041</v>
      </c>
      <c r="B24" t="str">
        <f ca="1">VLOOKUP(A24,Import_SuiviGlobal_MigAppliSate!A:I,2,FALSE)</f>
        <v>ALTKIRCH</v>
      </c>
      <c r="C24" t="str">
        <f ca="1">VLOOKUP(A24,Import_SuiviGlobal_MigAppliSate!A:I,3,FALSE)</f>
        <v>Super U</v>
      </c>
      <c r="D24" s="1" t="str">
        <f ca="1">VLOOKUP(A24,Import_SuiviGlobal_MigAppliSate!A:I,4,FALSE)</f>
        <v>Coop U Enseigne Est</v>
      </c>
      <c r="E24">
        <f ca="1">VLOOKUP(A24,Import_SuiviGlobal_MigAppliSate!A:I,5,FALSE)</f>
        <v>68130</v>
      </c>
      <c r="F24" t="str">
        <f ca="1">VLOOKUP(A24,Import_SuiviGlobal_MigAppliSate!A:I,6,FALSE)</f>
        <v>7 rue de Givet</v>
      </c>
      <c r="G24" t="str">
        <f ca="1">VLOOKUP(A24,Import_SuiviGlobal_MigAppliSate!A:I,7,FALSE)</f>
        <v>03.89.40.94.06</v>
      </c>
      <c r="H24" t="str">
        <f ca="1">VLOOKUP(A24,Import_SuiviGlobal_MigAppliSate!A:I,8,FALSE)</f>
        <v>HENRY Damien</v>
      </c>
      <c r="I24" t="str">
        <f ca="1">VLOOKUP(A24,Import_SuiviGlobal_MigAppliSate!A:I,9,FALSE)</f>
        <v>damien.henry@systeme-u.fr</v>
      </c>
      <c r="J24" s="24" t="str">
        <f ca="1">VLOOKUP(A24,Import_SuiviGlobal_MigAppliSate!A:K,10,FALSE)</f>
        <v>Alexandra DIDIER</v>
      </c>
      <c r="K24" t="str">
        <f ca="1">VLOOKUP(A24,Import_SuiviGlobal_MigAppliSate!A:K,11,FALSE)</f>
        <v>superu.altkirch.compta@systeme-u.fr</v>
      </c>
      <c r="O24" s="1" t="s">
        <v>22</v>
      </c>
    </row>
    <row r="25" spans="1:15" ht="12.75" x14ac:dyDescent="0.2">
      <c r="A25">
        <v>95119</v>
      </c>
      <c r="B25" t="str">
        <f ca="1">VLOOKUP(A25,Import_SuiviGlobal_MigAppliSate!A:I,2,FALSE)</f>
        <v>AMBARES</v>
      </c>
      <c r="C25" t="str">
        <f ca="1">VLOOKUP(A25,Import_SuiviGlobal_MigAppliSate!A:I,3,FALSE)</f>
        <v>U Express</v>
      </c>
      <c r="D25" s="1" t="str">
        <f ca="1">VLOOKUP(A25,Import_SuiviGlobal_MigAppliSate!A:I,4,FALSE)</f>
        <v>Coop U Enseigne Sud</v>
      </c>
      <c r="E25">
        <f ca="1">VLOOKUP(A25,Import_SuiviGlobal_MigAppliSate!A:I,5,FALSE)</f>
        <v>33440</v>
      </c>
      <c r="F25" t="str">
        <f ca="1">VLOOKUP(A25,Import_SuiviGlobal_MigAppliSate!A:I,6,FALSE)</f>
        <v>1 RUE EDOUARD HERRIOT</v>
      </c>
      <c r="G25" t="str">
        <f ca="1">VLOOKUP(A25,Import_SuiviGlobal_MigAppliSate!A:I,7,FALSE)</f>
        <v>05.56.38.84.05</v>
      </c>
      <c r="H25" t="str">
        <f ca="1">VLOOKUP(A25,Import_SuiviGlobal_MigAppliSate!A:I,8,FALSE)</f>
        <v>ET JEAN-PIERRE DELUGA STEPHANE MARTIN</v>
      </c>
      <c r="I25" t="str">
        <f ca="1">VLOOKUP(A25,Import_SuiviGlobal_MigAppliSate!A:I,9,FALSE)</f>
        <v>uexpress.ambares@systeme-u.fr</v>
      </c>
      <c r="J25" s="24" t="str">
        <f ca="1">VLOOKUP(A25,Import_SuiviGlobal_MigAppliSate!A:K,10,FALSE)</f>
        <v/>
      </c>
      <c r="K25" t="str">
        <f ca="1">VLOOKUP(A25,Import_SuiviGlobal_MigAppliSate!A:K,11,FALSE)</f>
        <v/>
      </c>
      <c r="L25" s="1" t="s">
        <v>17</v>
      </c>
      <c r="M25" s="1" t="s">
        <v>0</v>
      </c>
      <c r="O25" s="1" t="s">
        <v>22</v>
      </c>
    </row>
    <row r="26" spans="1:15" ht="12.75" hidden="1" x14ac:dyDescent="0.2">
      <c r="A26">
        <v>32063</v>
      </c>
      <c r="B26" t="str">
        <f ca="1">VLOOKUP(A26,Import_SuiviGlobal_MigAppliSate!A:I,2,FALSE)</f>
        <v>AMBAZAC</v>
      </c>
      <c r="C26" t="str">
        <f ca="1">VLOOKUP(A26,Import_SuiviGlobal_MigAppliSate!A:I,3,FALSE)</f>
        <v>Super U</v>
      </c>
      <c r="D26" s="1" t="str">
        <f ca="1">VLOOKUP(A26,Import_SuiviGlobal_MigAppliSate!A:I,4,FALSE)</f>
        <v>Coop Atlantique</v>
      </c>
      <c r="E26">
        <f ca="1">VLOOKUP(A26,Import_SuiviGlobal_MigAppliSate!A:I,5,FALSE)</f>
        <v>87240</v>
      </c>
      <c r="F26" t="str">
        <f ca="1">VLOOKUP(A26,Import_SuiviGlobal_MigAppliSate!A:I,6,FALSE)</f>
        <v>RUE DE LA LIBÉRATION</v>
      </c>
      <c r="G26" t="str">
        <f ca="1">VLOOKUP(A26,Import_SuiviGlobal_MigAppliSate!A:I,7,FALSE)</f>
        <v>05.55.56.61.26</v>
      </c>
      <c r="H26" t="str">
        <f ca="1">VLOOKUP(A26,Import_SuiviGlobal_MigAppliSate!A:I,8,FALSE)</f>
        <v>FLAMBARD Hervé</v>
      </c>
      <c r="I26" t="str">
        <f ca="1">VLOOKUP(A26,Import_SuiviGlobal_MigAppliSate!A:I,9,FALSE)</f>
        <v>bertrand.defontaine_coop_su_uex@systeme-u.fr</v>
      </c>
      <c r="J26" s="24" t="str">
        <f ca="1">VLOOKUP(A26,Import_SuiviGlobal_MigAppliSate!A:K,10,FALSE)</f>
        <v>Stéphanie SAVOY</v>
      </c>
      <c r="K26" t="str">
        <f ca="1">VLOOKUP(A26,Import_SuiviGlobal_MigAppliSate!A:K,11,FALSE)</f>
        <v>superu.ambazac.direction@systeme-u.fr,nbrigant@coop-atlantique.fr,sjaud@coop-atlantique.fr,mbonnetaud@coop-atlantique.fr</v>
      </c>
      <c r="O26" s="1" t="s">
        <v>22</v>
      </c>
    </row>
    <row r="27" spans="1:15" ht="12.75" hidden="1" x14ac:dyDescent="0.2">
      <c r="A27">
        <v>25871</v>
      </c>
      <c r="B27" t="str">
        <f ca="1">VLOOKUP(A27,Import_SuiviGlobal_MigAppliSate!A:I,2,FALSE)</f>
        <v>AMIENS</v>
      </c>
      <c r="C27" t="str">
        <f ca="1">VLOOKUP(A27,Import_SuiviGlobal_MigAppliSate!A:I,3,FALSE)</f>
        <v>Super U</v>
      </c>
      <c r="D27" s="1" t="str">
        <f ca="1">VLOOKUP(A27,Import_SuiviGlobal_MigAppliSate!A:I,4,FALSE)</f>
        <v>Coop U Enseigne NordOuest</v>
      </c>
      <c r="E27">
        <f ca="1">VLOOKUP(A27,Import_SuiviGlobal_MigAppliSate!A:I,5,FALSE)</f>
        <v>80000</v>
      </c>
      <c r="F27" t="str">
        <f ca="1">VLOOKUP(A27,Import_SuiviGlobal_MigAppliSate!A:I,6,FALSE)</f>
        <v>4 RUE EDOUARD LUCAS</v>
      </c>
      <c r="G27" t="str">
        <f ca="1">VLOOKUP(A27,Import_SuiviGlobal_MigAppliSate!A:I,7,FALSE)</f>
        <v>03.22.50.08.44</v>
      </c>
      <c r="H27" t="str">
        <f ca="1">VLOOKUP(A27,Import_SuiviGlobal_MigAppliSate!A:I,8,FALSE)</f>
        <v>GEST Charles-Henri</v>
      </c>
      <c r="I27" t="str">
        <f ca="1">VLOOKUP(A27,Import_SuiviGlobal_MigAppliSate!A:I,9,FALSE)</f>
        <v>charles-henri.gest@systeme-u.fr</v>
      </c>
      <c r="J27" s="24" t="str">
        <f ca="1">VLOOKUP(A27,Import_SuiviGlobal_MigAppliSate!A:K,10,FALSE)</f>
        <v/>
      </c>
      <c r="K27" t="str">
        <f ca="1">VLOOKUP(A27,Import_SuiviGlobal_MigAppliSate!A:K,11,FALSE)</f>
        <v/>
      </c>
      <c r="O27" s="1" t="s">
        <v>22</v>
      </c>
    </row>
    <row r="28" spans="1:15" ht="12.75" hidden="1" x14ac:dyDescent="0.2">
      <c r="A28">
        <v>66132</v>
      </c>
      <c r="B28" t="str">
        <f ca="1">VLOOKUP(A28,Import_SuiviGlobal_MigAppliSate!A:I,2,FALSE)</f>
        <v>AMPHION LES BAINS</v>
      </c>
      <c r="C28" t="str">
        <f ca="1">VLOOKUP(A28,Import_SuiviGlobal_MigAppliSate!A:I,3,FALSE)</f>
        <v>Super U</v>
      </c>
      <c r="D28" s="1" t="str">
        <f ca="1">VLOOKUP(A28,Import_SuiviGlobal_MigAppliSate!A:I,4,FALSE)</f>
        <v>Coop U Enseigne Est</v>
      </c>
      <c r="E28">
        <f ca="1">VLOOKUP(A28,Import_SuiviGlobal_MigAppliSate!A:I,5,FALSE)</f>
        <v>74500</v>
      </c>
      <c r="F28" t="str">
        <f ca="1">VLOOKUP(A28,Import_SuiviGlobal_MigAppliSate!A:I,6,FALSE)</f>
        <v>21 RUE DU CLOS FLEURIS</v>
      </c>
      <c r="G28" t="str">
        <f ca="1">VLOOKUP(A28,Import_SuiviGlobal_MigAppliSate!A:I,7,FALSE)</f>
        <v>04.50.70.00.49</v>
      </c>
      <c r="H28" t="str">
        <f ca="1">VLOOKUP(A28,Import_SuiviGlobal_MigAppliSate!A:I,8,FALSE)</f>
        <v>FERNEX Isabelle</v>
      </c>
      <c r="I28" t="str">
        <f ca="1">VLOOKUP(A28,Import_SuiviGlobal_MigAppliSate!A:I,9,FALSE)</f>
        <v>isabelle.fernex@systeme-u.fr</v>
      </c>
      <c r="J28" s="24" t="str">
        <f ca="1">VLOOKUP(A28,Import_SuiviGlobal_MigAppliSate!A:K,10,FALSE)</f>
        <v/>
      </c>
      <c r="K28" t="str">
        <f ca="1">VLOOKUP(A28,Import_SuiviGlobal_MigAppliSate!A:K,11,FALSE)</f>
        <v/>
      </c>
      <c r="O28" s="1" t="s">
        <v>22</v>
      </c>
    </row>
    <row r="29" spans="1:15" ht="12.75" hidden="1" x14ac:dyDescent="0.2">
      <c r="A29">
        <v>35415</v>
      </c>
      <c r="B29" t="str">
        <f ca="1">VLOOKUP(A29,Import_SuiviGlobal_MigAppliSate!A:I,2,FALSE)</f>
        <v>ANCENIS</v>
      </c>
      <c r="C29" t="str">
        <f ca="1">VLOOKUP(A29,Import_SuiviGlobal_MigAppliSate!A:I,3,FALSE)</f>
        <v>Super U</v>
      </c>
      <c r="D29" s="1" t="str">
        <f ca="1">VLOOKUP(A29,Import_SuiviGlobal_MigAppliSate!A:I,4,FALSE)</f>
        <v>Coop U Enseigne Ouest</v>
      </c>
      <c r="E29">
        <f ca="1">VLOOKUP(A29,Import_SuiviGlobal_MigAppliSate!A:I,5,FALSE)</f>
        <v>44150</v>
      </c>
      <c r="F29" t="str">
        <f ca="1">VLOOKUP(A29,Import_SuiviGlobal_MigAppliSate!A:I,6,FALSE)</f>
        <v>154, RUE AUDIGANNE</v>
      </c>
      <c r="G29" t="str">
        <f ca="1">VLOOKUP(A29,Import_SuiviGlobal_MigAppliSate!A:I,7,FALSE)</f>
        <v>02.40.96.22.97</v>
      </c>
      <c r="H29" t="str">
        <f ca="1">VLOOKUP(A29,Import_SuiviGlobal_MigAppliSate!A:I,8,FALSE)</f>
        <v>BORDRON Max</v>
      </c>
      <c r="I29" t="str">
        <f ca="1">VLOOKUP(A29,Import_SuiviGlobal_MigAppliSate!A:I,9,FALSE)</f>
        <v>max.bordron@systeme-u.fr</v>
      </c>
      <c r="J29" s="24" t="str">
        <f ca="1">VLOOKUP(A29,Import_SuiviGlobal_MigAppliSate!A:K,10,FALSE)</f>
        <v>Petiteau Valérie</v>
      </c>
      <c r="K29" t="str">
        <f ca="1">VLOOKUP(A29,Import_SuiviGlobal_MigAppliSate!A:K,11,FALSE)</f>
        <v>superu.ancenis.compta1@systeme-u.fr</v>
      </c>
      <c r="O29" s="1" t="s">
        <v>22</v>
      </c>
    </row>
    <row r="30" spans="1:15" ht="12.75" hidden="1" x14ac:dyDescent="0.2">
      <c r="A30">
        <v>37811</v>
      </c>
      <c r="B30" t="str">
        <f ca="1">VLOOKUP(A30,Import_SuiviGlobal_MigAppliSate!A:I,2,FALSE)</f>
        <v>ANDARD</v>
      </c>
      <c r="C30" t="str">
        <f ca="1">VLOOKUP(A30,Import_SuiviGlobal_MigAppliSate!A:I,3,FALSE)</f>
        <v>Super U</v>
      </c>
      <c r="D30" s="1" t="str">
        <f ca="1">VLOOKUP(A30,Import_SuiviGlobal_MigAppliSate!A:I,4,FALSE)</f>
        <v>Coop U Enseigne Ouest</v>
      </c>
      <c r="E30">
        <f ca="1">VLOOKUP(A30,Import_SuiviGlobal_MigAppliSate!A:I,5,FALSE)</f>
        <v>49800</v>
      </c>
      <c r="F30" t="str">
        <f ca="1">VLOOKUP(A30,Import_SuiviGlobal_MigAppliSate!A:I,6,FALSE)</f>
        <v>55 GRANDE RUE</v>
      </c>
      <c r="G30" t="str">
        <f ca="1">VLOOKUP(A30,Import_SuiviGlobal_MigAppliSate!A:I,7,FALSE)</f>
        <v>02.41.80.47.87</v>
      </c>
      <c r="H30" t="str">
        <f ca="1">VLOOKUP(A30,Import_SuiviGlobal_MigAppliSate!A:I,8,FALSE)</f>
        <v>LERENDU RPT SARL LA MOUETTE Pascale</v>
      </c>
      <c r="I30" t="str">
        <f ca="1">VLOOKUP(A30,Import_SuiviGlobal_MigAppliSate!A:I,9,FALSE)</f>
        <v>pascale.lerendu@systeme-u.fr</v>
      </c>
      <c r="J30" s="24" t="str">
        <f ca="1">VLOOKUP(A30,Import_SuiviGlobal_MigAppliSate!A:K,10,FALSE)</f>
        <v/>
      </c>
      <c r="K30" t="str">
        <f ca="1">VLOOKUP(A30,Import_SuiviGlobal_MigAppliSate!A:K,11,FALSE)</f>
        <v/>
      </c>
      <c r="O30" s="1" t="s">
        <v>22</v>
      </c>
    </row>
    <row r="31" spans="1:15" ht="12.75" hidden="1" x14ac:dyDescent="0.2">
      <c r="A31">
        <v>90381</v>
      </c>
      <c r="B31" t="str">
        <f ca="1">VLOOKUP(A31,Import_SuiviGlobal_MigAppliSate!A:I,2,FALSE)</f>
        <v>ANDUZE</v>
      </c>
      <c r="C31" t="str">
        <f ca="1">VLOOKUP(A31,Import_SuiviGlobal_MigAppliSate!A:I,3,FALSE)</f>
        <v>Super U</v>
      </c>
      <c r="D31" s="1" t="str">
        <f ca="1">VLOOKUP(A31,Import_SuiviGlobal_MigAppliSate!A:I,4,FALSE)</f>
        <v>Coop U Enseigne Sud</v>
      </c>
      <c r="E31">
        <f ca="1">VLOOKUP(A31,Import_SuiviGlobal_MigAppliSate!A:I,5,FALSE)</f>
        <v>30140</v>
      </c>
      <c r="F31" t="str">
        <f ca="1">VLOOKUP(A31,Import_SuiviGlobal_MigAppliSate!A:I,6,FALSE)</f>
        <v>RUE DU LUXEMBOURG</v>
      </c>
      <c r="G31" t="str">
        <f ca="1">VLOOKUP(A31,Import_SuiviGlobal_MigAppliSate!A:I,7,FALSE)</f>
        <v>04.66.60.51.00</v>
      </c>
      <c r="H31" t="str">
        <f ca="1">VLOOKUP(A31,Import_SuiviGlobal_MigAppliSate!A:I,8,FALSE)</f>
        <v>LEGRAND Christelle</v>
      </c>
      <c r="I31" t="str">
        <f ca="1">VLOOKUP(A31,Import_SuiviGlobal_MigAppliSate!A:I,9,FALSE)</f>
        <v>christelle.legrand@systeme-u.fr</v>
      </c>
      <c r="J31" s="24" t="str">
        <f ca="1">VLOOKUP(A31,Import_SuiviGlobal_MigAppliSate!A:K,10,FALSE)</f>
        <v>M. Christian FEUILLET</v>
      </c>
      <c r="K31" t="str">
        <f ca="1">VLOOKUP(A31,Import_SuiviGlobal_MigAppliSate!A:K,11,FALSE)</f>
        <v>superu.anduze.direction@systeme-u.fr</v>
      </c>
      <c r="O31" s="1" t="s">
        <v>22</v>
      </c>
    </row>
    <row r="32" spans="1:15" ht="12.75" x14ac:dyDescent="0.2">
      <c r="A32">
        <v>37749</v>
      </c>
      <c r="B32" t="str">
        <f ca="1">VLOOKUP(A32,Import_SuiviGlobal_MigAppliSate!A:I,2,FALSE)</f>
        <v>ANGERS BEAUSSIER</v>
      </c>
      <c r="C32" t="str">
        <f ca="1">VLOOKUP(A32,Import_SuiviGlobal_MigAppliSate!A:I,3,FALSE)</f>
        <v>U Express</v>
      </c>
      <c r="D32" s="1" t="str">
        <f ca="1">VLOOKUP(A32,Import_SuiviGlobal_MigAppliSate!A:I,4,FALSE)</f>
        <v>Coop U Enseigne Ouest</v>
      </c>
      <c r="E32">
        <f ca="1">VLOOKUP(A32,Import_SuiviGlobal_MigAppliSate!A:I,5,FALSE)</f>
        <v>49000</v>
      </c>
      <c r="F32" t="str">
        <f ca="1">VLOOKUP(A32,Import_SuiviGlobal_MigAppliSate!A:I,6,FALSE)</f>
        <v>41 CHEMIN DE LA LANDE</v>
      </c>
      <c r="G32" t="str">
        <f ca="1">VLOOKUP(A32,Import_SuiviGlobal_MigAppliSate!A:I,7,FALSE)</f>
        <v>02.41.36.02.02</v>
      </c>
      <c r="H32" t="str">
        <f ca="1">VLOOKUP(A32,Import_SuiviGlobal_MigAppliSate!A:I,8,FALSE)</f>
        <v>COUTANT RPT SARL CAREODIS Frédéric</v>
      </c>
      <c r="I32" t="str">
        <f ca="1">VLOOKUP(A32,Import_SuiviGlobal_MigAppliSate!A:I,9,FALSE)</f>
        <v>frederic.coutant@systeme-u.fr</v>
      </c>
      <c r="J32" s="24" t="str">
        <f ca="1">VLOOKUP(A32,Import_SuiviGlobal_MigAppliSate!A:K,10,FALSE)</f>
        <v/>
      </c>
      <c r="K32" t="str">
        <f ca="1">VLOOKUP(A32,Import_SuiviGlobal_MigAppliSate!A:K,11,FALSE)</f>
        <v/>
      </c>
      <c r="L32" t="s">
        <v>17</v>
      </c>
      <c r="M32" t="s">
        <v>0</v>
      </c>
      <c r="O32" s="1" t="s">
        <v>22</v>
      </c>
    </row>
    <row r="33" spans="1:15" ht="12.75" hidden="1" x14ac:dyDescent="0.2">
      <c r="A33">
        <v>34361</v>
      </c>
      <c r="B33" t="str">
        <f ca="1">VLOOKUP(A33,Import_SuiviGlobal_MigAppliSate!A:I,2,FALSE)</f>
        <v>ANGERS LA ROSERAIE</v>
      </c>
      <c r="C33" t="str">
        <f ca="1">VLOOKUP(A33,Import_SuiviGlobal_MigAppliSate!A:I,3,FALSE)</f>
        <v>U Express</v>
      </c>
      <c r="D33" s="1" t="str">
        <f ca="1">VLOOKUP(A33,Import_SuiviGlobal_MigAppliSate!A:I,4,FALSE)</f>
        <v>Coop U Enseigne Ouest</v>
      </c>
      <c r="E33">
        <f ca="1">VLOOKUP(A33,Import_SuiviGlobal_MigAppliSate!A:I,5,FALSE)</f>
        <v>49000</v>
      </c>
      <c r="F33" t="str">
        <f ca="1">VLOOKUP(A33,Import_SuiviGlobal_MigAppliSate!A:I,6,FALSE)</f>
        <v>PLACE JEAN XXIII</v>
      </c>
      <c r="G33" t="str">
        <f ca="1">VLOOKUP(A33,Import_SuiviGlobal_MigAppliSate!A:I,7,FALSE)</f>
        <v>02.41.47.13.65</v>
      </c>
      <c r="H33" t="str">
        <f ca="1">VLOOKUP(A33,Import_SuiviGlobal_MigAppliSate!A:I,8,FALSE)</f>
        <v>LAISIS David</v>
      </c>
      <c r="I33" t="str">
        <f ca="1">VLOOKUP(A33,Import_SuiviGlobal_MigAppliSate!A:I,9,FALSE)</f>
        <v>david.laisis@systeme-u.fr</v>
      </c>
      <c r="J33" s="24" t="str">
        <f ca="1">VLOOKUP(A33,Import_SuiviGlobal_MigAppliSate!A:K,10,FALSE)</f>
        <v/>
      </c>
      <c r="K33" t="str">
        <f ca="1">VLOOKUP(A33,Import_SuiviGlobal_MigAppliSate!A:K,11,FALSE)</f>
        <v/>
      </c>
      <c r="O33" s="1" t="s">
        <v>22</v>
      </c>
    </row>
    <row r="34" spans="1:15" ht="12.75" hidden="1" x14ac:dyDescent="0.2">
      <c r="A34">
        <v>38761</v>
      </c>
      <c r="B34" t="str">
        <f ca="1">VLOOKUP(A34,Import_SuiviGlobal_MigAppliSate!A:I,2,FALSE)</f>
        <v>ANGERS LES JUSTICES</v>
      </c>
      <c r="C34" t="str">
        <f ca="1">VLOOKUP(A34,Import_SuiviGlobal_MigAppliSate!A:I,3,FALSE)</f>
        <v>Super U</v>
      </c>
      <c r="D34" s="1" t="str">
        <f ca="1">VLOOKUP(A34,Import_SuiviGlobal_MigAppliSate!A:I,4,FALSE)</f>
        <v>Coop U Enseigne Ouest</v>
      </c>
      <c r="E34">
        <f ca="1">VLOOKUP(A34,Import_SuiviGlobal_MigAppliSate!A:I,5,FALSE)</f>
        <v>49000</v>
      </c>
      <c r="F34" t="str">
        <f ca="1">VLOOKUP(A34,Import_SuiviGlobal_MigAppliSate!A:I,6,FALSE)</f>
        <v>6 SQUARE LOUIS JOUVET</v>
      </c>
      <c r="G34" t="str">
        <f ca="1">VLOOKUP(A34,Import_SuiviGlobal_MigAppliSate!A:I,7,FALSE)</f>
        <v>02.41.47.55.61</v>
      </c>
      <c r="H34" t="str">
        <f ca="1">VLOOKUP(A34,Import_SuiviGlobal_MigAppliSate!A:I,8,FALSE)</f>
        <v>GERMOND RPT SAS HGCP Philippe</v>
      </c>
      <c r="I34" t="str">
        <f ca="1">VLOOKUP(A34,Import_SuiviGlobal_MigAppliSate!A:I,9,FALSE)</f>
        <v>philippe.germond@systeme-u.fr</v>
      </c>
      <c r="J34" s="24" t="str">
        <f ca="1">VLOOKUP(A34,Import_SuiviGlobal_MigAppliSate!A:K,10,FALSE)</f>
        <v>Jeudy Vanessa</v>
      </c>
      <c r="K34" t="str">
        <f ca="1">VLOOKUP(A34,Import_SuiviGlobal_MigAppliSate!A:K,11,FALSE)</f>
        <v>superu.angerslouisjouvet.gescom@systeme-u.fr</v>
      </c>
      <c r="O34" s="1" t="s">
        <v>22</v>
      </c>
    </row>
    <row r="35" spans="1:15" ht="12.75" hidden="1" x14ac:dyDescent="0.2">
      <c r="A35">
        <v>38220</v>
      </c>
      <c r="B35" t="str">
        <f ca="1">VLOOKUP(A35,Import_SuiviGlobal_MigAppliSate!A:I,2,FALSE)</f>
        <v>ANGERS UNIVERSITE</v>
      </c>
      <c r="C35" t="str">
        <f ca="1">VLOOKUP(A35,Import_SuiviGlobal_MigAppliSate!A:I,3,FALSE)</f>
        <v>U Express</v>
      </c>
      <c r="D35" s="1" t="str">
        <f ca="1">VLOOKUP(A35,Import_SuiviGlobal_MigAppliSate!A:I,4,FALSE)</f>
        <v>Coop U Enseigne Ouest</v>
      </c>
      <c r="E35">
        <f ca="1">VLOOKUP(A35,Import_SuiviGlobal_MigAppliSate!A:I,5,FALSE)</f>
        <v>49000</v>
      </c>
      <c r="F35" t="str">
        <f ca="1">VLOOKUP(A35,Import_SuiviGlobal_MigAppliSate!A:I,6,FALSE)</f>
        <v>59 RUE DE RENNES</v>
      </c>
      <c r="G35" t="str">
        <f ca="1">VLOOKUP(A35,Import_SuiviGlobal_MigAppliSate!A:I,7,FALSE)</f>
        <v>02.72.79.88.62</v>
      </c>
      <c r="H35" t="str">
        <f ca="1">VLOOKUP(A35,Import_SuiviGlobal_MigAppliSate!A:I,8,FALSE)</f>
        <v>PAHAUT RPT MAP FINANCES Aymeric</v>
      </c>
      <c r="I35" t="str">
        <f ca="1">VLOOKUP(A35,Import_SuiviGlobal_MigAppliSate!A:I,9,FALSE)</f>
        <v>aymeric.pahaut@systeme-u.fr</v>
      </c>
      <c r="J35" s="24" t="str">
        <f ca="1">VLOOKUP(A35,Import_SuiviGlobal_MigAppliSate!A:K,10,FALSE)</f>
        <v/>
      </c>
      <c r="K35" t="str">
        <f ca="1">VLOOKUP(A35,Import_SuiviGlobal_MigAppliSate!A:K,11,FALSE)</f>
        <v/>
      </c>
      <c r="O35" s="1" t="s">
        <v>22</v>
      </c>
    </row>
    <row r="36" spans="1:15" ht="12.75" hidden="1" x14ac:dyDescent="0.2">
      <c r="A36">
        <v>34165</v>
      </c>
      <c r="B36" t="str">
        <f ca="1">VLOOKUP(A36,Import_SuiviGlobal_MigAppliSate!A:I,2,FALSE)</f>
        <v>ANGOULÊME</v>
      </c>
      <c r="C36" t="str">
        <f ca="1">VLOOKUP(A36,Import_SuiviGlobal_MigAppliSate!A:I,3,FALSE)</f>
        <v>U Express</v>
      </c>
      <c r="D36" s="1" t="str">
        <f ca="1">VLOOKUP(A36,Import_SuiviGlobal_MigAppliSate!A:I,4,FALSE)</f>
        <v>Coop Atlantique</v>
      </c>
      <c r="E36">
        <f ca="1">VLOOKUP(A36,Import_SuiviGlobal_MigAppliSate!A:I,5,FALSE)</f>
        <v>16000</v>
      </c>
      <c r="F36" t="str">
        <f ca="1">VLOOKUP(A36,Import_SuiviGlobal_MigAppliSate!A:I,6,FALSE)</f>
        <v>13, RUE RENÉ GOSCIGNY</v>
      </c>
      <c r="G36" t="str">
        <f ca="1">VLOOKUP(A36,Import_SuiviGlobal_MigAppliSate!A:I,7,FALSE)</f>
        <v>05.45.92.02.64</v>
      </c>
      <c r="H36" t="str">
        <f ca="1">VLOOKUP(A36,Import_SuiviGlobal_MigAppliSate!A:I,8,FALSE)</f>
        <v>FLAMBARD Hervé</v>
      </c>
      <c r="I36" t="str">
        <f ca="1">VLOOKUP(A36,Import_SuiviGlobal_MigAppliSate!A:I,9,FALSE)</f>
        <v>bertrand.defontaine_coop_su_uex@systeme-u.fr</v>
      </c>
      <c r="J36" s="24" t="str">
        <f ca="1">VLOOKUP(A36,Import_SuiviGlobal_MigAppliSate!A:K,10,FALSE)</f>
        <v/>
      </c>
      <c r="K36" t="str">
        <f ca="1">VLOOKUP(A36,Import_SuiviGlobal_MigAppliSate!A:K,11,FALSE)</f>
        <v>uexpress.angoulemechampdemars.direction@systeme-u.fr,nbrigant@coop-atlantique.fr,sjaud@coop-atlantique.fr</v>
      </c>
      <c r="O36" s="1" t="s">
        <v>22</v>
      </c>
    </row>
    <row r="37" spans="1:15" ht="12.75" hidden="1" x14ac:dyDescent="0.2">
      <c r="A37">
        <v>24790</v>
      </c>
      <c r="B37" t="str">
        <f ca="1">VLOOKUP(A37,Import_SuiviGlobal_MigAppliSate!A:I,2,FALSE)</f>
        <v>ANNAY SOUS LENS</v>
      </c>
      <c r="C37" t="str">
        <f ca="1">VLOOKUP(A37,Import_SuiviGlobal_MigAppliSate!A:I,3,FALSE)</f>
        <v>Super U</v>
      </c>
      <c r="D37" s="1" t="str">
        <f ca="1">VLOOKUP(A37,Import_SuiviGlobal_MigAppliSate!A:I,4,FALSE)</f>
        <v>Coop U Enseigne NordOuest</v>
      </c>
      <c r="E37">
        <f ca="1">VLOOKUP(A37,Import_SuiviGlobal_MigAppliSate!A:I,5,FALSE)</f>
        <v>62880</v>
      </c>
      <c r="F37" t="str">
        <f ca="1">VLOOKUP(A37,Import_SuiviGlobal_MigAppliSate!A:I,6,FALSE)</f>
        <v>53 RUE JOSEPH MATTEI</v>
      </c>
      <c r="G37" t="str">
        <f ca="1">VLOOKUP(A37,Import_SuiviGlobal_MigAppliSate!A:I,7,FALSE)</f>
        <v>03.21.42.55.66</v>
      </c>
      <c r="H37" t="str">
        <f ca="1">VLOOKUP(A37,Import_SuiviGlobal_MigAppliSate!A:I,8,FALSE)</f>
        <v>HANON Frédéric</v>
      </c>
      <c r="I37" t="str">
        <f ca="1">VLOOKUP(A37,Import_SuiviGlobal_MigAppliSate!A:I,9,FALSE)</f>
        <v>frederic.hanon@systeme-u.fr</v>
      </c>
      <c r="J37" s="24" t="str">
        <f ca="1">VLOOKUP(A37,Import_SuiviGlobal_MigAppliSate!A:K,10,FALSE)</f>
        <v/>
      </c>
      <c r="K37" t="str">
        <f ca="1">VLOOKUP(A37,Import_SuiviGlobal_MigAppliSate!A:K,11,FALSE)</f>
        <v/>
      </c>
      <c r="O37" s="1" t="s">
        <v>22</v>
      </c>
    </row>
    <row r="38" spans="1:15" ht="12.75" hidden="1" x14ac:dyDescent="0.2">
      <c r="A38">
        <v>90475</v>
      </c>
      <c r="B38" t="str">
        <f ca="1">VLOOKUP(A38,Import_SuiviGlobal_MigAppliSate!A:I,2,FALSE)</f>
        <v>ANNONAY</v>
      </c>
      <c r="C38" t="str">
        <f ca="1">VLOOKUP(A38,Import_SuiviGlobal_MigAppliSate!A:I,3,FALSE)</f>
        <v>Super U</v>
      </c>
      <c r="D38" s="1" t="str">
        <f ca="1">VLOOKUP(A38,Import_SuiviGlobal_MigAppliSate!A:I,4,FALSE)</f>
        <v>Coop U Enseigne Sud</v>
      </c>
      <c r="E38">
        <f ca="1">VLOOKUP(A38,Import_SuiviGlobal_MigAppliSate!A:I,5,FALSE)</f>
        <v>7100</v>
      </c>
      <c r="F38" t="str">
        <f ca="1">VLOOKUP(A38,Import_SuiviGlobal_MigAppliSate!A:I,6,FALSE)</f>
        <v>55 AVENUE DE L EUROPE</v>
      </c>
      <c r="G38" t="str">
        <f ca="1">VLOOKUP(A38,Import_SuiviGlobal_MigAppliSate!A:I,7,FALSE)</f>
        <v>04.75.69.00.30</v>
      </c>
      <c r="H38" t="str">
        <f ca="1">VLOOKUP(A38,Import_SuiviGlobal_MigAppliSate!A:I,8,FALSE)</f>
        <v>BOURBON Michel</v>
      </c>
      <c r="I38" t="str">
        <f ca="1">VLOOKUP(A38,Import_SuiviGlobal_MigAppliSate!A:I,9,FALSE)</f>
        <v>michel.bourbon@systeme-u.fr</v>
      </c>
      <c r="J38" s="24" t="str">
        <f ca="1">VLOOKUP(A38,Import_SuiviGlobal_MigAppliSate!A:K,10,FALSE)</f>
        <v>SAUZEAT MAXIME
Mme Astier (UPLV)</v>
      </c>
      <c r="K38" t="str">
        <f ca="1">VLOOKUP(A38,Import_SuiviGlobal_MigAppliSate!A:K,11,FALSE)</f>
        <v>superu.annonay.compta@systeme-u.fr, superu.annonay.pub@systeme-u.fr</v>
      </c>
      <c r="O38" s="1" t="s">
        <v>22</v>
      </c>
    </row>
    <row r="39" spans="1:15" ht="12.75" hidden="1" x14ac:dyDescent="0.2">
      <c r="A39">
        <v>65446</v>
      </c>
      <c r="B39" t="str">
        <f ca="1">VLOOKUP(A39,Import_SuiviGlobal_MigAppliSate!A:I,2,FALSE)</f>
        <v>ANOULD</v>
      </c>
      <c r="C39" t="str">
        <f ca="1">VLOOKUP(A39,Import_SuiviGlobal_MigAppliSate!A:I,3,FALSE)</f>
        <v>Super U</v>
      </c>
      <c r="D39" s="1" t="str">
        <f ca="1">VLOOKUP(A39,Import_SuiviGlobal_MigAppliSate!A:I,4,FALSE)</f>
        <v>Coop U Enseigne Est</v>
      </c>
      <c r="E39">
        <f ca="1">VLOOKUP(A39,Import_SuiviGlobal_MigAppliSate!A:I,5,FALSE)</f>
        <v>88650</v>
      </c>
      <c r="F39" t="str">
        <f ca="1">VLOOKUP(A39,Import_SuiviGlobal_MigAppliSate!A:I,6,FALSE)</f>
        <v>493 AVENUE DE SAINT DIÉ</v>
      </c>
      <c r="G39" t="str">
        <f ca="1">VLOOKUP(A39,Import_SuiviGlobal_MigAppliSate!A:I,7,FALSE)</f>
        <v>03.29.52.79.79</v>
      </c>
      <c r="H39" t="str">
        <f ca="1">VLOOKUP(A39,Import_SuiviGlobal_MigAppliSate!A:I,8,FALSE)</f>
        <v>FUMEY Valery</v>
      </c>
      <c r="I39" t="str">
        <f ca="1">VLOOKUP(A39,Import_SuiviGlobal_MigAppliSate!A:I,9,FALSE)</f>
        <v>valery.fumey@systeme-u.fr</v>
      </c>
      <c r="J39" s="24" t="str">
        <f ca="1">VLOOKUP(A39,Import_SuiviGlobal_MigAppliSate!A:K,10,FALSE)</f>
        <v>Mme Annabelle FUMEY</v>
      </c>
      <c r="K39" t="str">
        <f ca="1">VLOOKUP(A39,Import_SuiviGlobal_MigAppliSate!A:K,11,FALSE)</f>
        <v>annabelle.fumey@systeme-u.fr</v>
      </c>
      <c r="O39" s="1" t="s">
        <v>22</v>
      </c>
    </row>
    <row r="40" spans="1:15" ht="12.75" hidden="1" x14ac:dyDescent="0.2">
      <c r="A40">
        <v>62112</v>
      </c>
      <c r="B40" t="str">
        <f ca="1">VLOOKUP(A40,Import_SuiviGlobal_MigAppliSate!A:I,2,FALSE)</f>
        <v>ARBOIS</v>
      </c>
      <c r="C40" t="str">
        <f ca="1">VLOOKUP(A40,Import_SuiviGlobal_MigAppliSate!A:I,3,FALSE)</f>
        <v>Super U</v>
      </c>
      <c r="D40" s="1" t="str">
        <f ca="1">VLOOKUP(A40,Import_SuiviGlobal_MigAppliSate!A:I,4,FALSE)</f>
        <v>Coop U Enseigne Est</v>
      </c>
      <c r="E40">
        <f ca="1">VLOOKUP(A40,Import_SuiviGlobal_MigAppliSate!A:I,5,FALSE)</f>
        <v>39600</v>
      </c>
      <c r="F40" t="str">
        <f ca="1">VLOOKUP(A40,Import_SuiviGlobal_MigAppliSate!A:I,6,FALSE)</f>
        <v>ROUTE DE DOLE</v>
      </c>
      <c r="G40" t="str">
        <f ca="1">VLOOKUP(A40,Import_SuiviGlobal_MigAppliSate!A:I,7,FALSE)</f>
        <v>03.84.66.27.85</v>
      </c>
      <c r="H40" t="str">
        <f ca="1">VLOOKUP(A40,Import_SuiviGlobal_MigAppliSate!A:I,8,FALSE)</f>
        <v>TERRIEN Emmanuel</v>
      </c>
      <c r="I40" t="str">
        <f ca="1">VLOOKUP(A40,Import_SuiviGlobal_MigAppliSate!A:I,9,FALSE)</f>
        <v>emmanuel.terrien@systeme-u.fr</v>
      </c>
      <c r="J40" s="24" t="str">
        <f ca="1">VLOOKUP(A40,Import_SuiviGlobal_MigAppliSate!A:K,10,FALSE)</f>
        <v xml:space="preserve">FRAICHARD Véronique </v>
      </c>
      <c r="K40" t="str">
        <f ca="1">VLOOKUP(A40,Import_SuiviGlobal_MigAppliSate!A:K,11,FALSE)</f>
        <v>superu.arbois.location_u@systeme-u.fr</v>
      </c>
      <c r="O40" s="1" t="s">
        <v>22</v>
      </c>
    </row>
    <row r="41" spans="1:15" ht="12.75" hidden="1" x14ac:dyDescent="0.2">
      <c r="A41">
        <v>62098</v>
      </c>
      <c r="B41" t="str">
        <f ca="1">VLOOKUP(A41,Import_SuiviGlobal_MigAppliSate!A:I,2,FALSE)</f>
        <v>ARC SUR TILLE</v>
      </c>
      <c r="C41" t="str">
        <f ca="1">VLOOKUP(A41,Import_SuiviGlobal_MigAppliSate!A:I,3,FALSE)</f>
        <v>Super U</v>
      </c>
      <c r="D41" s="1" t="str">
        <f ca="1">VLOOKUP(A41,Import_SuiviGlobal_MigAppliSate!A:I,4,FALSE)</f>
        <v>Coop U Enseigne Est</v>
      </c>
      <c r="E41">
        <f ca="1">VLOOKUP(A41,Import_SuiviGlobal_MigAppliSate!A:I,5,FALSE)</f>
        <v>21560</v>
      </c>
      <c r="F41" t="str">
        <f ca="1">VLOOKUP(A41,Import_SuiviGlobal_MigAppliSate!A:I,6,FALSE)</f>
        <v>CENTRE COMMERCIAL</v>
      </c>
      <c r="G41" t="str">
        <f ca="1">VLOOKUP(A41,Import_SuiviGlobal_MigAppliSate!A:I,7,FALSE)</f>
        <v>03.80.37.11.11</v>
      </c>
      <c r="H41" t="str">
        <f ca="1">VLOOKUP(A41,Import_SuiviGlobal_MigAppliSate!A:I,8,FALSE)</f>
        <v>WILLOT RPT SAS B.W.H. Benoît</v>
      </c>
      <c r="I41" t="str">
        <f ca="1">VLOOKUP(A41,Import_SuiviGlobal_MigAppliSate!A:I,9,FALSE)</f>
        <v>benoit.willot@systeme-u.fr</v>
      </c>
      <c r="J41" s="24" t="str">
        <f ca="1">VLOOKUP(A41,Import_SuiviGlobal_MigAppliSate!A:K,10,FALSE)</f>
        <v>M. JUREK
(Mr Jurek absent, Mr JOAQUIM David 06 81 60 84 62 resp technique le remplace, email : responsabletechniquesuperu@gmail.com</v>
      </c>
      <c r="K41" t="str">
        <f ca="1">VLOOKUP(A41,Import_SuiviGlobal_MigAppliSate!A:K,11,FALSE)</f>
        <v>superu.arcsurtille.direction@systeme-u.fr</v>
      </c>
      <c r="O41" s="1" t="s">
        <v>22</v>
      </c>
    </row>
    <row r="42" spans="1:15" ht="12.75" hidden="1" x14ac:dyDescent="0.2">
      <c r="A42">
        <v>35673</v>
      </c>
      <c r="B42" t="str">
        <f ca="1">VLOOKUP(A42,Import_SuiviGlobal_MigAppliSate!A:I,2,FALSE)</f>
        <v>ARGENT-SUR-SAULDRE</v>
      </c>
      <c r="C42" t="str">
        <f ca="1">VLOOKUP(A42,Import_SuiviGlobal_MigAppliSate!A:I,3,FALSE)</f>
        <v>Super U</v>
      </c>
      <c r="D42" s="1" t="str">
        <f ca="1">VLOOKUP(A42,Import_SuiviGlobal_MigAppliSate!A:I,4,FALSE)</f>
        <v>Coop U Enseigne Ouest</v>
      </c>
      <c r="E42">
        <f ca="1">VLOOKUP(A42,Import_SuiviGlobal_MigAppliSate!A:I,5,FALSE)</f>
        <v>18410</v>
      </c>
      <c r="F42" t="str">
        <f ca="1">VLOOKUP(A42,Import_SuiviGlobal_MigAppliSate!A:I,6,FALSE)</f>
        <v>RD 940</v>
      </c>
      <c r="G42" t="str">
        <f ca="1">VLOOKUP(A42,Import_SuiviGlobal_MigAppliSate!A:I,7,FALSE)</f>
        <v>02.48.81.08.08</v>
      </c>
      <c r="H42" t="str">
        <f ca="1">VLOOKUP(A42,Import_SuiviGlobal_MigAppliSate!A:I,8,FALSE)</f>
        <v>HERTZOG RPT SAS MAJOLU Jean Christophe</v>
      </c>
      <c r="I42" t="str">
        <f ca="1">VLOOKUP(A42,Import_SuiviGlobal_MigAppliSate!A:I,9,FALSE)</f>
        <v>jean-christophe.hertzog@systeme-u.fr</v>
      </c>
      <c r="J42" s="24" t="str">
        <f ca="1">VLOOKUP(A42,Import_SuiviGlobal_MigAppliSate!A:K,10,FALSE)</f>
        <v>HUARD Isabelle</v>
      </c>
      <c r="K42" t="str">
        <f ca="1">VLOOKUP(A42,Import_SuiviGlobal_MigAppliSate!A:K,11,FALSE)</f>
        <v>superu.argentsursauldre@systeme-u.fr</v>
      </c>
      <c r="O42" s="1" t="s">
        <v>22</v>
      </c>
    </row>
    <row r="43" spans="1:15" ht="12.75" hidden="1" x14ac:dyDescent="0.2">
      <c r="A43">
        <v>96246</v>
      </c>
      <c r="B43" t="str">
        <f ca="1">VLOOKUP(A43,Import_SuiviGlobal_MigAppliSate!A:I,2,FALSE)</f>
        <v>ARGENTAT</v>
      </c>
      <c r="C43" t="str">
        <f ca="1">VLOOKUP(A43,Import_SuiviGlobal_MigAppliSate!A:I,3,FALSE)</f>
        <v>Super U</v>
      </c>
      <c r="D43" s="1" t="str">
        <f ca="1">VLOOKUP(A43,Import_SuiviGlobal_MigAppliSate!A:I,4,FALSE)</f>
        <v>Coop U Enseigne Sud</v>
      </c>
      <c r="E43">
        <f ca="1">VLOOKUP(A43,Import_SuiviGlobal_MigAppliSate!A:I,5,FALSE)</f>
        <v>19400</v>
      </c>
      <c r="F43" t="str">
        <f ca="1">VLOOKUP(A43,Import_SuiviGlobal_MigAppliSate!A:I,6,FALSE)</f>
        <v>PLACE DE LA GARE</v>
      </c>
      <c r="G43" t="str">
        <f ca="1">VLOOKUP(A43,Import_SuiviGlobal_MigAppliSate!A:I,7,FALSE)</f>
        <v>05.55.28.02.17</v>
      </c>
      <c r="H43" t="str">
        <f ca="1">VLOOKUP(A43,Import_SuiviGlobal_MigAppliSate!A:I,8,FALSE)</f>
        <v>VAUGIN Arnault</v>
      </c>
      <c r="I43" t="str">
        <f ca="1">VLOOKUP(A43,Import_SuiviGlobal_MigAppliSate!A:I,9,FALSE)</f>
        <v>arnault.vaugin@systeme-u.fr</v>
      </c>
      <c r="J43" s="24" t="str">
        <f ca="1">VLOOKUP(A43,Import_SuiviGlobal_MigAppliSate!A:K,10,FALSE)</f>
        <v/>
      </c>
      <c r="K43" t="str">
        <f ca="1">VLOOKUP(A43,Import_SuiviGlobal_MigAppliSate!A:K,11,FALSE)</f>
        <v>superu.argentat.direction@systeme-u.fr</v>
      </c>
      <c r="O43" s="1" t="s">
        <v>22</v>
      </c>
    </row>
    <row r="44" spans="1:15" ht="12.75" hidden="1" x14ac:dyDescent="0.2">
      <c r="A44">
        <v>25185</v>
      </c>
      <c r="B44" t="str">
        <f ca="1">VLOOKUP(A44,Import_SuiviGlobal_MigAppliSate!A:I,2,FALSE)</f>
        <v>#N/A</v>
      </c>
      <c r="C44" t="str">
        <f ca="1">VLOOKUP(A44,Import_SuiviGlobal_MigAppliSate!A:I,3,FALSE)</f>
        <v>#N/A</v>
      </c>
      <c r="D44" s="1" t="str">
        <f ca="1">VLOOKUP(A44,Import_SuiviGlobal_MigAppliSate!A:I,4,FALSE)</f>
        <v>#N/A</v>
      </c>
      <c r="E44" t="str">
        <f ca="1">VLOOKUP(A44,Import_SuiviGlobal_MigAppliSate!A:I,5,FALSE)</f>
        <v/>
      </c>
      <c r="F44" t="str">
        <f ca="1">VLOOKUP(A44,Import_SuiviGlobal_MigAppliSate!A:I,6,FALSE)</f>
        <v>#N/A</v>
      </c>
      <c r="G44" t="str">
        <f ca="1">VLOOKUP(A44,Import_SuiviGlobal_MigAppliSate!A:I,7,FALSE)</f>
        <v>#N/A</v>
      </c>
      <c r="H44" t="str">
        <f ca="1">VLOOKUP(A44,Import_SuiviGlobal_MigAppliSate!A:I,8,FALSE)</f>
        <v>#N/A</v>
      </c>
      <c r="I44" t="str">
        <f ca="1">VLOOKUP(A44,Import_SuiviGlobal_MigAppliSate!A:I,9,FALSE)</f>
        <v>#N/A</v>
      </c>
      <c r="J44" s="24" t="str">
        <f ca="1">VLOOKUP(A44,Import_SuiviGlobal_MigAppliSate!A:K,10,FALSE)</f>
        <v/>
      </c>
      <c r="K44" t="str">
        <f ca="1">VLOOKUP(A44,Import_SuiviGlobal_MigAppliSate!A:K,11,FALSE)</f>
        <v/>
      </c>
      <c r="O44" s="1" t="s">
        <v>22</v>
      </c>
    </row>
    <row r="45" spans="1:15" ht="12.75" hidden="1" x14ac:dyDescent="0.2">
      <c r="A45">
        <v>24782</v>
      </c>
      <c r="B45" t="str">
        <f ca="1">VLOOKUP(A45,Import_SuiviGlobal_MigAppliSate!A:I,2,FALSE)</f>
        <v>#N/A</v>
      </c>
      <c r="C45" t="str">
        <f ca="1">VLOOKUP(A45,Import_SuiviGlobal_MigAppliSate!A:I,3,FALSE)</f>
        <v>#N/A</v>
      </c>
      <c r="D45" s="1" t="str">
        <f ca="1">VLOOKUP(A45,Import_SuiviGlobal_MigAppliSate!A:I,4,FALSE)</f>
        <v>#N/A</v>
      </c>
      <c r="E45" t="str">
        <f ca="1">VLOOKUP(A45,Import_SuiviGlobal_MigAppliSate!A:I,5,FALSE)</f>
        <v/>
      </c>
      <c r="F45" t="str">
        <f ca="1">VLOOKUP(A45,Import_SuiviGlobal_MigAppliSate!A:I,6,FALSE)</f>
        <v>#N/A</v>
      </c>
      <c r="G45" t="str">
        <f ca="1">VLOOKUP(A45,Import_SuiviGlobal_MigAppliSate!A:I,7,FALSE)</f>
        <v>#N/A</v>
      </c>
      <c r="H45" t="str">
        <f ca="1">VLOOKUP(A45,Import_SuiviGlobal_MigAppliSate!A:I,8,FALSE)</f>
        <v>#N/A</v>
      </c>
      <c r="I45" t="str">
        <f ca="1">VLOOKUP(A45,Import_SuiviGlobal_MigAppliSate!A:I,9,FALSE)</f>
        <v>#N/A</v>
      </c>
      <c r="J45" s="24" t="str">
        <f ca="1">VLOOKUP(A45,Import_SuiviGlobal_MigAppliSate!A:K,10,FALSE)</f>
        <v/>
      </c>
      <c r="K45" t="str">
        <f ca="1">VLOOKUP(A45,Import_SuiviGlobal_MigAppliSate!A:K,11,FALSE)</f>
        <v/>
      </c>
      <c r="O45" s="1" t="s">
        <v>22</v>
      </c>
    </row>
    <row r="46" spans="1:15" ht="12.75" hidden="1" x14ac:dyDescent="0.2">
      <c r="A46">
        <v>62031</v>
      </c>
      <c r="B46" t="str">
        <f ca="1">VLOOKUP(A46,Import_SuiviGlobal_MigAppliSate!A:I,2,FALSE)</f>
        <v>ARINTHOD</v>
      </c>
      <c r="C46" t="str">
        <f ca="1">VLOOKUP(A46,Import_SuiviGlobal_MigAppliSate!A:I,3,FALSE)</f>
        <v>U Express</v>
      </c>
      <c r="D46" s="1" t="str">
        <f ca="1">VLOOKUP(A46,Import_SuiviGlobal_MigAppliSate!A:I,4,FALSE)</f>
        <v>Coop U Enseigne Est</v>
      </c>
      <c r="E46">
        <f ca="1">VLOOKUP(A46,Import_SuiviGlobal_MigAppliSate!A:I,5,FALSE)</f>
        <v>39240</v>
      </c>
      <c r="F46" t="str">
        <f ca="1">VLOOKUP(A46,Import_SuiviGlobal_MigAppliSate!A:I,6,FALSE)</f>
        <v>4 rue Magnin</v>
      </c>
      <c r="G46" t="str">
        <f ca="1">VLOOKUP(A46,Import_SuiviGlobal_MigAppliSate!A:I,7,FALSE)</f>
        <v>03.84.48.03.24</v>
      </c>
      <c r="H46" t="str">
        <f ca="1">VLOOKUP(A46,Import_SuiviGlobal_MigAppliSate!A:I,8,FALSE)</f>
        <v>VALLEE Franck</v>
      </c>
      <c r="I46" t="str">
        <f ca="1">VLOOKUP(A46,Import_SuiviGlobal_MigAppliSate!A:I,9,FALSE)</f>
        <v>franck.vallee@systeme-u.fr</v>
      </c>
      <c r="J46" s="24" t="str">
        <f ca="1">VLOOKUP(A46,Import_SuiviGlobal_MigAppliSate!A:K,10,FALSE)</f>
        <v>Mme Domelo</v>
      </c>
      <c r="K46" t="str">
        <f ca="1">VLOOKUP(A46,Import_SuiviGlobal_MigAppliSate!A:K,11,FALSE)</f>
        <v>coralie.vallee@systeme-u.fr</v>
      </c>
      <c r="O46" s="1" t="s">
        <v>22</v>
      </c>
    </row>
    <row r="47" spans="1:15" ht="12.75" hidden="1" x14ac:dyDescent="0.2">
      <c r="A47">
        <v>66104</v>
      </c>
      <c r="B47" t="str">
        <f ca="1">VLOOKUP(A47,Import_SuiviGlobal_MigAppliSate!A:I,2,FALSE)</f>
        <v>ARLANC</v>
      </c>
      <c r="C47" t="str">
        <f ca="1">VLOOKUP(A47,Import_SuiviGlobal_MigAppliSate!A:I,3,FALSE)</f>
        <v>Super U</v>
      </c>
      <c r="D47" s="1" t="str">
        <f ca="1">VLOOKUP(A47,Import_SuiviGlobal_MigAppliSate!A:I,4,FALSE)</f>
        <v>Coop U Enseigne Est</v>
      </c>
      <c r="E47">
        <f ca="1">VLOOKUP(A47,Import_SuiviGlobal_MigAppliSate!A:I,5,FALSE)</f>
        <v>63220</v>
      </c>
      <c r="F47" t="str">
        <f ca="1">VLOOKUP(A47,Import_SuiviGlobal_MigAppliSate!A:I,6,FALSE)</f>
        <v>Route Beurrière</v>
      </c>
      <c r="G47" t="str">
        <f ca="1">VLOOKUP(A47,Import_SuiviGlobal_MigAppliSate!A:I,7,FALSE)</f>
        <v>04.73.95.10.03</v>
      </c>
      <c r="H47" t="str">
        <f ca="1">VLOOKUP(A47,Import_SuiviGlobal_MigAppliSate!A:I,8,FALSE)</f>
        <v>EPIARD Stéphane</v>
      </c>
      <c r="I47" t="str">
        <f ca="1">VLOOKUP(A47,Import_SuiviGlobal_MigAppliSate!A:I,9,FALSE)</f>
        <v>stephane.epiard@systeme-u.fr</v>
      </c>
      <c r="J47" s="24" t="str">
        <f ca="1">VLOOKUP(A47,Import_SuiviGlobal_MigAppliSate!A:K,10,FALSE)</f>
        <v>Mr Granet</v>
      </c>
      <c r="K47" t="str">
        <f ca="1">VLOOKUP(A47,Import_SuiviGlobal_MigAppliSate!A:K,11,FALSE)</f>
        <v>superu.arlanc.compta@systeme-u.fr</v>
      </c>
      <c r="O47" s="1" t="s">
        <v>22</v>
      </c>
    </row>
    <row r="48" spans="1:15" ht="12.75" hidden="1" x14ac:dyDescent="0.2">
      <c r="A48">
        <v>36602</v>
      </c>
      <c r="B48" t="str">
        <f ca="1">VLOOKUP(A48,Import_SuiviGlobal_MigAppliSate!A:I,2,FALSE)</f>
        <v>ARNAGE</v>
      </c>
      <c r="C48" t="str">
        <f ca="1">VLOOKUP(A48,Import_SuiviGlobal_MigAppliSate!A:I,3,FALSE)</f>
        <v>Super U</v>
      </c>
      <c r="D48" s="1" t="str">
        <f ca="1">VLOOKUP(A48,Import_SuiviGlobal_MigAppliSate!A:I,4,FALSE)</f>
        <v>Coop U Enseigne Ouest</v>
      </c>
      <c r="E48">
        <f ca="1">VLOOKUP(A48,Import_SuiviGlobal_MigAppliSate!A:I,5,FALSE)</f>
        <v>72230</v>
      </c>
      <c r="F48" t="str">
        <f ca="1">VLOOKUP(A48,Import_SuiviGlobal_MigAppliSate!A:I,6,FALSE)</f>
        <v>BOULEVARD PIERRE LEFAUCHEUX</v>
      </c>
      <c r="G48" t="str">
        <f ca="1">VLOOKUP(A48,Import_SuiviGlobal_MigAppliSate!A:I,7,FALSE)</f>
        <v>02.43.21.22.23</v>
      </c>
      <c r="H48" t="str">
        <f ca="1">VLOOKUP(A48,Import_SuiviGlobal_MigAppliSate!A:I,8,FALSE)</f>
        <v>LE MARECHAL Stéphane</v>
      </c>
      <c r="I48" t="str">
        <f ca="1">VLOOKUP(A48,Import_SuiviGlobal_MigAppliSate!A:I,9,FALSE)</f>
        <v>stephane.lemarechal@systeme-u.fr</v>
      </c>
      <c r="J48" s="24" t="str">
        <f ca="1">VLOOKUP(A48,Import_SuiviGlobal_MigAppliSate!A:K,10,FALSE)</f>
        <v>Xavier Deburre
Isabelle Aubier (UPLV)</v>
      </c>
      <c r="K48" t="str">
        <f ca="1">VLOOKUP(A48,Import_SuiviGlobal_MigAppliSate!A:K,11,FALSE)</f>
        <v>superu.arnage.direction@systeme-u.fr, superu.arnage@systeme-u.fr</v>
      </c>
      <c r="O48" s="1" t="s">
        <v>22</v>
      </c>
    </row>
    <row r="49" spans="1:15" ht="12.75" hidden="1" x14ac:dyDescent="0.2">
      <c r="A49">
        <v>39288</v>
      </c>
      <c r="B49" t="str">
        <f ca="1">VLOOKUP(A49,Import_SuiviGlobal_MigAppliSate!A:I,2,FALSE)</f>
        <v>ARRADON</v>
      </c>
      <c r="C49" t="str">
        <f ca="1">VLOOKUP(A49,Import_SuiviGlobal_MigAppliSate!A:I,3,FALSE)</f>
        <v>Super U</v>
      </c>
      <c r="D49" s="1" t="str">
        <f ca="1">VLOOKUP(A49,Import_SuiviGlobal_MigAppliSate!A:I,4,FALSE)</f>
        <v>Coop U Enseigne Ouest</v>
      </c>
      <c r="E49">
        <f ca="1">VLOOKUP(A49,Import_SuiviGlobal_MigAppliSate!A:I,5,FALSE)</f>
        <v>56610</v>
      </c>
      <c r="F49" t="str">
        <f ca="1">VLOOKUP(A49,Import_SuiviGlobal_MigAppliSate!A:I,6,FALSE)</f>
        <v>CENTRE COMMERCIAL LA BRECHE</v>
      </c>
      <c r="G49" t="str">
        <f ca="1">VLOOKUP(A49,Import_SuiviGlobal_MigAppliSate!A:I,7,FALSE)</f>
        <v>02.97.44.01.69</v>
      </c>
      <c r="H49" t="str">
        <f ca="1">VLOOKUP(A49,Import_SuiviGlobal_MigAppliSate!A:I,8,FALSE)</f>
        <v>GUERVENO RPT SARL LAURENT FI Laurent</v>
      </c>
      <c r="I49" t="str">
        <f ca="1">VLOOKUP(A49,Import_SuiviGlobal_MigAppliSate!A:I,9,FALSE)</f>
        <v>laurent.guerveno@systeme-u.fr</v>
      </c>
      <c r="J49" s="24" t="str">
        <f ca="1">VLOOKUP(A49,Import_SuiviGlobal_MigAppliSate!A:K,10,FALSE)</f>
        <v>PAVEC Patrick
Anne-Laure</v>
      </c>
      <c r="K49" t="str">
        <f ca="1">VLOOKUP(A49,Import_SuiviGlobal_MigAppliSate!A:K,11,FALSE)</f>
        <v>superu.arradon.administratif@systeme-u.fr, superu.arradon@systeme-u.fr</v>
      </c>
      <c r="O49" s="1" t="s">
        <v>22</v>
      </c>
    </row>
    <row r="50" spans="1:15" ht="12.75" hidden="1" x14ac:dyDescent="0.2">
      <c r="A50">
        <v>38530</v>
      </c>
      <c r="B50" t="str">
        <f ca="1">VLOOKUP(A50,Import_SuiviGlobal_MigAppliSate!A:I,2,FALSE)</f>
        <v>ARS-EN-RÉ</v>
      </c>
      <c r="C50" t="str">
        <f ca="1">VLOOKUP(A50,Import_SuiviGlobal_MigAppliSate!A:I,3,FALSE)</f>
        <v>U Express</v>
      </c>
      <c r="D50" s="1" t="str">
        <f ca="1">VLOOKUP(A50,Import_SuiviGlobal_MigAppliSate!A:I,4,FALSE)</f>
        <v>Coop U Enseigne Ouest</v>
      </c>
      <c r="E50">
        <f ca="1">VLOOKUP(A50,Import_SuiviGlobal_MigAppliSate!A:I,5,FALSE)</f>
        <v>17590</v>
      </c>
      <c r="F50" t="str">
        <f ca="1">VLOOKUP(A50,Import_SuiviGlobal_MigAppliSate!A:I,6,FALSE)</f>
        <v>34, RUE DE LA DIÈTE</v>
      </c>
      <c r="G50" t="str">
        <f ca="1">VLOOKUP(A50,Import_SuiviGlobal_MigAppliSate!A:I,7,FALSE)</f>
        <v>05.46.29.28.38</v>
      </c>
      <c r="H50" t="str">
        <f ca="1">VLOOKUP(A50,Import_SuiviGlobal_MigAppliSate!A:I,8,FALSE)</f>
        <v>MONTAGNE Jean-Jacques</v>
      </c>
      <c r="I50" t="str">
        <f ca="1">VLOOKUP(A50,Import_SuiviGlobal_MigAppliSate!A:I,9,FALSE)</f>
        <v>jean-jacques.montagne@systeme-u.fr</v>
      </c>
      <c r="J50" s="24" t="str">
        <f ca="1">VLOOKUP(A50,Import_SuiviGlobal_MigAppliSate!A:K,10,FALSE)</f>
        <v>Manusset Gerard</v>
      </c>
      <c r="K50" t="str">
        <f ca="1">VLOOKUP(A50,Import_SuiviGlobal_MigAppliSate!A:K,11,FALSE)</f>
        <v/>
      </c>
      <c r="O50" s="1" t="s">
        <v>22</v>
      </c>
    </row>
    <row r="51" spans="1:15" ht="12.75" x14ac:dyDescent="0.2">
      <c r="A51">
        <v>30531</v>
      </c>
      <c r="B51" t="str">
        <f ca="1">VLOOKUP(A51,Import_SuiviGlobal_MigAppliSate!A:I,2,FALSE)</f>
        <v>ARTHON-EN-RETZ</v>
      </c>
      <c r="C51" t="str">
        <f ca="1">VLOOKUP(A51,Import_SuiviGlobal_MigAppliSate!A:I,3,FALSE)</f>
        <v>Super U</v>
      </c>
      <c r="D51" s="1" t="str">
        <f ca="1">VLOOKUP(A51,Import_SuiviGlobal_MigAppliSate!A:I,4,FALSE)</f>
        <v>Coop U Enseigne Ouest</v>
      </c>
      <c r="E51">
        <f ca="1">VLOOKUP(A51,Import_SuiviGlobal_MigAppliSate!A:I,5,FALSE)</f>
        <v>44320</v>
      </c>
      <c r="F51" t="str">
        <f ca="1">VLOOKUP(A51,Import_SuiviGlobal_MigAppliSate!A:I,6,FALSE)</f>
        <v>ZONE ARTISANALE LE BUTAI</v>
      </c>
      <c r="G51" t="str">
        <f ca="1">VLOOKUP(A51,Import_SuiviGlobal_MigAppliSate!A:I,7,FALSE)</f>
        <v>02.40.21.30.13</v>
      </c>
      <c r="H51" t="str">
        <f ca="1">VLOOKUP(A51,Import_SuiviGlobal_MigAppliSate!A:I,8,FALSE)</f>
        <v>GOBIN Sébastien</v>
      </c>
      <c r="I51" t="str">
        <f ca="1">VLOOKUP(A51,Import_SuiviGlobal_MigAppliSate!A:I,9,FALSE)</f>
        <v>sebastien.gobin@systeme-u.fr</v>
      </c>
      <c r="J51" s="24" t="str">
        <f ca="1">VLOOKUP(A51,Import_SuiviGlobal_MigAppliSate!A:K,10,FALSE)</f>
        <v/>
      </c>
      <c r="K51" t="str">
        <f ca="1">VLOOKUP(A51,Import_SuiviGlobal_MigAppliSate!A:K,11,FALSE)</f>
        <v/>
      </c>
      <c r="L51" t="s">
        <v>17</v>
      </c>
      <c r="M51" t="s">
        <v>0</v>
      </c>
      <c r="O51" s="1" t="s">
        <v>22</v>
      </c>
    </row>
    <row r="52" spans="1:15" ht="12.75" hidden="1" x14ac:dyDescent="0.2">
      <c r="A52">
        <v>32064</v>
      </c>
      <c r="B52" t="str">
        <f ca="1">VLOOKUP(A52,Import_SuiviGlobal_MigAppliSate!A:I,2,FALSE)</f>
        <v>ARVERT</v>
      </c>
      <c r="C52" t="str">
        <f ca="1">VLOOKUP(A52,Import_SuiviGlobal_MigAppliSate!A:I,3,FALSE)</f>
        <v>Super U</v>
      </c>
      <c r="D52" s="1" t="str">
        <f ca="1">VLOOKUP(A52,Import_SuiviGlobal_MigAppliSate!A:I,4,FALSE)</f>
        <v>Coop Atlantique</v>
      </c>
      <c r="E52">
        <f ca="1">VLOOKUP(A52,Import_SuiviGlobal_MigAppliSate!A:I,5,FALSE)</f>
        <v>17530</v>
      </c>
      <c r="F52" t="str">
        <f ca="1">VLOOKUP(A52,Import_SuiviGlobal_MigAppliSate!A:I,6,FALSE)</f>
        <v>107 AVENUE L'ETRADE MOULIN JUSTICES</v>
      </c>
      <c r="G52" t="str">
        <f ca="1">VLOOKUP(A52,Import_SuiviGlobal_MigAppliSate!A:I,7,FALSE)</f>
        <v>05.46.36.46.57</v>
      </c>
      <c r="H52" t="str">
        <f ca="1">VLOOKUP(A52,Import_SuiviGlobal_MigAppliSate!A:I,8,FALSE)</f>
        <v>FLAMBARD Hervé</v>
      </c>
      <c r="I52" t="str">
        <f ca="1">VLOOKUP(A52,Import_SuiviGlobal_MigAppliSate!A:I,9,FALSE)</f>
        <v>bertrand.defontaine_coop_su_uex@systeme-u.fr</v>
      </c>
      <c r="J52" s="24" t="str">
        <f ca="1">VLOOKUP(A52,Import_SuiviGlobal_MigAppliSate!A:K,10,FALSE)</f>
        <v>CHAMBON Nicolas</v>
      </c>
      <c r="K52" t="str">
        <f ca="1">VLOOKUP(A52,Import_SuiviGlobal_MigAppliSate!A:K,11,FALSE)</f>
        <v>superu.arvert.direction@systeme-u.fr,nbrigant@coop-atlantique.fr,sjaud@coop-atlantique.fr,nchambon@coop-atlantique.fr</v>
      </c>
      <c r="L52" s="1" t="s">
        <v>17</v>
      </c>
      <c r="M52" t="s">
        <v>23</v>
      </c>
      <c r="O52" s="1" t="s">
        <v>22</v>
      </c>
    </row>
    <row r="53" spans="1:15" ht="12.75" hidden="1" x14ac:dyDescent="0.2">
      <c r="A53">
        <v>37919</v>
      </c>
      <c r="B53" t="str">
        <f ca="1">VLOOKUP(A53,Import_SuiviGlobal_MigAppliSate!A:I,2,FALSE)</f>
        <v>ARZON</v>
      </c>
      <c r="C53" t="str">
        <f ca="1">VLOOKUP(A53,Import_SuiviGlobal_MigAppliSate!A:I,3,FALSE)</f>
        <v>Super U</v>
      </c>
      <c r="D53" s="1" t="str">
        <f ca="1">VLOOKUP(A53,Import_SuiviGlobal_MigAppliSate!A:I,4,FALSE)</f>
        <v>Coop U Enseigne Ouest</v>
      </c>
      <c r="E53">
        <f ca="1">VLOOKUP(A53,Import_SuiviGlobal_MigAppliSate!A:I,5,FALSE)</f>
        <v>56640</v>
      </c>
      <c r="F53" t="str">
        <f ca="1">VLOOKUP(A53,Import_SuiviGlobal_MigAppliSate!A:I,6,FALSE)</f>
        <v>ZA DU REDO</v>
      </c>
      <c r="G53" t="str">
        <f ca="1">VLOOKUP(A53,Import_SuiviGlobal_MigAppliSate!A:I,7,FALSE)</f>
        <v>02.97.53.83.84</v>
      </c>
      <c r="H53" t="str">
        <f ca="1">VLOOKUP(A53,Import_SuiviGlobal_MigAppliSate!A:I,8,FALSE)</f>
        <v>TUAL Marcel</v>
      </c>
      <c r="I53" t="str">
        <f ca="1">VLOOKUP(A53,Import_SuiviGlobal_MigAppliSate!A:I,9,FALSE)</f>
        <v>denise.tual@systeme-u.fr</v>
      </c>
      <c r="J53" s="24" t="str">
        <f ca="1">VLOOKUP(A53,Import_SuiviGlobal_MigAppliSate!A:K,10,FALSE)</f>
        <v>Quelo Myriam</v>
      </c>
      <c r="K53" t="str">
        <f ca="1">VLOOKUP(A53,Import_SuiviGlobal_MigAppliSate!A:K,11,FALSE)</f>
        <v>denise.tual@systeme-u.fr</v>
      </c>
      <c r="O53" s="1" t="s">
        <v>22</v>
      </c>
    </row>
    <row r="54" spans="1:15" ht="12.75" hidden="1" x14ac:dyDescent="0.2">
      <c r="A54">
        <v>69004</v>
      </c>
      <c r="B54" t="str">
        <f ca="1">VLOOKUP(A54,Import_SuiviGlobal_MigAppliSate!A:I,2,FALSE)</f>
        <v>AUDINCOURT</v>
      </c>
      <c r="C54" t="str">
        <f ca="1">VLOOKUP(A54,Import_SuiviGlobal_MigAppliSate!A:I,3,FALSE)</f>
        <v>Super U</v>
      </c>
      <c r="D54" s="1" t="str">
        <f ca="1">VLOOKUP(A54,Import_SuiviGlobal_MigAppliSate!A:I,4,FALSE)</f>
        <v>Coop U Enseigne Est</v>
      </c>
      <c r="E54">
        <f ca="1">VLOOKUP(A54,Import_SuiviGlobal_MigAppliSate!A:I,5,FALSE)</f>
        <v>25400</v>
      </c>
      <c r="F54" t="str">
        <f ca="1">VLOOKUP(A54,Import_SuiviGlobal_MigAppliSate!A:I,6,FALSE)</f>
        <v>70 rue de Seloncourt</v>
      </c>
      <c r="G54" t="str">
        <f ca="1">VLOOKUP(A54,Import_SuiviGlobal_MigAppliSate!A:I,7,FALSE)</f>
        <v>03.81.34.33.69</v>
      </c>
      <c r="H54" t="str">
        <f ca="1">VLOOKUP(A54,Import_SuiviGlobal_MigAppliSate!A:I,8,FALSE)</f>
        <v>BOURGEAT Jérôme</v>
      </c>
      <c r="I54" t="str">
        <f ca="1">VLOOKUP(A54,Import_SuiviGlobal_MigAppliSate!A:I,9,FALSE)</f>
        <v>jerome.bourgeat@systeme-u.fr</v>
      </c>
      <c r="J54" s="24" t="str">
        <f ca="1">VLOOKUP(A54,Import_SuiviGlobal_MigAppliSate!A:K,10,FALSE)</f>
        <v>krema christine</v>
      </c>
      <c r="K54" t="str">
        <f ca="1">VLOOKUP(A54,Import_SuiviGlobal_MigAppliSate!A:K,11,FALSE)</f>
        <v>superu.audincourt.compta@systeme-u.fr,superu.audincourt.direction@systeme-u.fr</v>
      </c>
      <c r="O54" s="1" t="s">
        <v>22</v>
      </c>
    </row>
    <row r="55" spans="1:15" ht="12.75" hidden="1" x14ac:dyDescent="0.2">
      <c r="A55">
        <v>25568</v>
      </c>
      <c r="B55" t="str">
        <f ca="1">VLOOKUP(A55,Import_SuiviGlobal_MigAppliSate!A:I,2,FALSE)</f>
        <v>AUNEAU-BLEURY-SAINT-SYMPHO</v>
      </c>
      <c r="C55" t="str">
        <f ca="1">VLOOKUP(A55,Import_SuiviGlobal_MigAppliSate!A:I,3,FALSE)</f>
        <v>Super U</v>
      </c>
      <c r="D55" s="1" t="str">
        <f ca="1">VLOOKUP(A55,Import_SuiviGlobal_MigAppliSate!A:I,4,FALSE)</f>
        <v>Coop U Enseigne NordOuest</v>
      </c>
      <c r="E55">
        <f ca="1">VLOOKUP(A55,Import_SuiviGlobal_MigAppliSate!A:I,5,FALSE)</f>
        <v>28700</v>
      </c>
      <c r="F55" t="str">
        <f ca="1">VLOOKUP(A55,Import_SuiviGlobal_MigAppliSate!A:I,6,FALSE)</f>
        <v>ZAC DU PAYS ALNELOIS</v>
      </c>
      <c r="G55" t="str">
        <f ca="1">VLOOKUP(A55,Import_SuiviGlobal_MigAppliSate!A:I,7,FALSE)</f>
        <v>02.37.31.34.00</v>
      </c>
      <c r="H55" t="str">
        <f ca="1">VLOOKUP(A55,Import_SuiviGlobal_MigAppliSate!A:I,8,FALSE)</f>
        <v>DIERICK Sébastien</v>
      </c>
      <c r="I55" t="str">
        <f ca="1">VLOOKUP(A55,Import_SuiviGlobal_MigAppliSate!A:I,9,FALSE)</f>
        <v>sebastien.dierick@systeme-u.fr</v>
      </c>
      <c r="J55" s="24" t="str">
        <f ca="1">VLOOKUP(A55,Import_SuiviGlobal_MigAppliSate!A:K,10,FALSE)</f>
        <v>Mr Bellon</v>
      </c>
      <c r="K55" t="str">
        <f ca="1">VLOOKUP(A55,Import_SuiviGlobal_MigAppliSate!A:K,11,FALSE)</f>
        <v>superu.chatou.direction@systeme-u.fr</v>
      </c>
      <c r="O55" s="1" t="s">
        <v>22</v>
      </c>
    </row>
    <row r="56" spans="1:15" ht="12.75" hidden="1" x14ac:dyDescent="0.2">
      <c r="A56">
        <v>32216</v>
      </c>
      <c r="B56" t="str">
        <f ca="1">VLOOKUP(A56,Import_SuiviGlobal_MigAppliSate!A:I,2,FALSE)</f>
        <v>AURAY</v>
      </c>
      <c r="C56" t="str">
        <f ca="1">VLOOKUP(A56,Import_SuiviGlobal_MigAppliSate!A:I,3,FALSE)</f>
        <v>Super U</v>
      </c>
      <c r="D56" s="1" t="str">
        <f ca="1">VLOOKUP(A56,Import_SuiviGlobal_MigAppliSate!A:I,4,FALSE)</f>
        <v>Coop U Enseigne Ouest</v>
      </c>
      <c r="E56">
        <f ca="1">VLOOKUP(A56,Import_SuiviGlobal_MigAppliSate!A:I,5,FALSE)</f>
        <v>56400</v>
      </c>
      <c r="F56" t="str">
        <f ca="1">VLOOKUP(A56,Import_SuiviGlobal_MigAppliSate!A:I,6,FALSE)</f>
        <v>36 AVENUE DE L' OCEAN</v>
      </c>
      <c r="G56" t="str">
        <f ca="1">VLOOKUP(A56,Import_SuiviGlobal_MigAppliSate!A:I,7,FALSE)</f>
        <v>02.97.56.23.51</v>
      </c>
      <c r="H56" t="str">
        <f ca="1">VLOOKUP(A56,Import_SuiviGlobal_MigAppliSate!A:I,8,FALSE)</f>
        <v>BOUDREAULT CAROLE</v>
      </c>
      <c r="I56" t="str">
        <f ca="1">VLOOKUP(A56,Import_SuiviGlobal_MigAppliSate!A:I,9,FALSE)</f>
        <v>patrice.boudreault@systeme-u.fr</v>
      </c>
      <c r="J56" s="24" t="str">
        <f ca="1">VLOOKUP(A56,Import_SuiviGlobal_MigAppliSate!A:K,10,FALSE)</f>
        <v>mr Eveno</v>
      </c>
      <c r="K56" t="str">
        <f ca="1">VLOOKUP(A56,Import_SuiviGlobal_MigAppliSate!A:K,11,FALSE)</f>
        <v>superu.auray.direction@systeme-u.fr</v>
      </c>
      <c r="O56" s="1" t="s">
        <v>22</v>
      </c>
    </row>
    <row r="57" spans="1:15" ht="12.75" hidden="1" x14ac:dyDescent="0.2">
      <c r="A57">
        <v>95196</v>
      </c>
      <c r="B57" t="str">
        <f ca="1">VLOOKUP(A57,Import_SuiviGlobal_MigAppliSate!A:I,2,FALSE)</f>
        <v>AURILLAC</v>
      </c>
      <c r="C57" t="str">
        <f ca="1">VLOOKUP(A57,Import_SuiviGlobal_MigAppliSate!A:I,3,FALSE)</f>
        <v>U Express</v>
      </c>
      <c r="D57" s="1" t="str">
        <f ca="1">VLOOKUP(A57,Import_SuiviGlobal_MigAppliSate!A:I,4,FALSE)</f>
        <v>Coop U Enseigne Sud</v>
      </c>
      <c r="E57">
        <f ca="1">VLOOKUP(A57,Import_SuiviGlobal_MigAppliSate!A:I,5,FALSE)</f>
        <v>15000</v>
      </c>
      <c r="F57" t="str">
        <f ca="1">VLOOKUP(A57,Import_SuiviGlobal_MigAppliSate!A:I,6,FALSE)</f>
        <v>1 PLACE DU SQUARE</v>
      </c>
      <c r="G57" t="str">
        <f ca="1">VLOOKUP(A57,Import_SuiviGlobal_MigAppliSate!A:I,7,FALSE)</f>
        <v>04.71.48.87.74</v>
      </c>
      <c r="H57" t="str">
        <f ca="1">VLOOKUP(A57,Import_SuiviGlobal_MigAppliSate!A:I,8,FALSE)</f>
        <v>ROLOT David</v>
      </c>
      <c r="I57" t="str">
        <f ca="1">VLOOKUP(A57,Import_SuiviGlobal_MigAppliSate!A:I,9,FALSE)</f>
        <v>david.rolot@systeme-u.fr</v>
      </c>
      <c r="J57" s="24" t="str">
        <f ca="1">VLOOKUP(A57,Import_SuiviGlobal_MigAppliSate!A:K,10,FALSE)</f>
        <v>LUC Emilie</v>
      </c>
      <c r="K57" t="str">
        <f ca="1">VLOOKUP(A57,Import_SuiviGlobal_MigAppliSate!A:K,11,FALSE)</f>
        <v>uexpress.aurillac@systeme-u.fr</v>
      </c>
      <c r="O57" s="1" t="s">
        <v>22</v>
      </c>
    </row>
    <row r="58" spans="1:15" ht="12.75" hidden="1" x14ac:dyDescent="0.2">
      <c r="A58">
        <v>37973</v>
      </c>
      <c r="B58" t="str">
        <f ca="1">VLOOKUP(A58,Import_SuiviGlobal_MigAppliSate!A:I,2,FALSE)</f>
        <v>BAILLIF</v>
      </c>
      <c r="C58" t="str">
        <f ca="1">VLOOKUP(A58,Import_SuiviGlobal_MigAppliSate!A:I,3,FALSE)</f>
        <v>Super U</v>
      </c>
      <c r="D58" s="1" t="str">
        <f ca="1">VLOOKUP(A58,Import_SuiviGlobal_MigAppliSate!A:I,4,FALSE)</f>
        <v>Coop U Enseigne Ouest</v>
      </c>
      <c r="E58">
        <f ca="1">VLOOKUP(A58,Import_SuiviGlobal_MigAppliSate!A:I,5,FALSE)</f>
        <v>97123</v>
      </c>
      <c r="F58" t="str">
        <f ca="1">VLOOKUP(A58,Import_SuiviGlobal_MigAppliSate!A:I,6,FALSE)</f>
        <v>Z.I. PÈRES BLANCS</v>
      </c>
      <c r="G58" t="str">
        <f ca="1">VLOOKUP(A58,Import_SuiviGlobal_MigAppliSate!A:I,7,FALSE)</f>
        <v>05.90.60.83.82</v>
      </c>
      <c r="H58" t="str">
        <f ca="1">VLOOKUP(A58,Import_SuiviGlobal_MigAppliSate!A:I,8,FALSE)</f>
        <v>LUCE Raymond</v>
      </c>
      <c r="I58" t="str">
        <f ca="1">VLOOKUP(A58,Import_SuiviGlobal_MigAppliSate!A:I,9,FALSE)</f>
        <v>yohann.luce@systeme-u.fr</v>
      </c>
      <c r="J58" s="24" t="str">
        <f ca="1">VLOOKUP(A58,Import_SuiviGlobal_MigAppliSate!A:K,10,FALSE)</f>
        <v>Jean Claude Rozen</v>
      </c>
      <c r="K58" t="str">
        <f ca="1">VLOOKUP(A58,Import_SuiviGlobal_MigAppliSate!A:K,11,FALSE)</f>
        <v>superu.baillif.direction@systeme-u.fr,martine.crevecoeur@systeme-u.fr</v>
      </c>
      <c r="O58" s="1" t="s">
        <v>22</v>
      </c>
    </row>
    <row r="59" spans="1:15" ht="12.75" hidden="1" x14ac:dyDescent="0.2">
      <c r="A59">
        <v>90452</v>
      </c>
      <c r="B59" t="str">
        <f ca="1">VLOOKUP(A59,Import_SuiviGlobal_MigAppliSate!A:I,2,FALSE)</f>
        <v>BANDOL BEAUSSET</v>
      </c>
      <c r="C59" t="str">
        <f ca="1">VLOOKUP(A59,Import_SuiviGlobal_MigAppliSate!A:I,3,FALSE)</f>
        <v>Super U</v>
      </c>
      <c r="D59" s="1" t="str">
        <f ca="1">VLOOKUP(A59,Import_SuiviGlobal_MigAppliSate!A:I,4,FALSE)</f>
        <v>Coop U Enseigne Sud</v>
      </c>
      <c r="E59">
        <f ca="1">VLOOKUP(A59,Import_SuiviGlobal_MigAppliSate!A:I,5,FALSE)</f>
        <v>83150</v>
      </c>
      <c r="F59" t="str">
        <f ca="1">VLOOKUP(A59,Import_SuiviGlobal_MigAppliSate!A:I,6,FALSE)</f>
        <v>ROUTE DE BEAUSSET</v>
      </c>
      <c r="G59" t="str">
        <f ca="1">VLOOKUP(A59,Import_SuiviGlobal_MigAppliSate!A:I,7,FALSE)</f>
        <v>04.94.29.10.10</v>
      </c>
      <c r="H59" t="str">
        <f ca="1">VLOOKUP(A59,Import_SuiviGlobal_MigAppliSate!A:I,8,FALSE)</f>
        <v>BRULIERE Philippe</v>
      </c>
      <c r="I59" t="str">
        <f ca="1">VLOOKUP(A59,Import_SuiviGlobal_MigAppliSate!A:I,9,FALSE)</f>
        <v>philippe.bruliere@systeme-u.fr</v>
      </c>
      <c r="J59" s="24" t="str">
        <f ca="1">VLOOKUP(A59,Import_SuiviGlobal_MigAppliSate!A:K,10,FALSE)</f>
        <v>CASTANY Mireille</v>
      </c>
      <c r="K59" t="str">
        <f ca="1">VLOOKUP(A59,Import_SuiviGlobal_MigAppliSate!A:K,11,FALSE)</f>
        <v>corasonsas@sfr.fr</v>
      </c>
      <c r="O59" s="1" t="s">
        <v>22</v>
      </c>
    </row>
    <row r="60" spans="1:15" ht="12.75" hidden="1" x14ac:dyDescent="0.2">
      <c r="A60">
        <v>62102</v>
      </c>
      <c r="B60" t="str">
        <f ca="1">VLOOKUP(A60,Import_SuiviGlobal_MigAppliSate!A:I,2,FALSE)</f>
        <v>BANS</v>
      </c>
      <c r="C60" t="str">
        <f ca="1">VLOOKUP(A60,Import_SuiviGlobal_MigAppliSate!A:I,3,FALSE)</f>
        <v>Super U</v>
      </c>
      <c r="D60" s="1" t="str">
        <f ca="1">VLOOKUP(A60,Import_SuiviGlobal_MigAppliSate!A:I,4,FALSE)</f>
        <v>Coop U Enseigne Est</v>
      </c>
      <c r="E60">
        <f ca="1">VLOOKUP(A60,Import_SuiviGlobal_MigAppliSate!A:I,5,FALSE)</f>
        <v>39380</v>
      </c>
      <c r="F60" t="str">
        <f ca="1">VLOOKUP(A60,Import_SuiviGlobal_MigAppliSate!A:I,6,FALSE)</f>
        <v>ZONE DU PRÉ BERNARD</v>
      </c>
      <c r="G60" t="str">
        <f ca="1">VLOOKUP(A60,Import_SuiviGlobal_MigAppliSate!A:I,7,FALSE)</f>
        <v>03.84.81.53.58</v>
      </c>
      <c r="H60" t="str">
        <f ca="1">VLOOKUP(A60,Import_SuiviGlobal_MigAppliSate!A:I,8,FALSE)</f>
        <v>THIRION Yves</v>
      </c>
      <c r="I60" t="str">
        <f ca="1">VLOOKUP(A60,Import_SuiviGlobal_MigAppliSate!A:I,9,FALSE)</f>
        <v>yves.thirion@systeme-u.fr</v>
      </c>
      <c r="J60" s="24" t="str">
        <f ca="1">VLOOKUP(A60,Import_SuiviGlobal_MigAppliSate!A:K,10,FALSE)</f>
        <v>GUY Marie</v>
      </c>
      <c r="K60" t="str">
        <f ca="1">VLOOKUP(A60,Import_SuiviGlobal_MigAppliSate!A:K,11,FALSE)</f>
        <v>superu.bans.compta@systeme-u.fr</v>
      </c>
      <c r="O60" s="1" t="s">
        <v>22</v>
      </c>
    </row>
    <row r="61" spans="1:15" ht="12.75" hidden="1" x14ac:dyDescent="0.2">
      <c r="A61">
        <v>24286</v>
      </c>
      <c r="B61" t="str">
        <f ca="1">VLOOKUP(A61,Import_SuiviGlobal_MigAppliSate!A:I,2,FALSE)</f>
        <v>BARALLE MARQUION</v>
      </c>
      <c r="C61" t="str">
        <f ca="1">VLOOKUP(A61,Import_SuiviGlobal_MigAppliSate!A:I,3,FALSE)</f>
        <v>Hyper U</v>
      </c>
      <c r="D61" s="1" t="str">
        <f ca="1">VLOOKUP(A61,Import_SuiviGlobal_MigAppliSate!A:I,4,FALSE)</f>
        <v>Coop U Enseigne NordOuest</v>
      </c>
      <c r="E61">
        <f ca="1">VLOOKUP(A61,Import_SuiviGlobal_MigAppliSate!A:I,5,FALSE)</f>
        <v>62860</v>
      </c>
      <c r="F61" t="str">
        <f ca="1">VLOOKUP(A61,Import_SuiviGlobal_MigAppliSate!A:I,6,FALSE)</f>
        <v>ROUTE DÉPARTEMENTALE</v>
      </c>
      <c r="G61" t="str">
        <f ca="1">VLOOKUP(A61,Import_SuiviGlobal_MigAppliSate!A:I,7,FALSE)</f>
        <v>03.21.15.55.60</v>
      </c>
      <c r="H61" t="str">
        <f ca="1">VLOOKUP(A61,Import_SuiviGlobal_MigAppliSate!A:I,8,FALSE)</f>
        <v>CASETTA Antoine</v>
      </c>
      <c r="I61" t="str">
        <f ca="1">VLOOKUP(A61,Import_SuiviGlobal_MigAppliSate!A:I,9,FALSE)</f>
        <v>antoine.casetta@systeme-u.fr</v>
      </c>
      <c r="J61" s="24" t="str">
        <f ca="1">VLOOKUP(A61,Import_SuiviGlobal_MigAppliSate!A:K,10,FALSE)</f>
        <v>Cailliez Antoine</v>
      </c>
      <c r="K61" t="str">
        <f ca="1">VLOOKUP(A61,Import_SuiviGlobal_MigAppliSate!A:K,11,FALSE)</f>
        <v>hyperu.marquion@systeme-u.fr</v>
      </c>
      <c r="O61" s="1" t="s">
        <v>22</v>
      </c>
    </row>
    <row r="62" spans="1:15" ht="12.75" hidden="1" x14ac:dyDescent="0.2">
      <c r="A62">
        <v>38125</v>
      </c>
      <c r="B62" t="str">
        <f ca="1">VLOOKUP(A62,Import_SuiviGlobal_MigAppliSate!A:I,2,FALSE)</f>
        <v>BARBATRE</v>
      </c>
      <c r="C62" t="str">
        <f ca="1">VLOOKUP(A62,Import_SuiviGlobal_MigAppliSate!A:I,3,FALSE)</f>
        <v>U Express</v>
      </c>
      <c r="D62" s="1" t="str">
        <f ca="1">VLOOKUP(A62,Import_SuiviGlobal_MigAppliSate!A:I,4,FALSE)</f>
        <v>Coop U Enseigne Ouest</v>
      </c>
      <c r="E62">
        <f ca="1">VLOOKUP(A62,Import_SuiviGlobal_MigAppliSate!A:I,5,FALSE)</f>
        <v>85630</v>
      </c>
      <c r="F62" t="str">
        <f ca="1">VLOOKUP(A62,Import_SuiviGlobal_MigAppliSate!A:I,6,FALSE)</f>
        <v>26 RUE DE LA CURE</v>
      </c>
      <c r="G62" t="str">
        <f ca="1">VLOOKUP(A62,Import_SuiviGlobal_MigAppliSate!A:I,7,FALSE)</f>
        <v>02.51.39.80.97</v>
      </c>
      <c r="H62" t="str">
        <f ca="1">VLOOKUP(A62,Import_SuiviGlobal_MigAppliSate!A:I,8,FALSE)</f>
        <v>PICHON Olivier</v>
      </c>
      <c r="I62" t="str">
        <f ca="1">VLOOKUP(A62,Import_SuiviGlobal_MigAppliSate!A:I,9,FALSE)</f>
        <v>olivier.pichon@systeme-u.fr</v>
      </c>
      <c r="J62" s="24" t="str">
        <f ca="1">VLOOKUP(A62,Import_SuiviGlobal_MigAppliSate!A:K,10,FALSE)</f>
        <v>Mme
MOUSSAY</v>
      </c>
      <c r="K62" t="str">
        <f ca="1">VLOOKUP(A62,Import_SuiviGlobal_MigAppliSate!A:K,11,FALSE)</f>
        <v>uexpress.barbatre.direction@systeme-u.fr</v>
      </c>
      <c r="O62" s="1" t="s">
        <v>22</v>
      </c>
    </row>
    <row r="63" spans="1:15" ht="12.75" hidden="1" x14ac:dyDescent="0.2">
      <c r="A63">
        <v>25304</v>
      </c>
      <c r="B63" t="str">
        <f ca="1">VLOOKUP(A63,Import_SuiviGlobal_MigAppliSate!A:I,2,FALSE)</f>
        <v>BARENTIN</v>
      </c>
      <c r="C63" t="str">
        <f ca="1">VLOOKUP(A63,Import_SuiviGlobal_MigAppliSate!A:I,3,FALSE)</f>
        <v>U Express</v>
      </c>
      <c r="D63" s="1" t="str">
        <f ca="1">VLOOKUP(A63,Import_SuiviGlobal_MigAppliSate!A:I,4,FALSE)</f>
        <v>Coop U Enseigne NordOuest</v>
      </c>
      <c r="E63">
        <f ca="1">VLOOKUP(A63,Import_SuiviGlobal_MigAppliSate!A:I,5,FALSE)</f>
        <v>76360</v>
      </c>
      <c r="F63" t="str">
        <f ca="1">VLOOKUP(A63,Import_SuiviGlobal_MigAppliSate!A:I,6,FALSE)</f>
        <v>RUE DU GÉNÉRAL GIRAUD</v>
      </c>
      <c r="G63" t="str">
        <f ca="1">VLOOKUP(A63,Import_SuiviGlobal_MigAppliSate!A:I,7,FALSE)</f>
        <v>02.35.91.28.92</v>
      </c>
      <c r="H63" t="str">
        <f ca="1">VLOOKUP(A63,Import_SuiviGlobal_MigAppliSate!A:I,8,FALSE)</f>
        <v>LARBI Joachim</v>
      </c>
      <c r="I63" t="str">
        <f ca="1">VLOOKUP(A63,Import_SuiviGlobal_MigAppliSate!A:I,9,FALSE)</f>
        <v>joachim.larbi@systeme-u.fr</v>
      </c>
      <c r="J63" s="24" t="str">
        <f ca="1">VLOOKUP(A63,Import_SuiviGlobal_MigAppliSate!A:K,10,FALSE)</f>
        <v/>
      </c>
      <c r="K63" t="str">
        <f ca="1">VLOOKUP(A63,Import_SuiviGlobal_MigAppliSate!A:K,11,FALSE)</f>
        <v/>
      </c>
      <c r="O63" s="1" t="s">
        <v>22</v>
      </c>
    </row>
    <row r="64" spans="1:15" ht="12.75" hidden="1" x14ac:dyDescent="0.2">
      <c r="A64">
        <v>95145</v>
      </c>
      <c r="B64" t="str">
        <f ca="1">VLOOKUP(A64,Import_SuiviGlobal_MigAppliSate!A:I,2,FALSE)</f>
        <v>BASSENS</v>
      </c>
      <c r="C64" t="str">
        <f ca="1">VLOOKUP(A64,Import_SuiviGlobal_MigAppliSate!A:I,3,FALSE)</f>
        <v>Super U</v>
      </c>
      <c r="D64" s="1" t="str">
        <f ca="1">VLOOKUP(A64,Import_SuiviGlobal_MigAppliSate!A:I,4,FALSE)</f>
        <v>Coop U Enseigne Sud</v>
      </c>
      <c r="E64">
        <f ca="1">VLOOKUP(A64,Import_SuiviGlobal_MigAppliSate!A:I,5,FALSE)</f>
        <v>33530</v>
      </c>
      <c r="F64" t="str">
        <f ca="1">VLOOKUP(A64,Import_SuiviGlobal_MigAppliSate!A:I,6,FALSE)</f>
        <v>7 RUE CAMILLE JULLIAN</v>
      </c>
      <c r="G64" t="str">
        <f ca="1">VLOOKUP(A64,Import_SuiviGlobal_MigAppliSate!A:I,7,FALSE)</f>
        <v>05.56.33.86.86</v>
      </c>
      <c r="H64" t="str">
        <f ca="1">VLOOKUP(A64,Import_SuiviGlobal_MigAppliSate!A:I,8,FALSE)</f>
        <v>MARTIN Jeremie-Olivier</v>
      </c>
      <c r="I64" t="str">
        <f ca="1">VLOOKUP(A64,Import_SuiviGlobal_MigAppliSate!A:I,9,FALSE)</f>
        <v>jeremie.martin@systeme-u.fr</v>
      </c>
      <c r="J64" s="24" t="str">
        <f ca="1">VLOOKUP(A64,Import_SuiviGlobal_MigAppliSate!A:K,10,FALSE)</f>
        <v/>
      </c>
      <c r="K64" t="str">
        <f ca="1">VLOOKUP(A64,Import_SuiviGlobal_MigAppliSate!A:K,11,FALSE)</f>
        <v/>
      </c>
      <c r="O64" s="1" t="s">
        <v>22</v>
      </c>
    </row>
    <row r="65" spans="1:15" ht="12.75" hidden="1" x14ac:dyDescent="0.2">
      <c r="A65">
        <v>31333</v>
      </c>
      <c r="B65" t="str">
        <f ca="1">VLOOKUP(A65,Import_SuiviGlobal_MigAppliSate!A:I,2,FALSE)</f>
        <v>BAUGE</v>
      </c>
      <c r="C65" t="str">
        <f ca="1">VLOOKUP(A65,Import_SuiviGlobal_MigAppliSate!A:I,3,FALSE)</f>
        <v>Super U</v>
      </c>
      <c r="D65" s="1" t="str">
        <f ca="1">VLOOKUP(A65,Import_SuiviGlobal_MigAppliSate!A:I,4,FALSE)</f>
        <v>Coop U Enseigne Ouest</v>
      </c>
      <c r="E65">
        <f ca="1">VLOOKUP(A65,Import_SuiviGlobal_MigAppliSate!A:I,5,FALSE)</f>
        <v>49150</v>
      </c>
      <c r="F65" t="str">
        <f ca="1">VLOOKUP(A65,Import_SuiviGlobal_MigAppliSate!A:I,6,FALSE)</f>
        <v>ROUTE D'ANGERS</v>
      </c>
      <c r="G65" t="str">
        <f ca="1">VLOOKUP(A65,Import_SuiviGlobal_MigAppliSate!A:I,7,FALSE)</f>
        <v>02.41.89.29.44</v>
      </c>
      <c r="H65" t="str">
        <f ca="1">VLOOKUP(A65,Import_SuiviGlobal_MigAppliSate!A:I,8,FALSE)</f>
        <v>NOURISSON Jean Michel</v>
      </c>
      <c r="I65" t="str">
        <f ca="1">VLOOKUP(A65,Import_SuiviGlobal_MigAppliSate!A:I,9,FALSE)</f>
        <v>jean-michel.nourisson@systeme-u.fr</v>
      </c>
      <c r="J65" s="24" t="str">
        <f ca="1">VLOOKUP(A65,Import_SuiviGlobal_MigAppliSate!A:K,10,FALSE)</f>
        <v/>
      </c>
      <c r="K65" t="str">
        <f ca="1">VLOOKUP(A65,Import_SuiviGlobal_MigAppliSate!A:K,11,FALSE)</f>
        <v/>
      </c>
      <c r="O65" s="1" t="s">
        <v>22</v>
      </c>
    </row>
    <row r="66" spans="1:15" ht="12.75" hidden="1" x14ac:dyDescent="0.2">
      <c r="A66">
        <v>31562</v>
      </c>
      <c r="B66" t="str">
        <f ca="1">VLOOKUP(A66,Import_SuiviGlobal_MigAppliSate!A:I,2,FALSE)</f>
        <v>BAULE</v>
      </c>
      <c r="C66" t="str">
        <f ca="1">VLOOKUP(A66,Import_SuiviGlobal_MigAppliSate!A:I,3,FALSE)</f>
        <v>Hyper U</v>
      </c>
      <c r="D66" s="1" t="str">
        <f ca="1">VLOOKUP(A66,Import_SuiviGlobal_MigAppliSate!A:I,4,FALSE)</f>
        <v>Coop U Enseigne Ouest</v>
      </c>
      <c r="E66">
        <f ca="1">VLOOKUP(A66,Import_SuiviGlobal_MigAppliSate!A:I,5,FALSE)</f>
        <v>45130</v>
      </c>
      <c r="F66" t="str">
        <f ca="1">VLOOKUP(A66,Import_SuiviGlobal_MigAppliSate!A:I,6,FALSE)</f>
        <v>LES COUTURES</v>
      </c>
      <c r="G66" t="str">
        <f ca="1">VLOOKUP(A66,Import_SuiviGlobal_MigAppliSate!A:I,7,FALSE)</f>
        <v>02.38.45.01.66</v>
      </c>
      <c r="H66" t="str">
        <f ca="1">VLOOKUP(A66,Import_SuiviGlobal_MigAppliSate!A:I,8,FALSE)</f>
        <v>BORGET RPT SARL AVENIR 3000 Jean-François</v>
      </c>
      <c r="I66" t="str">
        <f ca="1">VLOOKUP(A66,Import_SuiviGlobal_MigAppliSate!A:I,9,FALSE)</f>
        <v>jean-francois.borget@systeme-u.fr</v>
      </c>
      <c r="J66" s="24" t="str">
        <f ca="1">VLOOKUP(A66,Import_SuiviGlobal_MigAppliSate!A:K,10,FALSE)</f>
        <v>Sébastien RIOTTE (directeur), Laëtitia MAJSTROWICZ (UPLV)</v>
      </c>
      <c r="K66" t="str">
        <f ca="1">VLOOKUP(A66,Import_SuiviGlobal_MigAppliSate!A:K,11,FALSE)</f>
        <v>hyperu.baule.direction@systeme-u.fr, hyperu.baule.affichage@systeme-u.fr</v>
      </c>
      <c r="L66" s="1" t="s">
        <v>17</v>
      </c>
      <c r="M66" s="1" t="s">
        <v>24</v>
      </c>
      <c r="N66" s="1" t="s">
        <v>18</v>
      </c>
      <c r="O66" s="1" t="s">
        <v>19</v>
      </c>
    </row>
    <row r="67" spans="1:15" ht="12.75" hidden="1" x14ac:dyDescent="0.2">
      <c r="A67">
        <v>63311</v>
      </c>
      <c r="B67" t="str">
        <f ca="1">VLOOKUP(A67,Import_SuiviGlobal_MigAppliSate!A:I,2,FALSE)</f>
        <v>BAUME LES DAMES</v>
      </c>
      <c r="C67" t="str">
        <f ca="1">VLOOKUP(A67,Import_SuiviGlobal_MigAppliSate!A:I,3,FALSE)</f>
        <v>Super U</v>
      </c>
      <c r="D67" s="1" t="str">
        <f ca="1">VLOOKUP(A67,Import_SuiviGlobal_MigAppliSate!A:I,4,FALSE)</f>
        <v>Coop U Enseigne Est</v>
      </c>
      <c r="E67">
        <f ca="1">VLOOKUP(A67,Import_SuiviGlobal_MigAppliSate!A:I,5,FALSE)</f>
        <v>25112</v>
      </c>
      <c r="F67" t="str">
        <f ca="1">VLOOKUP(A67,Import_SuiviGlobal_MigAppliSate!A:I,6,FALSE)</f>
        <v>12 rue de Mi-Cour</v>
      </c>
      <c r="G67" t="str">
        <f ca="1">VLOOKUP(A67,Import_SuiviGlobal_MigAppliSate!A:I,7,FALSE)</f>
        <v>03.81.84.49.20</v>
      </c>
      <c r="H67" t="str">
        <f ca="1">VLOOKUP(A67,Import_SuiviGlobal_MigAppliSate!A:I,8,FALSE)</f>
        <v>MATHEY RPT SAS HOLDING MATHEY Patrice</v>
      </c>
      <c r="I67" t="str">
        <f ca="1">VLOOKUP(A67,Import_SuiviGlobal_MigAppliSate!A:I,9,FALSE)</f>
        <v/>
      </c>
      <c r="J67" s="24" t="str">
        <f ca="1">VLOOKUP(A67,Import_SuiviGlobal_MigAppliSate!A:K,10,FALSE)</f>
        <v>Mme MATHEY Florence</v>
      </c>
      <c r="K67" t="str">
        <f ca="1">VLOOKUP(A67,Import_SuiviGlobal_MigAppliSate!A:K,11,FALSE)</f>
        <v>superu.baumelesdames.compta@systeme-u.fr</v>
      </c>
      <c r="O67" s="1" t="s">
        <v>22</v>
      </c>
    </row>
    <row r="68" spans="1:15" ht="12.75" hidden="1" x14ac:dyDescent="0.2">
      <c r="A68">
        <v>69005</v>
      </c>
      <c r="B68" t="str">
        <f ca="1">VLOOKUP(A68,Import_SuiviGlobal_MigAppliSate!A:I,2,FALSE)</f>
        <v>BAVILLIERS</v>
      </c>
      <c r="C68" t="str">
        <f ca="1">VLOOKUP(A68,Import_SuiviGlobal_MigAppliSate!A:I,3,FALSE)</f>
        <v>U Express</v>
      </c>
      <c r="D68" s="1" t="str">
        <f ca="1">VLOOKUP(A68,Import_SuiviGlobal_MigAppliSate!A:I,4,FALSE)</f>
        <v>Coop U Enseigne Est</v>
      </c>
      <c r="E68">
        <f ca="1">VLOOKUP(A68,Import_SuiviGlobal_MigAppliSate!A:I,5,FALSE)</f>
        <v>90800</v>
      </c>
      <c r="F68" t="str">
        <f ca="1">VLOOKUP(A68,Import_SuiviGlobal_MigAppliSate!A:I,6,FALSE)</f>
        <v>CENTRE COMMERCIALE DE LA DOUCE</v>
      </c>
      <c r="G68" t="str">
        <f ca="1">VLOOKUP(A68,Import_SuiviGlobal_MigAppliSate!A:I,7,FALSE)</f>
        <v>03.84.22.57.81</v>
      </c>
      <c r="H68" t="str">
        <f ca="1">VLOOKUP(A68,Import_SuiviGlobal_MigAppliSate!A:I,8,FALSE)</f>
        <v>MARTEL Jean Charles</v>
      </c>
      <c r="I68" t="str">
        <f ca="1">VLOOKUP(A68,Import_SuiviGlobal_MigAppliSate!A:I,9,FALSE)</f>
        <v>jean-charles.martel@systeme-u.fr</v>
      </c>
      <c r="J68" s="24" t="str">
        <f ca="1">VLOOKUP(A68,Import_SuiviGlobal_MigAppliSate!A:K,10,FALSE)</f>
        <v/>
      </c>
      <c r="K68" t="str">
        <f ca="1">VLOOKUP(A68,Import_SuiviGlobal_MigAppliSate!A:K,11,FALSE)</f>
        <v/>
      </c>
      <c r="O68" s="1" t="s">
        <v>22</v>
      </c>
    </row>
    <row r="69" spans="1:15" ht="12.75" hidden="1" x14ac:dyDescent="0.2">
      <c r="A69">
        <v>21333</v>
      </c>
      <c r="B69" t="str">
        <f ca="1">VLOOKUP(A69,Import_SuiviGlobal_MigAppliSate!A:I,2,FALSE)</f>
        <v>BAYEUX</v>
      </c>
      <c r="C69" t="str">
        <f ca="1">VLOOKUP(A69,Import_SuiviGlobal_MigAppliSate!A:I,3,FALSE)</f>
        <v>U Express</v>
      </c>
      <c r="D69" s="1" t="str">
        <f ca="1">VLOOKUP(A69,Import_SuiviGlobal_MigAppliSate!A:I,4,FALSE)</f>
        <v>Coop U Enseigne NordOuest</v>
      </c>
      <c r="E69">
        <f ca="1">VLOOKUP(A69,Import_SuiviGlobal_MigAppliSate!A:I,5,FALSE)</f>
        <v>14400</v>
      </c>
      <c r="F69" t="str">
        <f ca="1">VLOOKUP(A69,Import_SuiviGlobal_MigAppliSate!A:I,6,FALSE)</f>
        <v>54 BIS RUE SAINT PATRICE</v>
      </c>
      <c r="G69" t="str">
        <f ca="1">VLOOKUP(A69,Import_SuiviGlobal_MigAppliSate!A:I,7,FALSE)</f>
        <v>02.31.92.84.94</v>
      </c>
      <c r="H69" t="str">
        <f ca="1">VLOOKUP(A69,Import_SuiviGlobal_MigAppliSate!A:I,8,FALSE)</f>
        <v>DUTEIL Nicolas</v>
      </c>
      <c r="I69" t="str">
        <f ca="1">VLOOKUP(A69,Import_SuiviGlobal_MigAppliSate!A:I,9,FALSE)</f>
        <v>uexpress.bayeux@systeme-u.fr</v>
      </c>
      <c r="J69" s="24" t="str">
        <f ca="1">VLOOKUP(A69,Import_SuiviGlobal_MigAppliSate!A:K,10,FALSE)</f>
        <v/>
      </c>
      <c r="K69" t="str">
        <f ca="1">VLOOKUP(A69,Import_SuiviGlobal_MigAppliSate!A:K,11,FALSE)</f>
        <v/>
      </c>
      <c r="O69" s="1" t="s">
        <v>22</v>
      </c>
    </row>
    <row r="70" spans="1:15" ht="12.75" hidden="1" x14ac:dyDescent="0.2">
      <c r="A70">
        <v>95467</v>
      </c>
      <c r="B70" t="str">
        <f ca="1">VLOOKUP(A70,Import_SuiviGlobal_MigAppliSate!A:I,2,FALSE)</f>
        <v>BAYONNE</v>
      </c>
      <c r="C70" t="str">
        <f ca="1">VLOOKUP(A70,Import_SuiviGlobal_MigAppliSate!A:I,3,FALSE)</f>
        <v>U Express</v>
      </c>
      <c r="D70" s="1" t="str">
        <f ca="1">VLOOKUP(A70,Import_SuiviGlobal_MigAppliSate!A:I,4,FALSE)</f>
        <v>Coop UPSO</v>
      </c>
      <c r="E70">
        <f ca="1">VLOOKUP(A70,Import_SuiviGlobal_MigAppliSate!A:I,5,FALSE)</f>
        <v>64100</v>
      </c>
      <c r="F70" t="str">
        <f ca="1">VLOOKUP(A70,Import_SuiviGlobal_MigAppliSate!A:I,6,FALSE)</f>
        <v>PLACE DE L ARSENAL</v>
      </c>
      <c r="G70" t="str">
        <f ca="1">VLOOKUP(A70,Import_SuiviGlobal_MigAppliSate!A:I,7,FALSE)</f>
        <v>05.59.42.12.42</v>
      </c>
      <c r="H70" t="str">
        <f ca="1">VLOOKUP(A70,Import_SuiviGlobal_MigAppliSate!A:I,8,FALSE)</f>
        <v>SAUX Nicolas</v>
      </c>
      <c r="I70" t="str">
        <f ca="1">VLOOKUP(A70,Import_SuiviGlobal_MigAppliSate!A:I,9,FALSE)</f>
        <v>uexpress.bayonne@systeme-u.fr</v>
      </c>
      <c r="J70" s="24" t="str">
        <f ca="1">VLOOKUP(A70,Import_SuiviGlobal_MigAppliSate!A:K,10,FALSE)</f>
        <v>Mme ELISSONDO</v>
      </c>
      <c r="K70" t="str">
        <f ca="1">VLOOKUP(A70,Import_SuiviGlobal_MigAppliSate!A:K,11,FALSE)</f>
        <v/>
      </c>
      <c r="O70" s="1" t="s">
        <v>22</v>
      </c>
    </row>
    <row r="71" spans="1:15" ht="12.75" hidden="1" x14ac:dyDescent="0.2">
      <c r="A71">
        <v>95167</v>
      </c>
      <c r="B71" t="str">
        <f ca="1">VLOOKUP(A71,Import_SuiviGlobal_MigAppliSate!A:I,2,FALSE)</f>
        <v>BAZAS</v>
      </c>
      <c r="C71" t="str">
        <f ca="1">VLOOKUP(A71,Import_SuiviGlobal_MigAppliSate!A:I,3,FALSE)</f>
        <v>Super U</v>
      </c>
      <c r="D71" s="1" t="str">
        <f ca="1">VLOOKUP(A71,Import_SuiviGlobal_MigAppliSate!A:I,4,FALSE)</f>
        <v>Coop U Enseigne Sud</v>
      </c>
      <c r="E71">
        <f ca="1">VLOOKUP(A71,Import_SuiviGlobal_MigAppliSate!A:I,5,FALSE)</f>
        <v>33430</v>
      </c>
      <c r="F71" t="str">
        <f ca="1">VLOOKUP(A71,Import_SuiviGlobal_MigAppliSate!A:I,6,FALSE)</f>
        <v>RD 3 LIEUDIT LE CASSE</v>
      </c>
      <c r="G71" t="str">
        <f ca="1">VLOOKUP(A71,Import_SuiviGlobal_MigAppliSate!A:I,7,FALSE)</f>
        <v>05.56.65.05.50</v>
      </c>
      <c r="H71" t="str">
        <f ca="1">VLOOKUP(A71,Import_SuiviGlobal_MigAppliSate!A:I,8,FALSE)</f>
        <v>GAILLARD Kathya</v>
      </c>
      <c r="I71" t="str">
        <f ca="1">VLOOKUP(A71,Import_SuiviGlobal_MigAppliSate!A:I,9,FALSE)</f>
        <v>kathya.gaillard@systeme-u.fr</v>
      </c>
      <c r="J71" s="24" t="str">
        <f ca="1">VLOOKUP(A71,Import_SuiviGlobal_MigAppliSate!A:K,10,FALSE)</f>
        <v>CASANOVAS PHILIPPE</v>
      </c>
      <c r="K71" t="str">
        <f ca="1">VLOOKUP(A71,Import_SuiviGlobal_MigAppliSate!A:K,11,FALSE)</f>
        <v>philippe.casanovas@systeme-u.fr</v>
      </c>
      <c r="O71" s="1" t="s">
        <v>22</v>
      </c>
    </row>
    <row r="72" spans="1:15" ht="12.75" hidden="1" x14ac:dyDescent="0.2">
      <c r="A72">
        <v>37478</v>
      </c>
      <c r="B72" t="str">
        <f ca="1">VLOOKUP(A72,Import_SuiviGlobal_MigAppliSate!A:I,2,FALSE)</f>
        <v>BAZOUGES</v>
      </c>
      <c r="C72" t="str">
        <f ca="1">VLOOKUP(A72,Import_SuiviGlobal_MigAppliSate!A:I,3,FALSE)</f>
        <v>U Express</v>
      </c>
      <c r="D72" s="1" t="str">
        <f ca="1">VLOOKUP(A72,Import_SuiviGlobal_MigAppliSate!A:I,4,FALSE)</f>
        <v>Coop U Enseigne Ouest</v>
      </c>
      <c r="E72">
        <f ca="1">VLOOKUP(A72,Import_SuiviGlobal_MigAppliSate!A:I,5,FALSE)</f>
        <v>53200</v>
      </c>
      <c r="F72" t="str">
        <f ca="1">VLOOKUP(A72,Import_SuiviGlobal_MigAppliSate!A:I,6,FALSE)</f>
        <v>2, RUE DE BRETAGNE</v>
      </c>
      <c r="G72" t="str">
        <f ca="1">VLOOKUP(A72,Import_SuiviGlobal_MigAppliSate!A:I,7,FALSE)</f>
        <v>02.43.70.27.02</v>
      </c>
      <c r="H72" t="str">
        <f ca="1">VLOOKUP(A72,Import_SuiviGlobal_MigAppliSate!A:I,8,FALSE)</f>
        <v>VALLEE ALAIN</v>
      </c>
      <c r="I72" t="str">
        <f ca="1">VLOOKUP(A72,Import_SuiviGlobal_MigAppliSate!A:I,9,FALSE)</f>
        <v>alain.vallee@systeme-u.fr</v>
      </c>
      <c r="J72" s="24" t="str">
        <f ca="1">VLOOKUP(A72,Import_SuiviGlobal_MigAppliSate!A:K,10,FALSE)</f>
        <v>Madame Adélaide</v>
      </c>
      <c r="K72" t="str">
        <f ca="1">VLOOKUP(A72,Import_SuiviGlobal_MigAppliSate!A:K,11,FALSE)</f>
        <v>uexpress.bazouges.direction@systeme-u.fr</v>
      </c>
      <c r="O72" s="1" t="s">
        <v>22</v>
      </c>
    </row>
    <row r="73" spans="1:15" ht="12.75" hidden="1" x14ac:dyDescent="0.2">
      <c r="A73">
        <v>90620</v>
      </c>
      <c r="B73" t="str">
        <f ca="1">VLOOKUP(A73,Import_SuiviGlobal_MigAppliSate!A:I,2,FALSE)</f>
        <v>BEAUCAIRE</v>
      </c>
      <c r="C73" t="str">
        <f ca="1">VLOOKUP(A73,Import_SuiviGlobal_MigAppliSate!A:I,3,FALSE)</f>
        <v>U Express</v>
      </c>
      <c r="D73" s="1" t="str">
        <f ca="1">VLOOKUP(A73,Import_SuiviGlobal_MigAppliSate!A:I,4,FALSE)</f>
        <v>Coop MISTRAL</v>
      </c>
      <c r="E73">
        <f ca="1">VLOOKUP(A73,Import_SuiviGlobal_MigAppliSate!A:I,5,FALSE)</f>
        <v>30300</v>
      </c>
      <c r="F73" t="str">
        <f ca="1">VLOOKUP(A73,Import_SuiviGlobal_MigAppliSate!A:I,6,FALSE)</f>
        <v>18 BD MARECHAL FOCH</v>
      </c>
      <c r="G73" t="str">
        <f ca="1">VLOOKUP(A73,Import_SuiviGlobal_MigAppliSate!A:I,7,FALSE)</f>
        <v>04.66.59.12.10</v>
      </c>
      <c r="H73" t="str">
        <f ca="1">VLOOKUP(A73,Import_SuiviGlobal_MigAppliSate!A:I,8,FALSE)</f>
        <v>ZOUAOUI Yacine</v>
      </c>
      <c r="I73" t="str">
        <f ca="1">VLOOKUP(A73,Import_SuiviGlobal_MigAppliSate!A:I,9,FALSE)</f>
        <v/>
      </c>
      <c r="J73" s="24" t="str">
        <f ca="1">VLOOKUP(A73,Import_SuiviGlobal_MigAppliSate!A:K,10,FALSE)</f>
        <v/>
      </c>
      <c r="K73" t="str">
        <f ca="1">VLOOKUP(A73,Import_SuiviGlobal_MigAppliSate!A:K,11,FALSE)</f>
        <v>delphine.damian@lemistral.fr,helene.mina@lemistral.fr</v>
      </c>
      <c r="O73" s="1" t="s">
        <v>22</v>
      </c>
    </row>
    <row r="74" spans="1:15" ht="12.75" hidden="1" x14ac:dyDescent="0.2">
      <c r="A74">
        <v>69178</v>
      </c>
      <c r="B74" t="str">
        <f ca="1">VLOOKUP(A74,Import_SuiviGlobal_MigAppliSate!A:I,2,FALSE)</f>
        <v>BEAUCOURT</v>
      </c>
      <c r="C74" t="str">
        <f ca="1">VLOOKUP(A74,Import_SuiviGlobal_MigAppliSate!A:I,3,FALSE)</f>
        <v>U Express</v>
      </c>
      <c r="D74" s="1" t="str">
        <f ca="1">VLOOKUP(A74,Import_SuiviGlobal_MigAppliSate!A:I,4,FALSE)</f>
        <v>Coop U Enseigne Est</v>
      </c>
      <c r="E74">
        <f ca="1">VLOOKUP(A74,Import_SuiviGlobal_MigAppliSate!A:I,5,FALSE)</f>
        <v>90500</v>
      </c>
      <c r="F74" t="str">
        <f ca="1">VLOOKUP(A74,Import_SuiviGlobal_MigAppliSate!A:I,6,FALSE)</f>
        <v>Rue Alfred Pechin</v>
      </c>
      <c r="G74" t="str">
        <f ca="1">VLOOKUP(A74,Import_SuiviGlobal_MigAppliSate!A:I,7,FALSE)</f>
        <v>03.84.56.59.03</v>
      </c>
      <c r="H74" t="str">
        <f ca="1">VLOOKUP(A74,Import_SuiviGlobal_MigAppliSate!A:I,8,FALSE)</f>
        <v>BOURGEAT Jérôme</v>
      </c>
      <c r="I74" t="str">
        <f ca="1">VLOOKUP(A74,Import_SuiviGlobal_MigAppliSate!A:I,9,FALSE)</f>
        <v>jerome.bourgeat@systeme-u.fr</v>
      </c>
      <c r="J74" s="24" t="str">
        <f ca="1">VLOOKUP(A74,Import_SuiviGlobal_MigAppliSate!A:K,10,FALSE)</f>
        <v>Mr Mauvais 
Sandrine (comptable)</v>
      </c>
      <c r="K74" t="str">
        <f ca="1">VLOOKUP(A74,Import_SuiviGlobal_MigAppliSate!A:K,11,FALSE)</f>
        <v>superu.beaucourt.compta@systeme-u.fr</v>
      </c>
      <c r="O74" s="1" t="s">
        <v>22</v>
      </c>
    </row>
    <row r="75" spans="1:15" ht="12.75" hidden="1" x14ac:dyDescent="0.2">
      <c r="A75">
        <v>35282</v>
      </c>
      <c r="B75" t="str">
        <f ca="1">VLOOKUP(A75,Import_SuiviGlobal_MigAppliSate!A:I,2,FALSE)</f>
        <v>BEAUCOUZE</v>
      </c>
      <c r="C75" t="str">
        <f ca="1">VLOOKUP(A75,Import_SuiviGlobal_MigAppliSate!A:I,3,FALSE)</f>
        <v>Super U</v>
      </c>
      <c r="D75" s="1" t="str">
        <f ca="1">VLOOKUP(A75,Import_SuiviGlobal_MigAppliSate!A:I,4,FALSE)</f>
        <v>Coop U Enseigne Ouest</v>
      </c>
      <c r="E75">
        <f ca="1">VLOOKUP(A75,Import_SuiviGlobal_MigAppliSate!A:I,5,FALSE)</f>
        <v>49070</v>
      </c>
      <c r="F75" t="str">
        <f ca="1">VLOOKUP(A75,Import_SuiviGlobal_MigAppliSate!A:I,6,FALSE)</f>
        <v>RUE DU BOURG DE PAILLE</v>
      </c>
      <c r="G75" t="str">
        <f ca="1">VLOOKUP(A75,Import_SuiviGlobal_MigAppliSate!A:I,7,FALSE)</f>
        <v>02.41.36.00.24</v>
      </c>
      <c r="H75" t="str">
        <f ca="1">VLOOKUP(A75,Import_SuiviGlobal_MigAppliSate!A:I,8,FALSE)</f>
        <v>BLOND Jean-Jacques</v>
      </c>
      <c r="I75" t="str">
        <f ca="1">VLOOKUP(A75,Import_SuiviGlobal_MigAppliSate!A:I,9,FALSE)</f>
        <v>jean-jacques.blond@systeme-u.fr</v>
      </c>
      <c r="J75" s="24" t="str">
        <f ca="1">VLOOKUP(A75,Import_SuiviGlobal_MigAppliSate!A:K,10,FALSE)</f>
        <v>Mme Roulois</v>
      </c>
      <c r="K75" t="str">
        <f ca="1">VLOOKUP(A75,Import_SuiviGlobal_MigAppliSate!A:K,11,FALSE)</f>
        <v>superu.beaucouze.rh@systeme-u.fr</v>
      </c>
      <c r="O75" s="1" t="s">
        <v>22</v>
      </c>
    </row>
    <row r="76" spans="1:15" ht="12.75" hidden="1" x14ac:dyDescent="0.2">
      <c r="A76">
        <v>90465</v>
      </c>
      <c r="B76" t="str">
        <f ca="1">VLOOKUP(A76,Import_SuiviGlobal_MigAppliSate!A:I,2,FALSE)</f>
        <v>BEAULIEU-SUR-MER</v>
      </c>
      <c r="C76" t="str">
        <f ca="1">VLOOKUP(A76,Import_SuiviGlobal_MigAppliSate!A:I,3,FALSE)</f>
        <v>Super U</v>
      </c>
      <c r="D76" s="1" t="str">
        <f ca="1">VLOOKUP(A76,Import_SuiviGlobal_MigAppliSate!A:I,4,FALSE)</f>
        <v>Coop U Enseigne Sud</v>
      </c>
      <c r="E76">
        <f ca="1">VLOOKUP(A76,Import_SuiviGlobal_MigAppliSate!A:I,5,FALSE)</f>
        <v>6310</v>
      </c>
      <c r="F76" t="str">
        <f ca="1">VLOOKUP(A76,Import_SuiviGlobal_MigAppliSate!A:I,6,FALSE)</f>
        <v>1 RUE DU 8 MAI 1945</v>
      </c>
      <c r="G76" t="str">
        <f ca="1">VLOOKUP(A76,Import_SuiviGlobal_MigAppliSate!A:I,7,FALSE)</f>
        <v>04.93.01.04.61</v>
      </c>
      <c r="H76" t="str">
        <f ca="1">VLOOKUP(A76,Import_SuiviGlobal_MigAppliSate!A:I,8,FALSE)</f>
        <v>BOURASSIN Clement</v>
      </c>
      <c r="I76" t="str">
        <f ca="1">VLOOKUP(A76,Import_SuiviGlobal_MigAppliSate!A:I,9,FALSE)</f>
        <v>clement.bourassin@systeme-u.fr</v>
      </c>
      <c r="J76" s="24" t="str">
        <f ca="1">VLOOKUP(A76,Import_SuiviGlobal_MigAppliSate!A:K,10,FALSE)</f>
        <v>Mr Mercier / Christophe HARDY</v>
      </c>
      <c r="K76" t="str">
        <f ca="1">VLOOKUP(A76,Import_SuiviGlobal_MigAppliSate!A:K,11,FALSE)</f>
        <v>benoit.bourassin@systeme-u.fr,superu.beaulieu@systeme-u.fr,superu.beaulieu.maintenance@systeme-u.fr</v>
      </c>
      <c r="O76" s="1" t="s">
        <v>22</v>
      </c>
    </row>
    <row r="77" spans="1:15" ht="12.75" hidden="1" x14ac:dyDescent="0.2">
      <c r="A77">
        <v>90637</v>
      </c>
      <c r="B77" t="str">
        <f ca="1">VLOOKUP(A77,Import_SuiviGlobal_MigAppliSate!A:I,2,FALSE)</f>
        <v>BEAUMES VENISE</v>
      </c>
      <c r="C77" t="str">
        <f ca="1">VLOOKUP(A77,Import_SuiviGlobal_MigAppliSate!A:I,3,FALSE)</f>
        <v>U Express</v>
      </c>
      <c r="D77" s="1" t="str">
        <f ca="1">VLOOKUP(A77,Import_SuiviGlobal_MigAppliSate!A:I,4,FALSE)</f>
        <v>Coop MISTRAL</v>
      </c>
      <c r="E77">
        <f ca="1">VLOOKUP(A77,Import_SuiviGlobal_MigAppliSate!A:I,5,FALSE)</f>
        <v>84190</v>
      </c>
      <c r="F77" t="str">
        <f ca="1">VLOOKUP(A77,Import_SuiviGlobal_MigAppliSate!A:I,6,FALSE)</f>
        <v>9 PLACE DU MARCHE</v>
      </c>
      <c r="G77" t="str">
        <f ca="1">VLOOKUP(A77,Import_SuiviGlobal_MigAppliSate!A:I,7,FALSE)</f>
        <v>04.90.62.94.77</v>
      </c>
      <c r="H77" t="str">
        <f ca="1">VLOOKUP(A77,Import_SuiviGlobal_MigAppliSate!A:I,8,FALSE)</f>
        <v>ET FRANCOIS COCO GILLES GROS</v>
      </c>
      <c r="I77" t="str">
        <f ca="1">VLOOKUP(A77,Import_SuiviGlobal_MigAppliSate!A:I,9,FALSE)</f>
        <v/>
      </c>
      <c r="J77" s="24" t="str">
        <f ca="1">VLOOKUP(A77,Import_SuiviGlobal_MigAppliSate!A:K,10,FALSE)</f>
        <v>COCO François</v>
      </c>
      <c r="K77" t="str">
        <f ca="1">VLOOKUP(A77,Import_SuiviGlobal_MigAppliSate!A:K,11,FALSE)</f>
        <v>delphine.damian@lemistral.fr,helene.mina@lemistral.fr</v>
      </c>
      <c r="O77" s="1" t="s">
        <v>22</v>
      </c>
    </row>
    <row r="78" spans="1:15" ht="12.75" hidden="1" x14ac:dyDescent="0.2">
      <c r="A78">
        <v>23409</v>
      </c>
      <c r="B78" t="str">
        <f ca="1">VLOOKUP(A78,Import_SuiviGlobal_MigAppliSate!A:I,2,FALSE)</f>
        <v>BEAUMONT HAGUE</v>
      </c>
      <c r="C78" t="str">
        <f ca="1">VLOOKUP(A78,Import_SuiviGlobal_MigAppliSate!A:I,3,FALSE)</f>
        <v>Super U</v>
      </c>
      <c r="D78" s="1" t="str">
        <f ca="1">VLOOKUP(A78,Import_SuiviGlobal_MigAppliSate!A:I,4,FALSE)</f>
        <v>Coop U Enseigne NordOuest</v>
      </c>
      <c r="E78">
        <f ca="1">VLOOKUP(A78,Import_SuiviGlobal_MigAppliSate!A:I,5,FALSE)</f>
        <v>50440</v>
      </c>
      <c r="F78" t="str">
        <f ca="1">VLOOKUP(A78,Import_SuiviGlobal_MigAppliSate!A:I,6,FALSE)</f>
        <v>7 RUE DU VIEUX CHEMIN</v>
      </c>
      <c r="G78" t="str">
        <f ca="1">VLOOKUP(A78,Import_SuiviGlobal_MigAppliSate!A:I,7,FALSE)</f>
        <v>02.33.08.20.20</v>
      </c>
      <c r="H78" t="str">
        <f ca="1">VLOOKUP(A78,Import_SuiviGlobal_MigAppliSate!A:I,8,FALSE)</f>
        <v>GAIGNARD Christian</v>
      </c>
      <c r="I78" t="str">
        <f ca="1">VLOOKUP(A78,Import_SuiviGlobal_MigAppliSate!A:I,9,FALSE)</f>
        <v>christian.gaignard@systeme-u.fr</v>
      </c>
      <c r="J78" s="24" t="str">
        <f ca="1">VLOOKUP(A78,Import_SuiviGlobal_MigAppliSate!A:K,10,FALSE)</f>
        <v>M Olivier Hervé</v>
      </c>
      <c r="K78" t="str">
        <f ca="1">VLOOKUP(A78,Import_SuiviGlobal_MigAppliSate!A:K,11,FALSE)</f>
        <v>herve.olivier@systeme-u.fr</v>
      </c>
      <c r="O78" s="1" t="s">
        <v>22</v>
      </c>
    </row>
    <row r="79" spans="1:15" ht="12.75" hidden="1" x14ac:dyDescent="0.2">
      <c r="A79">
        <v>90464</v>
      </c>
      <c r="B79" t="str">
        <f ca="1">VLOOKUP(A79,Import_SuiviGlobal_MigAppliSate!A:I,2,FALSE)</f>
        <v>BEAUMONT LES VALENCE</v>
      </c>
      <c r="C79" t="str">
        <f ca="1">VLOOKUP(A79,Import_SuiviGlobal_MigAppliSate!A:I,3,FALSE)</f>
        <v>Super U</v>
      </c>
      <c r="D79" s="1" t="str">
        <f ca="1">VLOOKUP(A79,Import_SuiviGlobal_MigAppliSate!A:I,4,FALSE)</f>
        <v>Coop U Enseigne Sud</v>
      </c>
      <c r="E79">
        <f ca="1">VLOOKUP(A79,Import_SuiviGlobal_MigAppliSate!A:I,5,FALSE)</f>
        <v>26760</v>
      </c>
      <c r="F79" t="str">
        <f ca="1">VLOOKUP(A79,Import_SuiviGlobal_MigAppliSate!A:I,6,FALSE)</f>
        <v>D.538 ROUTE DE VALENCE</v>
      </c>
      <c r="G79" t="str">
        <f ca="1">VLOOKUP(A79,Import_SuiviGlobal_MigAppliSate!A:I,7,FALSE)</f>
        <v>04.75.59.45.00</v>
      </c>
      <c r="H79" t="str">
        <f ca="1">VLOOKUP(A79,Import_SuiviGlobal_MigAppliSate!A:I,8,FALSE)</f>
        <v>FOGERON Thierry</v>
      </c>
      <c r="I79" t="str">
        <f ca="1">VLOOKUP(A79,Import_SuiviGlobal_MigAppliSate!A:I,9,FALSE)</f>
        <v>thierry.fogeron@systeme-u.fr</v>
      </c>
      <c r="J79" s="24" t="str">
        <f ca="1">VLOOKUP(A79,Import_SuiviGlobal_MigAppliSate!A:K,10,FALSE)</f>
        <v/>
      </c>
      <c r="K79" t="str">
        <f ca="1">VLOOKUP(A79,Import_SuiviGlobal_MigAppliSate!A:K,11,FALSE)</f>
        <v/>
      </c>
      <c r="O79" s="1" t="s">
        <v>22</v>
      </c>
    </row>
    <row r="80" spans="1:15" ht="12.75" hidden="1" x14ac:dyDescent="0.2">
      <c r="A80">
        <v>30426</v>
      </c>
      <c r="B80" t="str">
        <f ca="1">VLOOKUP(A80,Import_SuiviGlobal_MigAppliSate!A:I,2,FALSE)</f>
        <v>BEAUMONT-SUR-SARTHE</v>
      </c>
      <c r="C80" t="str">
        <f ca="1">VLOOKUP(A80,Import_SuiviGlobal_MigAppliSate!A:I,3,FALSE)</f>
        <v>Super U</v>
      </c>
      <c r="D80" s="1" t="str">
        <f ca="1">VLOOKUP(A80,Import_SuiviGlobal_MigAppliSate!A:I,4,FALSE)</f>
        <v>Coop U Enseigne Ouest</v>
      </c>
      <c r="E80">
        <f ca="1">VLOOKUP(A80,Import_SuiviGlobal_MigAppliSate!A:I,5,FALSE)</f>
        <v>72170</v>
      </c>
      <c r="F80" t="str">
        <f ca="1">VLOOKUP(A80,Import_SuiviGlobal_MigAppliSate!A:I,6,FALSE)</f>
        <v>RUE HENRI DE NAVARRE</v>
      </c>
      <c r="G80" t="str">
        <f ca="1">VLOOKUP(A80,Import_SuiviGlobal_MigAppliSate!A:I,7,FALSE)</f>
        <v>02.43.33.11.83</v>
      </c>
      <c r="H80" t="str">
        <f ca="1">VLOOKUP(A80,Import_SuiviGlobal_MigAppliSate!A:I,8,FALSE)</f>
        <v>DEMARET Delphine</v>
      </c>
      <c r="I80" t="str">
        <f ca="1">VLOOKUP(A80,Import_SuiviGlobal_MigAppliSate!A:I,9,FALSE)</f>
        <v>delphine.demaret@systeme-u.fr</v>
      </c>
      <c r="J80" s="24" t="str">
        <f ca="1">VLOOKUP(A80,Import_SuiviGlobal_MigAppliSate!A:K,10,FALSE)</f>
        <v>Mr Crochard</v>
      </c>
      <c r="K80" t="str">
        <f ca="1">VLOOKUP(A80,Import_SuiviGlobal_MigAppliSate!A:K,11,FALSE)</f>
        <v>crochard.demaret@systeme-u.fr</v>
      </c>
      <c r="O80" s="1" t="s">
        <v>22</v>
      </c>
    </row>
    <row r="81" spans="1:15" ht="12.75" hidden="1" x14ac:dyDescent="0.2">
      <c r="A81">
        <v>33646</v>
      </c>
      <c r="B81" t="str">
        <f ca="1">VLOOKUP(A81,Import_SuiviGlobal_MigAppliSate!A:I,2,FALSE)</f>
        <v>BEAUNE-LA-ROLANDE</v>
      </c>
      <c r="C81" t="str">
        <f ca="1">VLOOKUP(A81,Import_SuiviGlobal_MigAppliSate!A:I,3,FALSE)</f>
        <v>Super U</v>
      </c>
      <c r="D81" s="1" t="str">
        <f ca="1">VLOOKUP(A81,Import_SuiviGlobal_MigAppliSate!A:I,4,FALSE)</f>
        <v>Coop U Enseigne Ouest</v>
      </c>
      <c r="E81">
        <f ca="1">VLOOKUP(A81,Import_SuiviGlobal_MigAppliSate!A:I,5,FALSE)</f>
        <v>45340</v>
      </c>
      <c r="F81" t="str">
        <f ca="1">VLOOKUP(A81,Import_SuiviGlobal_MigAppliSate!A:I,6,FALSE)</f>
        <v>ROUTE DU BOISCOMMUN</v>
      </c>
      <c r="G81" t="str">
        <f ca="1">VLOOKUP(A81,Import_SuiviGlobal_MigAppliSate!A:I,7,FALSE)</f>
        <v>02.38.33.23.30</v>
      </c>
      <c r="H81" t="str">
        <f ca="1">VLOOKUP(A81,Import_SuiviGlobal_MigAppliSate!A:I,8,FALSE)</f>
        <v>CUNAUD Vincent</v>
      </c>
      <c r="I81" t="str">
        <f ca="1">VLOOKUP(A81,Import_SuiviGlobal_MigAppliSate!A:I,9,FALSE)</f>
        <v>vincent.cunaud@systeme-u.fr</v>
      </c>
      <c r="J81" s="24" t="str">
        <f ca="1">VLOOKUP(A81,Import_SuiviGlobal_MigAppliSate!A:K,10,FALSE)</f>
        <v>CARREAU Corinne</v>
      </c>
      <c r="K81" t="str">
        <f ca="1">VLOOKUP(A81,Import_SuiviGlobal_MigAppliSate!A:K,11,FALSE)</f>
        <v>superu.beaunelarolande.gescom@systeme-u.fr</v>
      </c>
      <c r="L81" t="s">
        <v>17</v>
      </c>
      <c r="M81" t="s">
        <v>24</v>
      </c>
      <c r="N81" s="1" t="s">
        <v>18</v>
      </c>
      <c r="O81" s="1" t="s">
        <v>19</v>
      </c>
    </row>
    <row r="82" spans="1:15" ht="12.75" hidden="1" x14ac:dyDescent="0.2">
      <c r="A82">
        <v>37897</v>
      </c>
      <c r="B82" t="str">
        <f ca="1">VLOOKUP(A82,Import_SuiviGlobal_MigAppliSate!A:I,2,FALSE)</f>
        <v>BEAUPREAU</v>
      </c>
      <c r="C82" t="str">
        <f ca="1">VLOOKUP(A82,Import_SuiviGlobal_MigAppliSate!A:I,3,FALSE)</f>
        <v>Super U</v>
      </c>
      <c r="D82" s="1" t="str">
        <f ca="1">VLOOKUP(A82,Import_SuiviGlobal_MigAppliSate!A:I,4,FALSE)</f>
        <v>Coop U Enseigne Ouest</v>
      </c>
      <c r="E82">
        <f ca="1">VLOOKUP(A82,Import_SuiviGlobal_MigAppliSate!A:I,5,FALSE)</f>
        <v>49600</v>
      </c>
      <c r="F82" t="str">
        <f ca="1">VLOOKUP(A82,Import_SuiviGlobal_MigAppliSate!A:I,6,FALSE)</f>
        <v>RUE DE LA PÉPINIÈRE</v>
      </c>
      <c r="G82" t="str">
        <f ca="1">VLOOKUP(A82,Import_SuiviGlobal_MigAppliSate!A:I,7,FALSE)</f>
        <v>02.41.63.62.39</v>
      </c>
      <c r="H82" t="str">
        <f ca="1">VLOOKUP(A82,Import_SuiviGlobal_MigAppliSate!A:I,8,FALSE)</f>
        <v>DURAND Christophe</v>
      </c>
      <c r="I82" t="str">
        <f ca="1">VLOOKUP(A82,Import_SuiviGlobal_MigAppliSate!A:I,9,FALSE)</f>
        <v>christophe.durand@systeme-u.fr</v>
      </c>
      <c r="J82" s="24" t="str">
        <f ca="1">VLOOKUP(A82,Import_SuiviGlobal_MigAppliSate!A:K,10,FALSE)</f>
        <v>CHARRIER Thérèse</v>
      </c>
      <c r="K82" t="str">
        <f ca="1">VLOOKUP(A82,Import_SuiviGlobal_MigAppliSate!A:K,11,FALSE)</f>
        <v>superu.beaupreau@systeme-u.fr</v>
      </c>
      <c r="O82" s="1" t="s">
        <v>22</v>
      </c>
    </row>
    <row r="83" spans="1:15" ht="12.75" hidden="1" x14ac:dyDescent="0.2">
      <c r="A83">
        <v>25911</v>
      </c>
      <c r="B83" t="str">
        <f ca="1">VLOOKUP(A83,Import_SuiviGlobal_MigAppliSate!A:I,2,FALSE)</f>
        <v>#N/A</v>
      </c>
      <c r="C83" t="str">
        <f ca="1">VLOOKUP(A83,Import_SuiviGlobal_MigAppliSate!A:I,3,FALSE)</f>
        <v>#N/A</v>
      </c>
      <c r="D83" s="1" t="str">
        <f ca="1">VLOOKUP(A83,Import_SuiviGlobal_MigAppliSate!A:I,4,FALSE)</f>
        <v>#N/A</v>
      </c>
      <c r="E83" t="str">
        <f ca="1">VLOOKUP(A83,Import_SuiviGlobal_MigAppliSate!A:I,5,FALSE)</f>
        <v/>
      </c>
      <c r="F83" t="str">
        <f ca="1">VLOOKUP(A83,Import_SuiviGlobal_MigAppliSate!A:I,6,FALSE)</f>
        <v>#N/A</v>
      </c>
      <c r="G83" t="str">
        <f ca="1">VLOOKUP(A83,Import_SuiviGlobal_MigAppliSate!A:I,7,FALSE)</f>
        <v>#N/A</v>
      </c>
      <c r="H83" t="str">
        <f ca="1">VLOOKUP(A83,Import_SuiviGlobal_MigAppliSate!A:I,8,FALSE)</f>
        <v>#N/A</v>
      </c>
      <c r="I83" t="str">
        <f ca="1">VLOOKUP(A83,Import_SuiviGlobal_MigAppliSate!A:I,9,FALSE)</f>
        <v>#N/A</v>
      </c>
      <c r="J83" s="24" t="str">
        <f ca="1">VLOOKUP(A83,Import_SuiviGlobal_MigAppliSate!A:K,10,FALSE)</f>
        <v/>
      </c>
      <c r="K83" t="str">
        <f ca="1">VLOOKUP(A83,Import_SuiviGlobal_MigAppliSate!A:K,11,FALSE)</f>
        <v/>
      </c>
      <c r="O83" s="1" t="s">
        <v>22</v>
      </c>
    </row>
    <row r="84" spans="1:15" ht="12.75" hidden="1" x14ac:dyDescent="0.2">
      <c r="A84">
        <v>30191</v>
      </c>
      <c r="B84" t="str">
        <f ca="1">VLOOKUP(A84,Import_SuiviGlobal_MigAppliSate!A:I,2,FALSE)</f>
        <v>BEAUVOIR-SUR-MER</v>
      </c>
      <c r="C84" t="str">
        <f ca="1">VLOOKUP(A84,Import_SuiviGlobal_MigAppliSate!A:I,3,FALSE)</f>
        <v>Super U</v>
      </c>
      <c r="D84" s="1" t="str">
        <f ca="1">VLOOKUP(A84,Import_SuiviGlobal_MigAppliSate!A:I,4,FALSE)</f>
        <v>Coop U Enseigne Ouest</v>
      </c>
      <c r="E84">
        <f ca="1">VLOOKUP(A84,Import_SuiviGlobal_MigAppliSate!A:I,5,FALSE)</f>
        <v>85230</v>
      </c>
      <c r="F84" t="str">
        <f ca="1">VLOOKUP(A84,Import_SuiviGlobal_MigAppliSate!A:I,6,FALSE)</f>
        <v>ROUTE DES SABLES</v>
      </c>
      <c r="G84" t="str">
        <f ca="1">VLOOKUP(A84,Import_SuiviGlobal_MigAppliSate!A:I,7,FALSE)</f>
        <v>02.51.68.65.36</v>
      </c>
      <c r="H84" t="str">
        <f ca="1">VLOOKUP(A84,Import_SuiviGlobal_MigAppliSate!A:I,8,FALSE)</f>
        <v>PICHON Olivier</v>
      </c>
      <c r="I84" t="str">
        <f ca="1">VLOOKUP(A84,Import_SuiviGlobal_MigAppliSate!A:I,9,FALSE)</f>
        <v>olivier.pichon@systeme-u.fr</v>
      </c>
      <c r="J84" s="24" t="str">
        <f ca="1">VLOOKUP(A84,Import_SuiviGlobal_MigAppliSate!A:K,10,FALSE)</f>
        <v/>
      </c>
      <c r="K84" t="str">
        <f ca="1">VLOOKUP(A84,Import_SuiviGlobal_MigAppliSate!A:K,11,FALSE)</f>
        <v/>
      </c>
      <c r="O84" s="1" t="s">
        <v>22</v>
      </c>
    </row>
    <row r="85" spans="1:15" ht="12.75" x14ac:dyDescent="0.2">
      <c r="A85">
        <v>91243</v>
      </c>
      <c r="B85" t="str">
        <f ca="1">VLOOKUP(A85,Import_SuiviGlobal_MigAppliSate!A:I,2,FALSE)</f>
        <v>BEAUVOISIN</v>
      </c>
      <c r="C85" t="str">
        <f ca="1">VLOOKUP(A85,Import_SuiviGlobal_MigAppliSate!A:I,3,FALSE)</f>
        <v>U Express</v>
      </c>
      <c r="D85" s="1" t="str">
        <f ca="1">VLOOKUP(A85,Import_SuiviGlobal_MigAppliSate!A:I,4,FALSE)</f>
        <v>Coop MISTRAL</v>
      </c>
      <c r="E85">
        <f ca="1">VLOOKUP(A85,Import_SuiviGlobal_MigAppliSate!A:I,5,FALSE)</f>
        <v>30640</v>
      </c>
      <c r="F85" t="str">
        <f ca="1">VLOOKUP(A85,Import_SuiviGlobal_MigAppliSate!A:I,6,FALSE)</f>
        <v>711 AVENUE CABASSAN CLARETTES</v>
      </c>
      <c r="G85" t="str">
        <f ca="1">VLOOKUP(A85,Import_SuiviGlobal_MigAppliSate!A:I,7,FALSE)</f>
        <v>04.66.88.21.36</v>
      </c>
      <c r="H85" t="str">
        <f ca="1">VLOOKUP(A85,Import_SuiviGlobal_MigAppliSate!A:I,8,FALSE)</f>
        <v>LAFONT Olivier et Severine</v>
      </c>
      <c r="I85" t="str">
        <f ca="1">VLOOKUP(A85,Import_SuiviGlobal_MigAppliSate!A:I,9,FALSE)</f>
        <v>uexpress.beauvoisin@mistral-u.fr</v>
      </c>
      <c r="J85" s="24" t="str">
        <f ca="1">VLOOKUP(A85,Import_SuiviGlobal_MigAppliSate!A:K,10,FALSE)</f>
        <v/>
      </c>
      <c r="K85" t="str">
        <f ca="1">VLOOKUP(A85,Import_SuiviGlobal_MigAppliSate!A:K,11,FALSE)</f>
        <v>delphine.damian@lemistral.fr,helene.mina@lemistral.fr</v>
      </c>
      <c r="L85" t="s">
        <v>17</v>
      </c>
      <c r="M85" t="s">
        <v>0</v>
      </c>
      <c r="O85" s="1" t="s">
        <v>22</v>
      </c>
    </row>
    <row r="86" spans="1:15" ht="12.75" hidden="1" x14ac:dyDescent="0.2">
      <c r="A86">
        <v>37412</v>
      </c>
      <c r="B86" t="str">
        <f ca="1">VLOOKUP(A86,Import_SuiviGlobal_MigAppliSate!A:I,2,FALSE)</f>
        <v>BECON-LES-GRANITS</v>
      </c>
      <c r="C86" t="str">
        <f ca="1">VLOOKUP(A86,Import_SuiviGlobal_MigAppliSate!A:I,3,FALSE)</f>
        <v>Super U</v>
      </c>
      <c r="D86" s="1" t="str">
        <f ca="1">VLOOKUP(A86,Import_SuiviGlobal_MigAppliSate!A:I,4,FALSE)</f>
        <v>Coop U Enseigne Ouest</v>
      </c>
      <c r="E86">
        <f ca="1">VLOOKUP(A86,Import_SuiviGlobal_MigAppliSate!A:I,5,FALSE)</f>
        <v>49370</v>
      </c>
      <c r="F86" t="str">
        <f ca="1">VLOOKUP(A86,Import_SuiviGlobal_MigAppliSate!A:I,6,FALSE)</f>
        <v>3, ROUTE DE SAINT CLÉMENT</v>
      </c>
      <c r="G86" t="str">
        <f ca="1">VLOOKUP(A86,Import_SuiviGlobal_MigAppliSate!A:I,7,FALSE)</f>
        <v>02.41.77.90.06</v>
      </c>
      <c r="H86" t="str">
        <f ca="1">VLOOKUP(A86,Import_SuiviGlobal_MigAppliSate!A:I,8,FALSE)</f>
        <v>LEBRUN RPT SARL HUCO Dominique</v>
      </c>
      <c r="I86" t="str">
        <f ca="1">VLOOKUP(A86,Import_SuiviGlobal_MigAppliSate!A:I,9,FALSE)</f>
        <v>dominique.lebrun@systeme-u.fr</v>
      </c>
      <c r="J86" s="24" t="str">
        <f ca="1">VLOOKUP(A86,Import_SuiviGlobal_MigAppliSate!A:K,10,FALSE)</f>
        <v>Mme Laetita Xavier</v>
      </c>
      <c r="K86" t="str">
        <f ca="1">VLOOKUP(A86,Import_SuiviGlobal_MigAppliSate!A:K,11,FALSE)</f>
        <v>superu.beconlesgranits@systeme-u.fr</v>
      </c>
      <c r="O86" s="1" t="s">
        <v>22</v>
      </c>
    </row>
    <row r="87" spans="1:15" ht="12.75" x14ac:dyDescent="0.2">
      <c r="A87">
        <v>95153</v>
      </c>
      <c r="B87" t="str">
        <f ca="1">VLOOKUP(A87,Import_SuiviGlobal_MigAppliSate!A:I,2,FALSE)</f>
        <v>BELBERAUD</v>
      </c>
      <c r="C87" t="str">
        <f ca="1">VLOOKUP(A87,Import_SuiviGlobal_MigAppliSate!A:I,3,FALSE)</f>
        <v>Super U</v>
      </c>
      <c r="D87" s="1" t="str">
        <f ca="1">VLOOKUP(A87,Import_SuiviGlobal_MigAppliSate!A:I,4,FALSE)</f>
        <v>Coop U Enseigne Sud</v>
      </c>
      <c r="E87">
        <f ca="1">VLOOKUP(A87,Import_SuiviGlobal_MigAppliSate!A:I,5,FALSE)</f>
        <v>31450</v>
      </c>
      <c r="F87" t="str">
        <f ca="1">VLOOKUP(A87,Import_SuiviGlobal_MigAppliSate!A:I,6,FALSE)</f>
        <v>ZA DE LA BALME</v>
      </c>
      <c r="G87" t="str">
        <f ca="1">VLOOKUP(A87,Import_SuiviGlobal_MigAppliSate!A:I,7,FALSE)</f>
        <v>05.34.66.10.80</v>
      </c>
      <c r="H87" t="str">
        <f ca="1">VLOOKUP(A87,Import_SuiviGlobal_MigAppliSate!A:I,8,FALSE)</f>
        <v>LAURENT Sebastien</v>
      </c>
      <c r="I87" t="str">
        <f ca="1">VLOOKUP(A87,Import_SuiviGlobal_MigAppliSate!A:I,9,FALSE)</f>
        <v>sebastien.laurent@systeme-u.fr</v>
      </c>
      <c r="J87" s="24" t="str">
        <f ca="1">VLOOKUP(A87,Import_SuiviGlobal_MigAppliSate!A:K,10,FALSE)</f>
        <v>Peggy (UPLV)
Mme Guitard (Pilote, comptable)</v>
      </c>
      <c r="K87" t="str">
        <f ca="1">VLOOKUP(A87,Import_SuiviGlobal_MigAppliSate!A:K,11,FALSE)</f>
        <v>superu.belberaud.gestion@systeme-u.fr, superu.belberaud.compta@systeme-u.fr</v>
      </c>
      <c r="L87" t="s">
        <v>17</v>
      </c>
      <c r="M87" s="1" t="s">
        <v>0</v>
      </c>
      <c r="O87" s="1" t="s">
        <v>22</v>
      </c>
    </row>
    <row r="88" spans="1:15" ht="12.75" hidden="1" x14ac:dyDescent="0.2">
      <c r="A88">
        <v>95273</v>
      </c>
      <c r="B88" t="str">
        <f ca="1">VLOOKUP(A88,Import_SuiviGlobal_MigAppliSate!A:I,2,FALSE)</f>
        <v>BELIN BELIET</v>
      </c>
      <c r="C88" t="str">
        <f ca="1">VLOOKUP(A88,Import_SuiviGlobal_MigAppliSate!A:I,3,FALSE)</f>
        <v>Super U</v>
      </c>
      <c r="D88" s="1" t="str">
        <f ca="1">VLOOKUP(A88,Import_SuiviGlobal_MigAppliSate!A:I,4,FALSE)</f>
        <v/>
      </c>
      <c r="E88">
        <f ca="1">VLOOKUP(A88,Import_SuiviGlobal_MigAppliSate!A:I,5,FALSE)</f>
        <v>33830</v>
      </c>
      <c r="F88" t="str">
        <f ca="1">VLOOKUP(A88,Import_SuiviGlobal_MigAppliSate!A:I,6,FALSE)</f>
        <v>10 AVENUE DES PLANTAGENET</v>
      </c>
      <c r="G88" t="str">
        <f ca="1">VLOOKUP(A88,Import_SuiviGlobal_MigAppliSate!A:I,7,FALSE)</f>
        <v>05.56.88.12.12</v>
      </c>
      <c r="H88" t="str">
        <f ca="1">VLOOKUP(A88,Import_SuiviGlobal_MigAppliSate!A:I,8,FALSE)</f>
        <v>DROFF Pascal</v>
      </c>
      <c r="I88" t="str">
        <f ca="1">VLOOKUP(A88,Import_SuiviGlobal_MigAppliSate!A:I,9,FALSE)</f>
        <v>pascal.droff@systeme-u.fr</v>
      </c>
      <c r="J88" s="24" t="str">
        <f ca="1">VLOOKUP(A88,Import_SuiviGlobal_MigAppliSate!A:K,10,FALSE)</f>
        <v xml:space="preserve">Mr Pierron </v>
      </c>
      <c r="K88" t="str">
        <f ca="1">VLOOKUP(A88,Import_SuiviGlobal_MigAppliSate!A:K,11,FALSE)</f>
        <v>superu.belinbeliet.direction@systeme-u.fr</v>
      </c>
      <c r="O88" s="1" t="s">
        <v>22</v>
      </c>
    </row>
    <row r="89" spans="1:15" ht="12.75" hidden="1" x14ac:dyDescent="0.2">
      <c r="A89">
        <v>37862</v>
      </c>
      <c r="B89" t="str">
        <f ca="1">VLOOKUP(A89,Import_SuiviGlobal_MigAppliSate!A:I,2,FALSE)</f>
        <v>BELLE-ILE-EN-MER</v>
      </c>
      <c r="C89" t="str">
        <f ca="1">VLOOKUP(A89,Import_SuiviGlobal_MigAppliSate!A:I,3,FALSE)</f>
        <v>Super U</v>
      </c>
      <c r="D89" s="1" t="str">
        <f ca="1">VLOOKUP(A89,Import_SuiviGlobal_MigAppliSate!A:I,4,FALSE)</f>
        <v>Coop U Enseigne Ouest</v>
      </c>
      <c r="E89">
        <f ca="1">VLOOKUP(A89,Import_SuiviGlobal_MigAppliSate!A:I,5,FALSE)</f>
        <v>56360</v>
      </c>
      <c r="F89" t="str">
        <f ca="1">VLOOKUP(A89,Import_SuiviGlobal_MigAppliSate!A:I,6,FALSE)</f>
        <v>KERSABLEN</v>
      </c>
      <c r="G89" t="str">
        <f ca="1">VLOOKUP(A89,Import_SuiviGlobal_MigAppliSate!A:I,7,FALSE)</f>
        <v>02.97.31.50.55</v>
      </c>
      <c r="H89" t="str">
        <f ca="1">VLOOKUP(A89,Import_SuiviGlobal_MigAppliSate!A:I,8,FALSE)</f>
        <v>RIVIERE Amandine</v>
      </c>
      <c r="I89" t="str">
        <f ca="1">VLOOKUP(A89,Import_SuiviGlobal_MigAppliSate!A:I,9,FALSE)</f>
        <v>amandine.riviere@systeme-u.fr</v>
      </c>
      <c r="J89" s="24" t="str">
        <f ca="1">VLOOKUP(A89,Import_SuiviGlobal_MigAppliSate!A:K,10,FALSE)</f>
        <v/>
      </c>
      <c r="K89" t="str">
        <f ca="1">VLOOKUP(A89,Import_SuiviGlobal_MigAppliSate!A:K,11,FALSE)</f>
        <v/>
      </c>
      <c r="O89" s="1" t="s">
        <v>22</v>
      </c>
    </row>
    <row r="90" spans="1:15" ht="12.75" hidden="1" x14ac:dyDescent="0.2">
      <c r="A90">
        <v>31899</v>
      </c>
      <c r="B90" t="str">
        <f ca="1">VLOOKUP(A90,Import_SuiviGlobal_MigAppliSate!A:I,2,FALSE)</f>
        <v>BELLEVIGNY</v>
      </c>
      <c r="C90" t="str">
        <f ca="1">VLOOKUP(A90,Import_SuiviGlobal_MigAppliSate!A:I,3,FALSE)</f>
        <v>Super U</v>
      </c>
      <c r="D90" s="1" t="str">
        <f ca="1">VLOOKUP(A90,Import_SuiviGlobal_MigAppliSate!A:I,4,FALSE)</f>
        <v>Coop U Enseigne Ouest</v>
      </c>
      <c r="E90">
        <f ca="1">VLOOKUP(A90,Import_SuiviGlobal_MigAppliSate!A:I,5,FALSE)</f>
        <v>85170</v>
      </c>
      <c r="F90" t="str">
        <f ca="1">VLOOKUP(A90,Import_SuiviGlobal_MigAppliSate!A:I,6,FALSE)</f>
        <v>BOULEVARD DE LA VIE</v>
      </c>
      <c r="G90" t="str">
        <f ca="1">VLOOKUP(A90,Import_SuiviGlobal_MigAppliSate!A:I,7,FALSE)</f>
        <v>02.51.41.25.20</v>
      </c>
      <c r="H90" t="str">
        <f ca="1">VLOOKUP(A90,Import_SuiviGlobal_MigAppliSate!A:I,8,FALSE)</f>
        <v>LOGEAIS RPT SARL I.D. FINANCES André</v>
      </c>
      <c r="I90" t="str">
        <f ca="1">VLOOKUP(A90,Import_SuiviGlobal_MigAppliSate!A:I,9,FALSE)</f>
        <v>andre.logeais@systeme-u.fr</v>
      </c>
      <c r="J90" s="24" t="str">
        <f ca="1">VLOOKUP(A90,Import_SuiviGlobal_MigAppliSate!A:K,10,FALSE)</f>
        <v>RENAUD NATHALIE, GUERIN Stéphanie (UPLV)</v>
      </c>
      <c r="K90" t="str">
        <f ca="1">VLOOKUP(A90,Import_SuiviGlobal_MigAppliSate!A:K,11,FALSE)</f>
        <v>superu.belleville@systeme-u.fr, superu.belleville.communication@systeme-u.fr</v>
      </c>
      <c r="O90" s="1" t="s">
        <v>22</v>
      </c>
    </row>
    <row r="91" spans="1:15" ht="12.75" hidden="1" x14ac:dyDescent="0.2">
      <c r="A91">
        <v>32895</v>
      </c>
      <c r="B91" t="str">
        <f ca="1">VLOOKUP(A91,Import_SuiviGlobal_MigAppliSate!A:I,2,FALSE)</f>
        <v>BELZ</v>
      </c>
      <c r="C91" t="str">
        <f ca="1">VLOOKUP(A91,Import_SuiviGlobal_MigAppliSate!A:I,3,FALSE)</f>
        <v>Super U</v>
      </c>
      <c r="D91" s="1" t="str">
        <f ca="1">VLOOKUP(A91,Import_SuiviGlobal_MigAppliSate!A:I,4,FALSE)</f>
        <v>Coop U Enseigne Ouest</v>
      </c>
      <c r="E91">
        <f ca="1">VLOOKUP(A91,Import_SuiviGlobal_MigAppliSate!A:I,5,FALSE)</f>
        <v>56550</v>
      </c>
      <c r="F91" t="str">
        <f ca="1">VLOOKUP(A91,Import_SuiviGlobal_MigAppliSate!A:I,6,FALSE)</f>
        <v>RUE DES SPORTS</v>
      </c>
      <c r="G91" t="str">
        <f ca="1">VLOOKUP(A91,Import_SuiviGlobal_MigAppliSate!A:I,7,FALSE)</f>
        <v>02.97.55.33.60</v>
      </c>
      <c r="H91" t="str">
        <f ca="1">VLOOKUP(A91,Import_SuiviGlobal_MigAppliSate!A:I,8,FALSE)</f>
        <v>TROADEC RPT SARL ARTRORIA Alexandre</v>
      </c>
      <c r="I91" t="str">
        <f ca="1">VLOOKUP(A91,Import_SuiviGlobal_MigAppliSate!A:I,9,FALSE)</f>
        <v>alexandre.troadec@systeme-u.fr</v>
      </c>
      <c r="J91" s="24" t="str">
        <f ca="1">VLOOKUP(A91,Import_SuiviGlobal_MigAppliSate!A:K,10,FALSE)</f>
        <v>Sonia CONAN</v>
      </c>
      <c r="K91" t="str">
        <f ca="1">VLOOKUP(A91,Import_SuiviGlobal_MigAppliSate!A:K,11,FALSE)</f>
        <v>superu.belz.administratif@systeme-u.fr</v>
      </c>
      <c r="L91" s="1" t="s">
        <v>17</v>
      </c>
      <c r="M91" s="1" t="s">
        <v>24</v>
      </c>
      <c r="N91" s="1" t="s">
        <v>18</v>
      </c>
      <c r="O91" s="1" t="s">
        <v>19</v>
      </c>
    </row>
    <row r="92" spans="1:15" ht="12.75" hidden="1" x14ac:dyDescent="0.2">
      <c r="A92">
        <v>95173</v>
      </c>
      <c r="B92" t="str">
        <f ca="1">VLOOKUP(A92,Import_SuiviGlobal_MigAppliSate!A:I,2,FALSE)</f>
        <v>BENEJACQ</v>
      </c>
      <c r="C92" t="str">
        <f ca="1">VLOOKUP(A92,Import_SuiviGlobal_MigAppliSate!A:I,3,FALSE)</f>
        <v>Super U</v>
      </c>
      <c r="D92" s="1" t="str">
        <f ca="1">VLOOKUP(A92,Import_SuiviGlobal_MigAppliSate!A:I,4,FALSE)</f>
        <v>Coop U Enseigne Sud</v>
      </c>
      <c r="E92">
        <f ca="1">VLOOKUP(A92,Import_SuiviGlobal_MigAppliSate!A:I,5,FALSE)</f>
        <v>64800</v>
      </c>
      <c r="F92" t="str">
        <f ca="1">VLOOKUP(A92,Import_SuiviGlobal_MigAppliSate!A:I,6,FALSE)</f>
        <v>132 RUE DES PYRENEES</v>
      </c>
      <c r="G92" t="str">
        <f ca="1">VLOOKUP(A92,Import_SuiviGlobal_MigAppliSate!A:I,7,FALSE)</f>
        <v>05.59.77.71.00</v>
      </c>
      <c r="H92" t="str">
        <f ca="1">VLOOKUP(A92,Import_SuiviGlobal_MigAppliSate!A:I,8,FALSE)</f>
        <v>CAVAILHES William</v>
      </c>
      <c r="I92" t="str">
        <f ca="1">VLOOKUP(A92,Import_SuiviGlobal_MigAppliSate!A:I,9,FALSE)</f>
        <v>william.cavailhes@systeme-u.fr</v>
      </c>
      <c r="J92" s="24" t="str">
        <f ca="1">VLOOKUP(A92,Import_SuiviGlobal_MigAppliSate!A:K,10,FALSE)</f>
        <v>LOUSPLAAS Julie</v>
      </c>
      <c r="K92" t="str">
        <f ca="1">VLOOKUP(A92,Import_SuiviGlobal_MigAppliSate!A:K,11,FALSE)</f>
        <v>superu.benejacq.gescom@systeme-u.fr</v>
      </c>
      <c r="O92" s="1" t="s">
        <v>22</v>
      </c>
    </row>
    <row r="93" spans="1:15" ht="12.75" hidden="1" x14ac:dyDescent="0.2">
      <c r="A93">
        <v>25770</v>
      </c>
      <c r="B93" t="str">
        <f ca="1">VLOOKUP(A93,Import_SuiviGlobal_MigAppliSate!A:I,2,FALSE)</f>
        <v>BERNAY</v>
      </c>
      <c r="C93" t="str">
        <f ca="1">VLOOKUP(A93,Import_SuiviGlobal_MigAppliSate!A:I,3,FALSE)</f>
        <v>U Express</v>
      </c>
      <c r="D93" s="1" t="str">
        <f ca="1">VLOOKUP(A93,Import_SuiviGlobal_MigAppliSate!A:I,4,FALSE)</f>
        <v>Coop U Enseigne NordOuest</v>
      </c>
      <c r="E93">
        <f ca="1">VLOOKUP(A93,Import_SuiviGlobal_MigAppliSate!A:I,5,FALSE)</f>
        <v>27300</v>
      </c>
      <c r="F93" t="str">
        <f ca="1">VLOOKUP(A93,Import_SuiviGlobal_MigAppliSate!A:I,6,FALSE)</f>
        <v>1 RUE GABRIEL VALLÉE</v>
      </c>
      <c r="G93" t="str">
        <f ca="1">VLOOKUP(A93,Import_SuiviGlobal_MigAppliSate!A:I,7,FALSE)</f>
        <v>02.32.43.23.79</v>
      </c>
      <c r="H93" t="str">
        <f ca="1">VLOOKUP(A93,Import_SuiviGlobal_MigAppliSate!A:I,8,FALSE)</f>
        <v>PESSON Philippe</v>
      </c>
      <c r="I93" t="str">
        <f ca="1">VLOOKUP(A93,Import_SuiviGlobal_MigAppliSate!A:I,9,FALSE)</f>
        <v>philippe.pesson@systeme-u.fr</v>
      </c>
      <c r="J93" s="24" t="str">
        <f ca="1">VLOOKUP(A93,Import_SuiviGlobal_MigAppliSate!A:K,10,FALSE)</f>
        <v/>
      </c>
      <c r="K93" t="str">
        <f ca="1">VLOOKUP(A93,Import_SuiviGlobal_MigAppliSate!A:K,11,FALSE)</f>
        <v/>
      </c>
      <c r="O93" s="1" t="s">
        <v>22</v>
      </c>
    </row>
    <row r="94" spans="1:15" ht="12.75" hidden="1" x14ac:dyDescent="0.2">
      <c r="A94">
        <v>60709</v>
      </c>
      <c r="B94" t="str">
        <f ca="1">VLOOKUP(A94,Import_SuiviGlobal_MigAppliSate!A:I,2,FALSE)</f>
        <v>BERNOLSHEIM</v>
      </c>
      <c r="C94" t="str">
        <f ca="1">VLOOKUP(A94,Import_SuiviGlobal_MigAppliSate!A:I,3,FALSE)</f>
        <v>Super U</v>
      </c>
      <c r="D94" s="1" t="str">
        <f ca="1">VLOOKUP(A94,Import_SuiviGlobal_MigAppliSate!A:I,4,FALSE)</f>
        <v>Coop U Enseigne Est</v>
      </c>
      <c r="E94">
        <f ca="1">VLOOKUP(A94,Import_SuiviGlobal_MigAppliSate!A:I,5,FALSE)</f>
        <v>67170</v>
      </c>
      <c r="F94" t="str">
        <f ca="1">VLOOKUP(A94,Import_SuiviGlobal_MigAppliSate!A:I,6,FALSE)</f>
        <v>ROUTE DE BRUMATH</v>
      </c>
      <c r="G94" t="str">
        <f ca="1">VLOOKUP(A94,Import_SuiviGlobal_MigAppliSate!A:I,7,FALSE)</f>
        <v>03.88.59.34.90</v>
      </c>
      <c r="H94" t="str">
        <f ca="1">VLOOKUP(A94,Import_SuiviGlobal_MigAppliSate!A:I,8,FALSE)</f>
        <v>STEINMETZ Jean-Luc</v>
      </c>
      <c r="I94" t="str">
        <f ca="1">VLOOKUP(A94,Import_SuiviGlobal_MigAppliSate!A:I,9,FALSE)</f>
        <v>jean-luc.steinmetz@systeme-u.fr</v>
      </c>
      <c r="J94" s="24" t="str">
        <f ca="1">VLOOKUP(A94,Import_SuiviGlobal_MigAppliSate!A:K,10,FALSE)</f>
        <v>M SCHNEIDER</v>
      </c>
      <c r="K94" t="str">
        <f ca="1">VLOOKUP(A94,Import_SuiviGlobal_MigAppliSate!A:K,11,FALSE)</f>
        <v>schneider.bernolsheim@gmail.com,stephanie.north@systeme-u.fr, superu.bernolsheim@systeme-u.fr</v>
      </c>
      <c r="O94" s="1" t="s">
        <v>22</v>
      </c>
    </row>
    <row r="95" spans="1:15" ht="12.75" hidden="1" x14ac:dyDescent="0.2">
      <c r="A95">
        <v>63022</v>
      </c>
      <c r="B95" t="str">
        <f ca="1">VLOOKUP(A95,Import_SuiviGlobal_MigAppliSate!A:I,2,FALSE)</f>
        <v>BESANCON</v>
      </c>
      <c r="C95" t="str">
        <f ca="1">VLOOKUP(A95,Import_SuiviGlobal_MigAppliSate!A:I,3,FALSE)</f>
        <v>Super U</v>
      </c>
      <c r="D95" s="1" t="str">
        <f ca="1">VLOOKUP(A95,Import_SuiviGlobal_MigAppliSate!A:I,4,FALSE)</f>
        <v>Coop U Enseigne Est</v>
      </c>
      <c r="E95">
        <f ca="1">VLOOKUP(A95,Import_SuiviGlobal_MigAppliSate!A:I,5,FALSE)</f>
        <v>25000</v>
      </c>
      <c r="F95" t="str">
        <f ca="1">VLOOKUP(A95,Import_SuiviGlobal_MigAppliSate!A:I,6,FALSE)</f>
        <v>20 rue de l'Amitié</v>
      </c>
      <c r="G95" t="str">
        <f ca="1">VLOOKUP(A95,Import_SuiviGlobal_MigAppliSate!A:I,7,FALSE)</f>
        <v>03.81.51.34.50</v>
      </c>
      <c r="H95" t="str">
        <f ca="1">VLOOKUP(A95,Import_SuiviGlobal_MigAppliSate!A:I,8,FALSE)</f>
        <v>HOURNON Daniel</v>
      </c>
      <c r="I95" t="str">
        <f ca="1">VLOOKUP(A95,Import_SuiviGlobal_MigAppliSate!A:I,9,FALSE)</f>
        <v>daniel.hournon@systeme-u.fr</v>
      </c>
      <c r="J95" s="24" t="str">
        <f ca="1">VLOOKUP(A95,Import_SuiviGlobal_MigAppliSate!A:K,10,FALSE)</f>
        <v>Mme SEMENTA
Mr David EMMANUEL (comptable = Pilote)</v>
      </c>
      <c r="K95" t="str">
        <f ca="1">VLOOKUP(A95,Import_SuiviGlobal_MigAppliSate!A:K,11,FALSE)</f>
        <v>superu.besancon.qualite_hygiene@systeme-u.fr, superu.besancon.compta@systeme-u.fr</v>
      </c>
      <c r="O95" s="1" t="s">
        <v>22</v>
      </c>
    </row>
    <row r="96" spans="1:15" ht="12.75" hidden="1" x14ac:dyDescent="0.2">
      <c r="A96">
        <v>23735</v>
      </c>
      <c r="B96" t="str">
        <f ca="1">VLOOKUP(A96,Import_SuiviGlobal_MigAppliSate!A:I,2,FALSE)</f>
        <v>BESSANCOURT</v>
      </c>
      <c r="C96" t="str">
        <f ca="1">VLOOKUP(A96,Import_SuiviGlobal_MigAppliSate!A:I,3,FALSE)</f>
        <v>U Express</v>
      </c>
      <c r="D96" s="1" t="str">
        <f ca="1">VLOOKUP(A96,Import_SuiviGlobal_MigAppliSate!A:I,4,FALSE)</f>
        <v>Coop U Enseigne NordOuest</v>
      </c>
      <c r="E96">
        <f ca="1">VLOOKUP(A96,Import_SuiviGlobal_MigAppliSate!A:I,5,FALSE)</f>
        <v>95550</v>
      </c>
      <c r="F96" t="str">
        <f ca="1">VLOOKUP(A96,Import_SuiviGlobal_MigAppliSate!A:I,6,FALSE)</f>
        <v>116 TER AVENUE DE LA RÉPUBLIQUE</v>
      </c>
      <c r="G96" t="str">
        <f ca="1">VLOOKUP(A96,Import_SuiviGlobal_MigAppliSate!A:I,7,FALSE)</f>
        <v>01.30.40.24.79</v>
      </c>
      <c r="H96" t="str">
        <f ca="1">VLOOKUP(A96,Import_SuiviGlobal_MigAppliSate!A:I,8,FALSE)</f>
        <v>TOURBIER GUY</v>
      </c>
      <c r="I96" t="str">
        <f ca="1">VLOOKUP(A96,Import_SuiviGlobal_MigAppliSate!A:I,9,FALSE)</f>
        <v>guy.tourbier@systeme-u.fr</v>
      </c>
      <c r="J96" s="24" t="str">
        <f ca="1">VLOOKUP(A96,Import_SuiviGlobal_MigAppliSate!A:K,10,FALSE)</f>
        <v>Mme LECOUVE</v>
      </c>
      <c r="K96" t="str">
        <f ca="1">VLOOKUP(A96,Import_SuiviGlobal_MigAppliSate!A:K,11,FALSE)</f>
        <v>alexandra.lecouve@systeme-u.fr</v>
      </c>
      <c r="O96" s="1" t="s">
        <v>22</v>
      </c>
    </row>
    <row r="97" spans="1:18" ht="12.75" hidden="1" x14ac:dyDescent="0.2">
      <c r="A97">
        <v>38699</v>
      </c>
      <c r="B97" t="str">
        <f ca="1">VLOOKUP(A97,Import_SuiviGlobal_MigAppliSate!A:I,2,FALSE)</f>
        <v>BESSE-SUR-BRAYE</v>
      </c>
      <c r="C97" t="str">
        <f ca="1">VLOOKUP(A97,Import_SuiviGlobal_MigAppliSate!A:I,3,FALSE)</f>
        <v>Super U</v>
      </c>
      <c r="D97" s="1" t="str">
        <f ca="1">VLOOKUP(A97,Import_SuiviGlobal_MigAppliSate!A:I,4,FALSE)</f>
        <v>Coop U Enseigne Ouest</v>
      </c>
      <c r="E97">
        <f ca="1">VLOOKUP(A97,Import_SuiviGlobal_MigAppliSate!A:I,5,FALSE)</f>
        <v>72310</v>
      </c>
      <c r="F97" t="str">
        <f ca="1">VLOOKUP(A97,Import_SuiviGlobal_MigAppliSate!A:I,6,FALSE)</f>
        <v>LES SABLONNIÈRES</v>
      </c>
      <c r="G97" t="str">
        <f ca="1">VLOOKUP(A97,Import_SuiviGlobal_MigAppliSate!A:I,7,FALSE)</f>
        <v>02.43.63.15.50</v>
      </c>
      <c r="H97" t="str">
        <f ca="1">VLOOKUP(A97,Import_SuiviGlobal_MigAppliSate!A:I,8,FALSE)</f>
        <v>CORNET RPT SARL MAXHEL Jean-Michel</v>
      </c>
      <c r="I97" t="str">
        <f ca="1">VLOOKUP(A97,Import_SuiviGlobal_MigAppliSate!A:I,9,FALSE)</f>
        <v>jean-michel.cornet@systeme-u.fr</v>
      </c>
      <c r="J97" s="24" t="str">
        <f ca="1">VLOOKUP(A97,Import_SuiviGlobal_MigAppliSate!A:K,10,FALSE)</f>
        <v>Evelyne Cornet</v>
      </c>
      <c r="K97" t="str">
        <f ca="1">VLOOKUP(A97,Import_SuiviGlobal_MigAppliSate!A:K,11,FALSE)</f>
        <v>evelyne.cornet@systeme-u.fr</v>
      </c>
      <c r="O97" s="1" t="s">
        <v>22</v>
      </c>
    </row>
    <row r="98" spans="1:18" ht="12.75" hidden="1" x14ac:dyDescent="0.2">
      <c r="A98">
        <v>95366</v>
      </c>
      <c r="B98" t="str">
        <f ca="1">VLOOKUP(A98,Import_SuiviGlobal_MigAppliSate!A:I,2,FALSE)</f>
        <v>BESSIERES</v>
      </c>
      <c r="C98" t="str">
        <f ca="1">VLOOKUP(A98,Import_SuiviGlobal_MigAppliSate!A:I,3,FALSE)</f>
        <v>Super U</v>
      </c>
      <c r="D98" s="1" t="str">
        <f ca="1">VLOOKUP(A98,Import_SuiviGlobal_MigAppliSate!A:I,4,FALSE)</f>
        <v>Coop U Enseigne Sud</v>
      </c>
      <c r="E98">
        <f ca="1">VLOOKUP(A98,Import_SuiviGlobal_MigAppliSate!A:I,5,FALSE)</f>
        <v>31660</v>
      </c>
      <c r="F98" t="str">
        <f ca="1">VLOOKUP(A98,Import_SuiviGlobal_MigAppliSate!A:I,6,FALSE)</f>
        <v>160 AVENUE DES PORTES DE BESSIERES</v>
      </c>
      <c r="G98" t="str">
        <f ca="1">VLOOKUP(A98,Import_SuiviGlobal_MigAppliSate!A:I,7,FALSE)</f>
        <v>05.61.84.38.46</v>
      </c>
      <c r="H98" t="str">
        <f ca="1">VLOOKUP(A98,Import_SuiviGlobal_MigAppliSate!A:I,8,FALSE)</f>
        <v>PLAZA Guy</v>
      </c>
      <c r="I98" t="str">
        <f ca="1">VLOOKUP(A98,Import_SuiviGlobal_MigAppliSate!A:I,9,FALSE)</f>
        <v>guy.plaza@systeme-u.fr</v>
      </c>
      <c r="J98" s="24" t="str">
        <f ca="1">VLOOKUP(A98,Import_SuiviGlobal_MigAppliSate!A:K,10,FALSE)</f>
        <v>SABATIER David</v>
      </c>
      <c r="K98" t="str">
        <f ca="1">VLOOKUP(A98,Import_SuiviGlobal_MigAppliSate!A:K,11,FALSE)</f>
        <v>superu.bessieres.gestion@systeme-u.fr</v>
      </c>
      <c r="L98" s="1" t="s">
        <v>17</v>
      </c>
      <c r="M98" s="1" t="s">
        <v>24</v>
      </c>
      <c r="N98" s="1" t="s">
        <v>18</v>
      </c>
      <c r="O98" s="1" t="s">
        <v>19</v>
      </c>
      <c r="P98" s="1"/>
      <c r="Q98" s="1"/>
      <c r="R98" s="1"/>
    </row>
    <row r="99" spans="1:18" ht="12.75" hidden="1" x14ac:dyDescent="0.2">
      <c r="A99">
        <v>25827</v>
      </c>
      <c r="B99" t="str">
        <f ca="1">VLOOKUP(A99,Import_SuiviGlobal_MigAppliSate!A:I,2,FALSE)</f>
        <v>BIACHE SAINT VAAST</v>
      </c>
      <c r="C99" t="str">
        <f ca="1">VLOOKUP(A99,Import_SuiviGlobal_MigAppliSate!A:I,3,FALSE)</f>
        <v>Super U</v>
      </c>
      <c r="D99" s="1" t="str">
        <f ca="1">VLOOKUP(A99,Import_SuiviGlobal_MigAppliSate!A:I,4,FALSE)</f>
        <v>Coop U Enseigne NordOuest</v>
      </c>
      <c r="E99">
        <f ca="1">VLOOKUP(A99,Import_SuiviGlobal_MigAppliSate!A:I,5,FALSE)</f>
        <v>62118</v>
      </c>
      <c r="F99" t="str">
        <f ca="1">VLOOKUP(A99,Import_SuiviGlobal_MigAppliSate!A:I,6,FALSE)</f>
        <v>RUE DU MARÉCHAL FOCH</v>
      </c>
      <c r="G99" t="str">
        <f ca="1">VLOOKUP(A99,Import_SuiviGlobal_MigAppliSate!A:I,7,FALSE)</f>
        <v>03.21.21.04.50</v>
      </c>
      <c r="H99" t="str">
        <f ca="1">VLOOKUP(A99,Import_SuiviGlobal_MigAppliSate!A:I,8,FALSE)</f>
        <v>CASETTA Antoine</v>
      </c>
      <c r="I99" t="str">
        <f ca="1">VLOOKUP(A99,Import_SuiviGlobal_MigAppliSate!A:I,9,FALSE)</f>
        <v>antoine.casetta@systeme-u.fr</v>
      </c>
      <c r="J99" s="24" t="str">
        <f ca="1">VLOOKUP(A99,Import_SuiviGlobal_MigAppliSate!A:K,10,FALSE)</f>
        <v>Harfaux Florent</v>
      </c>
      <c r="K99" t="str">
        <f ca="1">VLOOKUP(A99,Import_SuiviGlobal_MigAppliSate!A:K,11,FALSE)</f>
        <v>superu.biachesaintvaast.comptabilite@systeme-u.fr</v>
      </c>
      <c r="O99" s="1" t="s">
        <v>22</v>
      </c>
    </row>
    <row r="100" spans="1:18" ht="12.75" hidden="1" x14ac:dyDescent="0.2">
      <c r="A100">
        <v>90556</v>
      </c>
      <c r="B100" t="str">
        <f ca="1">VLOOKUP(A100,Import_SuiviGlobal_MigAppliSate!A:I,2,FALSE)</f>
        <v>BIGUGLIA</v>
      </c>
      <c r="C100" t="str">
        <f ca="1">VLOOKUP(A100,Import_SuiviGlobal_MigAppliSate!A:I,3,FALSE)</f>
        <v>Super U</v>
      </c>
      <c r="D100" s="1" t="str">
        <f ca="1">VLOOKUP(A100,Import_SuiviGlobal_MigAppliSate!A:I,4,FALSE)</f>
        <v>Coop U Enseigne Sud</v>
      </c>
      <c r="E100">
        <f ca="1">VLOOKUP(A100,Import_SuiviGlobal_MigAppliSate!A:I,5,FALSE)</f>
        <v>20620</v>
      </c>
      <c r="F100" t="str">
        <f ca="1">VLOOKUP(A100,Import_SuiviGlobal_MigAppliSate!A:I,6,FALSE)</f>
        <v>ROND POINT MULTARI</v>
      </c>
      <c r="G100" t="str">
        <f ca="1">VLOOKUP(A100,Import_SuiviGlobal_MigAppliSate!A:I,7,FALSE)</f>
        <v>04.95.58.98.70</v>
      </c>
      <c r="H100" t="str">
        <f ca="1">VLOOKUP(A100,Import_SuiviGlobal_MigAppliSate!A:I,8,FALSE)</f>
        <v>ANTOGNETTI PHILIPPE</v>
      </c>
      <c r="I100" t="str">
        <f ca="1">VLOOKUP(A100,Import_SuiviGlobal_MigAppliSate!A:I,9,FALSE)</f>
        <v>philippe.antognetti@systeme-u.fr</v>
      </c>
      <c r="J100" s="24" t="str">
        <f ca="1">VLOOKUP(A100,Import_SuiviGlobal_MigAppliSate!A:K,10,FALSE)</f>
        <v>Véronique VIEVIELLE</v>
      </c>
      <c r="K100" t="str">
        <f ca="1">VLOOKUP(A100,Import_SuiviGlobal_MigAppliSate!A:K,11,FALSE)</f>
        <v>superu.biguglia.directeur@systeme-u.fr,veronique.vievielle@gmail.com</v>
      </c>
      <c r="O100" s="1" t="s">
        <v>22</v>
      </c>
    </row>
    <row r="101" spans="1:18" ht="12.75" hidden="1" x14ac:dyDescent="0.2">
      <c r="A101">
        <v>25592</v>
      </c>
      <c r="B101" t="str">
        <f ca="1">VLOOKUP(A101,Import_SuiviGlobal_MigAppliSate!A:I,2,FALSE)</f>
        <v>BIHOREL</v>
      </c>
      <c r="C101" t="str">
        <f ca="1">VLOOKUP(A101,Import_SuiviGlobal_MigAppliSate!A:I,3,FALSE)</f>
        <v>Super U</v>
      </c>
      <c r="D101" s="1" t="str">
        <f ca="1">VLOOKUP(A101,Import_SuiviGlobal_MigAppliSate!A:I,4,FALSE)</f>
        <v>Coop U Enseigne NordOuest</v>
      </c>
      <c r="E101">
        <f ca="1">VLOOKUP(A101,Import_SuiviGlobal_MigAppliSate!A:I,5,FALSE)</f>
        <v>76420</v>
      </c>
      <c r="F101" t="str">
        <f ca="1">VLOOKUP(A101,Import_SuiviGlobal_MigAppliSate!A:I,6,FALSE)</f>
        <v>6 AVENUE DU MARÉCHAL JUIN</v>
      </c>
      <c r="G101" t="str">
        <f ca="1">VLOOKUP(A101,Import_SuiviGlobal_MigAppliSate!A:I,7,FALSE)</f>
        <v>02.35.59.78.96</v>
      </c>
      <c r="H101" t="str">
        <f ca="1">VLOOKUP(A101,Import_SuiviGlobal_MigAppliSate!A:I,8,FALSE)</f>
        <v>BARRE Stéphane</v>
      </c>
      <c r="I101" t="str">
        <f ca="1">VLOOKUP(A101,Import_SuiviGlobal_MigAppliSate!A:I,9,FALSE)</f>
        <v>stephane.barre@systeme-u.fr</v>
      </c>
      <c r="J101" s="24" t="str">
        <f ca="1">VLOOKUP(A101,Import_SuiviGlobal_MigAppliSate!A:K,10,FALSE)</f>
        <v>M. Carpentier</v>
      </c>
      <c r="K101" t="str">
        <f ca="1">VLOOKUP(A101,Import_SuiviGlobal_MigAppliSate!A:K,11,FALSE)</f>
        <v>superu.bihorel.direction@systeme-u.fr,philippe.cappe@coop-cnp.coop</v>
      </c>
      <c r="L101" t="s">
        <v>20</v>
      </c>
      <c r="M101" t="s">
        <v>0</v>
      </c>
      <c r="O101" s="1" t="s">
        <v>22</v>
      </c>
    </row>
    <row r="102" spans="1:18" ht="12.75" hidden="1" x14ac:dyDescent="0.2">
      <c r="A102">
        <v>35894</v>
      </c>
      <c r="B102" t="str">
        <f ca="1">VLOOKUP(A102,Import_SuiviGlobal_MigAppliSate!A:I,2,FALSE)</f>
        <v>BINIC</v>
      </c>
      <c r="C102" t="str">
        <f ca="1">VLOOKUP(A102,Import_SuiviGlobal_MigAppliSate!A:I,3,FALSE)</f>
        <v>Super U</v>
      </c>
      <c r="D102" s="1" t="str">
        <f ca="1">VLOOKUP(A102,Import_SuiviGlobal_MigAppliSate!A:I,4,FALSE)</f>
        <v>Coop U Enseigne Ouest</v>
      </c>
      <c r="E102">
        <f ca="1">VLOOKUP(A102,Import_SuiviGlobal_MigAppliSate!A:I,5,FALSE)</f>
        <v>22520</v>
      </c>
      <c r="F102" t="str">
        <f ca="1">VLOOKUP(A102,Import_SuiviGlobal_MigAppliSate!A:I,6,FALSE)</f>
        <v>LES PRÉS CALAN</v>
      </c>
      <c r="G102" t="str">
        <f ca="1">VLOOKUP(A102,Import_SuiviGlobal_MigAppliSate!A:I,7,FALSE)</f>
        <v>02.96.73.38.28</v>
      </c>
      <c r="H102" t="str">
        <f ca="1">VLOOKUP(A102,Import_SuiviGlobal_MigAppliSate!A:I,8,FALSE)</f>
        <v>BRY Jérôme</v>
      </c>
      <c r="I102" t="str">
        <f ca="1">VLOOKUP(A102,Import_SuiviGlobal_MigAppliSate!A:I,9,FALSE)</f>
        <v>jerome.bry@systeme-u.fr</v>
      </c>
      <c r="J102" s="24" t="str">
        <f ca="1">VLOOKUP(A102,Import_SuiviGlobal_MigAppliSate!A:K,10,FALSE)</f>
        <v>Martin Véronique
Bonno Charles</v>
      </c>
      <c r="K102" t="str">
        <f ca="1">VLOOKUP(A102,Import_SuiviGlobal_MigAppliSate!A:K,11,FALSE)</f>
        <v xml:space="preserve">superu.binic.compta1@systeme-u.fr
</v>
      </c>
      <c r="O102" s="1" t="s">
        <v>22</v>
      </c>
    </row>
    <row r="103" spans="1:18" ht="12.75" hidden="1" x14ac:dyDescent="0.2">
      <c r="A103">
        <v>96992</v>
      </c>
      <c r="B103" t="str">
        <f ca="1">VLOOKUP(A103,Import_SuiviGlobal_MigAppliSate!A:I,2,FALSE)</f>
        <v>BISCARROSSE</v>
      </c>
      <c r="C103" t="str">
        <f ca="1">VLOOKUP(A103,Import_SuiviGlobal_MigAppliSate!A:I,3,FALSE)</f>
        <v>Super U</v>
      </c>
      <c r="D103" s="1" t="str">
        <f ca="1">VLOOKUP(A103,Import_SuiviGlobal_MigAppliSate!A:I,4,FALSE)</f>
        <v>Coop U Enseigne Sud</v>
      </c>
      <c r="E103">
        <f ca="1">VLOOKUP(A103,Import_SuiviGlobal_MigAppliSate!A:I,5,FALSE)</f>
        <v>40600</v>
      </c>
      <c r="F103" t="str">
        <f ca="1">VLOOKUP(A103,Import_SuiviGlobal_MigAppliSate!A:I,6,FALSE)</f>
        <v>ROUTE DE PARENTIS</v>
      </c>
      <c r="G103" t="str">
        <f ca="1">VLOOKUP(A103,Import_SuiviGlobal_MigAppliSate!A:I,7,FALSE)</f>
        <v>05.58.82.58.82</v>
      </c>
      <c r="H103" t="str">
        <f ca="1">VLOOKUP(A103,Import_SuiviGlobal_MigAppliSate!A:I,8,FALSE)</f>
        <v>GONTHIER Mickael</v>
      </c>
      <c r="I103" t="str">
        <f ca="1">VLOOKUP(A103,Import_SuiviGlobal_MigAppliSate!A:I,9,FALSE)</f>
        <v>michael.gonthier@systeme-u.fr</v>
      </c>
      <c r="J103" s="24" t="str">
        <f ca="1">VLOOKUP(A103,Import_SuiviGlobal_MigAppliSate!A:K,10,FALSE)</f>
        <v>M. Descampeaux</v>
      </c>
      <c r="K103" t="str">
        <f ca="1">VLOOKUP(A103,Import_SuiviGlobal_MigAppliSate!A:K,11,FALSE)</f>
        <v>superu.biscarrosse.direction@systeme-u.fr</v>
      </c>
      <c r="O103" s="1" t="s">
        <v>22</v>
      </c>
    </row>
    <row r="104" spans="1:18" ht="12.75" x14ac:dyDescent="0.2">
      <c r="A104">
        <v>60708</v>
      </c>
      <c r="B104" t="str">
        <f ca="1">VLOOKUP(A104,Import_SuiviGlobal_MigAppliSate!A:I,2,FALSE)</f>
        <v>BISCHWILLER</v>
      </c>
      <c r="C104" t="str">
        <f ca="1">VLOOKUP(A104,Import_SuiviGlobal_MigAppliSate!A:I,3,FALSE)</f>
        <v>Super U</v>
      </c>
      <c r="D104" s="1" t="str">
        <f ca="1">VLOOKUP(A104,Import_SuiviGlobal_MigAppliSate!A:I,4,FALSE)</f>
        <v>Coop U Enseigne Est</v>
      </c>
      <c r="E104">
        <f ca="1">VLOOKUP(A104,Import_SuiviGlobal_MigAppliSate!A:I,5,FALSE)</f>
        <v>67240</v>
      </c>
      <c r="F104" t="str">
        <f ca="1">VLOOKUP(A104,Import_SuiviGlobal_MigAppliSate!A:I,6,FALSE)</f>
        <v>17 route d'Oberhoffen</v>
      </c>
      <c r="G104" t="str">
        <f ca="1">VLOOKUP(A104,Import_SuiviGlobal_MigAppliSate!A:I,7,FALSE)</f>
        <v>03.88.06.42.00</v>
      </c>
      <c r="H104" t="str">
        <f ca="1">VLOOKUP(A104,Import_SuiviGlobal_MigAppliSate!A:I,8,FALSE)</f>
        <v>HOUOT RPT SAS HOUOT INVEST Cédric</v>
      </c>
      <c r="I104" t="str">
        <f ca="1">VLOOKUP(A104,Import_SuiviGlobal_MigAppliSate!A:I,9,FALSE)</f>
        <v>cedric.houot@systeme-u.fr</v>
      </c>
      <c r="J104" s="24" t="str">
        <f ca="1">VLOOKUP(A104,Import_SuiviGlobal_MigAppliSate!A:K,10,FALSE)</f>
        <v>M Gaulard
Mr Ponchel (DAF = Pilote)</v>
      </c>
      <c r="K104" t="str">
        <f ca="1">VLOOKUP(A104,Import_SuiviGlobal_MigAppliSate!A:K,11,FALSE)</f>
        <v>superu.bischwiller.direction@systeme-u.fr, superu.bischwiller.compta@systeme-u.fr</v>
      </c>
      <c r="L104" t="s">
        <v>17</v>
      </c>
      <c r="M104" t="s">
        <v>0</v>
      </c>
      <c r="O104" s="1" t="s">
        <v>22</v>
      </c>
    </row>
    <row r="105" spans="1:18" ht="12.75" hidden="1" x14ac:dyDescent="0.2">
      <c r="A105">
        <v>60815</v>
      </c>
      <c r="B105" t="str">
        <f ca="1">VLOOKUP(A105,Import_SuiviGlobal_MigAppliSate!A:I,2,FALSE)</f>
        <v>BITSCHWILLER LES THANN</v>
      </c>
      <c r="C105" t="str">
        <f ca="1">VLOOKUP(A105,Import_SuiviGlobal_MigAppliSate!A:I,3,FALSE)</f>
        <v>Super U</v>
      </c>
      <c r="D105" s="1" t="str">
        <f ca="1">VLOOKUP(A105,Import_SuiviGlobal_MigAppliSate!A:I,4,FALSE)</f>
        <v>Coop U Enseigne Est</v>
      </c>
      <c r="E105">
        <f ca="1">VLOOKUP(A105,Import_SuiviGlobal_MigAppliSate!A:I,5,FALSE)</f>
        <v>68620</v>
      </c>
      <c r="F105" t="str">
        <f ca="1">VLOOKUP(A105,Import_SuiviGlobal_MigAppliSate!A:I,6,FALSE)</f>
        <v>53 FAUBOURG DU RHIN</v>
      </c>
      <c r="G105" t="str">
        <f ca="1">VLOOKUP(A105,Import_SuiviGlobal_MigAppliSate!A:I,7,FALSE)</f>
        <v>03.89.37.70.70</v>
      </c>
      <c r="H105" t="str">
        <f ca="1">VLOOKUP(A105,Import_SuiviGlobal_MigAppliSate!A:I,8,FALSE)</f>
        <v>ABRUZZI Elric</v>
      </c>
      <c r="I105" t="str">
        <f ca="1">VLOOKUP(A105,Import_SuiviGlobal_MigAppliSate!A:I,9,FALSE)</f>
        <v>elric.abruzzi@systeme-u.fr</v>
      </c>
      <c r="J105" s="24" t="str">
        <f ca="1">VLOOKUP(A105,Import_SuiviGlobal_MigAppliSate!A:K,10,FALSE)</f>
        <v>Myriam SZABELSKI
Martine Herrgott (comptable - pilote)</v>
      </c>
      <c r="K105" t="str">
        <f ca="1">VLOOKUP(A105,Import_SuiviGlobal_MigAppliSate!A:K,11,FALSE)</f>
        <v>superu.bitschwillerlesthann@systeme-u.fr, superu.bitschwillerlesthann.compta@systeme-u.fr</v>
      </c>
      <c r="O105" s="1" t="s">
        <v>22</v>
      </c>
    </row>
    <row r="106" spans="1:18" ht="12.75" hidden="1" x14ac:dyDescent="0.2">
      <c r="A106">
        <v>66176</v>
      </c>
      <c r="B106" t="str">
        <f ca="1">VLOOKUP(A106,Import_SuiviGlobal_MigAppliSate!A:I,2,FALSE)</f>
        <v>BIVIERS</v>
      </c>
      <c r="C106" t="str">
        <f ca="1">VLOOKUP(A106,Import_SuiviGlobal_MigAppliSate!A:I,3,FALSE)</f>
        <v>Super U</v>
      </c>
      <c r="D106" s="1" t="str">
        <f ca="1">VLOOKUP(A106,Import_SuiviGlobal_MigAppliSate!A:I,4,FALSE)</f>
        <v>Coop U Enseigne Est</v>
      </c>
      <c r="E106">
        <f ca="1">VLOOKUP(A106,Import_SuiviGlobal_MigAppliSate!A:I,5,FALSE)</f>
        <v>38330</v>
      </c>
      <c r="F106" t="str">
        <f ca="1">VLOOKUP(A106,Import_SuiviGlobal_MigAppliSate!A:I,6,FALSE)</f>
        <v>60 CHEMIN DES EVÊQUAUX ZA</v>
      </c>
      <c r="G106" t="str">
        <f ca="1">VLOOKUP(A106,Import_SuiviGlobal_MigAppliSate!A:I,7,FALSE)</f>
        <v>04.76.52.95.10</v>
      </c>
      <c r="H106" t="str">
        <f ca="1">VLOOKUP(A106,Import_SuiviGlobal_MigAppliSate!A:I,8,FALSE)</f>
        <v>LAUBRY Nicolas</v>
      </c>
      <c r="I106" t="str">
        <f ca="1">VLOOKUP(A106,Import_SuiviGlobal_MigAppliSate!A:I,9,FALSE)</f>
        <v>nicolas.laubry@systeme-u.fr</v>
      </c>
      <c r="J106" s="24" t="str">
        <f ca="1">VLOOKUP(A106,Import_SuiviGlobal_MigAppliSate!A:K,10,FALSE)</f>
        <v>Zriouel Marouan
Nadège (comptable)</v>
      </c>
      <c r="K106" t="str">
        <f ca="1">VLOOKUP(A106,Import_SuiviGlobal_MigAppliSate!A:K,11,FALSE)</f>
        <v>superu.biviers.direction@systeme-u.fr, superu.biviers.compta@systeme-u.fr</v>
      </c>
      <c r="O106" s="1" t="s">
        <v>22</v>
      </c>
    </row>
    <row r="107" spans="1:18" ht="12.75" hidden="1" x14ac:dyDescent="0.2">
      <c r="A107">
        <v>36645</v>
      </c>
      <c r="B107" t="str">
        <f ca="1">VLOOKUP(A107,Import_SuiviGlobal_MigAppliSate!A:I,2,FALSE)</f>
        <v>BLAIN</v>
      </c>
      <c r="C107" t="str">
        <f ca="1">VLOOKUP(A107,Import_SuiviGlobal_MigAppliSate!A:I,3,FALSE)</f>
        <v>Hyper U</v>
      </c>
      <c r="D107" s="1" t="str">
        <f ca="1">VLOOKUP(A107,Import_SuiviGlobal_MigAppliSate!A:I,4,FALSE)</f>
        <v>Coop U Enseigne Ouest</v>
      </c>
      <c r="E107">
        <f ca="1">VLOOKUP(A107,Import_SuiviGlobal_MigAppliSate!A:I,5,FALSE)</f>
        <v>44130</v>
      </c>
      <c r="F107" t="str">
        <f ca="1">VLOOKUP(A107,Import_SuiviGlobal_MigAppliSate!A:I,6,FALSE)</f>
        <v>27 ROUTE DE L'ISAC</v>
      </c>
      <c r="G107" t="str">
        <f ca="1">VLOOKUP(A107,Import_SuiviGlobal_MigAppliSate!A:I,7,FALSE)</f>
        <v>02.40.79.14.77</v>
      </c>
      <c r="H107" t="str">
        <f ca="1">VLOOKUP(A107,Import_SuiviGlobal_MigAppliSate!A:I,8,FALSE)</f>
        <v>PAYET Thierry</v>
      </c>
      <c r="I107" t="str">
        <f ca="1">VLOOKUP(A107,Import_SuiviGlobal_MigAppliSate!A:I,9,FALSE)</f>
        <v>thierry.payet@systeme-u.fr</v>
      </c>
      <c r="J107" s="24" t="str">
        <f ca="1">VLOOKUP(A107,Import_SuiviGlobal_MigAppliSate!A:K,10,FALSE)</f>
        <v xml:space="preserve">Guilbeaudeau Chantal </v>
      </c>
      <c r="K107" t="str">
        <f ca="1">VLOOKUP(A107,Import_SuiviGlobal_MigAppliSate!A:K,11,FALSE)</f>
        <v>hyperu.blain@systeme-u.fr</v>
      </c>
      <c r="L107" s="1" t="s">
        <v>17</v>
      </c>
      <c r="M107" s="1" t="s">
        <v>24</v>
      </c>
      <c r="N107" s="1" t="s">
        <v>18</v>
      </c>
      <c r="O107" s="1" t="s">
        <v>25</v>
      </c>
    </row>
    <row r="108" spans="1:18" ht="12.75" hidden="1" x14ac:dyDescent="0.2">
      <c r="A108">
        <v>21368</v>
      </c>
      <c r="B108" t="str">
        <f ca="1">VLOOKUP(A108,Import_SuiviGlobal_MigAppliSate!A:I,2,FALSE)</f>
        <v>BLANGY SUR BRESLE</v>
      </c>
      <c r="C108" t="str">
        <f ca="1">VLOOKUP(A108,Import_SuiviGlobal_MigAppliSate!A:I,3,FALSE)</f>
        <v>Super U</v>
      </c>
      <c r="D108" s="1" t="str">
        <f ca="1">VLOOKUP(A108,Import_SuiviGlobal_MigAppliSate!A:I,4,FALSE)</f>
        <v>Coop U Enseigne NordOuest</v>
      </c>
      <c r="E108">
        <f ca="1">VLOOKUP(A108,Import_SuiviGlobal_MigAppliSate!A:I,5,FALSE)</f>
        <v>76340</v>
      </c>
      <c r="F108" t="str">
        <f ca="1">VLOOKUP(A108,Import_SuiviGlobal_MigAppliSate!A:I,6,FALSE)</f>
        <v>RUE DES MARAIS</v>
      </c>
      <c r="G108" t="str">
        <f ca="1">VLOOKUP(A108,Import_SuiviGlobal_MigAppliSate!A:I,7,FALSE)</f>
        <v>02.35.93.44.70</v>
      </c>
      <c r="H108" t="str">
        <f ca="1">VLOOKUP(A108,Import_SuiviGlobal_MigAppliSate!A:I,8,FALSE)</f>
        <v>MOTTIN Anthony</v>
      </c>
      <c r="I108" t="str">
        <f ca="1">VLOOKUP(A108,Import_SuiviGlobal_MigAppliSate!A:I,9,FALSE)</f>
        <v>anthony.mottin@systeme-u.fr</v>
      </c>
      <c r="J108" s="24" t="str">
        <f ca="1">VLOOKUP(A108,Import_SuiviGlobal_MigAppliSate!A:K,10,FALSE)</f>
        <v>Mottin Anthony</v>
      </c>
      <c r="K108" t="str">
        <f ca="1">VLOOKUP(A108,Import_SuiviGlobal_MigAppliSate!A:K,11,FALSE)</f>
        <v>superu.blangysurbresle.culturel@systeme-u.fr</v>
      </c>
      <c r="O108" s="1" t="s">
        <v>22</v>
      </c>
    </row>
    <row r="109" spans="1:18" ht="12.75" hidden="1" x14ac:dyDescent="0.2">
      <c r="A109">
        <v>90436</v>
      </c>
      <c r="B109" t="str">
        <f ca="1">VLOOKUP(A109,Import_SuiviGlobal_MigAppliSate!A:I,2,FALSE)</f>
        <v>BLAYE LES MINES</v>
      </c>
      <c r="C109" t="str">
        <f ca="1">VLOOKUP(A109,Import_SuiviGlobal_MigAppliSate!A:I,3,FALSE)</f>
        <v>Super U</v>
      </c>
      <c r="D109" s="1" t="str">
        <f ca="1">VLOOKUP(A109,Import_SuiviGlobal_MigAppliSate!A:I,4,FALSE)</f>
        <v>Coop U Enseigne Sud</v>
      </c>
      <c r="E109">
        <f ca="1">VLOOKUP(A109,Import_SuiviGlobal_MigAppliSate!A:I,5,FALSE)</f>
        <v>81400</v>
      </c>
      <c r="F109" t="str">
        <f ca="1">VLOOKUP(A109,Import_SuiviGlobal_MigAppliSate!A:I,6,FALSE)</f>
        <v>150 AVENUE D'ALBI</v>
      </c>
      <c r="G109" t="str">
        <f ca="1">VLOOKUP(A109,Import_SuiviGlobal_MigAppliSate!A:I,7,FALSE)</f>
        <v>05.63.80.23.23</v>
      </c>
      <c r="H109" t="str">
        <f ca="1">VLOOKUP(A109,Import_SuiviGlobal_MigAppliSate!A:I,8,FALSE)</f>
        <v>BONNET THIERRY</v>
      </c>
      <c r="I109" t="str">
        <f ca="1">VLOOKUP(A109,Import_SuiviGlobal_MigAppliSate!A:I,9,FALSE)</f>
        <v>thierry.bonnet@systeme-u.fr</v>
      </c>
      <c r="J109" s="24" t="str">
        <f ca="1">VLOOKUP(A109,Import_SuiviGlobal_MigAppliSate!A:K,10,FALSE)</f>
        <v>Corinne REDONDO</v>
      </c>
      <c r="K109" t="str">
        <f ca="1">VLOOKUP(A109,Import_SuiviGlobal_MigAppliSate!A:K,11,FALSE)</f>
        <v>superu.blayelesmines.gestion@systeme-u.fr</v>
      </c>
      <c r="L109" t="s">
        <v>20</v>
      </c>
      <c r="M109" t="s">
        <v>21</v>
      </c>
      <c r="O109" s="1" t="s">
        <v>22</v>
      </c>
    </row>
    <row r="110" spans="1:18" ht="12.75" hidden="1" x14ac:dyDescent="0.2">
      <c r="A110">
        <v>62084</v>
      </c>
      <c r="B110" t="str">
        <f ca="1">VLOOKUP(A110,Import_SuiviGlobal_MigAppliSate!A:I,2,FALSE)</f>
        <v>BLETTERANS</v>
      </c>
      <c r="C110" t="str">
        <f ca="1">VLOOKUP(A110,Import_SuiviGlobal_MigAppliSate!A:I,3,FALSE)</f>
        <v>Super U</v>
      </c>
      <c r="D110" s="1" t="str">
        <f ca="1">VLOOKUP(A110,Import_SuiviGlobal_MigAppliSate!A:I,4,FALSE)</f>
        <v>Coop U Enseigne Est</v>
      </c>
      <c r="E110">
        <f ca="1">VLOOKUP(A110,Import_SuiviGlobal_MigAppliSate!A:I,5,FALSE)</f>
        <v>39140</v>
      </c>
      <c r="F110" t="str">
        <f ca="1">VLOOKUP(A110,Import_SuiviGlobal_MigAppliSate!A:I,6,FALSE)</f>
        <v>4 Faubourg d'Aval</v>
      </c>
      <c r="G110" t="str">
        <f ca="1">VLOOKUP(A110,Import_SuiviGlobal_MigAppliSate!A:I,7,FALSE)</f>
        <v>03.84.48.16.89</v>
      </c>
      <c r="H110" t="str">
        <f ca="1">VLOOKUP(A110,Import_SuiviGlobal_MigAppliSate!A:I,8,FALSE)</f>
        <v>BARTHOLOME Hubert</v>
      </c>
      <c r="I110" t="str">
        <f ca="1">VLOOKUP(A110,Import_SuiviGlobal_MigAppliSate!A:I,9,FALSE)</f>
        <v>hubert.bartholome@systeme-u.fr</v>
      </c>
      <c r="J110" s="24" t="str">
        <f ca="1">VLOOKUP(A110,Import_SuiviGlobal_MigAppliSate!A:K,10,FALSE)</f>
        <v>Mme Rossignol (comptable - pilote)</v>
      </c>
      <c r="K110" t="str">
        <f ca="1">VLOOKUP(A110,Import_SuiviGlobal_MigAppliSate!A:K,11,FALSE)</f>
        <v>superu.bletterans.compta@systeme-u.fr</v>
      </c>
      <c r="O110" s="1" t="s">
        <v>22</v>
      </c>
    </row>
    <row r="111" spans="1:18" ht="12.75" hidden="1" x14ac:dyDescent="0.2">
      <c r="A111">
        <v>28273</v>
      </c>
      <c r="B111" t="str">
        <f ca="1">VLOOKUP(A111,Import_SuiviGlobal_MigAppliSate!A:I,2,FALSE)</f>
        <v>BOLBEC</v>
      </c>
      <c r="C111" t="str">
        <f ca="1">VLOOKUP(A111,Import_SuiviGlobal_MigAppliSate!A:I,3,FALSE)</f>
        <v>U Express</v>
      </c>
      <c r="D111" s="1" t="str">
        <f ca="1">VLOOKUP(A111,Import_SuiviGlobal_MigAppliSate!A:I,4,FALSE)</f>
        <v>Coop U Enseigne NordOuest</v>
      </c>
      <c r="E111">
        <f ca="1">VLOOKUP(A111,Import_SuiviGlobal_MigAppliSate!A:I,5,FALSE)</f>
        <v>76210</v>
      </c>
      <c r="F111" t="str">
        <f ca="1">VLOOKUP(A111,Import_SuiviGlobal_MigAppliSate!A:I,6,FALSE)</f>
        <v>17 PLACE CHARLES DE GAULLE</v>
      </c>
      <c r="G111" t="str">
        <f ca="1">VLOOKUP(A111,Import_SuiviGlobal_MigAppliSate!A:I,7,FALSE)</f>
        <v>02.35.31.07.65</v>
      </c>
      <c r="H111" t="str">
        <f ca="1">VLOOKUP(A111,Import_SuiviGlobal_MigAppliSate!A:I,8,FALSE)</f>
        <v>JOIMEL Thierry</v>
      </c>
      <c r="I111" t="str">
        <f ca="1">VLOOKUP(A111,Import_SuiviGlobal_MigAppliSate!A:I,9,FALSE)</f>
        <v>thierry.joimel@systeme-u.fr</v>
      </c>
      <c r="J111" s="24" t="str">
        <f ca="1">VLOOKUP(A111,Import_SuiviGlobal_MigAppliSate!A:K,10,FALSE)</f>
        <v>M. Aumont</v>
      </c>
      <c r="K111" t="str">
        <f ca="1">VLOOKUP(A111,Import_SuiviGlobal_MigAppliSate!A:K,11,FALSE)</f>
        <v xml:space="preserve">uexpress.bolbec@systeme-u.fr </v>
      </c>
      <c r="O111" s="1" t="s">
        <v>22</v>
      </c>
    </row>
    <row r="112" spans="1:18" ht="12.75" hidden="1" x14ac:dyDescent="0.2">
      <c r="A112">
        <v>60018</v>
      </c>
      <c r="B112" t="str">
        <f ca="1">VLOOKUP(A112,Import_SuiviGlobal_MigAppliSate!A:I,2,FALSE)</f>
        <v>BOLLWILLER</v>
      </c>
      <c r="C112" t="str">
        <f ca="1">VLOOKUP(A112,Import_SuiviGlobal_MigAppliSate!A:I,3,FALSE)</f>
        <v>Super U</v>
      </c>
      <c r="D112" s="1" t="str">
        <f ca="1">VLOOKUP(A112,Import_SuiviGlobal_MigAppliSate!A:I,4,FALSE)</f>
        <v>Coop U Enseigne Est</v>
      </c>
      <c r="E112">
        <f ca="1">VLOOKUP(A112,Import_SuiviGlobal_MigAppliSate!A:I,5,FALSE)</f>
        <v>68540</v>
      </c>
      <c r="F112" t="str">
        <f ca="1">VLOOKUP(A112,Import_SuiviGlobal_MigAppliSate!A:I,6,FALSE)</f>
        <v>Rue de Guebwiller</v>
      </c>
      <c r="G112" t="str">
        <f ca="1">VLOOKUP(A112,Import_SuiviGlobal_MigAppliSate!A:I,7,FALSE)</f>
        <v>03.89.48.10.37</v>
      </c>
      <c r="H112" t="str">
        <f ca="1">VLOOKUP(A112,Import_SuiviGlobal_MigAppliSate!A:I,8,FALSE)</f>
        <v>WAGNER Fabrice</v>
      </c>
      <c r="I112" t="str">
        <f ca="1">VLOOKUP(A112,Import_SuiviGlobal_MigAppliSate!A:I,9,FALSE)</f>
        <v>fabrice.wagner@systeme-u.fr</v>
      </c>
      <c r="J112" s="24" t="str">
        <f ca="1">VLOOKUP(A112,Import_SuiviGlobal_MigAppliSate!A:K,10,FALSE)</f>
        <v>Alexandra (UPLV)</v>
      </c>
      <c r="K112" t="str">
        <f ca="1">VLOOKUP(A112,Import_SuiviGlobal_MigAppliSate!A:K,11,FALSE)</f>
        <v>superu.bollwiller.administratif@systeme-u.fr</v>
      </c>
      <c r="O112" s="1" t="s">
        <v>22</v>
      </c>
    </row>
    <row r="113" spans="1:15" ht="12.75" hidden="1" x14ac:dyDescent="0.2">
      <c r="A113">
        <v>90499</v>
      </c>
      <c r="B113" t="str">
        <f ca="1">VLOOKUP(A113,Import_SuiviGlobal_MigAppliSate!A:I,2,FALSE)</f>
        <v>BOMPAS</v>
      </c>
      <c r="C113" t="str">
        <f ca="1">VLOOKUP(A113,Import_SuiviGlobal_MigAppliSate!A:I,3,FALSE)</f>
        <v>Super U</v>
      </c>
      <c r="D113" s="1" t="str">
        <f ca="1">VLOOKUP(A113,Import_SuiviGlobal_MigAppliSate!A:I,4,FALSE)</f>
        <v>Coop U Enseigne Sud</v>
      </c>
      <c r="E113">
        <f ca="1">VLOOKUP(A113,Import_SuiviGlobal_MigAppliSate!A:I,5,FALSE)</f>
        <v>66430</v>
      </c>
      <c r="F113" t="str">
        <f ca="1">VLOOKUP(A113,Import_SuiviGlobal_MigAppliSate!A:I,6,FALSE)</f>
        <v>ROUTE DE TORREILLES</v>
      </c>
      <c r="G113" t="str">
        <f ca="1">VLOOKUP(A113,Import_SuiviGlobal_MigAppliSate!A:I,7,FALSE)</f>
        <v>04.68.63.20.01</v>
      </c>
      <c r="H113" t="str">
        <f ca="1">VLOOKUP(A113,Import_SuiviGlobal_MigAppliSate!A:I,8,FALSE)</f>
        <v>GARA Riadh</v>
      </c>
      <c r="I113" t="str">
        <f ca="1">VLOOKUP(A113,Import_SuiviGlobal_MigAppliSate!A:I,9,FALSE)</f>
        <v>riadh.gara@systeme-u.fr</v>
      </c>
      <c r="J113" s="24" t="str">
        <f ca="1">VLOOKUP(A113,Import_SuiviGlobal_MigAppliSate!A:K,10,FALSE)</f>
        <v>GUTIERREZ SYLVIE</v>
      </c>
      <c r="K113" t="str">
        <f ca="1">VLOOKUP(A113,Import_SuiviGlobal_MigAppliSate!A:K,11,FALSE)</f>
        <v>superu.bompas.compta@systeme-u.fr</v>
      </c>
      <c r="O113" s="1" t="s">
        <v>22</v>
      </c>
    </row>
    <row r="114" spans="1:15" ht="12.75" hidden="1" x14ac:dyDescent="0.2">
      <c r="A114">
        <v>66143</v>
      </c>
      <c r="B114" t="str">
        <f ca="1">VLOOKUP(A114,Import_SuiviGlobal_MigAppliSate!A:I,2,FALSE)</f>
        <v>BONNE</v>
      </c>
      <c r="C114" t="str">
        <f ca="1">VLOOKUP(A114,Import_SuiviGlobal_MigAppliSate!A:I,3,FALSE)</f>
        <v>Super U</v>
      </c>
      <c r="D114" s="1" t="str">
        <f ca="1">VLOOKUP(A114,Import_SuiviGlobal_MigAppliSate!A:I,4,FALSE)</f>
        <v>Coop U Enseigne Est</v>
      </c>
      <c r="E114">
        <f ca="1">VLOOKUP(A114,Import_SuiviGlobal_MigAppliSate!A:I,5,FALSE)</f>
        <v>74380</v>
      </c>
      <c r="F114" t="str">
        <f ca="1">VLOOKUP(A114,Import_SuiviGlobal_MigAppliSate!A:I,6,FALSE)</f>
        <v>Parc d'activ. de la MENOGE</v>
      </c>
      <c r="G114" t="str">
        <f ca="1">VLOOKUP(A114,Import_SuiviGlobal_MigAppliSate!A:I,7,FALSE)</f>
        <v>04.50.31.68.90</v>
      </c>
      <c r="H114" t="str">
        <f ca="1">VLOOKUP(A114,Import_SuiviGlobal_MigAppliSate!A:I,8,FALSE)</f>
        <v>ALVES Christophe</v>
      </c>
      <c r="I114" t="str">
        <f ca="1">VLOOKUP(A114,Import_SuiviGlobal_MigAppliSate!A:I,9,FALSE)</f>
        <v>christophe.alves@systeme-u.fr</v>
      </c>
      <c r="J114" s="24" t="str">
        <f ca="1">VLOOKUP(A114,Import_SuiviGlobal_MigAppliSate!A:K,10,FALSE)</f>
        <v xml:space="preserve">Alagapin Mickael </v>
      </c>
      <c r="K114" t="str">
        <f ca="1">VLOOKUP(A114,Import_SuiviGlobal_MigAppliSate!A:K,11,FALSE)</f>
        <v>superu.bonne.directeur@systeme-u.fr</v>
      </c>
      <c r="O114" s="1" t="s">
        <v>22</v>
      </c>
    </row>
    <row r="115" spans="1:15" ht="12.75" hidden="1" x14ac:dyDescent="0.2">
      <c r="A115">
        <v>33034</v>
      </c>
      <c r="B115" t="str">
        <f ca="1">VLOOKUP(A115,Import_SuiviGlobal_MigAppliSate!A:I,2,FALSE)</f>
        <v>BONNETABLE</v>
      </c>
      <c r="C115" t="str">
        <f ca="1">VLOOKUP(A115,Import_SuiviGlobal_MigAppliSate!A:I,3,FALSE)</f>
        <v>Super U</v>
      </c>
      <c r="D115" s="1" t="str">
        <f ca="1">VLOOKUP(A115,Import_SuiviGlobal_MigAppliSate!A:I,4,FALSE)</f>
        <v>Coop U Enseigne Ouest</v>
      </c>
      <c r="E115">
        <f ca="1">VLOOKUP(A115,Import_SuiviGlobal_MigAppliSate!A:I,5,FALSE)</f>
        <v>72110</v>
      </c>
      <c r="F115" t="str">
        <f ca="1">VLOOKUP(A115,Import_SuiviGlobal_MigAppliSate!A:I,6,FALSE)</f>
        <v>43, AVENUE DU 8 MAI 1945</v>
      </c>
      <c r="G115" t="str">
        <f ca="1">VLOOKUP(A115,Import_SuiviGlobal_MigAppliSate!A:I,7,FALSE)</f>
        <v>02.43.52.11.22</v>
      </c>
      <c r="H115" t="str">
        <f ca="1">VLOOKUP(A115,Import_SuiviGlobal_MigAppliSate!A:I,8,FALSE)</f>
        <v>BUSSON RPT SARL JABD INVESTISS Johnny</v>
      </c>
      <c r="I115" t="str">
        <f ca="1">VLOOKUP(A115,Import_SuiviGlobal_MigAppliSate!A:I,9,FALSE)</f>
        <v>johnny.busson@systeme-u.fr</v>
      </c>
      <c r="J115" s="24" t="str">
        <f ca="1">VLOOKUP(A115,Import_SuiviGlobal_MigAppliSate!A:K,10,FALSE)</f>
        <v>Mme Ballu Geraldine</v>
      </c>
      <c r="K115" t="str">
        <f ca="1">VLOOKUP(A115,Import_SuiviGlobal_MigAppliSate!A:K,11,FALSE)</f>
        <v>superu.bonnetable.accueil@systeme-u.fr</v>
      </c>
      <c r="O115" s="1" t="s">
        <v>22</v>
      </c>
    </row>
    <row r="116" spans="1:15" ht="12.75" x14ac:dyDescent="0.2">
      <c r="A116">
        <v>38915</v>
      </c>
      <c r="B116" t="str">
        <f ca="1">VLOOKUP(A116,Import_SuiviGlobal_MigAppliSate!A:I,2,FALSE)</f>
        <v>BONNY-SUR-LOIRE</v>
      </c>
      <c r="C116" t="str">
        <f ca="1">VLOOKUP(A116,Import_SuiviGlobal_MigAppliSate!A:I,3,FALSE)</f>
        <v>Super U</v>
      </c>
      <c r="D116" s="1" t="str">
        <f ca="1">VLOOKUP(A116,Import_SuiviGlobal_MigAppliSate!A:I,4,FALSE)</f>
        <v>Coop U Enseigne Ouest</v>
      </c>
      <c r="E116">
        <f ca="1">VLOOKUP(A116,Import_SuiviGlobal_MigAppliSate!A:I,5,FALSE)</f>
        <v>45420</v>
      </c>
      <c r="F116" t="str">
        <f ca="1">VLOOKUP(A116,Import_SuiviGlobal_MigAppliSate!A:I,6,FALSE)</f>
        <v>ZI LA CHAMPAGNE</v>
      </c>
      <c r="G116" t="str">
        <f ca="1">VLOOKUP(A116,Import_SuiviGlobal_MigAppliSate!A:I,7,FALSE)</f>
        <v>02.38.31.52.20</v>
      </c>
      <c r="H116" t="str">
        <f ca="1">VLOOKUP(A116,Import_SuiviGlobal_MigAppliSate!A:I,8,FALSE)</f>
        <v>ANNET RPT SARL D2P INVESTISS. Dominique</v>
      </c>
      <c r="I116" t="str">
        <f ca="1">VLOOKUP(A116,Import_SuiviGlobal_MigAppliSate!A:I,9,FALSE)</f>
        <v>dominique.annet@systeme-u.fr</v>
      </c>
      <c r="J116" s="24" t="str">
        <f ca="1">VLOOKUP(A116,Import_SuiviGlobal_MigAppliSate!A:K,10,FALSE)</f>
        <v>Mme Annet</v>
      </c>
      <c r="K116" t="str">
        <f ca="1">VLOOKUP(A116,Import_SuiviGlobal_MigAppliSate!A:K,11,FALSE)</f>
        <v/>
      </c>
      <c r="L116" t="s">
        <v>17</v>
      </c>
      <c r="M116" t="s">
        <v>0</v>
      </c>
      <c r="N116" s="1" t="s">
        <v>26</v>
      </c>
      <c r="O116" s="1" t="s">
        <v>22</v>
      </c>
    </row>
    <row r="117" spans="1:15" ht="12.75" hidden="1" x14ac:dyDescent="0.2">
      <c r="A117">
        <v>25606</v>
      </c>
      <c r="B117" t="str">
        <f ca="1">VLOOKUP(A117,Import_SuiviGlobal_MigAppliSate!A:I,2,FALSE)</f>
        <v>BONSECOURS</v>
      </c>
      <c r="C117" t="str">
        <f ca="1">VLOOKUP(A117,Import_SuiviGlobal_MigAppliSate!A:I,3,FALSE)</f>
        <v>Super U</v>
      </c>
      <c r="D117" s="1" t="str">
        <f ca="1">VLOOKUP(A117,Import_SuiviGlobal_MigAppliSate!A:I,4,FALSE)</f>
        <v>Coop U Enseigne NordOuest</v>
      </c>
      <c r="E117">
        <f ca="1">VLOOKUP(A117,Import_SuiviGlobal_MigAppliSate!A:I,5,FALSE)</f>
        <v>76240</v>
      </c>
      <c r="F117" t="str">
        <f ca="1">VLOOKUP(A117,Import_SuiviGlobal_MigAppliSate!A:I,6,FALSE)</f>
        <v>RUE ETIENNE ACHAVANNE</v>
      </c>
      <c r="G117" t="str">
        <f ca="1">VLOOKUP(A117,Import_SuiviGlobal_MigAppliSate!A:I,7,FALSE)</f>
        <v>02.35.79.83.17</v>
      </c>
      <c r="H117" t="str">
        <f ca="1">VLOOKUP(A117,Import_SuiviGlobal_MigAppliSate!A:I,8,FALSE)</f>
        <v>BARRE Stéphane</v>
      </c>
      <c r="I117" t="str">
        <f ca="1">VLOOKUP(A117,Import_SuiviGlobal_MigAppliSate!A:I,9,FALSE)</f>
        <v>stephane.barre@systeme-u.fr</v>
      </c>
      <c r="J117" s="24" t="str">
        <f ca="1">VLOOKUP(A117,Import_SuiviGlobal_MigAppliSate!A:K,10,FALSE)</f>
        <v>Mme Boulant</v>
      </c>
      <c r="K117" t="str">
        <f ca="1">VLOOKUP(A117,Import_SuiviGlobal_MigAppliSate!A:K,11,FALSE)</f>
        <v>superu.bonsecours@systeme-u.fr,philippe.cappe@coop-cnp.coop, murielle.boulant@coop-cnp.coop</v>
      </c>
      <c r="L117" t="s">
        <v>20</v>
      </c>
      <c r="M117" t="s">
        <v>21</v>
      </c>
      <c r="O117" s="1" t="s">
        <v>22</v>
      </c>
    </row>
    <row r="118" spans="1:15" ht="12.75" hidden="1" x14ac:dyDescent="0.2">
      <c r="A118">
        <v>60738</v>
      </c>
      <c r="B118" t="str">
        <f ca="1">VLOOKUP(A118,Import_SuiviGlobal_MigAppliSate!A:I,2,FALSE)</f>
        <v>BOOFZHEIM</v>
      </c>
      <c r="C118" t="str">
        <f ca="1">VLOOKUP(A118,Import_SuiviGlobal_MigAppliSate!A:I,3,FALSE)</f>
        <v>Super U</v>
      </c>
      <c r="D118" s="1" t="str">
        <f ca="1">VLOOKUP(A118,Import_SuiviGlobal_MigAppliSate!A:I,4,FALSE)</f>
        <v>Coop U Enseigne Est</v>
      </c>
      <c r="E118">
        <f ca="1">VLOOKUP(A118,Import_SuiviGlobal_MigAppliSate!A:I,5,FALSE)</f>
        <v>67860</v>
      </c>
      <c r="F118" t="str">
        <f ca="1">VLOOKUP(A118,Import_SuiviGlobal_MigAppliSate!A:I,6,FALSE)</f>
        <v>Route de Rhinau</v>
      </c>
      <c r="G118" t="str">
        <f ca="1">VLOOKUP(A118,Import_SuiviGlobal_MigAppliSate!A:I,7,FALSE)</f>
        <v>03.88.58.76.00</v>
      </c>
      <c r="H118" t="str">
        <f ca="1">VLOOKUP(A118,Import_SuiviGlobal_MigAppliSate!A:I,8,FALSE)</f>
        <v>BACQUET Vincent</v>
      </c>
      <c r="I118" t="str">
        <f ca="1">VLOOKUP(A118,Import_SuiviGlobal_MigAppliSate!A:I,9,FALSE)</f>
        <v>vincent.bacquet@systeme-u.fr</v>
      </c>
      <c r="J118" s="24" t="str">
        <f ca="1">VLOOKUP(A118,Import_SuiviGlobal_MigAppliSate!A:K,10,FALSE)</f>
        <v>MEYER Alexandre</v>
      </c>
      <c r="K118" t="str">
        <f ca="1">VLOOKUP(A118,Import_SuiviGlobal_MigAppliSate!A:K,11,FALSE)</f>
        <v>superu.eschau.services@systeme-u.fr</v>
      </c>
      <c r="O118" s="1" t="s">
        <v>22</v>
      </c>
    </row>
    <row r="119" spans="1:15" ht="12.75" x14ac:dyDescent="0.2">
      <c r="A119">
        <v>95469</v>
      </c>
      <c r="B119" t="str">
        <f ca="1">VLOOKUP(A119,Import_SuiviGlobal_MigAppliSate!A:I,2,FALSE)</f>
        <v>BORDEAUX BELCIER</v>
      </c>
      <c r="C119" t="str">
        <f ca="1">VLOOKUP(A119,Import_SuiviGlobal_MigAppliSate!A:I,3,FALSE)</f>
        <v>U Express</v>
      </c>
      <c r="D119" s="1" t="str">
        <f ca="1">VLOOKUP(A119,Import_SuiviGlobal_MigAppliSate!A:I,4,FALSE)</f>
        <v>Coop UPSO</v>
      </c>
      <c r="E119">
        <f ca="1">VLOOKUP(A119,Import_SuiviGlobal_MigAppliSate!A:I,5,FALSE)</f>
        <v>33800</v>
      </c>
      <c r="F119" t="str">
        <f ca="1">VLOOKUP(A119,Import_SuiviGlobal_MigAppliSate!A:I,6,FALSE)</f>
        <v>ALLEES EUGENE DELACROIX</v>
      </c>
      <c r="G119" t="str">
        <f ca="1">VLOOKUP(A119,Import_SuiviGlobal_MigAppliSate!A:I,7,FALSE)</f>
        <v>05.56.94.49.80</v>
      </c>
      <c r="H119" t="str">
        <f ca="1">VLOOKUP(A119,Import_SuiviGlobal_MigAppliSate!A:I,8,FALSE)</f>
        <v>REGNIER SEBASTIEN</v>
      </c>
      <c r="I119" t="str">
        <f ca="1">VLOOKUP(A119,Import_SuiviGlobal_MigAppliSate!A:I,9,FALSE)</f>
        <v>s.regnier@gmail.com</v>
      </c>
      <c r="J119" s="24" t="str">
        <f ca="1">VLOOKUP(A119,Import_SuiviGlobal_MigAppliSate!A:K,10,FALSE)</f>
        <v/>
      </c>
      <c r="K119" t="str">
        <f ca="1">VLOOKUP(A119,Import_SuiviGlobal_MigAppliSate!A:K,11,FALSE)</f>
        <v/>
      </c>
      <c r="L119" s="1" t="s">
        <v>17</v>
      </c>
      <c r="M119" s="1" t="s">
        <v>0</v>
      </c>
      <c r="O119" s="1" t="s">
        <v>22</v>
      </c>
    </row>
    <row r="120" spans="1:15" ht="12.75" hidden="1" x14ac:dyDescent="0.2">
      <c r="A120">
        <v>95151</v>
      </c>
      <c r="B120" t="str">
        <f ca="1">VLOOKUP(A120,Import_SuiviGlobal_MigAppliSate!A:I,2,FALSE)</f>
        <v>BORDEAUX CAPUCINS</v>
      </c>
      <c r="C120" t="str">
        <f ca="1">VLOOKUP(A120,Import_SuiviGlobal_MigAppliSate!A:I,3,FALSE)</f>
        <v>U Express</v>
      </c>
      <c r="D120" s="1" t="str">
        <f ca="1">VLOOKUP(A120,Import_SuiviGlobal_MigAppliSate!A:I,4,FALSE)</f>
        <v>Coop U Enseigne Sud</v>
      </c>
      <c r="E120">
        <f ca="1">VLOOKUP(A120,Import_SuiviGlobal_MigAppliSate!A:I,5,FALSE)</f>
        <v>33000</v>
      </c>
      <c r="F120" t="str">
        <f ca="1">VLOOKUP(A120,Import_SuiviGlobal_MigAppliSate!A:I,6,FALSE)</f>
        <v>RUE JULES GUESDE</v>
      </c>
      <c r="G120" t="str">
        <f ca="1">VLOOKUP(A120,Import_SuiviGlobal_MigAppliSate!A:I,7,FALSE)</f>
        <v>05.56.92.35.21</v>
      </c>
      <c r="H120" t="str">
        <f ca="1">VLOOKUP(A120,Import_SuiviGlobal_MigAppliSate!A:I,8,FALSE)</f>
        <v>BOUQUET-NADAUD Thomas</v>
      </c>
      <c r="I120" t="str">
        <f ca="1">VLOOKUP(A120,Import_SuiviGlobal_MigAppliSate!A:I,9,FALSE)</f>
        <v>thomas.bouquet-nadaud@systeme-u.fr</v>
      </c>
      <c r="J120" s="24" t="str">
        <f ca="1">VLOOKUP(A120,Import_SuiviGlobal_MigAppliSate!A:K,10,FALSE)</f>
        <v>Madame Brieu</v>
      </c>
      <c r="K120" t="str">
        <f ca="1">VLOOKUP(A120,Import_SuiviGlobal_MigAppliSate!A:K,11,FALSE)</f>
        <v>marcheu.bordeauxcapucins.direction@systeme-u.fr</v>
      </c>
      <c r="O120" s="1" t="s">
        <v>22</v>
      </c>
    </row>
    <row r="121" spans="1:15" ht="12.75" hidden="1" x14ac:dyDescent="0.2">
      <c r="A121">
        <v>95461</v>
      </c>
      <c r="B121" t="str">
        <f ca="1">VLOOKUP(A121,Import_SuiviGlobal_MigAppliSate!A:I,2,FALSE)</f>
        <v>BORDEAUX STE CATHERINE</v>
      </c>
      <c r="C121" t="str">
        <f ca="1">VLOOKUP(A121,Import_SuiviGlobal_MigAppliSate!A:I,3,FALSE)</f>
        <v>U Express</v>
      </c>
      <c r="D121" s="1" t="str">
        <f ca="1">VLOOKUP(A121,Import_SuiviGlobal_MigAppliSate!A:I,4,FALSE)</f>
        <v>Coop UPSO</v>
      </c>
      <c r="E121">
        <f ca="1">VLOOKUP(A121,Import_SuiviGlobal_MigAppliSate!A:I,5,FALSE)</f>
        <v>33000</v>
      </c>
      <c r="F121" t="str">
        <f ca="1">VLOOKUP(A121,Import_SuiviGlobal_MigAppliSate!A:I,6,FALSE)</f>
        <v>3 RUE RAVEZ</v>
      </c>
      <c r="G121" t="str">
        <f ca="1">VLOOKUP(A121,Import_SuiviGlobal_MigAppliSate!A:I,7,FALSE)</f>
        <v>05.57.10.45.13</v>
      </c>
      <c r="H121" t="str">
        <f ca="1">VLOOKUP(A121,Import_SuiviGlobal_MigAppliSate!A:I,8,FALSE)</f>
        <v>BOUQUET NADAUD Thomas</v>
      </c>
      <c r="I121" t="str">
        <f ca="1">VLOOKUP(A121,Import_SuiviGlobal_MigAppliSate!A:I,9,FALSE)</f>
        <v>thomas.bouquet-nadaud@systeme-u.fr</v>
      </c>
      <c r="J121" s="24" t="str">
        <f ca="1">VLOOKUP(A121,Import_SuiviGlobal_MigAppliSate!A:K,10,FALSE)</f>
        <v>Mme PELARD</v>
      </c>
      <c r="K121" t="str">
        <f ca="1">VLOOKUP(A121,Import_SuiviGlobal_MigAppliSate!A:K,11,FALSE)</f>
        <v>uexpress.bordeauxsaintecatherine@systeme-u.fr</v>
      </c>
      <c r="O121" s="1" t="s">
        <v>22</v>
      </c>
    </row>
    <row r="122" spans="1:15" ht="12.75" hidden="1" x14ac:dyDescent="0.2">
      <c r="A122">
        <v>90626</v>
      </c>
      <c r="B122" t="str">
        <f ca="1">VLOOKUP(A122,Import_SuiviGlobal_MigAppliSate!A:I,2,FALSE)</f>
        <v>BORGO</v>
      </c>
      <c r="C122" t="str">
        <f ca="1">VLOOKUP(A122,Import_SuiviGlobal_MigAppliSate!A:I,3,FALSE)</f>
        <v>U Express</v>
      </c>
      <c r="D122" s="1" t="str">
        <f ca="1">VLOOKUP(A122,Import_SuiviGlobal_MigAppliSate!A:I,4,FALSE)</f>
        <v>Coop MISTRAL</v>
      </c>
      <c r="E122">
        <f ca="1">VLOOKUP(A122,Import_SuiviGlobal_MigAppliSate!A:I,5,FALSE)</f>
        <v>20290</v>
      </c>
      <c r="F122" t="str">
        <f ca="1">VLOOKUP(A122,Import_SuiviGlobal_MigAppliSate!A:I,6,FALSE)</f>
        <v>C/C MONTE STELLO</v>
      </c>
      <c r="G122" t="str">
        <f ca="1">VLOOKUP(A122,Import_SuiviGlobal_MigAppliSate!A:I,7,FALSE)</f>
        <v>04.95.36.22.12</v>
      </c>
      <c r="H122" t="str">
        <f ca="1">VLOOKUP(A122,Import_SuiviGlobal_MigAppliSate!A:I,8,FALSE)</f>
        <v>ANTONY Romain</v>
      </c>
      <c r="I122" t="str">
        <f ca="1">VLOOKUP(A122,Import_SuiviGlobal_MigAppliSate!A:I,9,FALSE)</f>
        <v/>
      </c>
      <c r="J122" s="24" t="str">
        <f ca="1">VLOOKUP(A122,Import_SuiviGlobal_MigAppliSate!A:K,10,FALSE)</f>
        <v/>
      </c>
      <c r="K122" t="str">
        <f ca="1">VLOOKUP(A122,Import_SuiviGlobal_MigAppliSate!A:K,11,FALSE)</f>
        <v>delphine.damian@lemistral.fr,helene.mina@lemistral.fr</v>
      </c>
      <c r="O122" s="1" t="s">
        <v>22</v>
      </c>
    </row>
    <row r="123" spans="1:15" ht="12.75" hidden="1" x14ac:dyDescent="0.2">
      <c r="A123">
        <v>33174</v>
      </c>
      <c r="B123" t="str">
        <f ca="1">VLOOKUP(A123,Import_SuiviGlobal_MigAppliSate!A:I,2,FALSE)</f>
        <v>BOUAYE</v>
      </c>
      <c r="C123" t="str">
        <f ca="1">VLOOKUP(A123,Import_SuiviGlobal_MigAppliSate!A:I,3,FALSE)</f>
        <v>Super U</v>
      </c>
      <c r="D123" s="1" t="str">
        <f ca="1">VLOOKUP(A123,Import_SuiviGlobal_MigAppliSate!A:I,4,FALSE)</f>
        <v>Coop U Enseigne Ouest</v>
      </c>
      <c r="E123">
        <f ca="1">VLOOKUP(A123,Import_SuiviGlobal_MigAppliSate!A:I,5,FALSE)</f>
        <v>44830</v>
      </c>
      <c r="F123" t="str">
        <f ca="1">VLOOKUP(A123,Import_SuiviGlobal_MigAppliSate!A:I,6,FALSE)</f>
        <v>53, RUE DE NANTES</v>
      </c>
      <c r="G123" t="str">
        <f ca="1">VLOOKUP(A123,Import_SuiviGlobal_MigAppliSate!A:I,7,FALSE)</f>
        <v>02.40.65.40.62</v>
      </c>
      <c r="H123" t="str">
        <f ca="1">VLOOKUP(A123,Import_SuiviGlobal_MigAppliSate!A:I,8,FALSE)</f>
        <v>DANIC RPT SARL HOLDING MTS Catherine</v>
      </c>
      <c r="I123" t="str">
        <f ca="1">VLOOKUP(A123,Import_SuiviGlobal_MigAppliSate!A:I,9,FALSE)</f>
        <v>catherine.danic@systeme-u.fr</v>
      </c>
      <c r="J123" s="24" t="str">
        <f ca="1">VLOOKUP(A123,Import_SuiviGlobal_MigAppliSate!A:K,10,FALSE)</f>
        <v>BIGOT Stéphane</v>
      </c>
      <c r="K123" t="str">
        <f ca="1">VLOOKUP(A123,Import_SuiviGlobal_MigAppliSate!A:K,11,FALSE)</f>
        <v>superu.bouaye.gescom@systeme-u.fr</v>
      </c>
      <c r="O123" s="1" t="s">
        <v>22</v>
      </c>
    </row>
    <row r="124" spans="1:15" ht="12.75" hidden="1" x14ac:dyDescent="0.2">
      <c r="A124">
        <v>90543</v>
      </c>
      <c r="B124" t="str">
        <f ca="1">VLOOKUP(A124,Import_SuiviGlobal_MigAppliSate!A:I,2,FALSE)</f>
        <v>BOUC BEL AIR</v>
      </c>
      <c r="C124" t="str">
        <f ca="1">VLOOKUP(A124,Import_SuiviGlobal_MigAppliSate!A:I,3,FALSE)</f>
        <v>Super U</v>
      </c>
      <c r="D124" s="1" t="str">
        <f ca="1">VLOOKUP(A124,Import_SuiviGlobal_MigAppliSate!A:I,4,FALSE)</f>
        <v>Coop U Enseigne Sud</v>
      </c>
      <c r="E124">
        <f ca="1">VLOOKUP(A124,Import_SuiviGlobal_MigAppliSate!A:I,5,FALSE)</f>
        <v>13320</v>
      </c>
      <c r="F124" t="str">
        <f ca="1">VLOOKUP(A124,Import_SuiviGlobal_MigAppliSate!A:I,6,FALSE)</f>
        <v>687 AVENUE VIOLESI RN 8N</v>
      </c>
      <c r="G124" t="str">
        <f ca="1">VLOOKUP(A124,Import_SuiviGlobal_MigAppliSate!A:I,7,FALSE)</f>
        <v>04.42.60.72.60</v>
      </c>
      <c r="H124" t="str">
        <f ca="1">VLOOKUP(A124,Import_SuiviGlobal_MigAppliSate!A:I,8,FALSE)</f>
        <v>BAUDE Philippe</v>
      </c>
      <c r="I124" t="str">
        <f ca="1">VLOOKUP(A124,Import_SuiviGlobal_MigAppliSate!A:I,9,FALSE)</f>
        <v>philippe.baude@systeme-u.fr</v>
      </c>
      <c r="J124" s="24" t="str">
        <f ca="1">VLOOKUP(A124,Import_SuiviGlobal_MigAppliSate!A:K,10,FALSE)</f>
        <v>Frédéric Di Giacomo</v>
      </c>
      <c r="K124" t="str">
        <f ca="1">VLOOKUP(A124,Import_SuiviGlobal_MigAppliSate!A:K,11,FALSE)</f>
        <v>superu.boucbelair.direction@systeme-u.fr</v>
      </c>
      <c r="O124" s="1" t="s">
        <v>22</v>
      </c>
    </row>
    <row r="125" spans="1:15" ht="12.75" x14ac:dyDescent="0.2">
      <c r="A125">
        <v>90618</v>
      </c>
      <c r="B125" t="str">
        <f ca="1">VLOOKUP(A125,Import_SuiviGlobal_MigAppliSate!A:I,2,FALSE)</f>
        <v>BOUC BEL AIR</v>
      </c>
      <c r="C125" t="str">
        <f ca="1">VLOOKUP(A125,Import_SuiviGlobal_MigAppliSate!A:I,3,FALSE)</f>
        <v>U Express</v>
      </c>
      <c r="D125" s="1" t="str">
        <f ca="1">VLOOKUP(A125,Import_SuiviGlobal_MigAppliSate!A:I,4,FALSE)</f>
        <v>Coop MISTRAL</v>
      </c>
      <c r="E125">
        <f ca="1">VLOOKUP(A125,Import_SuiviGlobal_MigAppliSate!A:I,5,FALSE)</f>
        <v>13320</v>
      </c>
      <c r="F125" t="str">
        <f ca="1">VLOOKUP(A125,Import_SuiviGlobal_MigAppliSate!A:I,6,FALSE)</f>
        <v>C/C LA GRATIANE</v>
      </c>
      <c r="G125" t="str">
        <f ca="1">VLOOKUP(A125,Import_SuiviGlobal_MigAppliSate!A:I,7,FALSE)</f>
        <v>04.42.22.36.10</v>
      </c>
      <c r="H125" t="str">
        <f ca="1">VLOOKUP(A125,Import_SuiviGlobal_MigAppliSate!A:I,8,FALSE)</f>
        <v>MACCARIO Jean-Marc</v>
      </c>
      <c r="I125" t="str">
        <f ca="1">VLOOKUP(A125,Import_SuiviGlobal_MigAppliSate!A:I,9,FALSE)</f>
        <v/>
      </c>
      <c r="J125" s="24" t="str">
        <f ca="1">VLOOKUP(A125,Import_SuiviGlobal_MigAppliSate!A:K,10,FALSE)</f>
        <v>Thomas DIAVORINI</v>
      </c>
      <c r="K125" t="str">
        <f ca="1">VLOOKUP(A125,Import_SuiviGlobal_MigAppliSate!A:K,11,FALSE)</f>
        <v>delphine.damian@lemistral.fr,helene.mina@lemistral.fr,uexpress.boucbelair@mistral-u.fr</v>
      </c>
      <c r="L125" t="s">
        <v>17</v>
      </c>
      <c r="M125" s="1" t="s">
        <v>0</v>
      </c>
      <c r="O125" s="1" t="s">
        <v>22</v>
      </c>
    </row>
    <row r="126" spans="1:15" ht="12.75" hidden="1" x14ac:dyDescent="0.2">
      <c r="A126">
        <v>35797</v>
      </c>
      <c r="B126" t="str">
        <f ca="1">VLOOKUP(A126,Import_SuiviGlobal_MigAppliSate!A:I,2,FALSE)</f>
        <v>BOUFFERE</v>
      </c>
      <c r="C126" t="str">
        <f ca="1">VLOOKUP(A126,Import_SuiviGlobal_MigAppliSate!A:I,3,FALSE)</f>
        <v>Super U</v>
      </c>
      <c r="D126" s="1" t="str">
        <f ca="1">VLOOKUP(A126,Import_SuiviGlobal_MigAppliSate!A:I,4,FALSE)</f>
        <v>Coop U Enseigne Ouest</v>
      </c>
      <c r="E126">
        <f ca="1">VLOOKUP(A126,Import_SuiviGlobal_MigAppliSate!A:I,5,FALSE)</f>
        <v>85600</v>
      </c>
      <c r="F126" t="str">
        <f ca="1">VLOOKUP(A126,Import_SuiviGlobal_MigAppliSate!A:I,6,FALSE)</f>
        <v>RD ROUTE DE BOUFFÉRÉ</v>
      </c>
      <c r="G126" t="str">
        <f ca="1">VLOOKUP(A126,Import_SuiviGlobal_MigAppliSate!A:I,7,FALSE)</f>
        <v>02.51.98.11.00</v>
      </c>
      <c r="H126" t="str">
        <f ca="1">VLOOKUP(A126,Import_SuiviGlobal_MigAppliSate!A:I,8,FALSE)</f>
        <v>BROSSET RPT SARL I.C.B. Jean-Marc</v>
      </c>
      <c r="I126" t="str">
        <f ca="1">VLOOKUP(A126,Import_SuiviGlobal_MigAppliSate!A:I,9,FALSE)</f>
        <v>jean-marc.brosset@systeme-u.fr</v>
      </c>
      <c r="J126" s="24" t="str">
        <f ca="1">VLOOKUP(A126,Import_SuiviGlobal_MigAppliSate!A:K,10,FALSE)</f>
        <v>PARNET Sébastien</v>
      </c>
      <c r="K126" t="str">
        <f ca="1">VLOOKUP(A126,Import_SuiviGlobal_MigAppliSate!A:K,11,FALSE)</f>
        <v>superu.bouffere.compta@systeme-u.fr</v>
      </c>
      <c r="O126" s="1" t="s">
        <v>22</v>
      </c>
    </row>
    <row r="127" spans="1:15" ht="12.75" hidden="1" x14ac:dyDescent="0.2">
      <c r="A127">
        <v>31422</v>
      </c>
      <c r="B127" t="str">
        <f ca="1">VLOOKUP(A127,Import_SuiviGlobal_MigAppliSate!A:I,2,FALSE)</f>
        <v>BOUGUENAIS</v>
      </c>
      <c r="C127" t="str">
        <f ca="1">VLOOKUP(A127,Import_SuiviGlobal_MigAppliSate!A:I,3,FALSE)</f>
        <v>U Express</v>
      </c>
      <c r="D127" s="1" t="str">
        <f ca="1">VLOOKUP(A127,Import_SuiviGlobal_MigAppliSate!A:I,4,FALSE)</f>
        <v>Coop U Enseigne Ouest</v>
      </c>
      <c r="E127">
        <f ca="1">VLOOKUP(A127,Import_SuiviGlobal_MigAppliSate!A:I,5,FALSE)</f>
        <v>44340</v>
      </c>
      <c r="F127" t="str">
        <f ca="1">VLOOKUP(A127,Import_SuiviGlobal_MigAppliSate!A:I,6,FALSE)</f>
        <v>PLACE DE LA CHAPELLE</v>
      </c>
      <c r="G127" t="str">
        <f ca="1">VLOOKUP(A127,Import_SuiviGlobal_MigAppliSate!A:I,7,FALSE)</f>
        <v>02.40.32.06.34</v>
      </c>
      <c r="H127" t="str">
        <f ca="1">VLOOKUP(A127,Import_SuiviGlobal_MigAppliSate!A:I,8,FALSE)</f>
        <v>LE NORCY Stéphane</v>
      </c>
      <c r="I127" t="str">
        <f ca="1">VLOOKUP(A127,Import_SuiviGlobal_MigAppliSate!A:I,9,FALSE)</f>
        <v>stephane.lenorcy@systeme-u.fr</v>
      </c>
      <c r="J127" s="24" t="str">
        <f ca="1">VLOOKUP(A127,Import_SuiviGlobal_MigAppliSate!A:K,10,FALSE)</f>
        <v/>
      </c>
      <c r="K127" t="str">
        <f ca="1">VLOOKUP(A127,Import_SuiviGlobal_MigAppliSate!A:K,11,FALSE)</f>
        <v/>
      </c>
      <c r="O127" s="1" t="s">
        <v>22</v>
      </c>
    </row>
    <row r="128" spans="1:15" ht="12.75" hidden="1" x14ac:dyDescent="0.2">
      <c r="A128">
        <v>65454</v>
      </c>
      <c r="B128" t="str">
        <f ca="1">VLOOKUP(A128,Import_SuiviGlobal_MigAppliSate!A:I,2,FALSE)</f>
        <v>BOULAY</v>
      </c>
      <c r="C128" t="str">
        <f ca="1">VLOOKUP(A128,Import_SuiviGlobal_MigAppliSate!A:I,3,FALSE)</f>
        <v>Super U</v>
      </c>
      <c r="D128" s="1" t="str">
        <f ca="1">VLOOKUP(A128,Import_SuiviGlobal_MigAppliSate!A:I,4,FALSE)</f>
        <v>Coop U Enseigne Est</v>
      </c>
      <c r="E128">
        <f ca="1">VLOOKUP(A128,Import_SuiviGlobal_MigAppliSate!A:I,5,FALSE)</f>
        <v>57220</v>
      </c>
      <c r="F128" t="str">
        <f ca="1">VLOOKUP(A128,Import_SuiviGlobal_MigAppliSate!A:I,6,FALSE)</f>
        <v>Rue du Général Neuwinger</v>
      </c>
      <c r="G128" t="str">
        <f ca="1">VLOOKUP(A128,Import_SuiviGlobal_MigAppliSate!A:I,7,FALSE)</f>
        <v>03.87.79.43.60</v>
      </c>
      <c r="H128" t="str">
        <f ca="1">VLOOKUP(A128,Import_SuiviGlobal_MigAppliSate!A:I,8,FALSE)</f>
        <v>BARANGER CHRISTOPHE</v>
      </c>
      <c r="I128" t="str">
        <f ca="1">VLOOKUP(A128,Import_SuiviGlobal_MigAppliSate!A:I,9,FALSE)</f>
        <v>christophe.baranger@systeme-u.fr</v>
      </c>
      <c r="J128" s="24" t="str">
        <f ca="1">VLOOKUP(A128,Import_SuiviGlobal_MigAppliSate!A:K,10,FALSE)</f>
        <v>M. SANTONI</v>
      </c>
      <c r="K128" t="str">
        <f ca="1">VLOOKUP(A128,Import_SuiviGlobal_MigAppliSate!A:K,11,FALSE)</f>
        <v>superu.boulay.direction@systeme-u.fr</v>
      </c>
      <c r="O128" s="1" t="s">
        <v>22</v>
      </c>
    </row>
    <row r="129" spans="1:15" ht="12.75" hidden="1" x14ac:dyDescent="0.2">
      <c r="A129">
        <v>38117</v>
      </c>
      <c r="B129" t="str">
        <f ca="1">VLOOKUP(A129,Import_SuiviGlobal_MigAppliSate!A:I,2,FALSE)</f>
        <v>BOULOIRE</v>
      </c>
      <c r="C129" t="str">
        <f ca="1">VLOOKUP(A129,Import_SuiviGlobal_MigAppliSate!A:I,3,FALSE)</f>
        <v>Super U</v>
      </c>
      <c r="D129" s="1" t="str">
        <f ca="1">VLOOKUP(A129,Import_SuiviGlobal_MigAppliSate!A:I,4,FALSE)</f>
        <v>Coop U Enseigne Ouest</v>
      </c>
      <c r="E129">
        <f ca="1">VLOOKUP(A129,Import_SuiviGlobal_MigAppliSate!A:I,5,FALSE)</f>
        <v>72440</v>
      </c>
      <c r="F129" t="str">
        <f ca="1">VLOOKUP(A129,Import_SuiviGlobal_MigAppliSate!A:I,6,FALSE)</f>
        <v>129 RUE NATIONALE</v>
      </c>
      <c r="G129" t="str">
        <f ca="1">VLOOKUP(A129,Import_SuiviGlobal_MigAppliSate!A:I,7,FALSE)</f>
        <v>02.43.35.40.26</v>
      </c>
      <c r="H129" t="str">
        <f ca="1">VLOOKUP(A129,Import_SuiviGlobal_MigAppliSate!A:I,8,FALSE)</f>
        <v>SABLE RPT SARL TERTRALI David</v>
      </c>
      <c r="I129" t="str">
        <f ca="1">VLOOKUP(A129,Import_SuiviGlobal_MigAppliSate!A:I,9,FALSE)</f>
        <v>david.sable@systeme-u.fr</v>
      </c>
      <c r="J129" s="24" t="str">
        <f ca="1">VLOOKUP(A129,Import_SuiviGlobal_MigAppliSate!A:K,10,FALSE)</f>
        <v>Mme SABLE</v>
      </c>
      <c r="K129" t="str">
        <f ca="1">VLOOKUP(A129,Import_SuiviGlobal_MigAppliSate!A:K,11,FALSE)</f>
        <v>karine.sable@systeme-u.fr</v>
      </c>
      <c r="O129" s="1" t="s">
        <v>22</v>
      </c>
    </row>
    <row r="130" spans="1:15" ht="12.75" hidden="1" x14ac:dyDescent="0.2">
      <c r="A130">
        <v>66093</v>
      </c>
      <c r="B130" t="str">
        <f ca="1">VLOOKUP(A130,Import_SuiviGlobal_MigAppliSate!A:I,2,FALSE)</f>
        <v>BOURG ST MAURICE</v>
      </c>
      <c r="C130" t="str">
        <f ca="1">VLOOKUP(A130,Import_SuiviGlobal_MigAppliSate!A:I,3,FALSE)</f>
        <v>Super U</v>
      </c>
      <c r="D130" s="1" t="str">
        <f ca="1">VLOOKUP(A130,Import_SuiviGlobal_MigAppliSate!A:I,4,FALSE)</f>
        <v>Coop U Enseigne Est</v>
      </c>
      <c r="E130">
        <f ca="1">VLOOKUP(A130,Import_SuiviGlobal_MigAppliSate!A:I,5,FALSE)</f>
        <v>73704</v>
      </c>
      <c r="F130" t="str">
        <f ca="1">VLOOKUP(A130,Import_SuiviGlobal_MigAppliSate!A:I,6,FALSE)</f>
        <v>Route des Arcs</v>
      </c>
      <c r="G130" t="str">
        <f ca="1">VLOOKUP(A130,Import_SuiviGlobal_MigAppliSate!A:I,7,FALSE)</f>
        <v>04.79.07.24.11</v>
      </c>
      <c r="H130" t="str">
        <f ca="1">VLOOKUP(A130,Import_SuiviGlobal_MigAppliSate!A:I,8,FALSE)</f>
        <v>SILVESTRE Luc</v>
      </c>
      <c r="I130" t="str">
        <f ca="1">VLOOKUP(A130,Import_SuiviGlobal_MigAppliSate!A:I,9,FALSE)</f>
        <v>luc.silvestre@systeme-u.fr</v>
      </c>
      <c r="J130" s="24" t="str">
        <f ca="1">VLOOKUP(A130,Import_SuiviGlobal_MigAppliSate!A:K,10,FALSE)</f>
        <v>COMBE LAURENT</v>
      </c>
      <c r="K130" t="str">
        <f ca="1">VLOOKUP(A130,Import_SuiviGlobal_MigAppliSate!A:K,11,FALSE)</f>
        <v>superu.bourgstmaurice.administratif@systeme-u.fr</v>
      </c>
      <c r="O130" s="1" t="s">
        <v>22</v>
      </c>
    </row>
    <row r="131" spans="1:15" ht="12.75" hidden="1" x14ac:dyDescent="0.2">
      <c r="A131">
        <v>32119</v>
      </c>
      <c r="B131" t="str">
        <f ca="1">VLOOKUP(A131,Import_SuiviGlobal_MigAppliSate!A:I,2,FALSE)</f>
        <v>BOURGNEUF-EN-RETZ</v>
      </c>
      <c r="C131" t="str">
        <f ca="1">VLOOKUP(A131,Import_SuiviGlobal_MigAppliSate!A:I,3,FALSE)</f>
        <v>U Express</v>
      </c>
      <c r="D131" s="1" t="str">
        <f ca="1">VLOOKUP(A131,Import_SuiviGlobal_MigAppliSate!A:I,4,FALSE)</f>
        <v>Coop U Enseigne Ouest</v>
      </c>
      <c r="E131">
        <f ca="1">VLOOKUP(A131,Import_SuiviGlobal_MigAppliSate!A:I,5,FALSE)</f>
        <v>44580</v>
      </c>
      <c r="F131" t="str">
        <f ca="1">VLOOKUP(A131,Import_SuiviGlobal_MigAppliSate!A:I,6,FALSE)</f>
        <v>CHEMIN DE LA CULÉE</v>
      </c>
      <c r="G131" t="str">
        <f ca="1">VLOOKUP(A131,Import_SuiviGlobal_MigAppliSate!A:I,7,FALSE)</f>
        <v>02.40.21.40.60</v>
      </c>
      <c r="H131" t="str">
        <f ca="1">VLOOKUP(A131,Import_SuiviGlobal_MigAppliSate!A:I,8,FALSE)</f>
        <v>REMAUD RPT SOFIRE Patrick</v>
      </c>
      <c r="I131" t="str">
        <f ca="1">VLOOKUP(A131,Import_SuiviGlobal_MigAppliSate!A:I,9,FALSE)</f>
        <v>patrick.remaud@systeme-u.fr</v>
      </c>
      <c r="J131" s="24" t="str">
        <f ca="1">VLOOKUP(A131,Import_SuiviGlobal_MigAppliSate!A:K,10,FALSE)</f>
        <v>PEDOUX Alain</v>
      </c>
      <c r="K131" t="str">
        <f ca="1">VLOOKUP(A131,Import_SuiviGlobal_MigAppliSate!A:K,11,FALSE)</f>
        <v>alain.pedoux@systeme-u.fr</v>
      </c>
      <c r="O131" s="1" t="s">
        <v>22</v>
      </c>
    </row>
    <row r="132" spans="1:15" ht="12.75" hidden="1" x14ac:dyDescent="0.2">
      <c r="A132">
        <v>37617</v>
      </c>
      <c r="B132" t="str">
        <f ca="1">VLOOKUP(A132,Import_SuiviGlobal_MigAppliSate!A:I,2,FALSE)</f>
        <v>BOURGUEIL</v>
      </c>
      <c r="C132" t="str">
        <f ca="1">VLOOKUP(A132,Import_SuiviGlobal_MigAppliSate!A:I,3,FALSE)</f>
        <v>Hyper U</v>
      </c>
      <c r="D132" s="1" t="str">
        <f ca="1">VLOOKUP(A132,Import_SuiviGlobal_MigAppliSate!A:I,4,FALSE)</f>
        <v>Coop U Enseigne Ouest</v>
      </c>
      <c r="E132">
        <f ca="1">VLOOKUP(A132,Import_SuiviGlobal_MigAppliSate!A:I,5,FALSE)</f>
        <v>37140</v>
      </c>
      <c r="F132" t="str">
        <f ca="1">VLOOKUP(A132,Import_SuiviGlobal_MigAppliSate!A:I,6,FALSE)</f>
        <v>ROUTE DE CHINON</v>
      </c>
      <c r="G132" t="str">
        <f ca="1">VLOOKUP(A132,Import_SuiviGlobal_MigAppliSate!A:I,7,FALSE)</f>
        <v>02.47.97.82.14</v>
      </c>
      <c r="H132" t="str">
        <f ca="1">VLOOKUP(A132,Import_SuiviGlobal_MigAppliSate!A:I,8,FALSE)</f>
        <v>LEFAY Mélanie</v>
      </c>
      <c r="I132" t="str">
        <f ca="1">VLOOKUP(A132,Import_SuiviGlobal_MigAppliSate!A:I,9,FALSE)</f>
        <v>melanie.lefay@systeme-u.fr</v>
      </c>
      <c r="J132" s="24" t="str">
        <f ca="1">VLOOKUP(A132,Import_SuiviGlobal_MigAppliSate!A:K,10,FALSE)</f>
        <v>LEFAY Raphael</v>
      </c>
      <c r="K132" t="str">
        <f ca="1">VLOOKUP(A132,Import_SuiviGlobal_MigAppliSate!A:K,11,FALSE)</f>
        <v>raphael.lefay@systeme-u.fr</v>
      </c>
      <c r="O132" s="1" t="s">
        <v>22</v>
      </c>
    </row>
    <row r="133" spans="1:15" ht="12.75" hidden="1" x14ac:dyDescent="0.2">
      <c r="A133">
        <v>20736</v>
      </c>
      <c r="B133" t="str">
        <f ca="1">VLOOKUP(A133,Import_SuiviGlobal_MigAppliSate!A:I,2,FALSE)</f>
        <v>BRECEY</v>
      </c>
      <c r="C133" t="str">
        <f ca="1">VLOOKUP(A133,Import_SuiviGlobal_MigAppliSate!A:I,3,FALSE)</f>
        <v>Super U</v>
      </c>
      <c r="D133" s="1" t="str">
        <f ca="1">VLOOKUP(A133,Import_SuiviGlobal_MigAppliSate!A:I,4,FALSE)</f>
        <v>Coop U Enseigne NordOuest</v>
      </c>
      <c r="E133">
        <f ca="1">VLOOKUP(A133,Import_SuiviGlobal_MigAppliSate!A:I,5,FALSE)</f>
        <v>50370</v>
      </c>
      <c r="F133" t="str">
        <f ca="1">VLOOKUP(A133,Import_SuiviGlobal_MigAppliSate!A:I,6,FALSE)</f>
        <v>5 RUE JEANNE D'ARC</v>
      </c>
      <c r="G133" t="str">
        <f ca="1">VLOOKUP(A133,Import_SuiviGlobal_MigAppliSate!A:I,7,FALSE)</f>
        <v>02.33.48.73.71</v>
      </c>
      <c r="H133" t="str">
        <f ca="1">VLOOKUP(A133,Import_SuiviGlobal_MigAppliSate!A:I,8,FALSE)</f>
        <v>HAROU Olivier</v>
      </c>
      <c r="I133" t="str">
        <f ca="1">VLOOKUP(A133,Import_SuiviGlobal_MigAppliSate!A:I,9,FALSE)</f>
        <v>olivier.harou@systeme-u.fr</v>
      </c>
      <c r="J133" s="24" t="str">
        <f ca="1">VLOOKUP(A133,Import_SuiviGlobal_MigAppliSate!A:K,10,FALSE)</f>
        <v>M LEMARCHAND</v>
      </c>
      <c r="K133" t="str">
        <f ca="1">VLOOKUP(A133,Import_SuiviGlobal_MigAppliSate!A:K,11,FALSE)</f>
        <v/>
      </c>
      <c r="O133" s="1" t="s">
        <v>22</v>
      </c>
    </row>
    <row r="134" spans="1:15" ht="12.75" hidden="1" x14ac:dyDescent="0.2">
      <c r="A134">
        <v>20256</v>
      </c>
      <c r="B134" t="str">
        <f ca="1">VLOOKUP(A134,Import_SuiviGlobal_MigAppliSate!A:I,2,FALSE)</f>
        <v>BREHAL</v>
      </c>
      <c r="C134" t="str">
        <f ca="1">VLOOKUP(A134,Import_SuiviGlobal_MigAppliSate!A:I,3,FALSE)</f>
        <v>Super U</v>
      </c>
      <c r="D134" s="1" t="str">
        <f ca="1">VLOOKUP(A134,Import_SuiviGlobal_MigAppliSate!A:I,4,FALSE)</f>
        <v>Coop U Enseigne NordOuest</v>
      </c>
      <c r="E134">
        <f ca="1">VLOOKUP(A134,Import_SuiviGlobal_MigAppliSate!A:I,5,FALSE)</f>
        <v>50290</v>
      </c>
      <c r="F134" t="str">
        <f ca="1">VLOOKUP(A134,Import_SuiviGlobal_MigAppliSate!A:I,6,FALSE)</f>
        <v>ROUTE DE MONTMARTIN</v>
      </c>
      <c r="G134" t="str">
        <f ca="1">VLOOKUP(A134,Import_SuiviGlobal_MigAppliSate!A:I,7,FALSE)</f>
        <v>02.33.51.70.72</v>
      </c>
      <c r="H134" t="str">
        <f ca="1">VLOOKUP(A134,Import_SuiviGlobal_MigAppliSate!A:I,8,FALSE)</f>
        <v>LEMOINE Patrick</v>
      </c>
      <c r="I134" t="str">
        <f ca="1">VLOOKUP(A134,Import_SuiviGlobal_MigAppliSate!A:I,9,FALSE)</f>
        <v>patrick.lemoine@systeme-u.fr</v>
      </c>
      <c r="J134" s="24" t="str">
        <f ca="1">VLOOKUP(A134,Import_SuiviGlobal_MigAppliSate!A:K,10,FALSE)</f>
        <v>Mme Mondher (Resp. informatique)</v>
      </c>
      <c r="K134" t="str">
        <f ca="1">VLOOKUP(A134,Import_SuiviGlobal_MigAppliSate!A:K,11,FALSE)</f>
        <v>superu.brehal@systeme-u.fr</v>
      </c>
      <c r="O134" s="1" t="s">
        <v>22</v>
      </c>
    </row>
    <row r="135" spans="1:15" ht="12.75" hidden="1" x14ac:dyDescent="0.2">
      <c r="A135">
        <v>35037</v>
      </c>
      <c r="B135" t="str">
        <f ca="1">VLOOKUP(A135,Import_SuiviGlobal_MigAppliSate!A:I,2,FALSE)</f>
        <v>BREHAN</v>
      </c>
      <c r="C135" t="str">
        <f ca="1">VLOOKUP(A135,Import_SuiviGlobal_MigAppliSate!A:I,3,FALSE)</f>
        <v>U Express</v>
      </c>
      <c r="D135" s="1" t="str">
        <f ca="1">VLOOKUP(A135,Import_SuiviGlobal_MigAppliSate!A:I,4,FALSE)</f>
        <v>Coop U Enseigne Ouest</v>
      </c>
      <c r="E135">
        <f ca="1">VLOOKUP(A135,Import_SuiviGlobal_MigAppliSate!A:I,5,FALSE)</f>
        <v>56580</v>
      </c>
      <c r="F135" t="str">
        <f ca="1">VLOOKUP(A135,Import_SuiviGlobal_MigAppliSate!A:I,6,FALSE)</f>
        <v>16 RUE DE CHATEAUBRIAND</v>
      </c>
      <c r="G135" t="str">
        <f ca="1">VLOOKUP(A135,Import_SuiviGlobal_MigAppliSate!A:I,7,FALSE)</f>
        <v>02.97.38.80.90</v>
      </c>
      <c r="H135" t="str">
        <f ca="1">VLOOKUP(A135,Import_SuiviGlobal_MigAppliSate!A:I,8,FALSE)</f>
        <v>GUYON Julien</v>
      </c>
      <c r="I135" t="str">
        <f ca="1">VLOOKUP(A135,Import_SuiviGlobal_MigAppliSate!A:I,9,FALSE)</f>
        <v>julien.guyon@systeme-u.fr</v>
      </c>
      <c r="J135" s="24" t="str">
        <f ca="1">VLOOKUP(A135,Import_SuiviGlobal_MigAppliSate!A:K,10,FALSE)</f>
        <v>MENARD Sébastien et Christelle</v>
      </c>
      <c r="K135" t="str">
        <f ca="1">VLOOKUP(A135,Import_SuiviGlobal_MigAppliSate!A:K,11,FALSE)</f>
        <v/>
      </c>
      <c r="O135" s="1" t="s">
        <v>22</v>
      </c>
    </row>
    <row r="136" spans="1:15" ht="12.75" hidden="1" x14ac:dyDescent="0.2">
      <c r="A136">
        <v>38221</v>
      </c>
      <c r="B136" t="str">
        <f ca="1">VLOOKUP(A136,Import_SuiviGlobal_MigAppliSate!A:I,2,FALSE)</f>
        <v>BRESSUIRE</v>
      </c>
      <c r="C136" t="str">
        <f ca="1">VLOOKUP(A136,Import_SuiviGlobal_MigAppliSate!A:I,3,FALSE)</f>
        <v>U Express</v>
      </c>
      <c r="D136" s="1" t="str">
        <f ca="1">VLOOKUP(A136,Import_SuiviGlobal_MigAppliSate!A:I,4,FALSE)</f>
        <v>Coop U Enseigne Ouest</v>
      </c>
      <c r="E136">
        <f ca="1">VLOOKUP(A136,Import_SuiviGlobal_MigAppliSate!A:I,5,FALSE)</f>
        <v>79300</v>
      </c>
      <c r="F136" t="str">
        <f ca="1">VLOOKUP(A136,Import_SuiviGlobal_MigAppliSate!A:I,6,FALSE)</f>
        <v>3 RUE DE LA VERGNE</v>
      </c>
      <c r="G136" t="str">
        <f ca="1">VLOOKUP(A136,Import_SuiviGlobal_MigAppliSate!A:I,7,FALSE)</f>
        <v>05.49.82.00.90</v>
      </c>
      <c r="H136" t="str">
        <f ca="1">VLOOKUP(A136,Import_SuiviGlobal_MigAppliSate!A:I,8,FALSE)</f>
        <v>PAPIN RPT SARL MACHADIS Marie-Hélène</v>
      </c>
      <c r="I136" t="str">
        <f ca="1">VLOOKUP(A136,Import_SuiviGlobal_MigAppliSate!A:I,9,FALSE)</f>
        <v>lionel.laville@systeme-u.fr</v>
      </c>
      <c r="J136" s="24" t="str">
        <f ca="1">VLOOKUP(A136,Import_SuiviGlobal_MigAppliSate!A:K,10,FALSE)</f>
        <v>LAVILLE LIONEL</v>
      </c>
      <c r="K136" t="str">
        <f ca="1">VLOOKUP(A136,Import_SuiviGlobal_MigAppliSate!A:K,11,FALSE)</f>
        <v>lionel.laville@systeme-u.fr</v>
      </c>
      <c r="O136" s="1" t="s">
        <v>22</v>
      </c>
    </row>
    <row r="137" spans="1:15" ht="12.75" hidden="1" x14ac:dyDescent="0.2">
      <c r="A137">
        <v>31244</v>
      </c>
      <c r="B137" t="str">
        <f ca="1">VLOOKUP(A137,Import_SuiviGlobal_MigAppliSate!A:I,2,FALSE)</f>
        <v>BREST KEREDERN</v>
      </c>
      <c r="C137" t="str">
        <f ca="1">VLOOKUP(A137,Import_SuiviGlobal_MigAppliSate!A:I,3,FALSE)</f>
        <v>Super U</v>
      </c>
      <c r="D137" s="1" t="str">
        <f ca="1">VLOOKUP(A137,Import_SuiviGlobal_MigAppliSate!A:I,4,FALSE)</f>
        <v>Coop U Enseigne Ouest</v>
      </c>
      <c r="E137">
        <f ca="1">VLOOKUP(A137,Import_SuiviGlobal_MigAppliSate!A:I,5,FALSE)</f>
        <v>29200</v>
      </c>
      <c r="F137" t="str">
        <f ca="1">VLOOKUP(A137,Import_SuiviGlobal_MigAppliSate!A:I,6,FALSE)</f>
        <v>17 RUE CUIRASSE BRETAGNE</v>
      </c>
      <c r="G137" t="str">
        <f ca="1">VLOOKUP(A137,Import_SuiviGlobal_MigAppliSate!A:I,7,FALSE)</f>
        <v>02.98.47.74.11</v>
      </c>
      <c r="H137" t="str">
        <f ca="1">VLOOKUP(A137,Import_SuiviGlobal_MigAppliSate!A:I,8,FALSE)</f>
        <v>LE GOFF RPT FINANCIERE GH Hervé</v>
      </c>
      <c r="I137" t="str">
        <f ca="1">VLOOKUP(A137,Import_SuiviGlobal_MigAppliSate!A:I,9,FALSE)</f>
        <v>herve.le-goff@systeme-u.fr</v>
      </c>
      <c r="J137" s="24" t="str">
        <f ca="1">VLOOKUP(A137,Import_SuiviGlobal_MigAppliSate!A:K,10,FALSE)</f>
        <v>LE GOFF Damien
QUEMENEUR Emilie</v>
      </c>
      <c r="K137" t="str">
        <f ca="1">VLOOKUP(A137,Import_SuiviGlobal_MigAppliSate!A:K,11,FALSE)</f>
        <v>damien.le-goff@systeme-u.fr,superu.brestgaylussac.compta@systeme-u.fr</v>
      </c>
      <c r="O137" s="1" t="s">
        <v>22</v>
      </c>
    </row>
    <row r="138" spans="1:15" ht="12.75" hidden="1" x14ac:dyDescent="0.2">
      <c r="A138">
        <v>32461</v>
      </c>
      <c r="B138" t="str">
        <f ca="1">VLOOKUP(A138,Import_SuiviGlobal_MigAppliSate!A:I,2,FALSE)</f>
        <v>BREST RECOUVRANCE</v>
      </c>
      <c r="C138" t="str">
        <f ca="1">VLOOKUP(A138,Import_SuiviGlobal_MigAppliSate!A:I,3,FALSE)</f>
        <v>U Express</v>
      </c>
      <c r="D138" s="1" t="str">
        <f ca="1">VLOOKUP(A138,Import_SuiviGlobal_MigAppliSate!A:I,4,FALSE)</f>
        <v>Coop U Enseigne Ouest</v>
      </c>
      <c r="E138">
        <f ca="1">VLOOKUP(A138,Import_SuiviGlobal_MigAppliSate!A:I,5,FALSE)</f>
        <v>29200</v>
      </c>
      <c r="F138" t="str">
        <f ca="1">VLOOKUP(A138,Import_SuiviGlobal_MigAppliSate!A:I,6,FALSE)</f>
        <v>33, RUE D ARMORIQUE</v>
      </c>
      <c r="G138" t="str">
        <f ca="1">VLOOKUP(A138,Import_SuiviGlobal_MigAppliSate!A:I,7,FALSE)</f>
        <v>02.98.45.13.68</v>
      </c>
      <c r="H138" t="str">
        <f ca="1">VLOOKUP(A138,Import_SuiviGlobal_MigAppliSate!A:I,8,FALSE)</f>
        <v>POSIER Jean michel</v>
      </c>
      <c r="I138" t="str">
        <f ca="1">VLOOKUP(A138,Import_SuiviGlobal_MigAppliSate!A:I,9,FALSE)</f>
        <v>jean-michel.posier@systeme-u.fr</v>
      </c>
      <c r="J138" s="24" t="str">
        <f ca="1">VLOOKUP(A138,Import_SuiviGlobal_MigAppliSate!A:K,10,FALSE)</f>
        <v>Prémel philippe</v>
      </c>
      <c r="K138" t="str">
        <f ca="1">VLOOKUP(A138,Import_SuiviGlobal_MigAppliSate!A:K,11,FALSE)</f>
        <v>uexpress.brestrecouvrance.direction@systeme-u.fr</v>
      </c>
      <c r="O138" s="1" t="s">
        <v>22</v>
      </c>
    </row>
    <row r="139" spans="1:15" ht="12.75" hidden="1" x14ac:dyDescent="0.2">
      <c r="A139">
        <v>32089</v>
      </c>
      <c r="B139" t="str">
        <f ca="1">VLOOKUP(A139,Import_SuiviGlobal_MigAppliSate!A:I,2,FALSE)</f>
        <v>BRETEIL</v>
      </c>
      <c r="C139" t="str">
        <f ca="1">VLOOKUP(A139,Import_SuiviGlobal_MigAppliSate!A:I,3,FALSE)</f>
        <v>Super U</v>
      </c>
      <c r="D139" s="1" t="str">
        <f ca="1">VLOOKUP(A139,Import_SuiviGlobal_MigAppliSate!A:I,4,FALSE)</f>
        <v>Coop U Enseigne Ouest</v>
      </c>
      <c r="E139">
        <f ca="1">VLOOKUP(A139,Import_SuiviGlobal_MigAppliSate!A:I,5,FALSE)</f>
        <v>35160</v>
      </c>
      <c r="F139" t="str">
        <f ca="1">VLOOKUP(A139,Import_SuiviGlobal_MigAppliSate!A:I,6,FALSE)</f>
        <v>LAUNAY QUERO</v>
      </c>
      <c r="G139" t="str">
        <f ca="1">VLOOKUP(A139,Import_SuiviGlobal_MigAppliSate!A:I,7,FALSE)</f>
        <v>02.99.09.13.41</v>
      </c>
      <c r="H139" t="str">
        <f ca="1">VLOOKUP(A139,Import_SuiviGlobal_MigAppliSate!A:I,8,FALSE)</f>
        <v>PORCHER RPT SARL AJM Arnaud</v>
      </c>
      <c r="I139" t="str">
        <f ca="1">VLOOKUP(A139,Import_SuiviGlobal_MigAppliSate!A:I,9,FALSE)</f>
        <v>arnaud.porcher@systeme-u.fr</v>
      </c>
      <c r="J139" s="24" t="str">
        <f ca="1">VLOOKUP(A139,Import_SuiviGlobal_MigAppliSate!A:K,10,FALSE)</f>
        <v>LE FRAY JEROME</v>
      </c>
      <c r="K139" t="str">
        <f ca="1">VLOOKUP(A139,Import_SuiviGlobal_MigAppliSate!A:K,11,FALSE)</f>
        <v>superu.montfortsurmeu.direction@systeme-u.fr</v>
      </c>
      <c r="O139" s="1" t="s">
        <v>22</v>
      </c>
    </row>
    <row r="140" spans="1:15" ht="12.75" hidden="1" x14ac:dyDescent="0.2">
      <c r="A140">
        <v>30906</v>
      </c>
      <c r="B140" t="str">
        <f ca="1">VLOOKUP(A140,Import_SuiviGlobal_MigAppliSate!A:I,2,FALSE)</f>
        <v>BRETIGNOLLES-SUR-MER</v>
      </c>
      <c r="C140" t="str">
        <f ca="1">VLOOKUP(A140,Import_SuiviGlobal_MigAppliSate!A:I,3,FALSE)</f>
        <v>Super U</v>
      </c>
      <c r="D140" s="1" t="str">
        <f ca="1">VLOOKUP(A140,Import_SuiviGlobal_MigAppliSate!A:I,4,FALSE)</f>
        <v>Coop U Enseigne Ouest</v>
      </c>
      <c r="E140">
        <f ca="1">VLOOKUP(A140,Import_SuiviGlobal_MigAppliSate!A:I,5,FALSE)</f>
        <v>85470</v>
      </c>
      <c r="F140" t="str">
        <f ca="1">VLOOKUP(A140,Import_SuiviGlobal_MigAppliSate!A:I,6,FALSE)</f>
        <v>8, AVENUE DE VERDUN</v>
      </c>
      <c r="G140" t="str">
        <f ca="1">VLOOKUP(A140,Import_SuiviGlobal_MigAppliSate!A:I,7,FALSE)</f>
        <v>02.51.90.09.09</v>
      </c>
      <c r="H140" t="str">
        <f ca="1">VLOOKUP(A140,Import_SuiviGlobal_MigAppliSate!A:I,8,FALSE)</f>
        <v>PRAUD RPT SARL PRAUFI STEPHANE</v>
      </c>
      <c r="I140" t="str">
        <f ca="1">VLOOKUP(A140,Import_SuiviGlobal_MigAppliSate!A:I,9,FALSE)</f>
        <v>stephane.praud@systeme-u.fr</v>
      </c>
      <c r="J140" s="24" t="str">
        <f ca="1">VLOOKUP(A140,Import_SuiviGlobal_MigAppliSate!A:K,10,FALSE)</f>
        <v>Claude MORIN</v>
      </c>
      <c r="K140" t="str">
        <f ca="1">VLOOKUP(A140,Import_SuiviGlobal_MigAppliSate!A:K,11,FALSE)</f>
        <v>superu.bretignollessurmer.rh@systeme-u.fr</v>
      </c>
      <c r="O140" s="1" t="s">
        <v>22</v>
      </c>
    </row>
    <row r="141" spans="1:15" ht="12.75" hidden="1" x14ac:dyDescent="0.2">
      <c r="A141">
        <v>24448</v>
      </c>
      <c r="B141" t="str">
        <f ca="1">VLOOKUP(A141,Import_SuiviGlobal_MigAppliSate!A:I,2,FALSE)</f>
        <v>#N/A</v>
      </c>
      <c r="C141" t="str">
        <f ca="1">VLOOKUP(A141,Import_SuiviGlobal_MigAppliSate!A:I,3,FALSE)</f>
        <v>#N/A</v>
      </c>
      <c r="D141" s="1" t="str">
        <f ca="1">VLOOKUP(A141,Import_SuiviGlobal_MigAppliSate!A:I,4,FALSE)</f>
        <v>#N/A</v>
      </c>
      <c r="E141" t="str">
        <f ca="1">VLOOKUP(A141,Import_SuiviGlobal_MigAppliSate!A:I,5,FALSE)</f>
        <v/>
      </c>
      <c r="F141" t="str">
        <f ca="1">VLOOKUP(A141,Import_SuiviGlobal_MigAppliSate!A:I,6,FALSE)</f>
        <v>#N/A</v>
      </c>
      <c r="G141" t="str">
        <f ca="1">VLOOKUP(A141,Import_SuiviGlobal_MigAppliSate!A:I,7,FALSE)</f>
        <v>#N/A</v>
      </c>
      <c r="H141" t="str">
        <f ca="1">VLOOKUP(A141,Import_SuiviGlobal_MigAppliSate!A:I,8,FALSE)</f>
        <v>#N/A</v>
      </c>
      <c r="I141" t="str">
        <f ca="1">VLOOKUP(A141,Import_SuiviGlobal_MigAppliSate!A:I,9,FALSE)</f>
        <v>#N/A</v>
      </c>
      <c r="J141" s="24" t="str">
        <f ca="1">VLOOKUP(A141,Import_SuiviGlobal_MigAppliSate!A:K,10,FALSE)</f>
        <v>Gilles EVRARD</v>
      </c>
      <c r="K141" t="str">
        <f ca="1">VLOOKUP(A141,Import_SuiviGlobal_MigAppliSate!A:K,11,FALSE)</f>
        <v>gilles.evrard@syrinxpan.fr</v>
      </c>
      <c r="O141" s="1" t="s">
        <v>22</v>
      </c>
    </row>
    <row r="142" spans="1:15" ht="12.75" x14ac:dyDescent="0.2">
      <c r="A142">
        <v>38251</v>
      </c>
      <c r="B142" t="str">
        <f ca="1">VLOOKUP(A142,Import_SuiviGlobal_MigAppliSate!A:I,2,FALSE)</f>
        <v>BRIARE</v>
      </c>
      <c r="C142" t="str">
        <f ca="1">VLOOKUP(A142,Import_SuiviGlobal_MigAppliSate!A:I,3,FALSE)</f>
        <v>U Express</v>
      </c>
      <c r="D142" s="1" t="str">
        <f ca="1">VLOOKUP(A142,Import_SuiviGlobal_MigAppliSate!A:I,4,FALSE)</f>
        <v>Coop U Enseigne Ouest</v>
      </c>
      <c r="E142">
        <f ca="1">VLOOKUP(A142,Import_SuiviGlobal_MigAppliSate!A:I,5,FALSE)</f>
        <v>45250</v>
      </c>
      <c r="F142" t="str">
        <f ca="1">VLOOKUP(A142,Import_SuiviGlobal_MigAppliSate!A:I,6,FALSE)</f>
        <v>ROUTE DE PARIS</v>
      </c>
      <c r="G142" t="str">
        <f ca="1">VLOOKUP(A142,Import_SuiviGlobal_MigAppliSate!A:I,7,FALSE)</f>
        <v>02.38.37.12.12</v>
      </c>
      <c r="H142" t="str">
        <f ca="1">VLOOKUP(A142,Import_SuiviGlobal_MigAppliSate!A:I,8,FALSE)</f>
        <v>ANNET Dominique</v>
      </c>
      <c r="I142" t="str">
        <f ca="1">VLOOKUP(A142,Import_SuiviGlobal_MigAppliSate!A:I,9,FALSE)</f>
        <v>dominique.annet@systeme-u.fr</v>
      </c>
      <c r="J142" s="24" t="str">
        <f ca="1">VLOOKUP(A142,Import_SuiviGlobal_MigAppliSate!A:K,10,FALSE)</f>
        <v>PREVOT Laurent (Directeur)</v>
      </c>
      <c r="K142" t="str">
        <f ca="1">VLOOKUP(A142,Import_SuiviGlobal_MigAppliSate!A:K,11,FALSE)</f>
        <v>uexpress.briare.direction@systeme-u.fr</v>
      </c>
      <c r="L142" t="s">
        <v>17</v>
      </c>
      <c r="M142" t="s">
        <v>0</v>
      </c>
      <c r="O142" s="1" t="s">
        <v>22</v>
      </c>
    </row>
    <row r="143" spans="1:15" ht="12.75" hidden="1" x14ac:dyDescent="0.2">
      <c r="A143">
        <v>21104</v>
      </c>
      <c r="B143" t="str">
        <f ca="1">VLOOKUP(A143,Import_SuiviGlobal_MigAppliSate!A:I,2,FALSE)</f>
        <v>BRICQUEBEC</v>
      </c>
      <c r="C143" t="str">
        <f ca="1">VLOOKUP(A143,Import_SuiviGlobal_MigAppliSate!A:I,3,FALSE)</f>
        <v>Super U</v>
      </c>
      <c r="D143" s="1" t="str">
        <f ca="1">VLOOKUP(A143,Import_SuiviGlobal_MigAppliSate!A:I,4,FALSE)</f>
        <v>Coop U Enseigne NordOuest</v>
      </c>
      <c r="E143">
        <f ca="1">VLOOKUP(A143,Import_SuiviGlobal_MigAppliSate!A:I,5,FALSE)</f>
        <v>50260</v>
      </c>
      <c r="F143" t="str">
        <f ca="1">VLOOKUP(A143,Import_SuiviGlobal_MigAppliSate!A:I,6,FALSE)</f>
        <v>39 ROUTE DE VALOGNES</v>
      </c>
      <c r="G143" t="str">
        <f ca="1">VLOOKUP(A143,Import_SuiviGlobal_MigAppliSate!A:I,7,FALSE)</f>
        <v>02.33.87.23.87</v>
      </c>
      <c r="H143" t="str">
        <f ca="1">VLOOKUP(A143,Import_SuiviGlobal_MigAppliSate!A:I,8,FALSE)</f>
        <v>MEVEL Yves</v>
      </c>
      <c r="I143" t="str">
        <f ca="1">VLOOKUP(A143,Import_SuiviGlobal_MigAppliSate!A:I,9,FALSE)</f>
        <v>yves.mevel@systeme-u.fr</v>
      </c>
      <c r="J143" s="24" t="str">
        <f ca="1">VLOOKUP(A143,Import_SuiviGlobal_MigAppliSate!A:K,10,FALSE)</f>
        <v>Pesnel Delphine</v>
      </c>
      <c r="K143" t="str">
        <f ca="1">VLOOKUP(A143,Import_SuiviGlobal_MigAppliSate!A:K,11,FALSE)</f>
        <v>superu.bricquebec.informatique@systeme-u.fr</v>
      </c>
      <c r="L143" t="s">
        <v>20</v>
      </c>
      <c r="M143" t="s">
        <v>21</v>
      </c>
      <c r="O143" s="1" t="s">
        <v>22</v>
      </c>
    </row>
    <row r="144" spans="1:15" ht="12.75" hidden="1" x14ac:dyDescent="0.2">
      <c r="A144">
        <v>26440</v>
      </c>
      <c r="B144" t="str">
        <f ca="1">VLOOKUP(A144,Import_SuiviGlobal_MigAppliSate!A:I,2,FALSE)</f>
        <v>BRIE COMTE ROBERT</v>
      </c>
      <c r="C144" t="str">
        <f ca="1">VLOOKUP(A144,Import_SuiviGlobal_MigAppliSate!A:I,3,FALSE)</f>
        <v>Hyper U</v>
      </c>
      <c r="D144" s="1" t="str">
        <f ca="1">VLOOKUP(A144,Import_SuiviGlobal_MigAppliSate!A:I,4,FALSE)</f>
        <v>Coop U Enseigne NordOuest</v>
      </c>
      <c r="E144">
        <f ca="1">VLOOKUP(A144,Import_SuiviGlobal_MigAppliSate!A:I,5,FALSE)</f>
        <v>77170</v>
      </c>
      <c r="F144" t="str">
        <f ca="1">VLOOKUP(A144,Import_SuiviGlobal_MigAppliSate!A:I,6,FALSE)</f>
        <v>RUE GUSTAVE EIFFEL</v>
      </c>
      <c r="G144" t="str">
        <f ca="1">VLOOKUP(A144,Import_SuiviGlobal_MigAppliSate!A:I,7,FALSE)</f>
        <v>01.64.05.23.01</v>
      </c>
      <c r="H144" t="str">
        <f ca="1">VLOOKUP(A144,Import_SuiviGlobal_MigAppliSate!A:I,8,FALSE)</f>
        <v>GOURNAY (SUNO) Daniel</v>
      </c>
      <c r="I144" t="str">
        <f ca="1">VLOOKUP(A144,Import_SuiviGlobal_MigAppliSate!A:I,9,FALSE)</f>
        <v>daniel.gournay@systeme-u.fr</v>
      </c>
      <c r="J144" s="24" t="str">
        <f ca="1">VLOOKUP(A144,Import_SuiviGlobal_MigAppliSate!A:K,10,FALSE)</f>
        <v>M. Dauvergne
Béatrice Janvier (UPLV)</v>
      </c>
      <c r="K144" t="str">
        <f ca="1">VLOOKUP(A144,Import_SuiviGlobal_MigAppliSate!A:K,11,FALSE)</f>
        <v xml:space="preserve">hyperu.briecomterobert.direction@systeme-u.fr, hyperu.briecomterobert.deco@systeme-u.fr
</v>
      </c>
      <c r="O144" s="1" t="s">
        <v>22</v>
      </c>
    </row>
    <row r="145" spans="1:15" ht="12.75" hidden="1" x14ac:dyDescent="0.2">
      <c r="A145">
        <v>38252</v>
      </c>
      <c r="B145" t="str">
        <f ca="1">VLOOKUP(A145,Import_SuiviGlobal_MigAppliSate!A:I,2,FALSE)</f>
        <v>BRIEC</v>
      </c>
      <c r="C145" t="str">
        <f ca="1">VLOOKUP(A145,Import_SuiviGlobal_MigAppliSate!A:I,3,FALSE)</f>
        <v>U Express</v>
      </c>
      <c r="D145" s="1" t="str">
        <f ca="1">VLOOKUP(A145,Import_SuiviGlobal_MigAppliSate!A:I,4,FALSE)</f>
        <v>Coop U Enseigne Ouest</v>
      </c>
      <c r="E145">
        <f ca="1">VLOOKUP(A145,Import_SuiviGlobal_MigAppliSate!A:I,5,FALSE)</f>
        <v>29510</v>
      </c>
      <c r="F145" t="str">
        <f ca="1">VLOOKUP(A145,Import_SuiviGlobal_MigAppliSate!A:I,6,FALSE)</f>
        <v>RUE DE KERHAPP</v>
      </c>
      <c r="G145" t="str">
        <f ca="1">VLOOKUP(A145,Import_SuiviGlobal_MigAppliSate!A:I,7,FALSE)</f>
        <v>02.98.57.91.43</v>
      </c>
      <c r="H145" t="str">
        <f ca="1">VLOOKUP(A145,Import_SuiviGlobal_MigAppliSate!A:I,8,FALSE)</f>
        <v>MENEZ Guy</v>
      </c>
      <c r="I145" t="str">
        <f ca="1">VLOOKUP(A145,Import_SuiviGlobal_MigAppliSate!A:I,9,FALSE)</f>
        <v>guy.menez@systeme-u.fr</v>
      </c>
      <c r="J145" s="24" t="str">
        <f ca="1">VLOOKUP(A145,Import_SuiviGlobal_MigAppliSate!A:K,10,FALSE)</f>
        <v>Menez Christopher</v>
      </c>
      <c r="K145" t="str">
        <f ca="1">VLOOKUP(A145,Import_SuiviGlobal_MigAppliSate!A:K,11,FALSE)</f>
        <v/>
      </c>
      <c r="O145" s="1" t="s">
        <v>22</v>
      </c>
    </row>
    <row r="146" spans="1:15" ht="12.75" hidden="1" x14ac:dyDescent="0.2">
      <c r="A146">
        <v>65449</v>
      </c>
      <c r="B146" t="str">
        <f ca="1">VLOOKUP(A146,Import_SuiviGlobal_MigAppliSate!A:I,2,FALSE)</f>
        <v>BRIEY</v>
      </c>
      <c r="C146" t="str">
        <f ca="1">VLOOKUP(A146,Import_SuiviGlobal_MigAppliSate!A:I,3,FALSE)</f>
        <v>Super U</v>
      </c>
      <c r="D146" s="1" t="str">
        <f ca="1">VLOOKUP(A146,Import_SuiviGlobal_MigAppliSate!A:I,4,FALSE)</f>
        <v>Coop U Enseigne Est</v>
      </c>
      <c r="E146">
        <f ca="1">VLOOKUP(A146,Import_SuiviGlobal_MigAppliSate!A:I,5,FALSE)</f>
        <v>54152</v>
      </c>
      <c r="F146" t="str">
        <f ca="1">VLOOKUP(A146,Import_SuiviGlobal_MigAppliSate!A:I,6,FALSE)</f>
        <v>AVENUE MARGUERITE PUHL DEMANGE</v>
      </c>
      <c r="G146" t="str">
        <f ca="1">VLOOKUP(A146,Import_SuiviGlobal_MigAppliSate!A:I,7,FALSE)</f>
        <v>03.82.46.62.34</v>
      </c>
      <c r="H146" t="str">
        <f ca="1">VLOOKUP(A146,Import_SuiviGlobal_MigAppliSate!A:I,8,FALSE)</f>
        <v>PIGUET Stephane</v>
      </c>
      <c r="I146" t="str">
        <f ca="1">VLOOKUP(A146,Import_SuiviGlobal_MigAppliSate!A:I,9,FALSE)</f>
        <v>stephane.piguet@systeme-u.fr</v>
      </c>
      <c r="J146" s="24" t="str">
        <f ca="1">VLOOKUP(A146,Import_SuiviGlobal_MigAppliSate!A:K,10,FALSE)</f>
        <v>ALEXANDRA LAUER</v>
      </c>
      <c r="K146" t="str">
        <f ca="1">VLOOKUP(A146,Import_SuiviGlobal_MigAppliSate!A:K,11,FALSE)</f>
        <v>alexandra.pantalone@systeme-u.fr</v>
      </c>
      <c r="O146" s="1" t="s">
        <v>22</v>
      </c>
    </row>
    <row r="147" spans="1:15" ht="12.75" hidden="1" x14ac:dyDescent="0.2">
      <c r="A147">
        <v>35657</v>
      </c>
      <c r="B147" t="str">
        <f ca="1">VLOOKUP(A147,Import_SuiviGlobal_MigAppliSate!A:I,2,FALSE)</f>
        <v>BROONS</v>
      </c>
      <c r="C147" t="str">
        <f ca="1">VLOOKUP(A147,Import_SuiviGlobal_MigAppliSate!A:I,3,FALSE)</f>
        <v>Super U</v>
      </c>
      <c r="D147" s="1" t="str">
        <f ca="1">VLOOKUP(A147,Import_SuiviGlobal_MigAppliSate!A:I,4,FALSE)</f>
        <v>Coop U Enseigne Ouest</v>
      </c>
      <c r="E147">
        <f ca="1">VLOOKUP(A147,Import_SuiviGlobal_MigAppliSate!A:I,5,FALSE)</f>
        <v>22250</v>
      </c>
      <c r="F147" t="str">
        <f ca="1">VLOOKUP(A147,Import_SuiviGlobal_MigAppliSate!A:I,6,FALSE)</f>
        <v>ZONE ARTISANALE LE PILAGA</v>
      </c>
      <c r="G147" t="str">
        <f ca="1">VLOOKUP(A147,Import_SuiviGlobal_MigAppliSate!A:I,7,FALSE)</f>
        <v>02.96.84.68.93</v>
      </c>
      <c r="H147" t="str">
        <f ca="1">VLOOKUP(A147,Import_SuiviGlobal_MigAppliSate!A:I,8,FALSE)</f>
        <v>GORON Franck</v>
      </c>
      <c r="I147" t="str">
        <f ca="1">VLOOKUP(A147,Import_SuiviGlobal_MigAppliSate!A:I,9,FALSE)</f>
        <v>franck.goron@systeme-u.fr</v>
      </c>
      <c r="J147" s="24" t="str">
        <f ca="1">VLOOKUP(A147,Import_SuiviGlobal_MigAppliSate!A:K,10,FALSE)</f>
        <v>GORON Gwenola</v>
      </c>
      <c r="K147" t="str">
        <f ca="1">VLOOKUP(A147,Import_SuiviGlobal_MigAppliSate!A:K,11,FALSE)</f>
        <v>superu.broons@systeme-u.fr</v>
      </c>
      <c r="O147" s="1" t="s">
        <v>22</v>
      </c>
    </row>
    <row r="148" spans="1:15" ht="12.75" hidden="1" x14ac:dyDescent="0.2">
      <c r="A148">
        <v>21589</v>
      </c>
      <c r="B148" t="str">
        <f ca="1">VLOOKUP(A148,Import_SuiviGlobal_MigAppliSate!A:I,2,FALSE)</f>
        <v>BROU</v>
      </c>
      <c r="C148" t="str">
        <f ca="1">VLOOKUP(A148,Import_SuiviGlobal_MigAppliSate!A:I,3,FALSE)</f>
        <v>Super U</v>
      </c>
      <c r="D148" s="1" t="str">
        <f ca="1">VLOOKUP(A148,Import_SuiviGlobal_MigAppliSate!A:I,4,FALSE)</f>
        <v>Coop U Enseigne NordOuest</v>
      </c>
      <c r="E148">
        <f ca="1">VLOOKUP(A148,Import_SuiviGlobal_MigAppliSate!A:I,5,FALSE)</f>
        <v>28160</v>
      </c>
      <c r="F148" t="str">
        <f ca="1">VLOOKUP(A148,Import_SuiviGlobal_MigAppliSate!A:I,6,FALSE)</f>
        <v>B.P 14</v>
      </c>
      <c r="G148" t="str">
        <f ca="1">VLOOKUP(A148,Import_SuiviGlobal_MigAppliSate!A:I,7,FALSE)</f>
        <v>02.37.96.05.02</v>
      </c>
      <c r="H148" t="str">
        <f ca="1">VLOOKUP(A148,Import_SuiviGlobal_MigAppliSate!A:I,8,FALSE)</f>
        <v>CARON Alexis</v>
      </c>
      <c r="I148" t="str">
        <f ca="1">VLOOKUP(A148,Import_SuiviGlobal_MigAppliSate!A:I,9,FALSE)</f>
        <v>alexis.caron@systeme-u.fr</v>
      </c>
      <c r="J148" s="24" t="str">
        <f ca="1">VLOOKUP(A148,Import_SuiviGlobal_MigAppliSate!A:K,10,FALSE)</f>
        <v>Stéphanie Part (directrice)</v>
      </c>
      <c r="K148" t="str">
        <f ca="1">VLOOKUP(A148,Import_SuiviGlobal_MigAppliSate!A:K,11,FALSE)</f>
        <v>stephanie.part@systeme-u.fr</v>
      </c>
      <c r="O148" s="1" t="s">
        <v>22</v>
      </c>
    </row>
    <row r="149" spans="1:15" ht="12.75" hidden="1" x14ac:dyDescent="0.2">
      <c r="A149">
        <v>29687</v>
      </c>
      <c r="B149" t="str">
        <f ca="1">VLOOKUP(A149,Import_SuiviGlobal_MigAppliSate!A:I,2,FALSE)</f>
        <v>BRUAY SUR L'ESCAUT</v>
      </c>
      <c r="C149" t="str">
        <f ca="1">VLOOKUP(A149,Import_SuiviGlobal_MigAppliSate!A:I,3,FALSE)</f>
        <v>Super U</v>
      </c>
      <c r="D149" s="1" t="str">
        <f ca="1">VLOOKUP(A149,Import_SuiviGlobal_MigAppliSate!A:I,4,FALSE)</f>
        <v>Coop U Enseigne NordOuest</v>
      </c>
      <c r="E149">
        <f ca="1">VLOOKUP(A149,Import_SuiviGlobal_MigAppliSate!A:I,5,FALSE)</f>
        <v>59860</v>
      </c>
      <c r="F149" t="str">
        <f ca="1">VLOOKUP(A149,Import_SuiviGlobal_MigAppliSate!A:I,6,FALSE)</f>
        <v>386-388 RUE JEAN JAURES</v>
      </c>
      <c r="G149" t="str">
        <f ca="1">VLOOKUP(A149,Import_SuiviGlobal_MigAppliSate!A:I,7,FALSE)</f>
        <v>03.27.41.48.22</v>
      </c>
      <c r="H149" t="str">
        <f ca="1">VLOOKUP(A149,Import_SuiviGlobal_MigAppliSate!A:I,8,FALSE)</f>
        <v>JENBACK William</v>
      </c>
      <c r="I149" t="str">
        <f ca="1">VLOOKUP(A149,Import_SuiviGlobal_MigAppliSate!A:I,9,FALSE)</f>
        <v>william.jenback@systeme-u.fr</v>
      </c>
      <c r="J149" s="24" t="str">
        <f ca="1">VLOOKUP(A149,Import_SuiviGlobal_MigAppliSate!A:K,10,FALSE)</f>
        <v/>
      </c>
      <c r="K149" t="str">
        <f ca="1">VLOOKUP(A149,Import_SuiviGlobal_MigAppliSate!A:K,11,FALSE)</f>
        <v/>
      </c>
      <c r="O149" s="1" t="s">
        <v>22</v>
      </c>
    </row>
    <row r="150" spans="1:15" ht="12.75" hidden="1" x14ac:dyDescent="0.2">
      <c r="A150">
        <v>95290</v>
      </c>
      <c r="B150" t="str">
        <f ca="1">VLOOKUP(A150,Import_SuiviGlobal_MigAppliSate!A:I,2,FALSE)</f>
        <v>BRUGUIERES</v>
      </c>
      <c r="C150" t="str">
        <f ca="1">VLOOKUP(A150,Import_SuiviGlobal_MigAppliSate!A:I,3,FALSE)</f>
        <v>Super U</v>
      </c>
      <c r="D150" s="1" t="str">
        <f ca="1">VLOOKUP(A150,Import_SuiviGlobal_MigAppliSate!A:I,4,FALSE)</f>
        <v>Coop U Enseigne Sud</v>
      </c>
      <c r="E150">
        <f ca="1">VLOOKUP(A150,Import_SuiviGlobal_MigAppliSate!A:I,5,FALSE)</f>
        <v>31150</v>
      </c>
      <c r="F150" t="str">
        <f ca="1">VLOOKUP(A150,Import_SuiviGlobal_MigAppliSate!A:I,6,FALSE)</f>
        <v>AVENUE DU BRUGUET</v>
      </c>
      <c r="G150" t="str">
        <f ca="1">VLOOKUP(A150,Import_SuiviGlobal_MigAppliSate!A:I,7,FALSE)</f>
        <v>05.62.79.88.99</v>
      </c>
      <c r="H150" t="str">
        <f ca="1">VLOOKUP(A150,Import_SuiviGlobal_MigAppliSate!A:I,8,FALSE)</f>
        <v>LIOGIER Eric</v>
      </c>
      <c r="I150" t="str">
        <f ca="1">VLOOKUP(A150,Import_SuiviGlobal_MigAppliSate!A:I,9,FALSE)</f>
        <v>eric.liogier@systeme-u.fr</v>
      </c>
      <c r="J150" s="24" t="str">
        <f ca="1">VLOOKUP(A150,Import_SuiviGlobal_MigAppliSate!A:K,10,FALSE)</f>
        <v>Mme Masbou (comptable - pilote)</v>
      </c>
      <c r="K150" t="str">
        <f ca="1">VLOOKUP(A150,Import_SuiviGlobal_MigAppliSate!A:K,11,FALSE)</f>
        <v>superu.bruguieres.compta@systeme-u.fr</v>
      </c>
      <c r="O150" s="1" t="s">
        <v>22</v>
      </c>
    </row>
    <row r="151" spans="1:15" ht="12.75" hidden="1" x14ac:dyDescent="0.2">
      <c r="A151">
        <v>60410</v>
      </c>
      <c r="B151" t="str">
        <f ca="1">VLOOKUP(A151,Import_SuiviGlobal_MigAppliSate!A:I,2,FALSE)</f>
        <v>BRUNSTATT</v>
      </c>
      <c r="C151" t="str">
        <f ca="1">VLOOKUP(A151,Import_SuiviGlobal_MigAppliSate!A:I,3,FALSE)</f>
        <v>Super U</v>
      </c>
      <c r="D151" s="1" t="str">
        <f ca="1">VLOOKUP(A151,Import_SuiviGlobal_MigAppliSate!A:I,4,FALSE)</f>
        <v>Coop U Enseigne Est</v>
      </c>
      <c r="E151">
        <f ca="1">VLOOKUP(A151,Import_SuiviGlobal_MigAppliSate!A:I,5,FALSE)</f>
        <v>68350</v>
      </c>
      <c r="F151" t="str">
        <f ca="1">VLOOKUP(A151,Import_SuiviGlobal_MigAppliSate!A:I,6,FALSE)</f>
        <v>320 avenue d'Altkirch</v>
      </c>
      <c r="G151" t="str">
        <f ca="1">VLOOKUP(A151,Import_SuiviGlobal_MigAppliSate!A:I,7,FALSE)</f>
        <v>03.89.06.33.34</v>
      </c>
      <c r="H151" t="str">
        <f ca="1">VLOOKUP(A151,Import_SuiviGlobal_MigAppliSate!A:I,8,FALSE)</f>
        <v>MARQUIS RPT SAS DAMBERG EXPL Vincent</v>
      </c>
      <c r="I151" t="str">
        <f ca="1">VLOOKUP(A151,Import_SuiviGlobal_MigAppliSate!A:I,9,FALSE)</f>
        <v>marie.lorber-marquis@systeme-u.fr</v>
      </c>
      <c r="J151" s="24" t="str">
        <f ca="1">VLOOKUP(A151,Import_SuiviGlobal_MigAppliSate!A:K,10,FALSE)</f>
        <v>M. DIDIER</v>
      </c>
      <c r="K151" t="str">
        <f ca="1">VLOOKUP(A151,Import_SuiviGlobal_MigAppliSate!A:K,11,FALSE)</f>
        <v>superu.brunstatt.administratif4@systeme-u.fr</v>
      </c>
      <c r="O151" s="1" t="s">
        <v>22</v>
      </c>
    </row>
    <row r="152" spans="1:15" ht="12.75" hidden="1" x14ac:dyDescent="0.2">
      <c r="A152">
        <v>33315</v>
      </c>
      <c r="B152" t="str">
        <f ca="1">VLOOKUP(A152,Import_SuiviGlobal_MigAppliSate!A:I,2,FALSE)</f>
        <v>BRUZ</v>
      </c>
      <c r="C152" t="str">
        <f ca="1">VLOOKUP(A152,Import_SuiviGlobal_MigAppliSate!A:I,3,FALSE)</f>
        <v>Super U</v>
      </c>
      <c r="D152" s="1" t="str">
        <f ca="1">VLOOKUP(A152,Import_SuiviGlobal_MigAppliSate!A:I,4,FALSE)</f>
        <v>Coop U Enseigne Ouest</v>
      </c>
      <c r="E152">
        <f ca="1">VLOOKUP(A152,Import_SuiviGlobal_MigAppliSate!A:I,5,FALSE)</f>
        <v>35170</v>
      </c>
      <c r="F152" t="str">
        <f ca="1">VLOOKUP(A152,Import_SuiviGlobal_MigAppliSate!A:I,6,FALSE)</f>
        <v>12, PLACE DE BRETAGNE</v>
      </c>
      <c r="G152" t="str">
        <f ca="1">VLOOKUP(A152,Import_SuiviGlobal_MigAppliSate!A:I,7,FALSE)</f>
        <v>02.99.05.90.00</v>
      </c>
      <c r="H152" t="str">
        <f ca="1">VLOOKUP(A152,Import_SuiviGlobal_MigAppliSate!A:I,8,FALSE)</f>
        <v>PIRON RPT SARL HOLDING MONTAU Gwénael</v>
      </c>
      <c r="I152" t="str">
        <f ca="1">VLOOKUP(A152,Import_SuiviGlobal_MigAppliSate!A:I,9,FALSE)</f>
        <v>gwenael.piron@systeme-u.fr</v>
      </c>
      <c r="J152" s="24" t="str">
        <f ca="1">VLOOKUP(A152,Import_SuiviGlobal_MigAppliSate!A:K,10,FALSE)</f>
        <v/>
      </c>
      <c r="K152" t="str">
        <f ca="1">VLOOKUP(A152,Import_SuiviGlobal_MigAppliSate!A:K,11,FALSE)</f>
        <v/>
      </c>
      <c r="O152" s="1" t="s">
        <v>22</v>
      </c>
    </row>
    <row r="153" spans="1:15" ht="12.75" hidden="1" x14ac:dyDescent="0.2">
      <c r="A153">
        <v>90624</v>
      </c>
      <c r="B153" t="str">
        <f ca="1">VLOOKUP(A153,Import_SuiviGlobal_MigAppliSate!A:I,2,FALSE)</f>
        <v>BUIS LES BARONNIES</v>
      </c>
      <c r="C153" t="str">
        <f ca="1">VLOOKUP(A153,Import_SuiviGlobal_MigAppliSate!A:I,3,FALSE)</f>
        <v>U Express</v>
      </c>
      <c r="D153" s="1" t="str">
        <f ca="1">VLOOKUP(A153,Import_SuiviGlobal_MigAppliSate!A:I,4,FALSE)</f>
        <v>Coop MISTRAL</v>
      </c>
      <c r="E153">
        <f ca="1">VLOOKUP(A153,Import_SuiviGlobal_MigAppliSate!A:I,5,FALSE)</f>
        <v>26170</v>
      </c>
      <c r="F153" t="str">
        <f ca="1">VLOOKUP(A153,Import_SuiviGlobal_MigAppliSate!A:I,6,FALSE)</f>
        <v>AV BOISSY D ANGLAS</v>
      </c>
      <c r="G153" t="str">
        <f ca="1">VLOOKUP(A153,Import_SuiviGlobal_MigAppliSate!A:I,7,FALSE)</f>
        <v>04.75.28.16.54</v>
      </c>
      <c r="H153" t="str">
        <f ca="1">VLOOKUP(A153,Import_SuiviGlobal_MigAppliSate!A:I,8,FALSE)</f>
        <v>ROURE Benoit</v>
      </c>
      <c r="I153" t="str">
        <f ca="1">VLOOKUP(A153,Import_SuiviGlobal_MigAppliSate!A:I,9,FALSE)</f>
        <v/>
      </c>
      <c r="J153" s="24" t="str">
        <f ca="1">VLOOKUP(A153,Import_SuiviGlobal_MigAppliSate!A:K,10,FALSE)</f>
        <v>Laetitia Roux</v>
      </c>
      <c r="K153" t="str">
        <f ca="1">VLOOKUP(A153,Import_SuiviGlobal_MigAppliSate!A:K,11,FALSE)</f>
        <v>delphine.damian@lemistral.fr,helene.mina@lemistral.fr, uexpress.buislesbaronnies@mistral-u.fr</v>
      </c>
      <c r="O153" s="1" t="s">
        <v>22</v>
      </c>
    </row>
    <row r="154" spans="1:15" ht="12.75" hidden="1" x14ac:dyDescent="0.2">
      <c r="A154">
        <v>60030</v>
      </c>
      <c r="B154" t="str">
        <f ca="1">VLOOKUP(A154,Import_SuiviGlobal_MigAppliSate!A:I,2,FALSE)</f>
        <v>BURNHAUPT LE HAUT</v>
      </c>
      <c r="C154" t="str">
        <f ca="1">VLOOKUP(A154,Import_SuiviGlobal_MigAppliSate!A:I,3,FALSE)</f>
        <v>Super U</v>
      </c>
      <c r="D154" s="1" t="str">
        <f ca="1">VLOOKUP(A154,Import_SuiviGlobal_MigAppliSate!A:I,4,FALSE)</f>
        <v>Coop U Enseigne Est</v>
      </c>
      <c r="E154">
        <f ca="1">VLOOKUP(A154,Import_SuiviGlobal_MigAppliSate!A:I,5,FALSE)</f>
        <v>68520</v>
      </c>
      <c r="F154" t="str">
        <f ca="1">VLOOKUP(A154,Import_SuiviGlobal_MigAppliSate!A:I,6,FALSE)</f>
        <v>Pont d'Aspach</v>
      </c>
      <c r="G154" t="str">
        <f ca="1">VLOOKUP(A154,Import_SuiviGlobal_MigAppliSate!A:I,7,FALSE)</f>
        <v>03.89.48.90.44</v>
      </c>
      <c r="H154" t="str">
        <f ca="1">VLOOKUP(A154,Import_SuiviGlobal_MigAppliSate!A:I,8,FALSE)</f>
        <v>DI SCALA Eric</v>
      </c>
      <c r="I154" t="str">
        <f ca="1">VLOOKUP(A154,Import_SuiviGlobal_MigAppliSate!A:I,9,FALSE)</f>
        <v>eric.discala@systeme-u.fr</v>
      </c>
      <c r="J154" s="24" t="str">
        <f ca="1">VLOOKUP(A154,Import_SuiviGlobal_MigAppliSate!A:K,10,FALSE)</f>
        <v>Mr Olivier PUSCA (directeur)</v>
      </c>
      <c r="K154" t="str">
        <f ca="1">VLOOKUP(A154,Import_SuiviGlobal_MigAppliSate!A:K,11,FALSE)</f>
        <v>superu.burnhauptlehaut.directeur@systeme-u.fr</v>
      </c>
      <c r="O154" s="1" t="s">
        <v>22</v>
      </c>
    </row>
    <row r="155" spans="1:15" ht="12.75" hidden="1" x14ac:dyDescent="0.2">
      <c r="A155">
        <v>39040</v>
      </c>
      <c r="B155" t="str">
        <f ca="1">VLOOKUP(A155,Import_SuiviGlobal_MigAppliSate!A:I,2,FALSE)</f>
        <v>BUXEROLLES</v>
      </c>
      <c r="C155" t="str">
        <f ca="1">VLOOKUP(A155,Import_SuiviGlobal_MigAppliSate!A:I,3,FALSE)</f>
        <v>Super U</v>
      </c>
      <c r="D155" s="1" t="str">
        <f ca="1">VLOOKUP(A155,Import_SuiviGlobal_MigAppliSate!A:I,4,FALSE)</f>
        <v>Coop U Enseigne Ouest</v>
      </c>
      <c r="E155">
        <f ca="1">VLOOKUP(A155,Import_SuiviGlobal_MigAppliSate!A:I,5,FALSE)</f>
        <v>86180</v>
      </c>
      <c r="F155" t="str">
        <f ca="1">VLOOKUP(A155,Import_SuiviGlobal_MigAppliSate!A:I,6,FALSE)</f>
        <v>10, RUE DE LA CHARLETTERIE</v>
      </c>
      <c r="G155" t="str">
        <f ca="1">VLOOKUP(A155,Import_SuiviGlobal_MigAppliSate!A:I,7,FALSE)</f>
        <v>05.49.44.11.97</v>
      </c>
      <c r="H155" t="str">
        <f ca="1">VLOOKUP(A155,Import_SuiviGlobal_MigAppliSate!A:I,8,FALSE)</f>
        <v>DEFONTAINE Bertrand</v>
      </c>
      <c r="I155" t="str">
        <f ca="1">VLOOKUP(A155,Import_SuiviGlobal_MigAppliSate!A:I,9,FALSE)</f>
        <v/>
      </c>
      <c r="J155" s="24" t="str">
        <f ca="1">VLOOKUP(A155,Import_SuiviGlobal_MigAppliSate!A:K,10,FALSE)</f>
        <v xml:space="preserve">Angélique VAUZELLE (congé maternité)/ demander Hélène ou Isabelle pour l'appel Migration
Sophie (UPLV)
</v>
      </c>
      <c r="K155" t="str">
        <f ca="1">VLOOKUP(A155,Import_SuiviGlobal_MigAppliSate!A:K,11,FALSE)</f>
        <v>nbrigant@coop-atlantique.fr,sjaud@coop-atlantique.fr,serge.lhommeau@systeme-u.fr,superu.buxerolles.managerderayon@systeme-u.fr</v>
      </c>
      <c r="O155" s="1" t="s">
        <v>22</v>
      </c>
    </row>
    <row r="156" spans="1:15" ht="12.75" hidden="1" x14ac:dyDescent="0.2">
      <c r="A156">
        <v>21481</v>
      </c>
      <c r="B156" t="str">
        <f ca="1">VLOOKUP(A156,Import_SuiviGlobal_MigAppliSate!A:I,2,FALSE)</f>
        <v>CAEN BEAULIEU</v>
      </c>
      <c r="C156" t="str">
        <f ca="1">VLOOKUP(A156,Import_SuiviGlobal_MigAppliSate!A:I,3,FALSE)</f>
        <v>Super U</v>
      </c>
      <c r="D156" s="1" t="str">
        <f ca="1">VLOOKUP(A156,Import_SuiviGlobal_MigAppliSate!A:I,4,FALSE)</f>
        <v>Coop U Enseigne NordOuest</v>
      </c>
      <c r="E156">
        <f ca="1">VLOOKUP(A156,Import_SuiviGlobal_MigAppliSate!A:I,5,FALSE)</f>
        <v>14000</v>
      </c>
      <c r="F156" t="str">
        <f ca="1">VLOOKUP(A156,Import_SuiviGlobal_MigAppliSate!A:I,6,FALSE)</f>
        <v>7 RUE ROBERT KASKOREFF</v>
      </c>
      <c r="G156" t="str">
        <f ca="1">VLOOKUP(A156,Import_SuiviGlobal_MigAppliSate!A:I,7,FALSE)</f>
        <v>02.31.74.84.00</v>
      </c>
      <c r="H156" t="str">
        <f ca="1">VLOOKUP(A156,Import_SuiviGlobal_MigAppliSate!A:I,8,FALSE)</f>
        <v>JAMET Philippe</v>
      </c>
      <c r="I156" t="str">
        <f ca="1">VLOOKUP(A156,Import_SuiviGlobal_MigAppliSate!A:I,9,FALSE)</f>
        <v>philippe.jamet@systeme-u.fr</v>
      </c>
      <c r="J156" s="24" t="str">
        <f ca="1">VLOOKUP(A156,Import_SuiviGlobal_MigAppliSate!A:K,10,FALSE)</f>
        <v>Pierre Jamet</v>
      </c>
      <c r="K156" t="str">
        <f ca="1">VLOOKUP(A156,Import_SuiviGlobal_MigAppliSate!A:K,11,FALSE)</f>
        <v>pierre.jamet@systeme-u.fr</v>
      </c>
      <c r="O156" s="1" t="s">
        <v>22</v>
      </c>
    </row>
    <row r="157" spans="1:15" ht="12.75" hidden="1" x14ac:dyDescent="0.2">
      <c r="A157">
        <v>90144</v>
      </c>
      <c r="B157" t="str">
        <f ca="1">VLOOKUP(A157,Import_SuiviGlobal_MigAppliSate!A:I,2,FALSE)</f>
        <v>CALVI</v>
      </c>
      <c r="C157" t="str">
        <f ca="1">VLOOKUP(A157,Import_SuiviGlobal_MigAppliSate!A:I,3,FALSE)</f>
        <v>Super U</v>
      </c>
      <c r="D157" s="1" t="str">
        <f ca="1">VLOOKUP(A157,Import_SuiviGlobal_MigAppliSate!A:I,4,FALSE)</f>
        <v>Coop U Enseigne Sud</v>
      </c>
      <c r="E157">
        <f ca="1">VLOOKUP(A157,Import_SuiviGlobal_MigAppliSate!A:I,5,FALSE)</f>
        <v>20260</v>
      </c>
      <c r="F157" t="str">
        <f ca="1">VLOOKUP(A157,Import_SuiviGlobal_MigAppliSate!A:I,6,FALSE)</f>
        <v>AVENUE CHRISTOPHE COLOMB</v>
      </c>
      <c r="G157" t="str">
        <f ca="1">VLOOKUP(A157,Import_SuiviGlobal_MigAppliSate!A:I,7,FALSE)</f>
        <v>04.95.65.04.32</v>
      </c>
      <c r="H157" t="str">
        <f ca="1">VLOOKUP(A157,Import_SuiviGlobal_MigAppliSate!A:I,8,FALSE)</f>
        <v>FRANCESCHI Jean-Christophe</v>
      </c>
      <c r="I157" t="str">
        <f ca="1">VLOOKUP(A157,Import_SuiviGlobal_MigAppliSate!A:I,9,FALSE)</f>
        <v>jean-christophe.franceschi@systeme-u.fr</v>
      </c>
      <c r="J157" s="24" t="str">
        <f ca="1">VLOOKUP(A157,Import_SuiviGlobal_MigAppliSate!A:K,10,FALSE)</f>
        <v>Mme Doriry (directrice)</v>
      </c>
      <c r="K157" t="str">
        <f ca="1">VLOOKUP(A157,Import_SuiviGlobal_MigAppliSate!A:K,11,FALSE)</f>
        <v>superu.calvi@systeme-u.fr</v>
      </c>
      <c r="O157" s="1" t="s">
        <v>22</v>
      </c>
    </row>
    <row r="158" spans="1:15" ht="12.75" hidden="1" x14ac:dyDescent="0.2">
      <c r="A158">
        <v>91262</v>
      </c>
      <c r="B158" t="str">
        <f ca="1">VLOOKUP(A158,Import_SuiviGlobal_MigAppliSate!A:I,2,FALSE)</f>
        <v>CALVISSON</v>
      </c>
      <c r="C158" t="str">
        <f ca="1">VLOOKUP(A158,Import_SuiviGlobal_MigAppliSate!A:I,3,FALSE)</f>
        <v>U Express</v>
      </c>
      <c r="D158" s="1" t="str">
        <f ca="1">VLOOKUP(A158,Import_SuiviGlobal_MigAppliSate!A:I,4,FALSE)</f>
        <v>Coop MISTRAL</v>
      </c>
      <c r="E158">
        <f ca="1">VLOOKUP(A158,Import_SuiviGlobal_MigAppliSate!A:I,5,FALSE)</f>
        <v>30420</v>
      </c>
      <c r="F158" t="str">
        <f ca="1">VLOOKUP(A158,Import_SuiviGlobal_MigAppliSate!A:I,6,FALSE)</f>
        <v>ZAC DU VIGNÉ</v>
      </c>
      <c r="G158" t="str">
        <f ca="1">VLOOKUP(A158,Import_SuiviGlobal_MigAppliSate!A:I,7,FALSE)</f>
        <v>04.66.81.14.53</v>
      </c>
      <c r="H158" t="str">
        <f ca="1">VLOOKUP(A158,Import_SuiviGlobal_MigAppliSate!A:I,8,FALSE)</f>
        <v>ET RICHARD K DUBOUCHE C</v>
      </c>
      <c r="I158" t="str">
        <f ca="1">VLOOKUP(A158,Import_SuiviGlobal_MigAppliSate!A:I,9,FALSE)</f>
        <v>uexpress.calvisson@mistral-u.fr</v>
      </c>
      <c r="J158" s="24" t="str">
        <f ca="1">VLOOKUP(A158,Import_SuiviGlobal_MigAppliSate!A:K,10,FALSE)</f>
        <v/>
      </c>
      <c r="K158" t="str">
        <f ca="1">VLOOKUP(A158,Import_SuiviGlobal_MigAppliSate!A:K,11,FALSE)</f>
        <v/>
      </c>
      <c r="O158" s="1" t="s">
        <v>22</v>
      </c>
    </row>
    <row r="159" spans="1:15" ht="12.75" hidden="1" x14ac:dyDescent="0.2">
      <c r="A159">
        <v>32542</v>
      </c>
      <c r="B159" t="str">
        <f ca="1">VLOOKUP(A159,Import_SuiviGlobal_MigAppliSate!A:I,2,FALSE)</f>
        <v>CAMARET</v>
      </c>
      <c r="C159" t="str">
        <f ca="1">VLOOKUP(A159,Import_SuiviGlobal_MigAppliSate!A:I,3,FALSE)</f>
        <v>U Express</v>
      </c>
      <c r="D159" s="1" t="str">
        <f ca="1">VLOOKUP(A159,Import_SuiviGlobal_MigAppliSate!A:I,4,FALSE)</f>
        <v>Coop U Enseigne Ouest</v>
      </c>
      <c r="E159">
        <f ca="1">VLOOKUP(A159,Import_SuiviGlobal_MigAppliSate!A:I,5,FALSE)</f>
        <v>29570</v>
      </c>
      <c r="F159" t="str">
        <f ca="1">VLOOKUP(A159,Import_SuiviGlobal_MigAppliSate!A:I,6,FALSE)</f>
        <v>RUE DES SARDINIERS</v>
      </c>
      <c r="G159" t="str">
        <f ca="1">VLOOKUP(A159,Import_SuiviGlobal_MigAppliSate!A:I,7,FALSE)</f>
        <v>02.98.27.93.24</v>
      </c>
      <c r="H159" t="str">
        <f ca="1">VLOOKUP(A159,Import_SuiviGlobal_MigAppliSate!A:I,8,FALSE)</f>
        <v>GOUEZ Jean-Michel</v>
      </c>
      <c r="I159" t="str">
        <f ca="1">VLOOKUP(A159,Import_SuiviGlobal_MigAppliSate!A:I,9,FALSE)</f>
        <v>jean-michel.gouez@systeme-u.fr</v>
      </c>
      <c r="J159" s="24" t="str">
        <f ca="1">VLOOKUP(A159,Import_SuiviGlobal_MigAppliSate!A:K,10,FALSE)</f>
        <v>M. GOUEZ
M. SEVELLEC</v>
      </c>
      <c r="K159" t="str">
        <f ca="1">VLOOKUP(A159,Import_SuiviGlobal_MigAppliSate!A:K,11,FALSE)</f>
        <v/>
      </c>
      <c r="O159" s="1" t="s">
        <v>22</v>
      </c>
    </row>
    <row r="160" spans="1:15" ht="12.75" hidden="1" x14ac:dyDescent="0.2">
      <c r="A160">
        <v>95808</v>
      </c>
      <c r="B160" t="str">
        <f ca="1">VLOOKUP(A160,Import_SuiviGlobal_MigAppliSate!A:I,2,FALSE)</f>
        <v>CAMBLANES</v>
      </c>
      <c r="C160" t="str">
        <f ca="1">VLOOKUP(A160,Import_SuiviGlobal_MigAppliSate!A:I,3,FALSE)</f>
        <v>Super U</v>
      </c>
      <c r="D160" s="1" t="str">
        <f ca="1">VLOOKUP(A160,Import_SuiviGlobal_MigAppliSate!A:I,4,FALSE)</f>
        <v>Coop U Enseigne Sud</v>
      </c>
      <c r="E160">
        <f ca="1">VLOOKUP(A160,Import_SuiviGlobal_MigAppliSate!A:I,5,FALSE)</f>
        <v>33360</v>
      </c>
      <c r="F160" t="str">
        <f ca="1">VLOOKUP(A160,Import_SuiviGlobal_MigAppliSate!A:I,6,FALSE)</f>
        <v>ROUTE DE MORILLON</v>
      </c>
      <c r="G160" t="str">
        <f ca="1">VLOOKUP(A160,Import_SuiviGlobal_MigAppliSate!A:I,7,FALSE)</f>
        <v>05.56.20.11.11</v>
      </c>
      <c r="H160" t="str">
        <f ca="1">VLOOKUP(A160,Import_SuiviGlobal_MigAppliSate!A:I,8,FALSE)</f>
        <v>NOUVET BRIGITTE</v>
      </c>
      <c r="I160" t="str">
        <f ca="1">VLOOKUP(A160,Import_SuiviGlobal_MigAppliSate!A:I,9,FALSE)</f>
        <v>brigitte.nouvet@systeme-u.fr</v>
      </c>
      <c r="J160" s="24" t="str">
        <f ca="1">VLOOKUP(A160,Import_SuiviGlobal_MigAppliSate!A:K,10,FALSE)</f>
        <v>Mme Boy
Mr Tatas (comptable - pilote)</v>
      </c>
      <c r="K160" t="str">
        <f ca="1">VLOOKUP(A160,Import_SuiviGlobal_MigAppliSate!A:K,11,FALSE)</f>
        <v>superu.camblanes.direction@systeme-u.fr, superu.camblanes.compta@systeme-u.fr</v>
      </c>
      <c r="O160" s="1" t="s">
        <v>22</v>
      </c>
    </row>
    <row r="161" spans="1:15" ht="12.75" hidden="1" x14ac:dyDescent="0.2">
      <c r="A161">
        <v>35363</v>
      </c>
      <c r="B161" t="str">
        <f ca="1">VLOOKUP(A161,Import_SuiviGlobal_MigAppliSate!A:I,2,FALSE)</f>
        <v>CANCALE</v>
      </c>
      <c r="C161" t="str">
        <f ca="1">VLOOKUP(A161,Import_SuiviGlobal_MigAppliSate!A:I,3,FALSE)</f>
        <v>Super U</v>
      </c>
      <c r="D161" s="1" t="str">
        <f ca="1">VLOOKUP(A161,Import_SuiviGlobal_MigAppliSate!A:I,4,FALSE)</f>
        <v>Coop U Enseigne Ouest</v>
      </c>
      <c r="E161">
        <f ca="1">VLOOKUP(A161,Import_SuiviGlobal_MigAppliSate!A:I,5,FALSE)</f>
        <v>35260</v>
      </c>
      <c r="F161" t="str">
        <f ca="1">VLOOKUP(A161,Import_SuiviGlobal_MigAppliSate!A:I,6,FALSE)</f>
        <v>ESPACE COMMERCIALE EMERAUDE</v>
      </c>
      <c r="G161" t="str">
        <f ca="1">VLOOKUP(A161,Import_SuiviGlobal_MigAppliSate!A:I,7,FALSE)</f>
        <v>02.99.89.86.11</v>
      </c>
      <c r="H161" t="str">
        <f ca="1">VLOOKUP(A161,Import_SuiviGlobal_MigAppliSate!A:I,8,FALSE)</f>
        <v>LE HERAN RPT DLH FINANCE Denis</v>
      </c>
      <c r="I161" t="str">
        <f ca="1">VLOOKUP(A161,Import_SuiviGlobal_MigAppliSate!A:I,9,FALSE)</f>
        <v>denis.leheran@systeme-u.fr</v>
      </c>
      <c r="J161" s="24" t="str">
        <f ca="1">VLOOKUP(A161,Import_SuiviGlobal_MigAppliSate!A:K,10,FALSE)</f>
        <v>Sidonie LEHERAN
Mr Le Floch ( comptable - pilote)</v>
      </c>
      <c r="K161" t="str">
        <f ca="1">VLOOKUP(A161,Import_SuiviGlobal_MigAppliSate!A:K,11,FALSE)</f>
        <v>sidonie.leheran@systeme-u.fr, superu.cancale.administratif@systeme-u.fr</v>
      </c>
      <c r="O161" s="1" t="s">
        <v>22</v>
      </c>
    </row>
    <row r="162" spans="1:15" ht="12.75" hidden="1" x14ac:dyDescent="0.2">
      <c r="A162">
        <v>31864</v>
      </c>
      <c r="B162" t="str">
        <f ca="1">VLOOKUP(A162,Import_SuiviGlobal_MigAppliSate!A:I,2,FALSE)</f>
        <v>CANDE</v>
      </c>
      <c r="C162" t="str">
        <f ca="1">VLOOKUP(A162,Import_SuiviGlobal_MigAppliSate!A:I,3,FALSE)</f>
        <v>Super U</v>
      </c>
      <c r="D162" s="1" t="str">
        <f ca="1">VLOOKUP(A162,Import_SuiviGlobal_MigAppliSate!A:I,4,FALSE)</f>
        <v>Coop U Enseigne Ouest</v>
      </c>
      <c r="E162">
        <f ca="1">VLOOKUP(A162,Import_SuiviGlobal_MigAppliSate!A:I,5,FALSE)</f>
        <v>49440</v>
      </c>
      <c r="F162" t="str">
        <f ca="1">VLOOKUP(A162,Import_SuiviGlobal_MigAppliSate!A:I,6,FALSE)</f>
        <v>PORTE DE NORMANDIE</v>
      </c>
      <c r="G162" t="str">
        <f ca="1">VLOOKUP(A162,Import_SuiviGlobal_MigAppliSate!A:I,7,FALSE)</f>
        <v>02.41.94.92.90</v>
      </c>
      <c r="H162" t="str">
        <f ca="1">VLOOKUP(A162,Import_SuiviGlobal_MigAppliSate!A:I,8,FALSE)</f>
        <v>GARANDEAU Hervé</v>
      </c>
      <c r="I162" t="str">
        <f ca="1">VLOOKUP(A162,Import_SuiviGlobal_MigAppliSate!A:I,9,FALSE)</f>
        <v>herve.garandeau@systeme-u.fr</v>
      </c>
      <c r="J162" s="24" t="str">
        <f ca="1">VLOOKUP(A162,Import_SuiviGlobal_MigAppliSate!A:K,10,FALSE)</f>
        <v>GAZEAU Isabelle</v>
      </c>
      <c r="K162" t="str">
        <f ca="1">VLOOKUP(A162,Import_SuiviGlobal_MigAppliSate!A:K,11,FALSE)</f>
        <v>superu.cande.direction@systeme-u.fr,superu.cande.managerderayon@systeme-u.fr</v>
      </c>
      <c r="O162" s="1" t="s">
        <v>22</v>
      </c>
    </row>
    <row r="163" spans="1:15" ht="12.75" hidden="1" x14ac:dyDescent="0.2">
      <c r="A163">
        <v>90621</v>
      </c>
      <c r="B163" t="str">
        <f ca="1">VLOOKUP(A163,Import_SuiviGlobal_MigAppliSate!A:I,2,FALSE)</f>
        <v>CANNES PETIT JUAS</v>
      </c>
      <c r="C163" t="str">
        <f ca="1">VLOOKUP(A163,Import_SuiviGlobal_MigAppliSate!A:I,3,FALSE)</f>
        <v>U Express</v>
      </c>
      <c r="D163" s="1" t="str">
        <f ca="1">VLOOKUP(A163,Import_SuiviGlobal_MigAppliSate!A:I,4,FALSE)</f>
        <v>Coop MISTRAL</v>
      </c>
      <c r="E163">
        <f ca="1">VLOOKUP(A163,Import_SuiviGlobal_MigAppliSate!A:I,5,FALSE)</f>
        <v>6400</v>
      </c>
      <c r="F163" t="str">
        <f ca="1">VLOOKUP(A163,Import_SuiviGlobal_MigAppliSate!A:I,6,FALSE)</f>
        <v>20 AV.DU PETIT JUAS</v>
      </c>
      <c r="G163" t="str">
        <f ca="1">VLOOKUP(A163,Import_SuiviGlobal_MigAppliSate!A:I,7,FALSE)</f>
        <v>04.93.38.94.16</v>
      </c>
      <c r="H163" t="str">
        <f ca="1">VLOOKUP(A163,Import_SuiviGlobal_MigAppliSate!A:I,8,FALSE)</f>
        <v>COUVAT Thierry</v>
      </c>
      <c r="I163" t="str">
        <f ca="1">VLOOKUP(A163,Import_SuiviGlobal_MigAppliSate!A:I,9,FALSE)</f>
        <v>antoine.couvat@yahoo.fr</v>
      </c>
      <c r="J163" s="24" t="str">
        <f ca="1">VLOOKUP(A163,Import_SuiviGlobal_MigAppliSate!A:K,10,FALSE)</f>
        <v/>
      </c>
      <c r="K163" t="str">
        <f ca="1">VLOOKUP(A163,Import_SuiviGlobal_MigAppliSate!A:K,11,FALSE)</f>
        <v>delphine.damian@lemistral.fr,helene.mina@lemistral.fr</v>
      </c>
      <c r="O163" s="1" t="s">
        <v>22</v>
      </c>
    </row>
    <row r="164" spans="1:15" ht="12.75" hidden="1" x14ac:dyDescent="0.2">
      <c r="A164">
        <v>65453</v>
      </c>
      <c r="B164" t="str">
        <f ca="1">VLOOKUP(A164,Import_SuiviGlobal_MigAppliSate!A:I,2,FALSE)</f>
        <v>CAPAVENIR VOSGES</v>
      </c>
      <c r="C164" t="str">
        <f ca="1">VLOOKUP(A164,Import_SuiviGlobal_MigAppliSate!A:I,3,FALSE)</f>
        <v>Super U</v>
      </c>
      <c r="D164" s="1" t="str">
        <f ca="1">VLOOKUP(A164,Import_SuiviGlobal_MigAppliSate!A:I,4,FALSE)</f>
        <v>Coop U Enseigne Est</v>
      </c>
      <c r="E164">
        <f ca="1">VLOOKUP(A164,Import_SuiviGlobal_MigAppliSate!A:I,5,FALSE)</f>
        <v>88150</v>
      </c>
      <c r="F164" t="str">
        <f ca="1">VLOOKUP(A164,Import_SuiviGlobal_MigAppliSate!A:I,6,FALSE)</f>
        <v>196 RUE DE LORRAINE</v>
      </c>
      <c r="G164" t="str">
        <f ca="1">VLOOKUP(A164,Import_SuiviGlobal_MigAppliSate!A:I,7,FALSE)</f>
        <v>03.29.39.03.40</v>
      </c>
      <c r="H164" t="str">
        <f ca="1">VLOOKUP(A164,Import_SuiviGlobal_MigAppliSate!A:I,8,FALSE)</f>
        <v>LOEGEL Véronique</v>
      </c>
      <c r="I164" t="str">
        <f ca="1">VLOOKUP(A164,Import_SuiviGlobal_MigAppliSate!A:I,9,FALSE)</f>
        <v>veronique.loegel@systeme-u.fr</v>
      </c>
      <c r="J164" s="24" t="str">
        <f ca="1">VLOOKUP(A164,Import_SuiviGlobal_MigAppliSate!A:K,10,FALSE)</f>
        <v>M. LOEGEL</v>
      </c>
      <c r="K164" t="str">
        <f ca="1">VLOOKUP(A164,Import_SuiviGlobal_MigAppliSate!A:K,11,FALSE)</f>
        <v/>
      </c>
      <c r="O164" s="1" t="s">
        <v>22</v>
      </c>
    </row>
    <row r="165" spans="1:15" ht="12.75" hidden="1" x14ac:dyDescent="0.2">
      <c r="A165">
        <v>37960</v>
      </c>
      <c r="B165" t="str">
        <f ca="1">VLOOKUP(A165,Import_SuiviGlobal_MigAppliSate!A:I,2,FALSE)</f>
        <v>CAPESTERRE LACAVE</v>
      </c>
      <c r="C165" t="str">
        <f ca="1">VLOOKUP(A165,Import_SuiviGlobal_MigAppliSate!A:I,3,FALSE)</f>
        <v>U Express</v>
      </c>
      <c r="D165" s="1" t="str">
        <f ca="1">VLOOKUP(A165,Import_SuiviGlobal_MigAppliSate!A:I,4,FALSE)</f>
        <v>Coop U Enseigne Ouest</v>
      </c>
      <c r="E165">
        <f ca="1">VLOOKUP(A165,Import_SuiviGlobal_MigAppliSate!A:I,5,FALSE)</f>
        <v>97130</v>
      </c>
      <c r="F165" t="str">
        <f ca="1">VLOOKUP(A165,Import_SuiviGlobal_MigAppliSate!A:I,6,FALSE)</f>
        <v>73, RUE PAUL LACAVÉ</v>
      </c>
      <c r="G165" t="str">
        <f ca="1">VLOOKUP(A165,Import_SuiviGlobal_MigAppliSate!A:I,7,FALSE)</f>
        <v>05.90.86.43.34</v>
      </c>
      <c r="H165" t="str">
        <f ca="1">VLOOKUP(A165,Import_SuiviGlobal_MigAppliSate!A:I,8,FALSE)</f>
        <v>LUCE Raymond</v>
      </c>
      <c r="I165" t="str">
        <f ca="1">VLOOKUP(A165,Import_SuiviGlobal_MigAppliSate!A:I,9,FALSE)</f>
        <v>yohann.luce@systeme-u.fr</v>
      </c>
      <c r="J165" s="24" t="str">
        <f ca="1">VLOOKUP(A165,Import_SuiviGlobal_MigAppliSate!A:K,10,FALSE)</f>
        <v>josé anthony</v>
      </c>
      <c r="K165" t="str">
        <f ca="1">VLOOKUP(A165,Import_SuiviGlobal_MigAppliSate!A:K,11,FALSE)</f>
        <v>uexpress.capesterrelacave@systeme-u.fr,martine.crevecoeur@systeme-u.fr</v>
      </c>
      <c r="O165" s="1" t="s">
        <v>22</v>
      </c>
    </row>
    <row r="166" spans="1:15" ht="12.75" hidden="1" x14ac:dyDescent="0.2">
      <c r="A166">
        <v>32577</v>
      </c>
      <c r="B166" t="str">
        <f ca="1">VLOOKUP(A166,Import_SuiviGlobal_MigAppliSate!A:I,2,FALSE)</f>
        <v>CARENTOIR</v>
      </c>
      <c r="C166" t="str">
        <f ca="1">VLOOKUP(A166,Import_SuiviGlobal_MigAppliSate!A:I,3,FALSE)</f>
        <v>Super U</v>
      </c>
      <c r="D166" s="1" t="str">
        <f ca="1">VLOOKUP(A166,Import_SuiviGlobal_MigAppliSate!A:I,4,FALSE)</f>
        <v>Coop U Enseigne Ouest</v>
      </c>
      <c r="E166">
        <f ca="1">VLOOKUP(A166,Import_SuiviGlobal_MigAppliSate!A:I,5,FALSE)</f>
        <v>56910</v>
      </c>
      <c r="F166" t="str">
        <f ca="1">VLOOKUP(A166,Import_SuiviGlobal_MigAppliSate!A:I,6,FALSE)</f>
        <v>LE CHÊNE HELEUC</v>
      </c>
      <c r="G166" t="str">
        <f ca="1">VLOOKUP(A166,Import_SuiviGlobal_MigAppliSate!A:I,7,FALSE)</f>
        <v>02.99.08.80.28</v>
      </c>
      <c r="H166" t="str">
        <f ca="1">VLOOKUP(A166,Import_SuiviGlobal_MigAppliSate!A:I,8,FALSE)</f>
        <v>BERSAN Gwenael</v>
      </c>
      <c r="I166" t="str">
        <f ca="1">VLOOKUP(A166,Import_SuiviGlobal_MigAppliSate!A:I,9,FALSE)</f>
        <v>gwenael.bersan@systeme-u.fr</v>
      </c>
      <c r="J166" s="24" t="str">
        <f ca="1">VLOOKUP(A166,Import_SuiviGlobal_MigAppliSate!A:K,10,FALSE)</f>
        <v>GUERIN TIMOTHE</v>
      </c>
      <c r="K166" t="str">
        <f ca="1">VLOOKUP(A166,Import_SuiviGlobal_MigAppliSate!A:K,11,FALSE)</f>
        <v>superu.carentoir.gestionco@gmail.com</v>
      </c>
      <c r="O166" s="1" t="s">
        <v>22</v>
      </c>
    </row>
    <row r="167" spans="1:15" ht="12.75" hidden="1" x14ac:dyDescent="0.2">
      <c r="A167">
        <v>35444</v>
      </c>
      <c r="B167" t="str">
        <f ca="1">VLOOKUP(A167,Import_SuiviGlobal_MigAppliSate!A:I,2,FALSE)</f>
        <v>CARNAC</v>
      </c>
      <c r="C167" t="str">
        <f ca="1">VLOOKUP(A167,Import_SuiviGlobal_MigAppliSate!A:I,3,FALSE)</f>
        <v>Super U</v>
      </c>
      <c r="D167" s="1" t="str">
        <f ca="1">VLOOKUP(A167,Import_SuiviGlobal_MigAppliSate!A:I,4,FALSE)</f>
        <v>Coop U Enseigne Ouest</v>
      </c>
      <c r="E167">
        <f ca="1">VLOOKUP(A167,Import_SuiviGlobal_MigAppliSate!A:I,5,FALSE)</f>
        <v>56340</v>
      </c>
      <c r="F167" t="str">
        <f ca="1">VLOOKUP(A167,Import_SuiviGlobal_MigAppliSate!A:I,6,FALSE)</f>
        <v>188 AVENUE DES DRUIDES</v>
      </c>
      <c r="G167" t="str">
        <f ca="1">VLOOKUP(A167,Import_SuiviGlobal_MigAppliSate!A:I,7,FALSE)</f>
        <v>02.97.52.03.19</v>
      </c>
      <c r="H167" t="str">
        <f ca="1">VLOOKUP(A167,Import_SuiviGlobal_MigAppliSate!A:I,8,FALSE)</f>
        <v>DORIEL RPT SARL SSD Stéphane</v>
      </c>
      <c r="I167" t="str">
        <f ca="1">VLOOKUP(A167,Import_SuiviGlobal_MigAppliSate!A:I,9,FALSE)</f>
        <v>stephane.doriel@systeme-u.fr</v>
      </c>
      <c r="J167" s="24" t="str">
        <f ca="1">VLOOKUP(A167,Import_SuiviGlobal_MigAppliSate!A:K,10,FALSE)</f>
        <v>LE TALLEC Jean-Raymond</v>
      </c>
      <c r="K167" t="str">
        <f ca="1">VLOOKUP(A167,Import_SuiviGlobal_MigAppliSate!A:K,11,FALSE)</f>
        <v>superu.carnac@systeme-u.fr</v>
      </c>
      <c r="O167" s="1" t="s">
        <v>22</v>
      </c>
    </row>
    <row r="168" spans="1:15" ht="12.75" hidden="1" x14ac:dyDescent="0.2">
      <c r="A168">
        <v>90561</v>
      </c>
      <c r="B168" t="str">
        <f ca="1">VLOOKUP(A168,Import_SuiviGlobal_MigAppliSate!A:I,2,FALSE)</f>
        <v>CARPENTRAS</v>
      </c>
      <c r="C168" t="str">
        <f ca="1">VLOOKUP(A168,Import_SuiviGlobal_MigAppliSate!A:I,3,FALSE)</f>
        <v>Super U</v>
      </c>
      <c r="D168" s="1" t="str">
        <f ca="1">VLOOKUP(A168,Import_SuiviGlobal_MigAppliSate!A:I,4,FALSE)</f>
        <v>Coop U Enseigne Sud</v>
      </c>
      <c r="E168">
        <f ca="1">VLOOKUP(A168,Import_SuiviGlobal_MigAppliSate!A:I,5,FALSE)</f>
        <v>84200</v>
      </c>
      <c r="F168" t="str">
        <f ca="1">VLOOKUP(A168,Import_SuiviGlobal_MigAppliSate!A:I,6,FALSE)</f>
        <v>LE CASTELLAS OUEST</v>
      </c>
      <c r="G168" t="str">
        <f ca="1">VLOOKUP(A168,Import_SuiviGlobal_MigAppliSate!A:I,7,FALSE)</f>
        <v>04.90.70.14.30</v>
      </c>
      <c r="H168" t="str">
        <f ca="1">VLOOKUP(A168,Import_SuiviGlobal_MigAppliSate!A:I,8,FALSE)</f>
        <v>RENET Etienne</v>
      </c>
      <c r="I168" t="str">
        <f ca="1">VLOOKUP(A168,Import_SuiviGlobal_MigAppliSate!A:I,9,FALSE)</f>
        <v>etienne.renet@systeme-u.fr</v>
      </c>
      <c r="J168" s="24" t="str">
        <f ca="1">VLOOKUP(A168,Import_SuiviGlobal_MigAppliSate!A:K,10,FALSE)</f>
        <v>M. WALLENDORFF</v>
      </c>
      <c r="K168" t="str">
        <f ca="1">VLOOKUP(A168,Import_SuiviGlobal_MigAppliSate!A:K,11,FALSE)</f>
        <v>superu.carpentras.directeur@systeme-u.fr</v>
      </c>
      <c r="O168" s="1" t="s">
        <v>22</v>
      </c>
    </row>
    <row r="169" spans="1:15" ht="12.75" x14ac:dyDescent="0.2">
      <c r="A169">
        <v>91117</v>
      </c>
      <c r="B169" t="str">
        <f ca="1">VLOOKUP(A169,Import_SuiviGlobal_MigAppliSate!A:I,2,FALSE)</f>
        <v>CARPENTRAS</v>
      </c>
      <c r="C169" t="str">
        <f ca="1">VLOOKUP(A169,Import_SuiviGlobal_MigAppliSate!A:I,3,FALSE)</f>
        <v>U Express</v>
      </c>
      <c r="D169" s="1" t="str">
        <f ca="1">VLOOKUP(A169,Import_SuiviGlobal_MigAppliSate!A:I,4,FALSE)</f>
        <v>Coop MISTRAL</v>
      </c>
      <c r="E169">
        <f ca="1">VLOOKUP(A169,Import_SuiviGlobal_MigAppliSate!A:I,5,FALSE)</f>
        <v>84200</v>
      </c>
      <c r="F169" t="str">
        <f ca="1">VLOOKUP(A169,Import_SuiviGlobal_MigAppliSate!A:I,6,FALSE)</f>
        <v>319 AV NOTRE DAME DE SANTE</v>
      </c>
      <c r="G169" t="str">
        <f ca="1">VLOOKUP(A169,Import_SuiviGlobal_MigAppliSate!A:I,7,FALSE)</f>
        <v>04.90.60.65.48</v>
      </c>
      <c r="H169" t="str">
        <f ca="1">VLOOKUP(A169,Import_SuiviGlobal_MigAppliSate!A:I,8,FALSE)</f>
        <v>ROIGT Remi</v>
      </c>
      <c r="I169" t="str">
        <f ca="1">VLOOKUP(A169,Import_SuiviGlobal_MigAppliSate!A:I,9,FALSE)</f>
        <v>roigt.remi@gmail.com</v>
      </c>
      <c r="J169" s="24" t="str">
        <f ca="1">VLOOKUP(A169,Import_SuiviGlobal_MigAppliSate!A:K,10,FALSE)</f>
        <v/>
      </c>
      <c r="K169" t="str">
        <f ca="1">VLOOKUP(A169,Import_SuiviGlobal_MigAppliSate!A:K,11,FALSE)</f>
        <v>delphine.damian@lemistral.fr,helene.mina@lemistral.fr</v>
      </c>
      <c r="L169" t="s">
        <v>17</v>
      </c>
      <c r="M169" s="1" t="s">
        <v>0</v>
      </c>
      <c r="O169" s="1" t="s">
        <v>22</v>
      </c>
    </row>
    <row r="170" spans="1:15" ht="12.75" hidden="1" x14ac:dyDescent="0.2">
      <c r="A170">
        <v>30914</v>
      </c>
      <c r="B170" t="str">
        <f ca="1">VLOOKUP(A170,Import_SuiviGlobal_MigAppliSate!A:I,2,FALSE)</f>
        <v>CARQUEFOU</v>
      </c>
      <c r="C170" t="str">
        <f ca="1">VLOOKUP(A170,Import_SuiviGlobal_MigAppliSate!A:I,3,FALSE)</f>
        <v>Super U</v>
      </c>
      <c r="D170" s="1" t="str">
        <f ca="1">VLOOKUP(A170,Import_SuiviGlobal_MigAppliSate!A:I,4,FALSE)</f>
        <v>Coop U Enseigne Ouest</v>
      </c>
      <c r="E170">
        <f ca="1">VLOOKUP(A170,Import_SuiviGlobal_MigAppliSate!A:I,5,FALSE)</f>
        <v>44470</v>
      </c>
      <c r="F170" t="str">
        <f ca="1">VLOOKUP(A170,Import_SuiviGlobal_MigAppliSate!A:I,6,FALSE)</f>
        <v>ROUTE DE SUCÉ SUR ERDRE</v>
      </c>
      <c r="G170" t="str">
        <f ca="1">VLOOKUP(A170,Import_SuiviGlobal_MigAppliSate!A:I,7,FALSE)</f>
        <v>02.40.68.86.50</v>
      </c>
      <c r="H170" t="str">
        <f ca="1">VLOOKUP(A170,Import_SuiviGlobal_MigAppliSate!A:I,8,FALSE)</f>
        <v>CLARET Pascal</v>
      </c>
      <c r="I170" t="str">
        <f ca="1">VLOOKUP(A170,Import_SuiviGlobal_MigAppliSate!A:I,9,FALSE)</f>
        <v>pascal.claret@systeme-u.fr</v>
      </c>
      <c r="J170" s="24" t="str">
        <f ca="1">VLOOKUP(A170,Import_SuiviGlobal_MigAppliSate!A:K,10,FALSE)</f>
        <v/>
      </c>
      <c r="K170" t="str">
        <f ca="1">VLOOKUP(A170,Import_SuiviGlobal_MigAppliSate!A:K,11,FALSE)</f>
        <v/>
      </c>
      <c r="O170" s="1" t="s">
        <v>22</v>
      </c>
    </row>
    <row r="171" spans="1:15" ht="12.75" hidden="1" x14ac:dyDescent="0.2">
      <c r="A171">
        <v>90167</v>
      </c>
      <c r="B171" t="str">
        <f ca="1">VLOOKUP(A171,Import_SuiviGlobal_MigAppliSate!A:I,2,FALSE)</f>
        <v>CASSIS VIGUERIE</v>
      </c>
      <c r="C171" t="str">
        <f ca="1">VLOOKUP(A171,Import_SuiviGlobal_MigAppliSate!A:I,3,FALSE)</f>
        <v>U Express</v>
      </c>
      <c r="D171" s="1" t="str">
        <f ca="1">VLOOKUP(A171,Import_SuiviGlobal_MigAppliSate!A:I,4,FALSE)</f>
        <v>Coop U Enseigne Sud</v>
      </c>
      <c r="E171">
        <f ca="1">VLOOKUP(A171,Import_SuiviGlobal_MigAppliSate!A:I,5,FALSE)</f>
        <v>13260</v>
      </c>
      <c r="F171" t="str">
        <f ca="1">VLOOKUP(A171,Import_SuiviGlobal_MigAppliSate!A:I,6,FALSE)</f>
        <v>31 AVENUE DE LA VIGUERIE</v>
      </c>
      <c r="G171" t="str">
        <f ca="1">VLOOKUP(A171,Import_SuiviGlobal_MigAppliSate!A:I,7,FALSE)</f>
        <v>04.42.01.11.11</v>
      </c>
      <c r="H171" t="str">
        <f ca="1">VLOOKUP(A171,Import_SuiviGlobal_MigAppliSate!A:I,8,FALSE)</f>
        <v>HOVAGUIMIAN Rene</v>
      </c>
      <c r="I171" t="str">
        <f ca="1">VLOOKUP(A171,Import_SuiviGlobal_MigAppliSate!A:I,9,FALSE)</f>
        <v>rene.hovaguimian@systeme-u.fr</v>
      </c>
      <c r="J171" s="24" t="str">
        <f ca="1">VLOOKUP(A171,Import_SuiviGlobal_MigAppliSate!A:K,10,FALSE)</f>
        <v>M. JOURDAIN</v>
      </c>
      <c r="K171" t="str">
        <f ca="1">VLOOKUP(A171,Import_SuiviGlobal_MigAppliSate!A:K,11,FALSE)</f>
        <v>nathalie.hovaguimian@systeme-u.fr,marcheu.cassis@systeme-u.fr</v>
      </c>
      <c r="O171" s="1" t="s">
        <v>22</v>
      </c>
    </row>
    <row r="172" spans="1:15" ht="12.75" hidden="1" x14ac:dyDescent="0.2">
      <c r="A172">
        <v>95471</v>
      </c>
      <c r="B172" t="str">
        <f ca="1">VLOOKUP(A172,Import_SuiviGlobal_MigAppliSate!A:I,2,FALSE)</f>
        <v>CASTELGINEST</v>
      </c>
      <c r="C172" t="str">
        <f ca="1">VLOOKUP(A172,Import_SuiviGlobal_MigAppliSate!A:I,3,FALSE)</f>
        <v>U Express</v>
      </c>
      <c r="D172" s="1" t="str">
        <f ca="1">VLOOKUP(A172,Import_SuiviGlobal_MigAppliSate!A:I,4,FALSE)</f>
        <v>Coop UPSO</v>
      </c>
      <c r="E172">
        <f ca="1">VLOOKUP(A172,Import_SuiviGlobal_MigAppliSate!A:I,5,FALSE)</f>
        <v>31780</v>
      </c>
      <c r="F172" t="str">
        <f ca="1">VLOOKUP(A172,Import_SuiviGlobal_MigAppliSate!A:I,6,FALSE)</f>
        <v>1 RUE DES VIGNES</v>
      </c>
      <c r="G172" t="str">
        <f ca="1">VLOOKUP(A172,Import_SuiviGlobal_MigAppliSate!A:I,7,FALSE)</f>
        <v>05.65.65.25.20</v>
      </c>
      <c r="H172" t="str">
        <f ca="1">VLOOKUP(A172,Import_SuiviGlobal_MigAppliSate!A:I,8,FALSE)</f>
        <v>FORET Sabrina</v>
      </c>
      <c r="I172" t="str">
        <f ca="1">VLOOKUP(A172,Import_SuiviGlobal_MigAppliSate!A:I,9,FALSE)</f>
        <v>sabrina.foret@systeme-u.fr</v>
      </c>
      <c r="J172" s="24" t="str">
        <f ca="1">VLOOKUP(A172,Import_SuiviGlobal_MigAppliSate!A:K,10,FALSE)</f>
        <v/>
      </c>
      <c r="K172" t="str">
        <f ca="1">VLOOKUP(A172,Import_SuiviGlobal_MigAppliSate!A:K,11,FALSE)</f>
        <v/>
      </c>
      <c r="O172" s="1" t="s">
        <v>22</v>
      </c>
    </row>
    <row r="173" spans="1:15" ht="12.75" hidden="1" x14ac:dyDescent="0.2">
      <c r="A173">
        <v>90429</v>
      </c>
      <c r="B173" t="str">
        <f ca="1">VLOOKUP(A173,Import_SuiviGlobal_MigAppliSate!A:I,2,FALSE)</f>
        <v>CASTELNAU LE LEZ</v>
      </c>
      <c r="C173" t="str">
        <f ca="1">VLOOKUP(A173,Import_SuiviGlobal_MigAppliSate!A:I,3,FALSE)</f>
        <v>Super U</v>
      </c>
      <c r="D173" s="1" t="str">
        <f ca="1">VLOOKUP(A173,Import_SuiviGlobal_MigAppliSate!A:I,4,FALSE)</f>
        <v>Coop U Enseigne Sud</v>
      </c>
      <c r="E173">
        <f ca="1">VLOOKUP(A173,Import_SuiviGlobal_MigAppliSate!A:I,5,FALSE)</f>
        <v>34170</v>
      </c>
      <c r="F173" t="str">
        <f ca="1">VLOOKUP(A173,Import_SuiviGlobal_MigAppliSate!A:I,6,FALSE)</f>
        <v>753 AVENUE LA POMPIGNANE</v>
      </c>
      <c r="G173" t="str">
        <f ca="1">VLOOKUP(A173,Import_SuiviGlobal_MigAppliSate!A:I,7,FALSE)</f>
        <v>04.67.79.83.19</v>
      </c>
      <c r="H173" t="str">
        <f ca="1">VLOOKUP(A173,Import_SuiviGlobal_MigAppliSate!A:I,8,FALSE)</f>
        <v>LEBREC Charles</v>
      </c>
      <c r="I173" t="str">
        <f ca="1">VLOOKUP(A173,Import_SuiviGlobal_MigAppliSate!A:I,9,FALSE)</f>
        <v>charles.lebrec@systeme-u.fr</v>
      </c>
      <c r="J173" s="24" t="str">
        <f ca="1">VLOOKUP(A173,Import_SuiviGlobal_MigAppliSate!A:K,10,FALSE)</f>
        <v>LEBREC Sophie</v>
      </c>
      <c r="K173" t="str">
        <f ca="1">VLOOKUP(A173,Import_SuiviGlobal_MigAppliSate!A:K,11,FALSE)</f>
        <v>sophie.lebrec@systeme-u.fr</v>
      </c>
      <c r="O173" s="1" t="s">
        <v>22</v>
      </c>
    </row>
    <row r="174" spans="1:15" ht="12.75" hidden="1" x14ac:dyDescent="0.2">
      <c r="A174">
        <v>90065</v>
      </c>
      <c r="B174" t="str">
        <f ca="1">VLOOKUP(A174,Import_SuiviGlobal_MigAppliSate!A:I,2,FALSE)</f>
        <v>CASTRES</v>
      </c>
      <c r="C174" t="str">
        <f ca="1">VLOOKUP(A174,Import_SuiviGlobal_MigAppliSate!A:I,3,FALSE)</f>
        <v>Super U</v>
      </c>
      <c r="D174" s="1" t="str">
        <f ca="1">VLOOKUP(A174,Import_SuiviGlobal_MigAppliSate!A:I,4,FALSE)</f>
        <v>Coop U Enseigne Sud</v>
      </c>
      <c r="E174">
        <f ca="1">VLOOKUP(A174,Import_SuiviGlobal_MigAppliSate!A:I,5,FALSE)</f>
        <v>81100</v>
      </c>
      <c r="F174" t="str">
        <f ca="1">VLOOKUP(A174,Import_SuiviGlobal_MigAppliSate!A:I,6,FALSE)</f>
        <v>1 AVENUE GEORGES POMPIDOU</v>
      </c>
      <c r="G174" t="str">
        <f ca="1">VLOOKUP(A174,Import_SuiviGlobal_MigAppliSate!A:I,7,FALSE)</f>
        <v>05.63.35.33.52</v>
      </c>
      <c r="H174" t="str">
        <f ca="1">VLOOKUP(A174,Import_SuiviGlobal_MigAppliSate!A:I,8,FALSE)</f>
        <v>BRINGER Xavier</v>
      </c>
      <c r="I174" t="str">
        <f ca="1">VLOOKUP(A174,Import_SuiviGlobal_MigAppliSate!A:I,9,FALSE)</f>
        <v>xavier.bringer@systeme-u.fr</v>
      </c>
      <c r="J174" s="24" t="str">
        <f ca="1">VLOOKUP(A174,Import_SuiviGlobal_MigAppliSate!A:K,10,FALSE)</f>
        <v>ROUTELOUS Marielle</v>
      </c>
      <c r="K174" t="str">
        <f ca="1">VLOOKUP(A174,Import_SuiviGlobal_MigAppliSate!A:K,11,FALSE)</f>
        <v>superu.castres.informatique@systeme-u.fr</v>
      </c>
      <c r="O174" s="1" t="s">
        <v>22</v>
      </c>
    </row>
    <row r="175" spans="1:15" ht="12.75" hidden="1" x14ac:dyDescent="0.2">
      <c r="A175">
        <v>91119</v>
      </c>
      <c r="B175" t="str">
        <f ca="1">VLOOKUP(A175,Import_SuiviGlobal_MigAppliSate!A:I,2,FALSE)</f>
        <v>CAUMONT S/DURANCE CADAGNE</v>
      </c>
      <c r="C175" t="str">
        <f ca="1">VLOOKUP(A175,Import_SuiviGlobal_MigAppliSate!A:I,3,FALSE)</f>
        <v>U Express</v>
      </c>
      <c r="D175" s="1" t="str">
        <f ca="1">VLOOKUP(A175,Import_SuiviGlobal_MigAppliSate!A:I,4,FALSE)</f>
        <v>Coop MISTRAL</v>
      </c>
      <c r="E175">
        <f ca="1">VLOOKUP(A175,Import_SuiviGlobal_MigAppliSate!A:I,5,FALSE)</f>
        <v>84510</v>
      </c>
      <c r="F175" t="str">
        <f ca="1">VLOOKUP(A175,Import_SuiviGlobal_MigAppliSate!A:I,6,FALSE)</f>
        <v>ROUTE DE GADAGNE</v>
      </c>
      <c r="G175" t="str">
        <f ca="1">VLOOKUP(A175,Import_SuiviGlobal_MigAppliSate!A:I,7,FALSE)</f>
        <v>04.90.33.97.49</v>
      </c>
      <c r="H175" t="str">
        <f ca="1">VLOOKUP(A175,Import_SuiviGlobal_MigAppliSate!A:I,8,FALSE)</f>
        <v>GAUDIN Fabrice</v>
      </c>
      <c r="I175" t="str">
        <f ca="1">VLOOKUP(A175,Import_SuiviGlobal_MigAppliSate!A:I,9,FALSE)</f>
        <v>administratif.gaudin84@orange.fr</v>
      </c>
      <c r="J175" s="24" t="str">
        <f ca="1">VLOOKUP(A175,Import_SuiviGlobal_MigAppliSate!A:K,10,FALSE)</f>
        <v/>
      </c>
      <c r="K175" t="str">
        <f ca="1">VLOOKUP(A175,Import_SuiviGlobal_MigAppliSate!A:K,11,FALSE)</f>
        <v>delphine.damian@lemistral.fr,helene.mina@lemistral.fr</v>
      </c>
      <c r="O175" s="1" t="s">
        <v>22</v>
      </c>
    </row>
    <row r="176" spans="1:15" ht="12.75" hidden="1" x14ac:dyDescent="0.2">
      <c r="A176">
        <v>95146</v>
      </c>
      <c r="B176" t="str">
        <f ca="1">VLOOKUP(A176,Import_SuiviGlobal_MigAppliSate!A:I,2,FALSE)</f>
        <v>CAUSSADE</v>
      </c>
      <c r="C176" t="str">
        <f ca="1">VLOOKUP(A176,Import_SuiviGlobal_MigAppliSate!A:I,3,FALSE)</f>
        <v>Super U</v>
      </c>
      <c r="D176" s="1" t="str">
        <f ca="1">VLOOKUP(A176,Import_SuiviGlobal_MigAppliSate!A:I,4,FALSE)</f>
        <v>Coop U Enseigne Sud</v>
      </c>
      <c r="E176">
        <f ca="1">VLOOKUP(A176,Import_SuiviGlobal_MigAppliSate!A:I,5,FALSE)</f>
        <v>82302</v>
      </c>
      <c r="F176" t="str">
        <f ca="1">VLOOKUP(A176,Import_SuiviGlobal_MigAppliSate!A:I,6,FALSE)</f>
        <v>ZI DE MEAUX BP 119</v>
      </c>
      <c r="G176" t="str">
        <f ca="1">VLOOKUP(A176,Import_SuiviGlobal_MigAppliSate!A:I,7,FALSE)</f>
        <v>05.63.23.26.60</v>
      </c>
      <c r="H176" t="str">
        <f ca="1">VLOOKUP(A176,Import_SuiviGlobal_MigAppliSate!A:I,8,FALSE)</f>
        <v>TARDIEU Christophe et Jeremy</v>
      </c>
      <c r="I176" t="str">
        <f ca="1">VLOOKUP(A176,Import_SuiviGlobal_MigAppliSate!A:I,9,FALSE)</f>
        <v>christophe.tardieu@systeme-u.fr</v>
      </c>
      <c r="J176" s="24" t="str">
        <f ca="1">VLOOKUP(A176,Import_SuiviGlobal_MigAppliSate!A:K,10,FALSE)</f>
        <v>Jeremy Tardieu
Mr Vaquié (comptable = pilote)</v>
      </c>
      <c r="K176" t="str">
        <f ca="1">VLOOKUP(A176,Import_SuiviGlobal_MigAppliSate!A:K,11,FALSE)</f>
        <v>jeremy.tardieu@systeme-u.fr, superu.caussade.compta@systeme-u.fr</v>
      </c>
      <c r="O176" s="1" t="s">
        <v>22</v>
      </c>
    </row>
    <row r="177" spans="1:15" ht="12.75" hidden="1" x14ac:dyDescent="0.2">
      <c r="A177">
        <v>90425</v>
      </c>
      <c r="B177" t="str">
        <f ca="1">VLOOKUP(A177,Import_SuiviGlobal_MigAppliSate!A:I,2,FALSE)</f>
        <v>CAVAILLON COTY</v>
      </c>
      <c r="C177" t="str">
        <f ca="1">VLOOKUP(A177,Import_SuiviGlobal_MigAppliSate!A:I,3,FALSE)</f>
        <v>Super U</v>
      </c>
      <c r="D177" s="1" t="str">
        <f ca="1">VLOOKUP(A177,Import_SuiviGlobal_MigAppliSate!A:I,4,FALSE)</f>
        <v>Coop U Enseigne Sud</v>
      </c>
      <c r="E177">
        <f ca="1">VLOOKUP(A177,Import_SuiviGlobal_MigAppliSate!A:I,5,FALSE)</f>
        <v>84300</v>
      </c>
      <c r="F177" t="str">
        <f ca="1">VLOOKUP(A177,Import_SuiviGlobal_MigAppliSate!A:I,6,FALSE)</f>
        <v>6 AVENUE RENE COTY</v>
      </c>
      <c r="G177" t="str">
        <f ca="1">VLOOKUP(A177,Import_SuiviGlobal_MigAppliSate!A:I,7,FALSE)</f>
        <v>04.90.71.12.05</v>
      </c>
      <c r="H177" t="str">
        <f ca="1">VLOOKUP(A177,Import_SuiviGlobal_MigAppliSate!A:I,8,FALSE)</f>
        <v>LE DOUJET Daniel</v>
      </c>
      <c r="I177" t="str">
        <f ca="1">VLOOKUP(A177,Import_SuiviGlobal_MigAppliSate!A:I,9,FALSE)</f>
        <v>francois.garcia@systeme-u.fr</v>
      </c>
      <c r="J177" s="24" t="str">
        <f ca="1">VLOOKUP(A177,Import_SuiviGlobal_MigAppliSate!A:K,10,FALSE)</f>
        <v>DUSSABLE JEAN MARC</v>
      </c>
      <c r="K177" t="str">
        <f ca="1">VLOOKUP(A177,Import_SuiviGlobal_MigAppliSate!A:K,11,FALSE)</f>
        <v>superu.cavaillon@systeme-u.fr,superu.cavaillon.direction@systeme-u.fr</v>
      </c>
      <c r="O177" s="1" t="s">
        <v>22</v>
      </c>
    </row>
    <row r="178" spans="1:15" ht="12.75" hidden="1" x14ac:dyDescent="0.2">
      <c r="A178">
        <v>95373</v>
      </c>
      <c r="B178" t="str">
        <f ca="1">VLOOKUP(A178,Import_SuiviGlobal_MigAppliSate!A:I,2,FALSE)</f>
        <v>CAVIGNAC</v>
      </c>
      <c r="C178" t="str">
        <f ca="1">VLOOKUP(A178,Import_SuiviGlobal_MigAppliSate!A:I,3,FALSE)</f>
        <v>Super U</v>
      </c>
      <c r="D178" s="1" t="str">
        <f ca="1">VLOOKUP(A178,Import_SuiviGlobal_MigAppliSate!A:I,4,FALSE)</f>
        <v>Coop U Enseigne Sud</v>
      </c>
      <c r="E178">
        <f ca="1">VLOOKUP(A178,Import_SuiviGlobal_MigAppliSate!A:I,5,FALSE)</f>
        <v>33620</v>
      </c>
      <c r="F178" t="str">
        <f ca="1">VLOOKUP(A178,Import_SuiviGlobal_MigAppliSate!A:I,6,FALSE)</f>
        <v>LE BOURG</v>
      </c>
      <c r="G178" t="str">
        <f ca="1">VLOOKUP(A178,Import_SuiviGlobal_MigAppliSate!A:I,7,FALSE)</f>
        <v>05.57.68.11.20</v>
      </c>
      <c r="H178" t="str">
        <f ca="1">VLOOKUP(A178,Import_SuiviGlobal_MigAppliSate!A:I,8,FALSE)</f>
        <v>ET LEGUET FRANCIS ROGER BEAUX</v>
      </c>
      <c r="I178" t="str">
        <f ca="1">VLOOKUP(A178,Import_SuiviGlobal_MigAppliSate!A:I,9,FALSE)</f>
        <v>roger.beaux@systeme-u.fr</v>
      </c>
      <c r="J178" s="24" t="str">
        <f ca="1">VLOOKUP(A178,Import_SuiviGlobal_MigAppliSate!A:K,10,FALSE)</f>
        <v>Laetitia Auvinet</v>
      </c>
      <c r="K178" t="str">
        <f ca="1">VLOOKUP(A178,Import_SuiviGlobal_MigAppliSate!A:K,11,FALSE)</f>
        <v>superu.cavignac@systeme-u.fr</v>
      </c>
      <c r="O178" s="1" t="s">
        <v>22</v>
      </c>
    </row>
    <row r="179" spans="1:15" ht="12.75" hidden="1" x14ac:dyDescent="0.2">
      <c r="A179">
        <v>39628</v>
      </c>
      <c r="B179" t="str">
        <f ca="1">VLOOKUP(A179,Import_SuiviGlobal_MigAppliSate!A:I,2,FALSE)</f>
        <v>CAYENNE</v>
      </c>
      <c r="C179" t="str">
        <f ca="1">VLOOKUP(A179,Import_SuiviGlobal_MigAppliSate!A:I,3,FALSE)</f>
        <v>Sans enseigne</v>
      </c>
      <c r="D179" s="1" t="str">
        <f ca="1">VLOOKUP(A179,Import_SuiviGlobal_MigAppliSate!A:I,4,FALSE)</f>
        <v>Coop U Enseigne Ouest</v>
      </c>
      <c r="E179">
        <f ca="1">VLOOKUP(A179,Import_SuiviGlobal_MigAppliSate!A:I,5,FALSE)</f>
        <v>97324</v>
      </c>
      <c r="F179" t="str">
        <f ca="1">VLOOKUP(A179,Import_SuiviGlobal_MigAppliSate!A:I,6,FALSE)</f>
        <v>ENTRE RD MADELEINE ET LEBLOND</v>
      </c>
      <c r="G179" t="str">
        <f ca="1">VLOOKUP(A179,Import_SuiviGlobal_MigAppliSate!A:I,7,FALSE)</f>
        <v>05.94.30.19.80</v>
      </c>
      <c r="H179" t="str">
        <f ca="1">VLOOKUP(A179,Import_SuiviGlobal_MigAppliSate!A:I,8,FALSE)</f>
        <v>NG KON TIA Bernard</v>
      </c>
      <c r="I179" t="str">
        <f ca="1">VLOOKUP(A179,Import_SuiviGlobal_MigAppliSate!A:I,9,FALSE)</f>
        <v/>
      </c>
      <c r="J179" s="24" t="str">
        <f ca="1">VLOOKUP(A179,Import_SuiviGlobal_MigAppliSate!A:K,10,FALSE)</f>
        <v/>
      </c>
      <c r="K179" t="str">
        <f ca="1">VLOOKUP(A179,Import_SuiviGlobal_MigAppliSate!A:K,11,FALSE)</f>
        <v>geoffray.gauthier@systeme-u.fr</v>
      </c>
      <c r="O179" s="1" t="s">
        <v>22</v>
      </c>
    </row>
    <row r="180" spans="1:15" ht="12.75" hidden="1" x14ac:dyDescent="0.2">
      <c r="A180">
        <v>38275</v>
      </c>
      <c r="B180" t="str">
        <f ca="1">VLOOKUP(A180,Import_SuiviGlobal_MigAppliSate!A:I,2,FALSE)</f>
        <v>CAYENNE</v>
      </c>
      <c r="C180" t="str">
        <f ca="1">VLOOKUP(A180,Import_SuiviGlobal_MigAppliSate!A:I,3,FALSE)</f>
        <v>Hyper U</v>
      </c>
      <c r="D180" s="1" t="str">
        <f ca="1">VLOOKUP(A180,Import_SuiviGlobal_MigAppliSate!A:I,4,FALSE)</f>
        <v>Coop U Enseigne Ouest</v>
      </c>
      <c r="E180">
        <f ca="1">VLOOKUP(A180,Import_SuiviGlobal_MigAppliSate!A:I,5,FALSE)</f>
        <v>97300</v>
      </c>
      <c r="F180" t="str">
        <f ca="1">VLOOKUP(A180,Import_SuiviGlobal_MigAppliSate!A:I,6,FALSE)</f>
        <v>10 LOTISSEMENT ZI COLLERY</v>
      </c>
      <c r="G180" t="str">
        <f ca="1">VLOOKUP(A180,Import_SuiviGlobal_MigAppliSate!A:I,7,FALSE)</f>
        <v>05.94.29.81.00</v>
      </c>
      <c r="H180" t="str">
        <f ca="1">VLOOKUP(A180,Import_SuiviGlobal_MigAppliSate!A:I,8,FALSE)</f>
        <v>DU RPT SAS JKS FINANCES Jan</v>
      </c>
      <c r="I180" t="str">
        <f ca="1">VLOOKUP(A180,Import_SuiviGlobal_MigAppliSate!A:I,9,FALSE)</f>
        <v>jan.du@systeme-u.fr</v>
      </c>
      <c r="J180" s="24" t="str">
        <f ca="1">VLOOKUP(A180,Import_SuiviGlobal_MigAppliSate!A:K,10,FALSE)</f>
        <v>Mr Brotreaud</v>
      </c>
      <c r="K180" t="str">
        <f ca="1">VLOOKUP(A180,Import_SuiviGlobal_MigAppliSate!A:K,11,FALSE)</f>
        <v>vincent.brotreaud@uguyane.com</v>
      </c>
      <c r="L180" t="s">
        <v>17</v>
      </c>
      <c r="M180" t="s">
        <v>24</v>
      </c>
      <c r="N180" s="1" t="s">
        <v>18</v>
      </c>
      <c r="O180" s="1" t="s">
        <v>19</v>
      </c>
    </row>
    <row r="181" spans="1:15" ht="12.75" hidden="1" x14ac:dyDescent="0.2">
      <c r="A181">
        <v>32402</v>
      </c>
      <c r="B181" t="str">
        <f ca="1">VLOOKUP(A181,Import_SuiviGlobal_MigAppliSate!A:I,2,FALSE)</f>
        <v>CERIZAY</v>
      </c>
      <c r="C181" t="str">
        <f ca="1">VLOOKUP(A181,Import_SuiviGlobal_MigAppliSate!A:I,3,FALSE)</f>
        <v>Super U</v>
      </c>
      <c r="D181" s="1" t="str">
        <f ca="1">VLOOKUP(A181,Import_SuiviGlobal_MigAppliSate!A:I,4,FALSE)</f>
        <v>Coop U Enseigne Ouest</v>
      </c>
      <c r="E181">
        <f ca="1">VLOOKUP(A181,Import_SuiviGlobal_MigAppliSate!A:I,5,FALSE)</f>
        <v>79140</v>
      </c>
      <c r="F181" t="str">
        <f ca="1">VLOOKUP(A181,Import_SuiviGlobal_MigAppliSate!A:I,6,FALSE)</f>
        <v>BOULEVARD GEORGES POMPIDOU</v>
      </c>
      <c r="G181" t="str">
        <f ca="1">VLOOKUP(A181,Import_SuiviGlobal_MigAppliSate!A:I,7,FALSE)</f>
        <v>05.49.80.51.42</v>
      </c>
      <c r="H181" t="str">
        <f ca="1">VLOOKUP(A181,Import_SuiviGlobal_MigAppliSate!A:I,8,FALSE)</f>
        <v>BAUMARD Anne</v>
      </c>
      <c r="I181" t="str">
        <f ca="1">VLOOKUP(A181,Import_SuiviGlobal_MigAppliSate!A:I,9,FALSE)</f>
        <v>anne.barriet@systeme-u.fr</v>
      </c>
      <c r="J181" s="24" t="str">
        <f ca="1">VLOOKUP(A181,Import_SuiviGlobal_MigAppliSate!A:K,10,FALSE)</f>
        <v/>
      </c>
      <c r="K181" t="str">
        <f ca="1">VLOOKUP(A181,Import_SuiviGlobal_MigAppliSate!A:K,11,FALSE)</f>
        <v/>
      </c>
      <c r="O181" s="1" t="s">
        <v>22</v>
      </c>
    </row>
    <row r="182" spans="1:15" ht="12.75" hidden="1" x14ac:dyDescent="0.2">
      <c r="A182">
        <v>33093</v>
      </c>
      <c r="B182" t="str">
        <f ca="1">VLOOKUP(A182,Import_SuiviGlobal_MigAppliSate!A:I,2,FALSE)</f>
        <v>CESSON-ST-BRIEUC</v>
      </c>
      <c r="C182" t="str">
        <f ca="1">VLOOKUP(A182,Import_SuiviGlobal_MigAppliSate!A:I,3,FALSE)</f>
        <v>U Express</v>
      </c>
      <c r="D182" s="1" t="str">
        <f ca="1">VLOOKUP(A182,Import_SuiviGlobal_MigAppliSate!A:I,4,FALSE)</f>
        <v>Coop U Enseigne Ouest</v>
      </c>
      <c r="E182">
        <f ca="1">VLOOKUP(A182,Import_SuiviGlobal_MigAppliSate!A:I,5,FALSE)</f>
        <v>22000</v>
      </c>
      <c r="F182" t="str">
        <f ca="1">VLOOKUP(A182,Import_SuiviGlobal_MigAppliSate!A:I,6,FALSE)</f>
        <v>3, RUE CHAMPLAIN</v>
      </c>
      <c r="G182" t="str">
        <f ca="1">VLOOKUP(A182,Import_SuiviGlobal_MigAppliSate!A:I,7,FALSE)</f>
        <v>02.96.68.12.00</v>
      </c>
      <c r="H182" t="str">
        <f ca="1">VLOOKUP(A182,Import_SuiviGlobal_MigAppliSate!A:I,8,FALSE)</f>
        <v>ROCHAIS Thierry</v>
      </c>
      <c r="I182" t="str">
        <f ca="1">VLOOKUP(A182,Import_SuiviGlobal_MigAppliSate!A:I,9,FALSE)</f>
        <v>thierry.rochais@systeme-u.fr</v>
      </c>
      <c r="J182" s="24" t="str">
        <f ca="1">VLOOKUP(A182,Import_SuiviGlobal_MigAppliSate!A:K,10,FALSE)</f>
        <v>Sarah (UPLV)</v>
      </c>
      <c r="K182" t="str">
        <f ca="1">VLOOKUP(A182,Import_SuiviGlobal_MigAppliSate!A:K,11,FALSE)</f>
        <v>uexpress.cesson.gescom@systeme-u.fr</v>
      </c>
      <c r="O182" s="1" t="s">
        <v>22</v>
      </c>
    </row>
    <row r="183" spans="1:15" ht="12.75" hidden="1" x14ac:dyDescent="0.2">
      <c r="A183">
        <v>96245</v>
      </c>
      <c r="B183" t="str">
        <f ca="1">VLOOKUP(A183,Import_SuiviGlobal_MigAppliSate!A:I,2,FALSE)</f>
        <v>CESTAS</v>
      </c>
      <c r="C183" t="str">
        <f ca="1">VLOOKUP(A183,Import_SuiviGlobal_MigAppliSate!A:I,3,FALSE)</f>
        <v>Super U</v>
      </c>
      <c r="D183" s="1" t="str">
        <f ca="1">VLOOKUP(A183,Import_SuiviGlobal_MigAppliSate!A:I,4,FALSE)</f>
        <v>Coop U Enseigne Sud</v>
      </c>
      <c r="E183">
        <f ca="1">VLOOKUP(A183,Import_SuiviGlobal_MigAppliSate!A:I,5,FALSE)</f>
        <v>33611</v>
      </c>
      <c r="F183" t="str">
        <f ca="1">VLOOKUP(A183,Import_SuiviGlobal_MigAppliSate!A:I,6,FALSE)</f>
        <v>BP19 C/C LE BOURG</v>
      </c>
      <c r="G183" t="str">
        <f ca="1">VLOOKUP(A183,Import_SuiviGlobal_MigAppliSate!A:I,7,FALSE)</f>
        <v>05.56.78.12.60</v>
      </c>
      <c r="H183" t="str">
        <f ca="1">VLOOKUP(A183,Import_SuiviGlobal_MigAppliSate!A:I,8,FALSE)</f>
        <v>ET THOMAS BOUQUET NADAUD LAURENT CAFFY</v>
      </c>
      <c r="I183" t="str">
        <f ca="1">VLOOKUP(A183,Import_SuiviGlobal_MigAppliSate!A:I,9,FALSE)</f>
        <v>thomas.bouquet-nadaud@systeme-u.fr</v>
      </c>
      <c r="J183" s="24" t="str">
        <f ca="1">VLOOKUP(A183,Import_SuiviGlobal_MigAppliSate!A:K,10,FALSE)</f>
        <v>M. Bitter
Marylise Seguin (Pilote)</v>
      </c>
      <c r="K183" t="str">
        <f ca="1">VLOOKUP(A183,Import_SuiviGlobal_MigAppliSate!A:K,11,FALSE)</f>
        <v>Superu.cestas.direction@systeme-u.fr</v>
      </c>
      <c r="O183" s="1" t="s">
        <v>22</v>
      </c>
    </row>
    <row r="184" spans="1:15" ht="12.75" x14ac:dyDescent="0.2">
      <c r="A184">
        <v>35886</v>
      </c>
      <c r="B184" t="str">
        <f ca="1">VLOOKUP(A184,Import_SuiviGlobal_MigAppliSate!A:I,2,FALSE)</f>
        <v>CHABANAIS</v>
      </c>
      <c r="C184" t="str">
        <f ca="1">VLOOKUP(A184,Import_SuiviGlobal_MigAppliSate!A:I,3,FALSE)</f>
        <v>Super U</v>
      </c>
      <c r="D184" s="1" t="str">
        <f ca="1">VLOOKUP(A184,Import_SuiviGlobal_MigAppliSate!A:I,4,FALSE)</f>
        <v>Coop U Enseigne Ouest</v>
      </c>
      <c r="E184">
        <f ca="1">VLOOKUP(A184,Import_SuiviGlobal_MigAppliSate!A:I,5,FALSE)</f>
        <v>16150</v>
      </c>
      <c r="F184" t="str">
        <f ca="1">VLOOKUP(A184,Import_SuiviGlobal_MigAppliSate!A:I,6,FALSE)</f>
        <v>LE MOULIN DU BOUCHAUD</v>
      </c>
      <c r="G184" t="str">
        <f ca="1">VLOOKUP(A184,Import_SuiviGlobal_MigAppliSate!A:I,7,FALSE)</f>
        <v>05.45.30.73.00</v>
      </c>
      <c r="H184" t="str">
        <f ca="1">VLOOKUP(A184,Import_SuiviGlobal_MigAppliSate!A:I,8,FALSE)</f>
        <v>PERRIN RPT SARL SOCHAFI Emmanuelle</v>
      </c>
      <c r="I184" t="str">
        <f ca="1">VLOOKUP(A184,Import_SuiviGlobal_MigAppliSate!A:I,9,FALSE)</f>
        <v>emmanuelle.perrin@systeme-u.fr</v>
      </c>
      <c r="J184" s="24" t="str">
        <f ca="1">VLOOKUP(A184,Import_SuiviGlobal_MigAppliSate!A:K,10,FALSE)</f>
        <v>M RAMAT Lilian</v>
      </c>
      <c r="K184" t="str">
        <f ca="1">VLOOKUP(A184,Import_SuiviGlobal_MigAppliSate!A:K,11,FALSE)</f>
        <v>lilian.ramat@systeme-u.fr</v>
      </c>
      <c r="L184" t="s">
        <v>17</v>
      </c>
      <c r="M184" t="s">
        <v>0</v>
      </c>
      <c r="O184" s="1" t="s">
        <v>22</v>
      </c>
    </row>
    <row r="185" spans="1:15" ht="12.75" hidden="1" x14ac:dyDescent="0.2">
      <c r="A185">
        <v>35029</v>
      </c>
      <c r="B185" t="str">
        <f ca="1">VLOOKUP(A185,Import_SuiviGlobal_MigAppliSate!A:I,2,FALSE)</f>
        <v>CHABRIS</v>
      </c>
      <c r="C185" t="str">
        <f ca="1">VLOOKUP(A185,Import_SuiviGlobal_MigAppliSate!A:I,3,FALSE)</f>
        <v>Super U</v>
      </c>
      <c r="D185" s="1" t="str">
        <f ca="1">VLOOKUP(A185,Import_SuiviGlobal_MigAppliSate!A:I,4,FALSE)</f>
        <v>Coop U Enseigne Ouest</v>
      </c>
      <c r="E185">
        <f ca="1">VLOOKUP(A185,Import_SuiviGlobal_MigAppliSate!A:I,5,FALSE)</f>
        <v>36210</v>
      </c>
      <c r="F185" t="str">
        <f ca="1">VLOOKUP(A185,Import_SuiviGlobal_MigAppliSate!A:I,6,FALSE)</f>
        <v>ROUTE DE VALENCAY</v>
      </c>
      <c r="G185" t="str">
        <f ca="1">VLOOKUP(A185,Import_SuiviGlobal_MigAppliSate!A:I,7,FALSE)</f>
        <v>02.54.00.33.99</v>
      </c>
      <c r="H185" t="str">
        <f ca="1">VLOOKUP(A185,Import_SuiviGlobal_MigAppliSate!A:I,8,FALSE)</f>
        <v>LANGOUET RPT SAS 2 MJA Marc</v>
      </c>
      <c r="I185" t="str">
        <f ca="1">VLOOKUP(A185,Import_SuiviGlobal_MigAppliSate!A:I,9,FALSE)</f>
        <v>marc.langouet@systeme-u.fr</v>
      </c>
      <c r="J185" s="24" t="str">
        <f ca="1">VLOOKUP(A185,Import_SuiviGlobal_MigAppliSate!A:K,10,FALSE)</f>
        <v>M. BASIN
Mme SERVOIN</v>
      </c>
      <c r="K185" t="str">
        <f ca="1">VLOOKUP(A185,Import_SuiviGlobal_MigAppliSate!A:K,11,FALSE)</f>
        <v>stephane.basin@systeme-u.fr,superu.chabris@systeme-u.fr</v>
      </c>
      <c r="O185" s="1" t="s">
        <v>22</v>
      </c>
    </row>
    <row r="186" spans="1:15" ht="12.75" hidden="1" x14ac:dyDescent="0.2">
      <c r="A186">
        <v>30388</v>
      </c>
      <c r="B186" t="str">
        <f ca="1">VLOOKUP(A186,Import_SuiviGlobal_MigAppliSate!A:I,2,FALSE)</f>
        <v>CHALETTE-SUR-LOING</v>
      </c>
      <c r="C186" t="str">
        <f ca="1">VLOOKUP(A186,Import_SuiviGlobal_MigAppliSate!A:I,3,FALSE)</f>
        <v>Super U</v>
      </c>
      <c r="D186" s="1" t="str">
        <f ca="1">VLOOKUP(A186,Import_SuiviGlobal_MigAppliSate!A:I,4,FALSE)</f>
        <v>Coop U Enseigne Ouest</v>
      </c>
      <c r="E186">
        <f ca="1">VLOOKUP(A186,Import_SuiviGlobal_MigAppliSate!A:I,5,FALSE)</f>
        <v>45120</v>
      </c>
      <c r="F186" t="str">
        <f ca="1">VLOOKUP(A186,Import_SuiviGlobal_MigAppliSate!A:I,6,FALSE)</f>
        <v>RUE DU 23 AOÛT 1944</v>
      </c>
      <c r="G186" t="str">
        <f ca="1">VLOOKUP(A186,Import_SuiviGlobal_MigAppliSate!A:I,7,FALSE)</f>
        <v>02.38.28.37.37</v>
      </c>
      <c r="H186" t="str">
        <f ca="1">VLOOKUP(A186,Import_SuiviGlobal_MigAppliSate!A:I,8,FALSE)</f>
        <v>BOSCA Armand</v>
      </c>
      <c r="I186" t="str">
        <f ca="1">VLOOKUP(A186,Import_SuiviGlobal_MigAppliSate!A:I,9,FALSE)</f>
        <v>armand.bosca@systeme-u.fr</v>
      </c>
      <c r="J186" s="24" t="str">
        <f ca="1">VLOOKUP(A186,Import_SuiviGlobal_MigAppliSate!A:K,10,FALSE)</f>
        <v>Mme Gasparoux</v>
      </c>
      <c r="K186" t="str">
        <f ca="1">VLOOKUP(A186,Import_SuiviGlobal_MigAppliSate!A:K,11,FALSE)</f>
        <v>superu.chalettesurloing@systeme-u.fr</v>
      </c>
      <c r="O186" s="1" t="s">
        <v>22</v>
      </c>
    </row>
    <row r="187" spans="1:15" ht="12.75" hidden="1" x14ac:dyDescent="0.2">
      <c r="A187">
        <v>35878</v>
      </c>
      <c r="B187" t="str">
        <f ca="1">VLOOKUP(A187,Import_SuiviGlobal_MigAppliSate!A:I,2,FALSE)</f>
        <v>CHALLANS</v>
      </c>
      <c r="C187" t="str">
        <f ca="1">VLOOKUP(A187,Import_SuiviGlobal_MigAppliSate!A:I,3,FALSE)</f>
        <v>Hyper U</v>
      </c>
      <c r="D187" s="1" t="str">
        <f ca="1">VLOOKUP(A187,Import_SuiviGlobal_MigAppliSate!A:I,4,FALSE)</f>
        <v>Coop U Enseigne Ouest</v>
      </c>
      <c r="E187">
        <f ca="1">VLOOKUP(A187,Import_SuiviGlobal_MigAppliSate!A:I,5,FALSE)</f>
        <v>85306</v>
      </c>
      <c r="F187" t="str">
        <f ca="1">VLOOKUP(A187,Import_SuiviGlobal_MigAppliSate!A:I,6,FALSE)</f>
        <v>BOULEVARD JEAN XXIII</v>
      </c>
      <c r="G187" t="str">
        <f ca="1">VLOOKUP(A187,Import_SuiviGlobal_MigAppliSate!A:I,7,FALSE)</f>
        <v>02.51.68.85.10</v>
      </c>
      <c r="H187" t="str">
        <f ca="1">VLOOKUP(A187,Import_SuiviGlobal_MigAppliSate!A:I,8,FALSE)</f>
        <v>THOUZEAU RPT SAS SO LI FIT Lionel</v>
      </c>
      <c r="I187" t="str">
        <f ca="1">VLOOKUP(A187,Import_SuiviGlobal_MigAppliSate!A:I,9,FALSE)</f>
        <v>lionel.thouzeau@systeme-u.fr</v>
      </c>
      <c r="J187" s="24" t="str">
        <f ca="1">VLOOKUP(A187,Import_SuiviGlobal_MigAppliSate!A:K,10,FALSE)</f>
        <v>GRONDIN Christophe</v>
      </c>
      <c r="K187" t="str">
        <f ca="1">VLOOKUP(A187,Import_SuiviGlobal_MigAppliSate!A:K,11,FALSE)</f>
        <v>hyperu.challans.informatique@systeme-u.fr</v>
      </c>
      <c r="O187" s="1" t="s">
        <v>22</v>
      </c>
    </row>
    <row r="188" spans="1:15" ht="12.75" hidden="1" x14ac:dyDescent="0.2">
      <c r="A188">
        <v>38680</v>
      </c>
      <c r="B188" t="str">
        <f ca="1">VLOOKUP(A188,Import_SuiviGlobal_MigAppliSate!A:I,2,FALSE)</f>
        <v>CHALONNES-SUR-LOIRE</v>
      </c>
      <c r="C188" t="str">
        <f ca="1">VLOOKUP(A188,Import_SuiviGlobal_MigAppliSate!A:I,3,FALSE)</f>
        <v>Super U</v>
      </c>
      <c r="D188" s="1" t="str">
        <f ca="1">VLOOKUP(A188,Import_SuiviGlobal_MigAppliSate!A:I,4,FALSE)</f>
        <v>Coop U Enseigne Ouest</v>
      </c>
      <c r="E188">
        <f ca="1">VLOOKUP(A188,Import_SuiviGlobal_MigAppliSate!A:I,5,FALSE)</f>
        <v>49290</v>
      </c>
      <c r="F188" t="str">
        <f ca="1">VLOOKUP(A188,Import_SuiviGlobal_MigAppliSate!A:I,6,FALSE)</f>
        <v>PLACE DU LAYON</v>
      </c>
      <c r="G188" t="str">
        <f ca="1">VLOOKUP(A188,Import_SuiviGlobal_MigAppliSate!A:I,7,FALSE)</f>
        <v>02.41.74.19.41</v>
      </c>
      <c r="H188" t="str">
        <f ca="1">VLOOKUP(A188,Import_SuiviGlobal_MigAppliSate!A:I,8,FALSE)</f>
        <v>BIRON RPT SAS BIMOFI Evelyne</v>
      </c>
      <c r="I188" t="str">
        <f ca="1">VLOOKUP(A188,Import_SuiviGlobal_MigAppliSate!A:I,9,FALSE)</f>
        <v>dominique.biron@systeme-u.fr</v>
      </c>
      <c r="J188" s="24" t="str">
        <f ca="1">VLOOKUP(A188,Import_SuiviGlobal_MigAppliSate!A:K,10,FALSE)</f>
        <v xml:space="preserve">Godineau Isabelle </v>
      </c>
      <c r="K188" t="str">
        <f ca="1">VLOOKUP(A188,Import_SuiviGlobal_MigAppliSate!A:K,11,FALSE)</f>
        <v xml:space="preserve">isabelle.godineau@systeme-u.fr </v>
      </c>
      <c r="O188" s="1" t="s">
        <v>22</v>
      </c>
    </row>
    <row r="189" spans="1:15" ht="12.75" hidden="1" x14ac:dyDescent="0.2">
      <c r="A189">
        <v>66172</v>
      </c>
      <c r="B189" t="str">
        <f ca="1">VLOOKUP(A189,Import_SuiviGlobal_MigAppliSate!A:I,2,FALSE)</f>
        <v>CHAMBERY LE HAUT</v>
      </c>
      <c r="C189" t="str">
        <f ca="1">VLOOKUP(A189,Import_SuiviGlobal_MigAppliSate!A:I,3,FALSE)</f>
        <v>Super U</v>
      </c>
      <c r="D189" s="1" t="str">
        <f ca="1">VLOOKUP(A189,Import_SuiviGlobal_MigAppliSate!A:I,4,FALSE)</f>
        <v>Coop U Enseigne Est</v>
      </c>
      <c r="E189">
        <f ca="1">VLOOKUP(A189,Import_SuiviGlobal_MigAppliSate!A:I,5,FALSE)</f>
        <v>73000</v>
      </c>
      <c r="F189" t="str">
        <f ca="1">VLOOKUP(A189,Import_SuiviGlobal_MigAppliSate!A:I,6,FALSE)</f>
        <v>42 AVENUE D'ANNECY</v>
      </c>
      <c r="G189" t="str">
        <f ca="1">VLOOKUP(A189,Import_SuiviGlobal_MigAppliSate!A:I,7,FALSE)</f>
        <v>04.79.60.72.30</v>
      </c>
      <c r="H189" t="str">
        <f ca="1">VLOOKUP(A189,Import_SuiviGlobal_MigAppliSate!A:I,8,FALSE)</f>
        <v>HERRERA Philippe</v>
      </c>
      <c r="I189" t="str">
        <f ca="1">VLOOKUP(A189,Import_SuiviGlobal_MigAppliSate!A:I,9,FALSE)</f>
        <v>philippe.herrera@systeme-u.fr</v>
      </c>
      <c r="J189" s="24" t="str">
        <f ca="1">VLOOKUP(A189,Import_SuiviGlobal_MigAppliSate!A:K,10,FALSE)</f>
        <v/>
      </c>
      <c r="K189" t="str">
        <f ca="1">VLOOKUP(A189,Import_SuiviGlobal_MigAppliSate!A:K,11,FALSE)</f>
        <v>superu.chamberylehaut.direction@systeme-u.fr, jennifer.herrera@systeme-u.fr</v>
      </c>
      <c r="O189" s="1" t="s">
        <v>22</v>
      </c>
    </row>
    <row r="190" spans="1:15" ht="12.75" hidden="1" x14ac:dyDescent="0.2">
      <c r="A190">
        <v>66124</v>
      </c>
      <c r="B190" t="str">
        <f ca="1">VLOOKUP(A190,Import_SuiviGlobal_MigAppliSate!A:I,2,FALSE)</f>
        <v>CHAMONIX ARGENTIERE</v>
      </c>
      <c r="C190" t="str">
        <f ca="1">VLOOKUP(A190,Import_SuiviGlobal_MigAppliSate!A:I,3,FALSE)</f>
        <v>Marché U</v>
      </c>
      <c r="D190" s="1" t="str">
        <f ca="1">VLOOKUP(A190,Import_SuiviGlobal_MigAppliSate!A:I,4,FALSE)</f>
        <v>Coop U Enseigne Est</v>
      </c>
      <c r="E190">
        <f ca="1">VLOOKUP(A190,Import_SuiviGlobal_MigAppliSate!A:I,5,FALSE)</f>
        <v>74400</v>
      </c>
      <c r="F190" t="str">
        <f ca="1">VLOOKUP(A190,Import_SuiviGlobal_MigAppliSate!A:I,6,FALSE)</f>
        <v>RUE CHARLET STRATTON</v>
      </c>
      <c r="G190" t="str">
        <f ca="1">VLOOKUP(A190,Import_SuiviGlobal_MigAppliSate!A:I,7,FALSE)</f>
        <v>04.50.54.05.97</v>
      </c>
      <c r="H190" t="str">
        <f ca="1">VLOOKUP(A190,Import_SuiviGlobal_MigAppliSate!A:I,8,FALSE)</f>
        <v>PAYOT PERTIN Henri</v>
      </c>
      <c r="I190" t="str">
        <f ca="1">VLOOKUP(A190,Import_SuiviGlobal_MigAppliSate!A:I,9,FALSE)</f>
        <v>henri.payot-pertin@systeme-u.fr</v>
      </c>
      <c r="J190" s="24" t="str">
        <f ca="1">VLOOKUP(A190,Import_SuiviGlobal_MigAppliSate!A:K,10,FALSE)</f>
        <v>M. BAZ</v>
      </c>
      <c r="K190" t="str">
        <f ca="1">VLOOKUP(A190,Import_SuiviGlobal_MigAppliSate!A:K,11,FALSE)</f>
        <v>gaetanbaz.u@gmail.com</v>
      </c>
      <c r="O190" s="1" t="s">
        <v>22</v>
      </c>
    </row>
    <row r="191" spans="1:15" ht="12.75" hidden="1" x14ac:dyDescent="0.2">
      <c r="A191">
        <v>66122</v>
      </c>
      <c r="B191" t="str">
        <f ca="1">VLOOKUP(A191,Import_SuiviGlobal_MigAppliSate!A:I,2,FALSE)</f>
        <v>CHAMONIX PELERINS</v>
      </c>
      <c r="C191" t="str">
        <f ca="1">VLOOKUP(A191,Import_SuiviGlobal_MigAppliSate!A:I,3,FALSE)</f>
        <v>U Express</v>
      </c>
      <c r="D191" s="1" t="str">
        <f ca="1">VLOOKUP(A191,Import_SuiviGlobal_MigAppliSate!A:I,4,FALSE)</f>
        <v>Coop U Enseigne Est</v>
      </c>
      <c r="E191">
        <f ca="1">VLOOKUP(A191,Import_SuiviGlobal_MigAppliSate!A:I,5,FALSE)</f>
        <v>74400</v>
      </c>
      <c r="F191" t="str">
        <f ca="1">VLOOKUP(A191,Import_SuiviGlobal_MigAppliSate!A:I,6,FALSE)</f>
        <v>C.C.LES PÈLERINS</v>
      </c>
      <c r="G191" t="str">
        <f ca="1">VLOOKUP(A191,Import_SuiviGlobal_MigAppliSate!A:I,7,FALSE)</f>
        <v>04.50.53.01.58</v>
      </c>
      <c r="H191" t="str">
        <f ca="1">VLOOKUP(A191,Import_SuiviGlobal_MigAppliSate!A:I,8,FALSE)</f>
        <v>PAYOT PERTIN Henri</v>
      </c>
      <c r="I191" t="str">
        <f ca="1">VLOOKUP(A191,Import_SuiviGlobal_MigAppliSate!A:I,9,FALSE)</f>
        <v>henri.payot-pertin@systeme-u.fr</v>
      </c>
      <c r="J191" s="24" t="str">
        <f ca="1">VLOOKUP(A191,Import_SuiviGlobal_MigAppliSate!A:K,10,FALSE)</f>
        <v/>
      </c>
      <c r="K191" t="str">
        <f ca="1">VLOOKUP(A191,Import_SuiviGlobal_MigAppliSate!A:K,11,FALSE)</f>
        <v/>
      </c>
      <c r="O191" s="1" t="s">
        <v>22</v>
      </c>
    </row>
    <row r="192" spans="1:15" ht="12.75" hidden="1" x14ac:dyDescent="0.2">
      <c r="A192">
        <v>66123</v>
      </c>
      <c r="B192" t="str">
        <f ca="1">VLOOKUP(A192,Import_SuiviGlobal_MigAppliSate!A:I,2,FALSE)</f>
        <v>CHAMONIX VALLOT</v>
      </c>
      <c r="C192" t="str">
        <f ca="1">VLOOKUP(A192,Import_SuiviGlobal_MigAppliSate!A:I,3,FALSE)</f>
        <v>Super U</v>
      </c>
      <c r="D192" s="1" t="str">
        <f ca="1">VLOOKUP(A192,Import_SuiviGlobal_MigAppliSate!A:I,4,FALSE)</f>
        <v>Coop U Enseigne Est</v>
      </c>
      <c r="E192">
        <f ca="1">VLOOKUP(A192,Import_SuiviGlobal_MigAppliSate!A:I,5,FALSE)</f>
        <v>74400</v>
      </c>
      <c r="F192" t="str">
        <f ca="1">VLOOKUP(A192,Import_SuiviGlobal_MigAppliSate!A:I,6,FALSE)</f>
        <v>117 rue Joseph Vallot</v>
      </c>
      <c r="G192" t="str">
        <f ca="1">VLOOKUP(A192,Import_SuiviGlobal_MigAppliSate!A:I,7,FALSE)</f>
        <v>04.50.53.12.50</v>
      </c>
      <c r="H192" t="str">
        <f ca="1">VLOOKUP(A192,Import_SuiviGlobal_MigAppliSate!A:I,8,FALSE)</f>
        <v>PAYOT PERTIN Henri</v>
      </c>
      <c r="I192" t="str">
        <f ca="1">VLOOKUP(A192,Import_SuiviGlobal_MigAppliSate!A:I,9,FALSE)</f>
        <v>henri.payot-pertin@systeme-u.fr</v>
      </c>
      <c r="J192" s="24" t="str">
        <f ca="1">VLOOKUP(A192,Import_SuiviGlobal_MigAppliSate!A:K,10,FALSE)</f>
        <v>Mme COLLET</v>
      </c>
      <c r="K192" t="str">
        <f ca="1">VLOOKUP(A192,Import_SuiviGlobal_MigAppliSate!A:K,11,FALSE)</f>
        <v>superu.chamonix@systeme-u.fr</v>
      </c>
      <c r="O192" s="1" t="s">
        <v>22</v>
      </c>
    </row>
    <row r="193" spans="1:18" ht="12.75" hidden="1" x14ac:dyDescent="0.2">
      <c r="A193">
        <v>62092</v>
      </c>
      <c r="B193" t="str">
        <f ca="1">VLOOKUP(A193,Import_SuiviGlobal_MigAppliSate!A:I,2,FALSE)</f>
        <v>CHAMPAGNOLE</v>
      </c>
      <c r="C193" t="str">
        <f ca="1">VLOOKUP(A193,Import_SuiviGlobal_MigAppliSate!A:I,3,FALSE)</f>
        <v>Super U</v>
      </c>
      <c r="D193" s="1" t="str">
        <f ca="1">VLOOKUP(A193,Import_SuiviGlobal_MigAppliSate!A:I,4,FALSE)</f>
        <v>Coop U Enseigne Est</v>
      </c>
      <c r="E193">
        <f ca="1">VLOOKUP(A193,Import_SuiviGlobal_MigAppliSate!A:I,5,FALSE)</f>
        <v>39300</v>
      </c>
      <c r="F193" t="str">
        <f ca="1">VLOOKUP(A193,Import_SuiviGlobal_MigAppliSate!A:I,6,FALSE)</f>
        <v>Rue du Village</v>
      </c>
      <c r="G193" t="str">
        <f ca="1">VLOOKUP(A193,Import_SuiviGlobal_MigAppliSate!A:I,7,FALSE)</f>
        <v>03.84.52.31.06</v>
      </c>
      <c r="H193" t="str">
        <f ca="1">VLOOKUP(A193,Import_SuiviGlobal_MigAppliSate!A:I,8,FALSE)</f>
        <v>FUSARO Simone</v>
      </c>
      <c r="I193" t="str">
        <f ca="1">VLOOKUP(A193,Import_SuiviGlobal_MigAppliSate!A:I,9,FALSE)</f>
        <v>simone.fusaro@systeme-u.fr</v>
      </c>
      <c r="J193" s="24" t="str">
        <f ca="1">VLOOKUP(A193,Import_SuiviGlobal_MigAppliSate!A:K,10,FALSE)</f>
        <v/>
      </c>
      <c r="K193" t="str">
        <f ca="1">VLOOKUP(A193,Import_SuiviGlobal_MigAppliSate!A:K,11,FALSE)</f>
        <v/>
      </c>
      <c r="O193" s="1" t="s">
        <v>22</v>
      </c>
    </row>
    <row r="194" spans="1:18" ht="12.75" hidden="1" x14ac:dyDescent="0.2">
      <c r="A194">
        <v>33441</v>
      </c>
      <c r="B194" t="str">
        <f ca="1">VLOOKUP(A194,Import_SuiviGlobal_MigAppliSate!A:I,2,FALSE)</f>
        <v>CHAMPDENIERS</v>
      </c>
      <c r="C194" t="str">
        <f ca="1">VLOOKUP(A194,Import_SuiviGlobal_MigAppliSate!A:I,3,FALSE)</f>
        <v>Super U</v>
      </c>
      <c r="D194" s="1" t="str">
        <f ca="1">VLOOKUP(A194,Import_SuiviGlobal_MigAppliSate!A:I,4,FALSE)</f>
        <v>Coop U Enseigne Ouest</v>
      </c>
      <c r="E194">
        <f ca="1">VLOOKUP(A194,Import_SuiviGlobal_MigAppliSate!A:I,5,FALSE)</f>
        <v>79220</v>
      </c>
      <c r="F194" t="str">
        <f ca="1">VLOOKUP(A194,Import_SuiviGlobal_MigAppliSate!A:I,6,FALSE)</f>
        <v>50, RUE DE LA GRANGE LUCAS</v>
      </c>
      <c r="G194" t="str">
        <f ca="1">VLOOKUP(A194,Import_SuiviGlobal_MigAppliSate!A:I,7,FALSE)</f>
        <v>05.49.25.82.81</v>
      </c>
      <c r="H194" t="str">
        <f ca="1">VLOOKUP(A194,Import_SuiviGlobal_MigAppliSate!A:I,8,FALSE)</f>
        <v>GAUTREAU RPT SAS ANGERA Raphaël</v>
      </c>
      <c r="I194" t="str">
        <f ca="1">VLOOKUP(A194,Import_SuiviGlobal_MigAppliSate!A:I,9,FALSE)</f>
        <v>raphael.gautreau@systeme-u.fr</v>
      </c>
      <c r="J194" s="24" t="str">
        <f ca="1">VLOOKUP(A194,Import_SuiviGlobal_MigAppliSate!A:K,10,FALSE)</f>
        <v>GIRARD Véronique</v>
      </c>
      <c r="K194" t="str">
        <f ca="1">VLOOKUP(A194,Import_SuiviGlobal_MigAppliSate!A:K,11,FALSE)</f>
        <v>superu.champdeniers@systeme-u.fr</v>
      </c>
      <c r="O194" s="1" t="s">
        <v>22</v>
      </c>
    </row>
    <row r="195" spans="1:18" ht="12.75" hidden="1" x14ac:dyDescent="0.2">
      <c r="A195">
        <v>37714</v>
      </c>
      <c r="B195" t="str">
        <f ca="1">VLOOKUP(A195,Import_SuiviGlobal_MigAppliSate!A:I,2,FALSE)</f>
        <v>CHAMPIGNE</v>
      </c>
      <c r="C195" t="str">
        <f ca="1">VLOOKUP(A195,Import_SuiviGlobal_MigAppliSate!A:I,3,FALSE)</f>
        <v>U Express</v>
      </c>
      <c r="D195" s="1" t="str">
        <f ca="1">VLOOKUP(A195,Import_SuiviGlobal_MigAppliSate!A:I,4,FALSE)</f>
        <v>Coop U Enseigne Ouest</v>
      </c>
      <c r="E195">
        <f ca="1">VLOOKUP(A195,Import_SuiviGlobal_MigAppliSate!A:I,5,FALSE)</f>
        <v>49330</v>
      </c>
      <c r="F195" t="str">
        <f ca="1">VLOOKUP(A195,Import_SuiviGlobal_MigAppliSate!A:I,6,FALSE)</f>
        <v>L'ARCHE DORÉE</v>
      </c>
      <c r="G195" t="str">
        <f ca="1">VLOOKUP(A195,Import_SuiviGlobal_MigAppliSate!A:I,7,FALSE)</f>
        <v>02.41.96.16.26</v>
      </c>
      <c r="H195" t="str">
        <f ca="1">VLOOKUP(A195,Import_SuiviGlobal_MigAppliSate!A:I,8,FALSE)</f>
        <v>GRAZELIE RPT SARL PHILIOTENA Alban</v>
      </c>
      <c r="I195" t="str">
        <f ca="1">VLOOKUP(A195,Import_SuiviGlobal_MigAppliSate!A:I,9,FALSE)</f>
        <v>alban.grazelie@systeme-u.fr</v>
      </c>
      <c r="J195" s="24" t="str">
        <f ca="1">VLOOKUP(A195,Import_SuiviGlobal_MigAppliSate!A:K,10,FALSE)</f>
        <v/>
      </c>
      <c r="K195" t="str">
        <f ca="1">VLOOKUP(A195,Import_SuiviGlobal_MigAppliSate!A:K,11,FALSE)</f>
        <v/>
      </c>
      <c r="O195" s="1" t="s">
        <v>22</v>
      </c>
    </row>
    <row r="196" spans="1:18" ht="12.75" hidden="1" x14ac:dyDescent="0.2">
      <c r="A196">
        <v>34739</v>
      </c>
      <c r="B196" t="str">
        <f ca="1">VLOOKUP(A196,Import_SuiviGlobal_MigAppliSate!A:I,2,FALSE)</f>
        <v>CHANCEAUX-SUR-CHOISILLE</v>
      </c>
      <c r="C196" t="str">
        <f ca="1">VLOOKUP(A196,Import_SuiviGlobal_MigAppliSate!A:I,3,FALSE)</f>
        <v>Super U</v>
      </c>
      <c r="D196" s="1" t="str">
        <f ca="1">VLOOKUP(A196,Import_SuiviGlobal_MigAppliSate!A:I,4,FALSE)</f>
        <v>Coop U Enseigne Ouest</v>
      </c>
      <c r="E196">
        <f ca="1">VLOOKUP(A196,Import_SuiviGlobal_MigAppliSate!A:I,5,FALSE)</f>
        <v>37390</v>
      </c>
      <c r="F196" t="str">
        <f ca="1">VLOOKUP(A196,Import_SuiviGlobal_MigAppliSate!A:I,6,FALSE)</f>
        <v>ZAC DE LA GRANDE PIECE</v>
      </c>
      <c r="G196" t="str">
        <f ca="1">VLOOKUP(A196,Import_SuiviGlobal_MigAppliSate!A:I,7,FALSE)</f>
        <v>02.47.36.39.40</v>
      </c>
      <c r="H196" t="str">
        <f ca="1">VLOOKUP(A196,Import_SuiviGlobal_MigAppliSate!A:I,8,FALSE)</f>
        <v>CARVALHO Victor</v>
      </c>
      <c r="I196" t="str">
        <f ca="1">VLOOKUP(A196,Import_SuiviGlobal_MigAppliSate!A:I,9,FALSE)</f>
        <v>victor.carvalho@systeme-u.fr</v>
      </c>
      <c r="J196" s="24" t="str">
        <f ca="1">VLOOKUP(A196,Import_SuiviGlobal_MigAppliSate!A:K,10,FALSE)</f>
        <v>JARRY Céline</v>
      </c>
      <c r="K196" t="str">
        <f ca="1">VLOOKUP(A196,Import_SuiviGlobal_MigAppliSate!A:K,11,FALSE)</f>
        <v>superu.chanceauxsurchoisille@systeme-u.fr</v>
      </c>
      <c r="O196" s="1" t="s">
        <v>22</v>
      </c>
    </row>
    <row r="197" spans="1:18" ht="12.75" hidden="1" x14ac:dyDescent="0.2">
      <c r="A197">
        <v>30558</v>
      </c>
      <c r="B197" t="str">
        <f ca="1">VLOOKUP(A197,Import_SuiviGlobal_MigAppliSate!A:I,2,FALSE)</f>
        <v>CHANGE</v>
      </c>
      <c r="C197" t="str">
        <f ca="1">VLOOKUP(A197,Import_SuiviGlobal_MigAppliSate!A:I,3,FALSE)</f>
        <v>Super U</v>
      </c>
      <c r="D197" s="1" t="str">
        <f ca="1">VLOOKUP(A197,Import_SuiviGlobal_MigAppliSate!A:I,4,FALSE)</f>
        <v>Coop U Enseigne Ouest</v>
      </c>
      <c r="E197">
        <f ca="1">VLOOKUP(A197,Import_SuiviGlobal_MigAppliSate!A:I,5,FALSE)</f>
        <v>72560</v>
      </c>
      <c r="F197" t="str">
        <f ca="1">VLOOKUP(A197,Import_SuiviGlobal_MigAppliSate!A:I,6,FALSE)</f>
        <v>CENTRE DU GRAND PIN</v>
      </c>
      <c r="G197" t="str">
        <f ca="1">VLOOKUP(A197,Import_SuiviGlobal_MigAppliSate!A:I,7,FALSE)</f>
        <v>02.43.78.30.10</v>
      </c>
      <c r="H197" t="str">
        <f ca="1">VLOOKUP(A197,Import_SuiviGlobal_MigAppliSate!A:I,8,FALSE)</f>
        <v>CARPENTIER RPT SC INVESTISSEME SAMUEL</v>
      </c>
      <c r="I197" t="str">
        <f ca="1">VLOOKUP(A197,Import_SuiviGlobal_MigAppliSate!A:I,9,FALSE)</f>
        <v>samuel.carpentier@systeme-u.fr</v>
      </c>
      <c r="J197" s="24" t="str">
        <f ca="1">VLOOKUP(A197,Import_SuiviGlobal_MigAppliSate!A:K,10,FALSE)</f>
        <v>Aurore Guillet</v>
      </c>
      <c r="K197" t="str">
        <f ca="1">VLOOKUP(A197,Import_SuiviGlobal_MigAppliSate!A:K,11,FALSE)</f>
        <v/>
      </c>
      <c r="O197" s="1" t="s">
        <v>22</v>
      </c>
    </row>
    <row r="198" spans="1:18" ht="12.75" hidden="1" x14ac:dyDescent="0.2">
      <c r="A198">
        <v>30825</v>
      </c>
      <c r="B198" t="str">
        <f ca="1">VLOOKUP(A198,Import_SuiviGlobal_MigAppliSate!A:I,2,FALSE)</f>
        <v>CHANTONNAY</v>
      </c>
      <c r="C198" t="str">
        <f ca="1">VLOOKUP(A198,Import_SuiviGlobal_MigAppliSate!A:I,3,FALSE)</f>
        <v>Hyper U</v>
      </c>
      <c r="D198" s="1" t="str">
        <f ca="1">VLOOKUP(A198,Import_SuiviGlobal_MigAppliSate!A:I,4,FALSE)</f>
        <v>Coop U Enseigne Ouest</v>
      </c>
      <c r="E198">
        <f ca="1">VLOOKUP(A198,Import_SuiviGlobal_MigAppliSate!A:I,5,FALSE)</f>
        <v>85110</v>
      </c>
      <c r="F198" t="str">
        <f ca="1">VLOOKUP(A198,Import_SuiviGlobal_MigAppliSate!A:I,6,FALSE)</f>
        <v>45 AVENUE GEORGES CLÉMENCEAU</v>
      </c>
      <c r="G198" t="str">
        <f ca="1">VLOOKUP(A198,Import_SuiviGlobal_MigAppliSate!A:I,7,FALSE)</f>
        <v>02.51.09.09.09</v>
      </c>
      <c r="H198" t="str">
        <f ca="1">VLOOKUP(A198,Import_SuiviGlobal_MigAppliSate!A:I,8,FALSE)</f>
        <v>PUAUD Herve</v>
      </c>
      <c r="I198" t="str">
        <f ca="1">VLOOKUP(A198,Import_SuiviGlobal_MigAppliSate!A:I,9,FALSE)</f>
        <v>herve.puaud@systeme-u.fr</v>
      </c>
      <c r="J198" s="24" t="str">
        <f ca="1">VLOOKUP(A198,Import_SuiviGlobal_MigAppliSate!A:K,10,FALSE)</f>
        <v>BREMAND SANDRINE</v>
      </c>
      <c r="K198" t="str">
        <f ca="1">VLOOKUP(A198,Import_SuiviGlobal_MigAppliSate!A:K,11,FALSE)</f>
        <v>hyperu.chantonnay.gescom@systeme-u.fr</v>
      </c>
      <c r="O198" s="1" t="s">
        <v>22</v>
      </c>
    </row>
    <row r="199" spans="1:18" ht="12.75" hidden="1" x14ac:dyDescent="0.2">
      <c r="A199">
        <v>21929</v>
      </c>
      <c r="B199" t="str">
        <f ca="1">VLOOKUP(A199,Import_SuiviGlobal_MigAppliSate!A:I,2,FALSE)</f>
        <v>CHARLY SUR MARNE</v>
      </c>
      <c r="C199" t="str">
        <f ca="1">VLOOKUP(A199,Import_SuiviGlobal_MigAppliSate!A:I,3,FALSE)</f>
        <v>Super U</v>
      </c>
      <c r="D199" s="1" t="str">
        <f ca="1">VLOOKUP(A199,Import_SuiviGlobal_MigAppliSate!A:I,4,FALSE)</f>
        <v>Coop U Enseigne NordOuest</v>
      </c>
      <c r="E199">
        <f ca="1">VLOOKUP(A199,Import_SuiviGlobal_MigAppliSate!A:I,5,FALSE)</f>
        <v>2310</v>
      </c>
      <c r="F199" t="str">
        <f ca="1">VLOOKUP(A199,Import_SuiviGlobal_MigAppliSate!A:I,6,FALSE)</f>
        <v>ROUTE DE PAVANT</v>
      </c>
      <c r="G199" t="str">
        <f ca="1">VLOOKUP(A199,Import_SuiviGlobal_MigAppliSate!A:I,7,FALSE)</f>
        <v>03.23.82.02.36</v>
      </c>
      <c r="H199" t="str">
        <f ca="1">VLOOKUP(A199,Import_SuiviGlobal_MigAppliSate!A:I,8,FALSE)</f>
        <v>OLIVIER Jean-Roch</v>
      </c>
      <c r="I199" t="str">
        <f ca="1">VLOOKUP(A199,Import_SuiviGlobal_MigAppliSate!A:I,9,FALSE)</f>
        <v>jean-roch.olivier@systeme-u.fr</v>
      </c>
      <c r="J199" s="24" t="str">
        <f ca="1">VLOOKUP(A199,Import_SuiviGlobal_MigAppliSate!A:K,10,FALSE)</f>
        <v>M. Boinard</v>
      </c>
      <c r="K199" t="str">
        <f ca="1">VLOOKUP(A199,Import_SuiviGlobal_MigAppliSate!A:K,11,FALSE)</f>
        <v xml:space="preserve">superu.charlysurmarne@systeme-u.fr </v>
      </c>
      <c r="O199" s="1" t="s">
        <v>22</v>
      </c>
    </row>
    <row r="200" spans="1:18" ht="12.75" hidden="1" x14ac:dyDescent="0.2">
      <c r="A200">
        <v>32399</v>
      </c>
      <c r="B200" t="str">
        <f ca="1">VLOOKUP(A200,Import_SuiviGlobal_MigAppliSate!A:I,2,FALSE)</f>
        <v>CHATEAU-D'OLONNE</v>
      </c>
      <c r="C200" t="str">
        <f ca="1">VLOOKUP(A200,Import_SuiviGlobal_MigAppliSate!A:I,3,FALSE)</f>
        <v>U Express</v>
      </c>
      <c r="D200" s="1" t="str">
        <f ca="1">VLOOKUP(A200,Import_SuiviGlobal_MigAppliSate!A:I,4,FALSE)</f>
        <v>Coop U Enseigne Ouest</v>
      </c>
      <c r="E200">
        <f ca="1">VLOOKUP(A200,Import_SuiviGlobal_MigAppliSate!A:I,5,FALSE)</f>
        <v>85180</v>
      </c>
      <c r="F200" t="str">
        <f ca="1">VLOOKUP(A200,Import_SuiviGlobal_MigAppliSate!A:I,6,FALSE)</f>
        <v>84, RUE DU DR SCHWEITZER</v>
      </c>
      <c r="G200" t="str">
        <f ca="1">VLOOKUP(A200,Import_SuiviGlobal_MigAppliSate!A:I,7,FALSE)</f>
        <v>02.51.32.46.84</v>
      </c>
      <c r="H200" t="str">
        <f ca="1">VLOOKUP(A200,Import_SuiviGlobal_MigAppliSate!A:I,8,FALSE)</f>
        <v>LEGOFF Olivier</v>
      </c>
      <c r="I200" t="str">
        <f ca="1">VLOOKUP(A200,Import_SuiviGlobal_MigAppliSate!A:I,9,FALSE)</f>
        <v>olivier.legoff@systeme-u.fr</v>
      </c>
      <c r="J200" s="24" t="str">
        <f ca="1">VLOOKUP(A200,Import_SuiviGlobal_MigAppliSate!A:K,10,FALSE)</f>
        <v>QUENTIN Frédérique</v>
      </c>
      <c r="K200" t="str">
        <f ca="1">VLOOKUP(A200,Import_SuiviGlobal_MigAppliSate!A:K,11,FALSE)</f>
        <v>uexpress.chateaudolonne@systeme-u.fr</v>
      </c>
      <c r="O200" s="1" t="s">
        <v>22</v>
      </c>
    </row>
    <row r="201" spans="1:18" ht="12.75" hidden="1" x14ac:dyDescent="0.2">
      <c r="A201">
        <v>33387</v>
      </c>
      <c r="B201" t="str">
        <f ca="1">VLOOKUP(A201,Import_SuiviGlobal_MigAppliSate!A:I,2,FALSE)</f>
        <v>CHATEAU-LA VALLIERE</v>
      </c>
      <c r="C201" t="str">
        <f ca="1">VLOOKUP(A201,Import_SuiviGlobal_MigAppliSate!A:I,3,FALSE)</f>
        <v>Super U</v>
      </c>
      <c r="D201" s="1" t="str">
        <f ca="1">VLOOKUP(A201,Import_SuiviGlobal_MigAppliSate!A:I,4,FALSE)</f>
        <v>Coop U Enseigne Ouest</v>
      </c>
      <c r="E201">
        <f ca="1">VLOOKUP(A201,Import_SuiviGlobal_MigAppliSate!A:I,5,FALSE)</f>
        <v>37330</v>
      </c>
      <c r="F201" t="str">
        <f ca="1">VLOOKUP(A201,Import_SuiviGlobal_MigAppliSate!A:I,6,FALSE)</f>
        <v>75 AVENUE DU GÉNÉRAL DE GAULLE</v>
      </c>
      <c r="G201" t="str">
        <f ca="1">VLOOKUP(A201,Import_SuiviGlobal_MigAppliSate!A:I,7,FALSE)</f>
        <v>02.47.24.03.97</v>
      </c>
      <c r="H201" t="str">
        <f ca="1">VLOOKUP(A201,Import_SuiviGlobal_MigAppliSate!A:I,8,FALSE)</f>
        <v>MARCHESSEAU RPT SARL SEMAFI Sébastien</v>
      </c>
      <c r="I201" t="str">
        <f ca="1">VLOOKUP(A201,Import_SuiviGlobal_MigAppliSate!A:I,9,FALSE)</f>
        <v>sebastien.marchesseau@systeme-u.fr</v>
      </c>
      <c r="J201" s="24" t="str">
        <f ca="1">VLOOKUP(A201,Import_SuiviGlobal_MigAppliSate!A:K,10,FALSE)</f>
        <v>Desrues Karine</v>
      </c>
      <c r="K201" t="str">
        <f ca="1">VLOOKUP(A201,Import_SuiviGlobal_MigAppliSate!A:K,11,FALSE)</f>
        <v xml:space="preserve">superu.chateaulavalliere@systeme-u.fr </v>
      </c>
      <c r="O201" s="1" t="s">
        <v>22</v>
      </c>
    </row>
    <row r="202" spans="1:18" ht="12.75" hidden="1" x14ac:dyDescent="0.2">
      <c r="A202">
        <v>38040</v>
      </c>
      <c r="B202" t="str">
        <f ca="1">VLOOKUP(A202,Import_SuiviGlobal_MigAppliSate!A:I,2,FALSE)</f>
        <v>CHATEAU-RENARD</v>
      </c>
      <c r="C202" t="str">
        <f ca="1">VLOOKUP(A202,Import_SuiviGlobal_MigAppliSate!A:I,3,FALSE)</f>
        <v>U Express</v>
      </c>
      <c r="D202" s="1" t="str">
        <f ca="1">VLOOKUP(A202,Import_SuiviGlobal_MigAppliSate!A:I,4,FALSE)</f>
        <v>Coop U Enseigne Ouest</v>
      </c>
      <c r="E202">
        <f ca="1">VLOOKUP(A202,Import_SuiviGlobal_MigAppliSate!A:I,5,FALSE)</f>
        <v>45220</v>
      </c>
      <c r="F202" t="str">
        <f ca="1">VLOOKUP(A202,Import_SuiviGlobal_MigAppliSate!A:I,6,FALSE)</f>
        <v>ALLÉE DU PRÉ CHAPON</v>
      </c>
      <c r="G202" t="str">
        <f ca="1">VLOOKUP(A202,Import_SuiviGlobal_MigAppliSate!A:I,7,FALSE)</f>
        <v>02.38.07.11.00</v>
      </c>
      <c r="H202" t="str">
        <f ca="1">VLOOKUP(A202,Import_SuiviGlobal_MigAppliSate!A:I,8,FALSE)</f>
        <v>DURANSON Philippe</v>
      </c>
      <c r="I202" t="str">
        <f ca="1">VLOOKUP(A202,Import_SuiviGlobal_MigAppliSate!A:I,9,FALSE)</f>
        <v>philippe.duranson@systeme-u.fr</v>
      </c>
      <c r="J202" s="24" t="str">
        <f ca="1">VLOOKUP(A202,Import_SuiviGlobal_MigAppliSate!A:K,10,FALSE)</f>
        <v/>
      </c>
      <c r="K202" t="str">
        <f ca="1">VLOOKUP(A202,Import_SuiviGlobal_MigAppliSate!A:K,11,FALSE)</f>
        <v/>
      </c>
      <c r="O202" s="1" t="s">
        <v>22</v>
      </c>
    </row>
    <row r="203" spans="1:18" ht="12.75" hidden="1" x14ac:dyDescent="0.2">
      <c r="A203">
        <v>31392</v>
      </c>
      <c r="B203" t="str">
        <f ca="1">VLOOKUP(A203,Import_SuiviGlobal_MigAppliSate!A:I,2,FALSE)</f>
        <v>CHATEAUBOURG</v>
      </c>
      <c r="C203" t="str">
        <f ca="1">VLOOKUP(A203,Import_SuiviGlobal_MigAppliSate!A:I,3,FALSE)</f>
        <v>Super U</v>
      </c>
      <c r="D203" s="1" t="str">
        <f ca="1">VLOOKUP(A203,Import_SuiviGlobal_MigAppliSate!A:I,4,FALSE)</f>
        <v>Coop U Enseigne Ouest</v>
      </c>
      <c r="E203">
        <f ca="1">VLOOKUP(A203,Import_SuiviGlobal_MigAppliSate!A:I,5,FALSE)</f>
        <v>35220</v>
      </c>
      <c r="F203" t="str">
        <f ca="1">VLOOKUP(A203,Import_SuiviGlobal_MigAppliSate!A:I,6,FALSE)</f>
        <v>ZAC DES JARDINS DE LA BRETONNIERE</v>
      </c>
      <c r="G203" t="str">
        <f ca="1">VLOOKUP(A203,Import_SuiviGlobal_MigAppliSate!A:I,7,FALSE)</f>
        <v>02.99.00.30.63</v>
      </c>
      <c r="H203" t="str">
        <f ca="1">VLOOKUP(A203,Import_SuiviGlobal_MigAppliSate!A:I,8,FALSE)</f>
        <v>RICHER RPT SARL GORRONDIS Claude</v>
      </c>
      <c r="I203" t="str">
        <f ca="1">VLOOKUP(A203,Import_SuiviGlobal_MigAppliSate!A:I,9,FALSE)</f>
        <v>claude.richer@systeme-u.fr</v>
      </c>
      <c r="J203" s="24" t="str">
        <f ca="1">VLOOKUP(A203,Import_SuiviGlobal_MigAppliSate!A:K,10,FALSE)</f>
        <v>Mr Sylvain  RICHER</v>
      </c>
      <c r="K203" t="str">
        <f ca="1">VLOOKUP(A203,Import_SuiviGlobal_MigAppliSate!A:K,11,FALSE)</f>
        <v>sylvain.richer@systeme-u.fr</v>
      </c>
      <c r="O203" s="1" t="s">
        <v>22</v>
      </c>
    </row>
    <row r="204" spans="1:18" ht="12.75" hidden="1" x14ac:dyDescent="0.2">
      <c r="A204">
        <v>31287</v>
      </c>
      <c r="B204" t="str">
        <f ca="1">VLOOKUP(A204,Import_SuiviGlobal_MigAppliSate!A:I,2,FALSE)</f>
        <v>CHATEAUBRIANT</v>
      </c>
      <c r="C204" t="str">
        <f ca="1">VLOOKUP(A204,Import_SuiviGlobal_MigAppliSate!A:I,3,FALSE)</f>
        <v>Hyper U</v>
      </c>
      <c r="D204" s="1" t="str">
        <f ca="1">VLOOKUP(A204,Import_SuiviGlobal_MigAppliSate!A:I,4,FALSE)</f>
        <v>Coop U Enseigne Ouest</v>
      </c>
      <c r="E204">
        <f ca="1">VLOOKUP(A204,Import_SuiviGlobal_MigAppliSate!A:I,5,FALSE)</f>
        <v>44110</v>
      </c>
      <c r="F204" t="str">
        <f ca="1">VLOOKUP(A204,Import_SuiviGlobal_MigAppliSate!A:I,6,FALSE)</f>
        <v>ROUTE DE ST AUBIN DES CHÂTEAUX</v>
      </c>
      <c r="G204" t="str">
        <f ca="1">VLOOKUP(A204,Import_SuiviGlobal_MigAppliSate!A:I,7,FALSE)</f>
        <v>02.40.28.38.38</v>
      </c>
      <c r="H204" t="str">
        <f ca="1">VLOOKUP(A204,Import_SuiviGlobal_MigAppliSate!A:I,8,FALSE)</f>
        <v>MOUSSET Philippe</v>
      </c>
      <c r="I204" t="str">
        <f ca="1">VLOOKUP(A204,Import_SuiviGlobal_MigAppliSate!A:I,9,FALSE)</f>
        <v>philippe.mousset@systeme-u.fr</v>
      </c>
      <c r="J204" s="24" t="str">
        <f ca="1">VLOOKUP(A204,Import_SuiviGlobal_MigAppliSate!A:K,10,FALSE)</f>
        <v>Karine Hallet</v>
      </c>
      <c r="K204" t="str">
        <f ca="1">VLOOKUP(A204,Import_SuiviGlobal_MigAppliSate!A:K,11,FALSE)</f>
        <v>karine.hallet@systeme-u.fr</v>
      </c>
      <c r="O204" s="1" t="s">
        <v>22</v>
      </c>
    </row>
    <row r="205" spans="1:18" ht="12.75" hidden="1" x14ac:dyDescent="0.2">
      <c r="A205">
        <v>35819</v>
      </c>
      <c r="B205" t="str">
        <f ca="1">VLOOKUP(A205,Import_SuiviGlobal_MigAppliSate!A:I,2,FALSE)</f>
        <v>CHATEAUGIRON</v>
      </c>
      <c r="C205" t="str">
        <f ca="1">VLOOKUP(A205,Import_SuiviGlobal_MigAppliSate!A:I,3,FALSE)</f>
        <v>Hyper U</v>
      </c>
      <c r="D205" s="1" t="str">
        <f ca="1">VLOOKUP(A205,Import_SuiviGlobal_MigAppliSate!A:I,4,FALSE)</f>
        <v>Coop U Enseigne Ouest</v>
      </c>
      <c r="E205">
        <f ca="1">VLOOKUP(A205,Import_SuiviGlobal_MigAppliSate!A:I,5,FALSE)</f>
        <v>35410</v>
      </c>
      <c r="F205" t="str">
        <f ca="1">VLOOKUP(A205,Import_SuiviGlobal_MigAppliSate!A:I,6,FALSE)</f>
        <v>CENTRE COMMERCIAL UNIVER</v>
      </c>
      <c r="G205" t="str">
        <f ca="1">VLOOKUP(A205,Import_SuiviGlobal_MigAppliSate!A:I,7,FALSE)</f>
        <v>02.99.37.49.45</v>
      </c>
      <c r="H205" t="str">
        <f ca="1">VLOOKUP(A205,Import_SuiviGlobal_MigAppliSate!A:I,8,FALSE)</f>
        <v>CHAUVIRE RPT SARL NEXONDIS Gaétan</v>
      </c>
      <c r="I205" t="str">
        <f ca="1">VLOOKUP(A205,Import_SuiviGlobal_MigAppliSate!A:I,9,FALSE)</f>
        <v>gaetan.chauvire@systeme-u.fr</v>
      </c>
      <c r="J205" s="24" t="str">
        <f ca="1">VLOOKUP(A205,Import_SuiviGlobal_MigAppliSate!A:K,10,FALSE)</f>
        <v>LE BOUTEILLER JEROME</v>
      </c>
      <c r="K205" t="str">
        <f ca="1">VLOOKUP(A205,Import_SuiviGlobal_MigAppliSate!A:K,11,FALSE)</f>
        <v>hyperu.chateaugiron.affichage@systeme-u.fr</v>
      </c>
      <c r="L205" s="1" t="s">
        <v>17</v>
      </c>
      <c r="M205" s="1" t="s">
        <v>24</v>
      </c>
      <c r="N205" s="1" t="s">
        <v>18</v>
      </c>
      <c r="O205" s="1" t="s">
        <v>19</v>
      </c>
      <c r="P205" s="1"/>
      <c r="Q205" s="1"/>
      <c r="R205" s="1"/>
    </row>
    <row r="206" spans="1:18" ht="12.75" x14ac:dyDescent="0.2">
      <c r="A206">
        <v>90653</v>
      </c>
      <c r="B206" t="str">
        <f ca="1">VLOOKUP(A206,Import_SuiviGlobal_MigAppliSate!A:I,2,FALSE)</f>
        <v>CHATEAUNEUF DE GALAURE</v>
      </c>
      <c r="C206" t="str">
        <f ca="1">VLOOKUP(A206,Import_SuiviGlobal_MigAppliSate!A:I,3,FALSE)</f>
        <v>U Express</v>
      </c>
      <c r="D206" s="1" t="str">
        <f ca="1">VLOOKUP(A206,Import_SuiviGlobal_MigAppliSate!A:I,4,FALSE)</f>
        <v>Coop MISTRAL</v>
      </c>
      <c r="E206">
        <f ca="1">VLOOKUP(A206,Import_SuiviGlobal_MigAppliSate!A:I,5,FALSE)</f>
        <v>26330</v>
      </c>
      <c r="F206" t="str">
        <f ca="1">VLOOKUP(A206,Import_SuiviGlobal_MigAppliSate!A:I,6,FALSE)</f>
        <v>2 RUE DU 14 JUILLET 1944</v>
      </c>
      <c r="G206" t="str">
        <f ca="1">VLOOKUP(A206,Import_SuiviGlobal_MigAppliSate!A:I,7,FALSE)</f>
        <v>04.75.68.60.39</v>
      </c>
      <c r="H206" t="str">
        <f ca="1">VLOOKUP(A206,Import_SuiviGlobal_MigAppliSate!A:I,8,FALSE)</f>
        <v>CHALAYE Laurent et Lydia</v>
      </c>
      <c r="I206" t="str">
        <f ca="1">VLOOKUP(A206,Import_SuiviGlobal_MigAppliSate!A:I,9,FALSE)</f>
        <v>lcl-lydia@wanadoo.fr</v>
      </c>
      <c r="J206" s="24" t="str">
        <f ca="1">VLOOKUP(A206,Import_SuiviGlobal_MigAppliSate!A:K,10,FALSE)</f>
        <v/>
      </c>
      <c r="K206" t="str">
        <f ca="1">VLOOKUP(A206,Import_SuiviGlobal_MigAppliSate!A:K,11,FALSE)</f>
        <v>delphine.damian@lemistral.fr,helene.mina@lemistral.fr</v>
      </c>
      <c r="L206" t="s">
        <v>17</v>
      </c>
      <c r="M206" t="s">
        <v>0</v>
      </c>
      <c r="O206" s="1" t="s">
        <v>22</v>
      </c>
    </row>
    <row r="207" spans="1:18" ht="12.75" hidden="1" x14ac:dyDescent="0.2">
      <c r="A207">
        <v>91133</v>
      </c>
      <c r="B207" t="str">
        <f ca="1">VLOOKUP(A207,Import_SuiviGlobal_MigAppliSate!A:I,2,FALSE)</f>
        <v>CHATEAUNEUF DU RHONE</v>
      </c>
      <c r="C207" t="str">
        <f ca="1">VLOOKUP(A207,Import_SuiviGlobal_MigAppliSate!A:I,3,FALSE)</f>
        <v>U Express</v>
      </c>
      <c r="D207" s="1" t="str">
        <f ca="1">VLOOKUP(A207,Import_SuiviGlobal_MigAppliSate!A:I,4,FALSE)</f>
        <v>Coop MISTRAL</v>
      </c>
      <c r="E207">
        <f ca="1">VLOOKUP(A207,Import_SuiviGlobal_MigAppliSate!A:I,5,FALSE)</f>
        <v>26780</v>
      </c>
      <c r="F207" t="str">
        <f ca="1">VLOOKUP(A207,Import_SuiviGlobal_MigAppliSate!A:I,6,FALSE)</f>
        <v>LIEU DIT BRUNETTE</v>
      </c>
      <c r="G207" t="str">
        <f ca="1">VLOOKUP(A207,Import_SuiviGlobal_MigAppliSate!A:I,7,FALSE)</f>
        <v>04.75.90.00.07</v>
      </c>
      <c r="H207" t="str">
        <f ca="1">VLOOKUP(A207,Import_SuiviGlobal_MigAppliSate!A:I,8,FALSE)</f>
        <v>TORRES &amp; CAVAGNA Margaux &amp; Fabrice</v>
      </c>
      <c r="I207" t="str">
        <f ca="1">VLOOKUP(A207,Import_SuiviGlobal_MigAppliSate!A:I,9,FALSE)</f>
        <v>uexpress.chateauneufdurhone@gmail.com</v>
      </c>
      <c r="J207" s="24" t="str">
        <f ca="1">VLOOKUP(A207,Import_SuiviGlobal_MigAppliSate!A:K,10,FALSE)</f>
        <v>M CAVAGNA</v>
      </c>
      <c r="K207" t="str">
        <f ca="1">VLOOKUP(A207,Import_SuiviGlobal_MigAppliSate!A:K,11,FALSE)</f>
        <v>delphine.damian@lemistral.fr,helene.mina@lemistral.fr</v>
      </c>
      <c r="O207" s="1" t="s">
        <v>22</v>
      </c>
    </row>
    <row r="208" spans="1:18" ht="12.75" hidden="1" x14ac:dyDescent="0.2">
      <c r="A208">
        <v>35274</v>
      </c>
      <c r="B208" t="str">
        <f ca="1">VLOOKUP(A208,Import_SuiviGlobal_MigAppliSate!A:I,2,FALSE)</f>
        <v>CHATEAUNEUF-LA FORET</v>
      </c>
      <c r="C208" t="str">
        <f ca="1">VLOOKUP(A208,Import_SuiviGlobal_MigAppliSate!A:I,3,FALSE)</f>
        <v>Super U</v>
      </c>
      <c r="D208" s="1" t="str">
        <f ca="1">VLOOKUP(A208,Import_SuiviGlobal_MigAppliSate!A:I,4,FALSE)</f>
        <v>Coop U Enseigne Ouest</v>
      </c>
      <c r="E208">
        <f ca="1">VLOOKUP(A208,Import_SuiviGlobal_MigAppliSate!A:I,5,FALSE)</f>
        <v>87130</v>
      </c>
      <c r="F208" t="str">
        <f ca="1">VLOOKUP(A208,Import_SuiviGlobal_MigAppliSate!A:I,6,FALSE)</f>
        <v>LE ROUCHILLOUX</v>
      </c>
      <c r="G208" t="str">
        <f ca="1">VLOOKUP(A208,Import_SuiviGlobal_MigAppliSate!A:I,7,FALSE)</f>
        <v>05.55.69.30.26</v>
      </c>
      <c r="H208" t="str">
        <f ca="1">VLOOKUP(A208,Import_SuiviGlobal_MigAppliSate!A:I,8,FALSE)</f>
        <v>DOUGE RPT SARL EMMADIS Anthony</v>
      </c>
      <c r="I208" t="str">
        <f ca="1">VLOOKUP(A208,Import_SuiviGlobal_MigAppliSate!A:I,9,FALSE)</f>
        <v>anthony.douge@systeme-u.fr</v>
      </c>
      <c r="J208" s="24" t="str">
        <f ca="1">VLOOKUP(A208,Import_SuiviGlobal_MigAppliSate!A:K,10,FALSE)</f>
        <v/>
      </c>
      <c r="K208" t="str">
        <f ca="1">VLOOKUP(A208,Import_SuiviGlobal_MigAppliSate!A:K,11,FALSE)</f>
        <v/>
      </c>
      <c r="O208" s="1" t="s">
        <v>22</v>
      </c>
    </row>
    <row r="209" spans="1:15" ht="12.75" hidden="1" x14ac:dyDescent="0.2">
      <c r="A209">
        <v>35258</v>
      </c>
      <c r="B209" t="str">
        <f ca="1">VLOOKUP(A209,Import_SuiviGlobal_MigAppliSate!A:I,2,FALSE)</f>
        <v>CHATEAUNEUF-SUR-CHARENTE</v>
      </c>
      <c r="C209" t="str">
        <f ca="1">VLOOKUP(A209,Import_SuiviGlobal_MigAppliSate!A:I,3,FALSE)</f>
        <v>Super U</v>
      </c>
      <c r="D209" s="1" t="str">
        <f ca="1">VLOOKUP(A209,Import_SuiviGlobal_MigAppliSate!A:I,4,FALSE)</f>
        <v>Coop U Enseigne Ouest</v>
      </c>
      <c r="E209">
        <f ca="1">VLOOKUP(A209,Import_SuiviGlobal_MigAppliSate!A:I,5,FALSE)</f>
        <v>16120</v>
      </c>
      <c r="F209" t="str">
        <f ca="1">VLOOKUP(A209,Import_SuiviGlobal_MigAppliSate!A:I,6,FALSE)</f>
        <v>ROUTE DE BLANZAC</v>
      </c>
      <c r="G209" t="str">
        <f ca="1">VLOOKUP(A209,Import_SuiviGlobal_MigAppliSate!A:I,7,FALSE)</f>
        <v>05.45.66.24.28</v>
      </c>
      <c r="H209" t="str">
        <f ca="1">VLOOKUP(A209,Import_SuiviGlobal_MigAppliSate!A:I,8,FALSE)</f>
        <v>BOURREAU RPT SARL ALMASA Stephane</v>
      </c>
      <c r="I209" t="str">
        <f ca="1">VLOOKUP(A209,Import_SuiviGlobal_MigAppliSate!A:I,9,FALSE)</f>
        <v>stephane.bourreau@systeme-u.fr</v>
      </c>
      <c r="J209" s="24" t="str">
        <f ca="1">VLOOKUP(A209,Import_SuiviGlobal_MigAppliSate!A:K,10,FALSE)</f>
        <v>CABROLIER STEPHANE</v>
      </c>
      <c r="K209" t="str">
        <f ca="1">VLOOKUP(A209,Import_SuiviGlobal_MigAppliSate!A:K,11,FALSE)</f>
        <v>superu.chateauneufsurcharente.direction@systeme-u.fr</v>
      </c>
      <c r="O209" s="1" t="s">
        <v>22</v>
      </c>
    </row>
    <row r="210" spans="1:15" ht="12.75" hidden="1" x14ac:dyDescent="0.2">
      <c r="A210">
        <v>31120</v>
      </c>
      <c r="B210" t="str">
        <f ca="1">VLOOKUP(A210,Import_SuiviGlobal_MigAppliSate!A:I,2,FALSE)</f>
        <v>CHATEAUNEUF-SUR-LOIRE</v>
      </c>
      <c r="C210" t="str">
        <f ca="1">VLOOKUP(A210,Import_SuiviGlobal_MigAppliSate!A:I,3,FALSE)</f>
        <v>Super U</v>
      </c>
      <c r="D210" s="1" t="str">
        <f ca="1">VLOOKUP(A210,Import_SuiviGlobal_MigAppliSate!A:I,4,FALSE)</f>
        <v>Coop U Enseigne Ouest</v>
      </c>
      <c r="E210">
        <f ca="1">VLOOKUP(A210,Import_SuiviGlobal_MigAppliSate!A:I,5,FALSE)</f>
        <v>45110</v>
      </c>
      <c r="F210" t="str">
        <f ca="1">VLOOKUP(A210,Import_SuiviGlobal_MigAppliSate!A:I,6,FALSE)</f>
        <v>AVENUE DE GATINAIS</v>
      </c>
      <c r="G210" t="str">
        <f ca="1">VLOOKUP(A210,Import_SuiviGlobal_MigAppliSate!A:I,7,FALSE)</f>
        <v>02.38.46.21.50</v>
      </c>
      <c r="H210" t="str">
        <f ca="1">VLOOKUP(A210,Import_SuiviGlobal_MigAppliSate!A:I,8,FALSE)</f>
        <v>AUBE RPT SARL FINANC. PERDIS Véronique</v>
      </c>
      <c r="I210" t="str">
        <f ca="1">VLOOKUP(A210,Import_SuiviGlobal_MigAppliSate!A:I,9,FALSE)</f>
        <v>veronique.aube@systeme-u.fr</v>
      </c>
      <c r="J210" s="24" t="str">
        <f ca="1">VLOOKUP(A210,Import_SuiviGlobal_MigAppliSate!A:K,10,FALSE)</f>
        <v>Olivier CHWARTZ
Isabelle (UPLV)</v>
      </c>
      <c r="K210" t="str">
        <f ca="1">VLOOKUP(A210,Import_SuiviGlobal_MigAppliSate!A:K,11,FALSE)</f>
        <v>superu.chateauneufsurloire.direction@systeme-u.fr, superu.chateauneufsurloire.gescom@systeme-u.fr</v>
      </c>
      <c r="L210" s="1" t="s">
        <v>17</v>
      </c>
      <c r="M210" s="1" t="s">
        <v>24</v>
      </c>
      <c r="N210" s="1" t="s">
        <v>18</v>
      </c>
      <c r="O210" s="1" t="s">
        <v>25</v>
      </c>
    </row>
    <row r="211" spans="1:15" ht="12.75" hidden="1" x14ac:dyDescent="0.2">
      <c r="A211">
        <v>37730</v>
      </c>
      <c r="B211" t="str">
        <f ca="1">VLOOKUP(A211,Import_SuiviGlobal_MigAppliSate!A:I,2,FALSE)</f>
        <v>CHATEAUNEUF-SUR-SARTHE</v>
      </c>
      <c r="C211" t="str">
        <f ca="1">VLOOKUP(A211,Import_SuiviGlobal_MigAppliSate!A:I,3,FALSE)</f>
        <v>Super U</v>
      </c>
      <c r="D211" s="1" t="str">
        <f ca="1">VLOOKUP(A211,Import_SuiviGlobal_MigAppliSate!A:I,4,FALSE)</f>
        <v>Coop U Enseigne Ouest</v>
      </c>
      <c r="E211">
        <f ca="1">VLOOKUP(A211,Import_SuiviGlobal_MigAppliSate!A:I,5,FALSE)</f>
        <v>49330</v>
      </c>
      <c r="F211" t="str">
        <f ca="1">VLOOKUP(A211,Import_SuiviGlobal_MigAppliSate!A:I,6,FALSE)</f>
        <v>MA CAMPAGNE</v>
      </c>
      <c r="G211" t="str">
        <f ca="1">VLOOKUP(A211,Import_SuiviGlobal_MigAppliSate!A:I,7,FALSE)</f>
        <v>02.41.69.83.10</v>
      </c>
      <c r="H211" t="str">
        <f ca="1">VLOOKUP(A211,Import_SuiviGlobal_MigAppliSate!A:I,8,FALSE)</f>
        <v>GRAZELIE RPT SARL PHILIOTENA Alban</v>
      </c>
      <c r="I211" t="str">
        <f ca="1">VLOOKUP(A211,Import_SuiviGlobal_MigAppliSate!A:I,9,FALSE)</f>
        <v>alban.grazelie@systeme-u.fr</v>
      </c>
      <c r="J211" s="24" t="str">
        <f ca="1">VLOOKUP(A211,Import_SuiviGlobal_MigAppliSate!A:K,10,FALSE)</f>
        <v>Mme Bourneuf</v>
      </c>
      <c r="K211" t="str">
        <f ca="1">VLOOKUP(A211,Import_SuiviGlobal_MigAppliSate!A:K,11,FALSE)</f>
        <v>superu.chateauneufsursarthe@systeme-u.fr</v>
      </c>
      <c r="O211" s="1" t="s">
        <v>22</v>
      </c>
    </row>
    <row r="212" spans="1:15" ht="12.75" hidden="1" x14ac:dyDescent="0.2">
      <c r="A212">
        <v>90076</v>
      </c>
      <c r="B212" t="str">
        <f ca="1">VLOOKUP(A212,Import_SuiviGlobal_MigAppliSate!A:I,2,FALSE)</f>
        <v>CHATEAURENARD</v>
      </c>
      <c r="C212" t="str">
        <f ca="1">VLOOKUP(A212,Import_SuiviGlobal_MigAppliSate!A:I,3,FALSE)</f>
        <v>Super U</v>
      </c>
      <c r="D212" s="1" t="str">
        <f ca="1">VLOOKUP(A212,Import_SuiviGlobal_MigAppliSate!A:I,4,FALSE)</f>
        <v>Coop U Enseigne Sud</v>
      </c>
      <c r="E212">
        <f ca="1">VLOOKUP(A212,Import_SuiviGlobal_MigAppliSate!A:I,5,FALSE)</f>
        <v>13160</v>
      </c>
      <c r="F212" t="str">
        <f ca="1">VLOOKUP(A212,Import_SuiviGlobal_MigAppliSate!A:I,6,FALSE)</f>
        <v>CHEMIN DE L'ORATOIRE</v>
      </c>
      <c r="G212" t="str">
        <f ca="1">VLOOKUP(A212,Import_SuiviGlobal_MigAppliSate!A:I,7,FALSE)</f>
        <v>04.90.94.21.93</v>
      </c>
      <c r="H212" t="str">
        <f ca="1">VLOOKUP(A212,Import_SuiviGlobal_MigAppliSate!A:I,8,FALSE)</f>
        <v>DEPRET Auriane et Marc</v>
      </c>
      <c r="I212" t="str">
        <f ca="1">VLOOKUP(A212,Import_SuiviGlobal_MigAppliSate!A:I,9,FALSE)</f>
        <v>auriane.depret@systeme-u.fr</v>
      </c>
      <c r="J212" s="24" t="str">
        <f ca="1">VLOOKUP(A212,Import_SuiviGlobal_MigAppliSate!A:K,10,FALSE)</f>
        <v>Mme LEPAGE</v>
      </c>
      <c r="K212" t="str">
        <f ca="1">VLOOKUP(A212,Import_SuiviGlobal_MigAppliSate!A:K,11,FALSE)</f>
        <v>superu.chateaurenard.direction@systeme-u.fr</v>
      </c>
      <c r="O212" s="1" t="s">
        <v>22</v>
      </c>
    </row>
    <row r="213" spans="1:15" ht="12.75" hidden="1" x14ac:dyDescent="0.2">
      <c r="A213">
        <v>30626</v>
      </c>
      <c r="B213" t="str">
        <f ca="1">VLOOKUP(A213,Import_SuiviGlobal_MigAppliSate!A:I,2,FALSE)</f>
        <v>CHATEAUROUX MARINS</v>
      </c>
      <c r="C213" t="str">
        <f ca="1">VLOOKUP(A213,Import_SuiviGlobal_MigAppliSate!A:I,3,FALSE)</f>
        <v>U Express</v>
      </c>
      <c r="D213" s="1" t="str">
        <f ca="1">VLOOKUP(A213,Import_SuiviGlobal_MigAppliSate!A:I,4,FALSE)</f>
        <v>Coop U Enseigne Ouest</v>
      </c>
      <c r="E213">
        <f ca="1">VLOOKUP(A213,Import_SuiviGlobal_MigAppliSate!A:I,5,FALSE)</f>
        <v>36000</v>
      </c>
      <c r="F213" t="str">
        <f ca="1">VLOOKUP(A213,Import_SuiviGlobal_MigAppliSate!A:I,6,FALSE)</f>
        <v>39, AVENUE DES MARINS</v>
      </c>
      <c r="G213" t="str">
        <f ca="1">VLOOKUP(A213,Import_SuiviGlobal_MigAppliSate!A:I,7,FALSE)</f>
        <v>02.54.34.87.78</v>
      </c>
      <c r="H213" t="str">
        <f ca="1">VLOOKUP(A213,Import_SuiviGlobal_MigAppliSate!A:I,8,FALSE)</f>
        <v>PINARD RPT SARL LA BRASSERIE David</v>
      </c>
      <c r="I213" t="str">
        <f ca="1">VLOOKUP(A213,Import_SuiviGlobal_MigAppliSate!A:I,9,FALSE)</f>
        <v>david.pinard@systeme-u.fr</v>
      </c>
      <c r="J213" s="24" t="str">
        <f ca="1">VLOOKUP(A213,Import_SuiviGlobal_MigAppliSate!A:K,10,FALSE)</f>
        <v>M. Pinard
Mme Forest</v>
      </c>
      <c r="K213" t="str">
        <f ca="1">VLOOKUP(A213,Import_SuiviGlobal_MigAppliSate!A:K,11,FALSE)</f>
        <v>uexpress.chateauroux@systeme-u.fr</v>
      </c>
      <c r="O213" s="1" t="s">
        <v>22</v>
      </c>
    </row>
    <row r="214" spans="1:15" ht="12.75" hidden="1" x14ac:dyDescent="0.2">
      <c r="A214">
        <v>32065</v>
      </c>
      <c r="B214" t="str">
        <f ca="1">VLOOKUP(A214,Import_SuiviGlobal_MigAppliSate!A:I,2,FALSE)</f>
        <v>CHATELLERAULT</v>
      </c>
      <c r="C214" t="str">
        <f ca="1">VLOOKUP(A214,Import_SuiviGlobal_MigAppliSate!A:I,3,FALSE)</f>
        <v>Super U</v>
      </c>
      <c r="D214" s="1" t="str">
        <f ca="1">VLOOKUP(A214,Import_SuiviGlobal_MigAppliSate!A:I,4,FALSE)</f>
        <v>Coop Atlantique</v>
      </c>
      <c r="E214">
        <f ca="1">VLOOKUP(A214,Import_SuiviGlobal_MigAppliSate!A:I,5,FALSE)</f>
        <v>86100</v>
      </c>
      <c r="F214" t="str">
        <f ca="1">VLOOKUP(A214,Import_SuiviGlobal_MigAppliSate!A:I,6,FALSE)</f>
        <v>CHEMIN DE PARADIS</v>
      </c>
      <c r="G214" t="str">
        <f ca="1">VLOOKUP(A214,Import_SuiviGlobal_MigAppliSate!A:I,7,FALSE)</f>
        <v>05.49.02.07.07</v>
      </c>
      <c r="H214" t="str">
        <f ca="1">VLOOKUP(A214,Import_SuiviGlobal_MigAppliSate!A:I,8,FALSE)</f>
        <v>FLAMBARD Hervé</v>
      </c>
      <c r="I214" t="str">
        <f ca="1">VLOOKUP(A214,Import_SuiviGlobal_MigAppliSate!A:I,9,FALSE)</f>
        <v>bertrand.defontaine_coop_su_uex@systeme-u.fr</v>
      </c>
      <c r="J214" s="24" t="str">
        <f ca="1">VLOOKUP(A214,Import_SuiviGlobal_MigAppliSate!A:K,10,FALSE)</f>
        <v>Mr Tessier</v>
      </c>
      <c r="K214" t="str">
        <f ca="1">VLOOKUP(A214,Import_SuiviGlobal_MigAppliSate!A:K,11,FALSE)</f>
        <v>superu.chatellerault.direction@systeme-u.fr,nbrigant@coop-atlantique.fr,sjaud@coop-atlantique.fr, gtessier@coop-atlantique.fr</v>
      </c>
      <c r="L214" s="1" t="s">
        <v>17</v>
      </c>
      <c r="M214" t="s">
        <v>23</v>
      </c>
      <c r="O214" s="1" t="s">
        <v>22</v>
      </c>
    </row>
    <row r="215" spans="1:15" ht="12.75" hidden="1" x14ac:dyDescent="0.2">
      <c r="A215">
        <v>34202</v>
      </c>
      <c r="B215" t="str">
        <f ca="1">VLOOKUP(A215,Import_SuiviGlobal_MigAppliSate!A:I,2,FALSE)</f>
        <v>CHATELLERAULT BLOSSAC</v>
      </c>
      <c r="C215" t="str">
        <f ca="1">VLOOKUP(A215,Import_SuiviGlobal_MigAppliSate!A:I,3,FALSE)</f>
        <v>Utile</v>
      </c>
      <c r="D215" s="1" t="str">
        <f ca="1">VLOOKUP(A215,Import_SuiviGlobal_MigAppliSate!A:I,4,FALSE)</f>
        <v>Coop Atlantique</v>
      </c>
      <c r="E215">
        <f ca="1">VLOOKUP(A215,Import_SuiviGlobal_MigAppliSate!A:I,5,FALSE)</f>
        <v>86100</v>
      </c>
      <c r="F215" t="str">
        <f ca="1">VLOOKUP(A215,Import_SuiviGlobal_MigAppliSate!A:I,6,FALSE)</f>
        <v>14 BOULEVARD BLOSSAC</v>
      </c>
      <c r="G215" t="str">
        <f ca="1">VLOOKUP(A215,Import_SuiviGlobal_MigAppliSate!A:I,7,FALSE)</f>
        <v>05.49.21.31.38</v>
      </c>
      <c r="H215" t="str">
        <f ca="1">VLOOKUP(A215,Import_SuiviGlobal_MigAppliSate!A:I,8,FALSE)</f>
        <v>FLAMBARD Hervé</v>
      </c>
      <c r="I215" t="str">
        <f ca="1">VLOOKUP(A215,Import_SuiviGlobal_MigAppliSate!A:I,9,FALSE)</f>
        <v>bertrand.defontaine_coop_su_uex@systeme-u.fr</v>
      </c>
      <c r="J215" s="24" t="str">
        <f ca="1">VLOOKUP(A215,Import_SuiviGlobal_MigAppliSate!A:K,10,FALSE)</f>
        <v>Jean-Charles Roy</v>
      </c>
      <c r="K215" t="str">
        <f ca="1">VLOOKUP(A215,Import_SuiviGlobal_MigAppliSate!A:K,11,FALSE)</f>
        <v>uexpress.chatelleraultblossac.direction@systeme-u.fr,nbrigant@coop-atlantique.fr,sjaud@coop-atlantique.fr</v>
      </c>
      <c r="L215" s="1" t="s">
        <v>17</v>
      </c>
      <c r="M215" t="s">
        <v>23</v>
      </c>
      <c r="O215" s="1" t="s">
        <v>22</v>
      </c>
    </row>
    <row r="216" spans="1:15" ht="12.75" hidden="1" x14ac:dyDescent="0.2">
      <c r="A216">
        <v>65222</v>
      </c>
      <c r="B216" t="str">
        <f ca="1">VLOOKUP(A216,Import_SuiviGlobal_MigAppliSate!A:I,2,FALSE)</f>
        <v>CHATENOIS</v>
      </c>
      <c r="C216" t="str">
        <f ca="1">VLOOKUP(A216,Import_SuiviGlobal_MigAppliSate!A:I,3,FALSE)</f>
        <v>Super U</v>
      </c>
      <c r="D216" s="1" t="str">
        <f ca="1">VLOOKUP(A216,Import_SuiviGlobal_MigAppliSate!A:I,4,FALSE)</f>
        <v>Coop U Enseigne Est</v>
      </c>
      <c r="E216">
        <f ca="1">VLOOKUP(A216,Import_SuiviGlobal_MigAppliSate!A:I,5,FALSE)</f>
        <v>88170</v>
      </c>
      <c r="F216" t="str">
        <f ca="1">VLOOKUP(A216,Import_SuiviGlobal_MigAppliSate!A:I,6,FALSE)</f>
        <v>11 rue Pierre de Coubertin</v>
      </c>
      <c r="G216" t="str">
        <f ca="1">VLOOKUP(A216,Import_SuiviGlobal_MigAppliSate!A:I,7,FALSE)</f>
        <v>03.29.94.50.02</v>
      </c>
      <c r="H216" t="str">
        <f ca="1">VLOOKUP(A216,Import_SuiviGlobal_MigAppliSate!A:I,8,FALSE)</f>
        <v>MARCHAL Aurore</v>
      </c>
      <c r="I216" t="str">
        <f ca="1">VLOOKUP(A216,Import_SuiviGlobal_MigAppliSate!A:I,9,FALSE)</f>
        <v>aurore.marchal@systeme-u.fr</v>
      </c>
      <c r="J216" s="24" t="str">
        <f ca="1">VLOOKUP(A216,Import_SuiviGlobal_MigAppliSate!A:K,10,FALSE)</f>
        <v/>
      </c>
      <c r="K216" t="str">
        <f ca="1">VLOOKUP(A216,Import_SuiviGlobal_MigAppliSate!A:K,11,FALSE)</f>
        <v/>
      </c>
      <c r="O216" s="1" t="s">
        <v>22</v>
      </c>
    </row>
    <row r="217" spans="1:15" ht="12.75" hidden="1" x14ac:dyDescent="0.2">
      <c r="A217">
        <v>34146</v>
      </c>
      <c r="B217" t="str">
        <f ca="1">VLOOKUP(A217,Import_SuiviGlobal_MigAppliSate!A:I,2,FALSE)</f>
        <v>CHATILLON-COLIGNY</v>
      </c>
      <c r="C217" t="str">
        <f ca="1">VLOOKUP(A217,Import_SuiviGlobal_MigAppliSate!A:I,3,FALSE)</f>
        <v>Super U</v>
      </c>
      <c r="D217" s="1" t="str">
        <f ca="1">VLOOKUP(A217,Import_SuiviGlobal_MigAppliSate!A:I,4,FALSE)</f>
        <v>Coop U Enseigne Ouest</v>
      </c>
      <c r="E217">
        <f ca="1">VLOOKUP(A217,Import_SuiviGlobal_MigAppliSate!A:I,5,FALSE)</f>
        <v>45230</v>
      </c>
      <c r="F217" t="str">
        <f ca="1">VLOOKUP(A217,Import_SuiviGlobal_MigAppliSate!A:I,6,FALSE)</f>
        <v>ROUTE DE MONTARGIS</v>
      </c>
      <c r="G217" t="str">
        <f ca="1">VLOOKUP(A217,Import_SuiviGlobal_MigAppliSate!A:I,7,FALSE)</f>
        <v>02.38.96.04.72</v>
      </c>
      <c r="H217" t="str">
        <f ca="1">VLOOKUP(A217,Import_SuiviGlobal_MigAppliSate!A:I,8,FALSE)</f>
        <v>MARTELLA Michel</v>
      </c>
      <c r="I217" t="str">
        <f ca="1">VLOOKUP(A217,Import_SuiviGlobal_MigAppliSate!A:I,9,FALSE)</f>
        <v>michel.martella@systeme-u.fr</v>
      </c>
      <c r="J217" s="24" t="str">
        <f ca="1">VLOOKUP(A217,Import_SuiviGlobal_MigAppliSate!A:K,10,FALSE)</f>
        <v>Steeve Luche
Melcer Eloïse</v>
      </c>
      <c r="K217" t="str">
        <f ca="1">VLOOKUP(A217,Import_SuiviGlobal_MigAppliSate!A:K,11,FALSE)</f>
        <v>Superu.chatilloncoligny@systeme-u.fr</v>
      </c>
      <c r="O217" s="1" t="s">
        <v>22</v>
      </c>
    </row>
    <row r="218" spans="1:15" ht="12.75" hidden="1" x14ac:dyDescent="0.2">
      <c r="A218">
        <v>31902</v>
      </c>
      <c r="B218" t="str">
        <f ca="1">VLOOKUP(A218,Import_SuiviGlobal_MigAppliSate!A:I,2,FALSE)</f>
        <v>CHATILLON-SUR-SEICHE</v>
      </c>
      <c r="C218" t="str">
        <f ca="1">VLOOKUP(A218,Import_SuiviGlobal_MigAppliSate!A:I,3,FALSE)</f>
        <v>Super U</v>
      </c>
      <c r="D218" s="1" t="str">
        <f ca="1">VLOOKUP(A218,Import_SuiviGlobal_MigAppliSate!A:I,4,FALSE)</f>
        <v>Coop U Enseigne Ouest</v>
      </c>
      <c r="E218">
        <f ca="1">VLOOKUP(A218,Import_SuiviGlobal_MigAppliSate!A:I,5,FALSE)</f>
        <v>35230</v>
      </c>
      <c r="F218" t="str">
        <f ca="1">VLOOKUP(A218,Import_SuiviGlobal_MigAppliSate!A:I,6,FALSE)</f>
        <v>LES CHAMPS MOUTAIS</v>
      </c>
      <c r="G218" t="str">
        <f ca="1">VLOOKUP(A218,Import_SuiviGlobal_MigAppliSate!A:I,7,FALSE)</f>
        <v>02.99.52.26.52</v>
      </c>
      <c r="H218" t="str">
        <f ca="1">VLOOKUP(A218,Import_SuiviGlobal_MigAppliSate!A:I,8,FALSE)</f>
        <v>FONTAINE Régis</v>
      </c>
      <c r="I218" t="str">
        <f ca="1">VLOOKUP(A218,Import_SuiviGlobal_MigAppliSate!A:I,9,FALSE)</f>
        <v>regis.fontaine@systeme-u.fr</v>
      </c>
      <c r="J218" s="24" t="str">
        <f ca="1">VLOOKUP(A218,Import_SuiviGlobal_MigAppliSate!A:K,10,FALSE)</f>
        <v>Mr CHAILLOU</v>
      </c>
      <c r="K218" t="str">
        <f ca="1">VLOOKUP(A218,Import_SuiviGlobal_MigAppliSate!A:K,11,FALSE)</f>
        <v>superu.chatillonsurseiche@systeme-u.fr</v>
      </c>
      <c r="O218" s="1" t="s">
        <v>22</v>
      </c>
    </row>
    <row r="219" spans="1:15" ht="12.75" hidden="1" x14ac:dyDescent="0.2">
      <c r="A219">
        <v>21635</v>
      </c>
      <c r="B219" t="str">
        <f ca="1">VLOOKUP(A219,Import_SuiviGlobal_MigAppliSate!A:I,2,FALSE)</f>
        <v>CHATOU</v>
      </c>
      <c r="C219" t="str">
        <f ca="1">VLOOKUP(A219,Import_SuiviGlobal_MigAppliSate!A:I,3,FALSE)</f>
        <v>Super U</v>
      </c>
      <c r="D219" s="1" t="str">
        <f ca="1">VLOOKUP(A219,Import_SuiviGlobal_MigAppliSate!A:I,4,FALSE)</f>
        <v>Coop U Enseigne NordOuest</v>
      </c>
      <c r="E219">
        <f ca="1">VLOOKUP(A219,Import_SuiviGlobal_MigAppliSate!A:I,5,FALSE)</f>
        <v>78400</v>
      </c>
      <c r="F219" t="str">
        <f ca="1">VLOOKUP(A219,Import_SuiviGlobal_MigAppliSate!A:I,6,FALSE)</f>
        <v>5 PLACE MAURICE BERTEAUX</v>
      </c>
      <c r="G219" t="str">
        <f ca="1">VLOOKUP(A219,Import_SuiviGlobal_MigAppliSate!A:I,7,FALSE)</f>
        <v>01.34.80.96.96</v>
      </c>
      <c r="H219" t="str">
        <f ca="1">VLOOKUP(A219,Import_SuiviGlobal_MigAppliSate!A:I,8,FALSE)</f>
        <v>DIERICK Sébastien</v>
      </c>
      <c r="I219" t="str">
        <f ca="1">VLOOKUP(A219,Import_SuiviGlobal_MigAppliSate!A:I,9,FALSE)</f>
        <v>sebastien.dierick@systeme-u.fr</v>
      </c>
      <c r="J219" s="24" t="str">
        <f ca="1">VLOOKUP(A219,Import_SuiviGlobal_MigAppliSate!A:K,10,FALSE)</f>
        <v xml:space="preserve">M Belon </v>
      </c>
      <c r="K219" t="str">
        <f ca="1">VLOOKUP(A219,Import_SuiviGlobal_MigAppliSate!A:K,11,FALSE)</f>
        <v>superu.chatou@systeme-u.fr</v>
      </c>
      <c r="O219" s="1" t="s">
        <v>22</v>
      </c>
    </row>
    <row r="220" spans="1:15" ht="12.75" hidden="1" x14ac:dyDescent="0.2">
      <c r="A220">
        <v>28303</v>
      </c>
      <c r="B220" t="str">
        <f ca="1">VLOOKUP(A220,Import_SuiviGlobal_MigAppliSate!A:I,2,FALSE)</f>
        <v>CHATOU MAUPASSANT</v>
      </c>
      <c r="C220" t="str">
        <f ca="1">VLOOKUP(A220,Import_SuiviGlobal_MigAppliSate!A:I,3,FALSE)</f>
        <v>U Express</v>
      </c>
      <c r="D220" s="1" t="str">
        <f ca="1">VLOOKUP(A220,Import_SuiviGlobal_MigAppliSate!A:I,4,FALSE)</f>
        <v>Coop U Enseigne NordOuest</v>
      </c>
      <c r="E220">
        <f ca="1">VLOOKUP(A220,Import_SuiviGlobal_MigAppliSate!A:I,5,FALSE)</f>
        <v>78400</v>
      </c>
      <c r="F220" t="str">
        <f ca="1">VLOOKUP(A220,Import_SuiviGlobal_MigAppliSate!A:I,6,FALSE)</f>
        <v>1-3 AVENUE GUY DE MAUPASSANT</v>
      </c>
      <c r="G220" t="str">
        <f ca="1">VLOOKUP(A220,Import_SuiviGlobal_MigAppliSate!A:I,7,FALSE)</f>
        <v>09.53.16.30.63</v>
      </c>
      <c r="H220" t="str">
        <f ca="1">VLOOKUP(A220,Import_SuiviGlobal_MigAppliSate!A:I,8,FALSE)</f>
        <v>DIERICK Laurent</v>
      </c>
      <c r="I220" t="str">
        <f ca="1">VLOOKUP(A220,Import_SuiviGlobal_MigAppliSate!A:I,9,FALSE)</f>
        <v>laurent.dierick@systeme-u.fr</v>
      </c>
      <c r="J220" s="24" t="str">
        <f ca="1">VLOOKUP(A220,Import_SuiviGlobal_MigAppliSate!A:K,10,FALSE)</f>
        <v>Mme Dierick</v>
      </c>
      <c r="K220" t="str">
        <f ca="1">VLOOKUP(A220,Import_SuiviGlobal_MigAppliSate!A:K,11,FALSE)</f>
        <v>catodis@free.fr</v>
      </c>
      <c r="O220" s="1" t="s">
        <v>22</v>
      </c>
    </row>
    <row r="221" spans="1:15" ht="12.75" hidden="1" x14ac:dyDescent="0.2">
      <c r="A221">
        <v>91128</v>
      </c>
      <c r="B221" t="str">
        <f ca="1">VLOOKUP(A221,Import_SuiviGlobal_MigAppliSate!A:I,2,FALSE)</f>
        <v>CHATUZANGE LE GOUBET</v>
      </c>
      <c r="C221" t="str">
        <f ca="1">VLOOKUP(A221,Import_SuiviGlobal_MigAppliSate!A:I,3,FALSE)</f>
        <v>U Express</v>
      </c>
      <c r="D221" s="1" t="str">
        <f ca="1">VLOOKUP(A221,Import_SuiviGlobal_MigAppliSate!A:I,4,FALSE)</f>
        <v>Coop MISTRAL</v>
      </c>
      <c r="E221">
        <f ca="1">VLOOKUP(A221,Import_SuiviGlobal_MigAppliSate!A:I,5,FALSE)</f>
        <v>26300</v>
      </c>
      <c r="F221" t="str">
        <f ca="1">VLOOKUP(A221,Import_SuiviGlobal_MigAppliSate!A:I,6,FALSE)</f>
        <v>LIEU DIT LES GUERRES</v>
      </c>
      <c r="G221" t="str">
        <f ca="1">VLOOKUP(A221,Import_SuiviGlobal_MigAppliSate!A:I,7,FALSE)</f>
        <v>04.75.45.52.32</v>
      </c>
      <c r="H221" t="str">
        <f ca="1">VLOOKUP(A221,Import_SuiviGlobal_MigAppliSate!A:I,8,FALSE)</f>
        <v>DUMOULIN Philippe &amp; Myriam</v>
      </c>
      <c r="I221" t="str">
        <f ca="1">VLOOKUP(A221,Import_SuiviGlobal_MigAppliSate!A:I,9,FALSE)</f>
        <v>uexpress.chatuzangelegoubet@mistral-u.fr</v>
      </c>
      <c r="J221" s="24" t="str">
        <f ca="1">VLOOKUP(A221,Import_SuiviGlobal_MigAppliSate!A:K,10,FALSE)</f>
        <v/>
      </c>
      <c r="K221" t="str">
        <f ca="1">VLOOKUP(A221,Import_SuiviGlobal_MigAppliSate!A:K,11,FALSE)</f>
        <v>delphine.damian@lemistral.fr,helene.mina@lemistral.fr</v>
      </c>
      <c r="O221" s="1" t="s">
        <v>22</v>
      </c>
    </row>
    <row r="222" spans="1:15" ht="12.75" hidden="1" x14ac:dyDescent="0.2">
      <c r="A222">
        <v>32066</v>
      </c>
      <c r="B222" t="str">
        <f ca="1">VLOOKUP(A222,Import_SuiviGlobal_MigAppliSate!A:I,2,FALSE)</f>
        <v>CHAUVIGNY</v>
      </c>
      <c r="C222" t="str">
        <f ca="1">VLOOKUP(A222,Import_SuiviGlobal_MigAppliSate!A:I,3,FALSE)</f>
        <v>Super U</v>
      </c>
      <c r="D222" s="1" t="str">
        <f ca="1">VLOOKUP(A222,Import_SuiviGlobal_MigAppliSate!A:I,4,FALSE)</f>
        <v>Coop Atlantique</v>
      </c>
      <c r="E222">
        <f ca="1">VLOOKUP(A222,Import_SuiviGlobal_MigAppliSate!A:I,5,FALSE)</f>
        <v>86300</v>
      </c>
      <c r="F222" t="str">
        <f ca="1">VLOOKUP(A222,Import_SuiviGlobal_MigAppliSate!A:I,6,FALSE)</f>
        <v>2, RUE DE LA VERRERIE</v>
      </c>
      <c r="G222" t="str">
        <f ca="1">VLOOKUP(A222,Import_SuiviGlobal_MigAppliSate!A:I,7,FALSE)</f>
        <v>05.49.46.56.28</v>
      </c>
      <c r="H222" t="str">
        <f ca="1">VLOOKUP(A222,Import_SuiviGlobal_MigAppliSate!A:I,8,FALSE)</f>
        <v>FLAMBARD Hervé</v>
      </c>
      <c r="I222" t="str">
        <f ca="1">VLOOKUP(A222,Import_SuiviGlobal_MigAppliSate!A:I,9,FALSE)</f>
        <v>bertrand.defontaine_coop_su_uex@systeme-u.fr</v>
      </c>
      <c r="J222" s="24" t="str">
        <f ca="1">VLOOKUP(A222,Import_SuiviGlobal_MigAppliSate!A:K,10,FALSE)</f>
        <v>Christophe AUBRAY</v>
      </c>
      <c r="K222" t="str">
        <f ca="1">VLOOKUP(A222,Import_SuiviGlobal_MigAppliSate!A:K,11,FALSE)</f>
        <v>superu.chauvigny.direction@systeme-u.fr,nbrigant@coop-atlantique.fr,sjaud@coop-atlantique.fr</v>
      </c>
      <c r="O222" s="1" t="s">
        <v>22</v>
      </c>
    </row>
    <row r="223" spans="1:15" ht="12.75" hidden="1" x14ac:dyDescent="0.2">
      <c r="A223">
        <v>34166</v>
      </c>
      <c r="B223" t="str">
        <f ca="1">VLOOKUP(A223,Import_SuiviGlobal_MigAppliSate!A:I,2,FALSE)</f>
        <v>CHEF BOUTONNE</v>
      </c>
      <c r="C223" t="str">
        <f ca="1">VLOOKUP(A223,Import_SuiviGlobal_MigAppliSate!A:I,3,FALSE)</f>
        <v>U Express</v>
      </c>
      <c r="D223" s="1" t="str">
        <f ca="1">VLOOKUP(A223,Import_SuiviGlobal_MigAppliSate!A:I,4,FALSE)</f>
        <v>Coop Atlantique</v>
      </c>
      <c r="E223">
        <f ca="1">VLOOKUP(A223,Import_SuiviGlobal_MigAppliSate!A:I,5,FALSE)</f>
        <v>79120</v>
      </c>
      <c r="F223" t="str">
        <f ca="1">VLOOKUP(A223,Import_SuiviGlobal_MigAppliSate!A:I,6,FALSE)</f>
        <v>17 PLACE CAIL</v>
      </c>
      <c r="G223" t="str">
        <f ca="1">VLOOKUP(A223,Import_SuiviGlobal_MigAppliSate!A:I,7,FALSE)</f>
        <v>05.49.29.81.10</v>
      </c>
      <c r="H223" t="str">
        <f ca="1">VLOOKUP(A223,Import_SuiviGlobal_MigAppliSate!A:I,8,FALSE)</f>
        <v>FLAMBARD Hervé</v>
      </c>
      <c r="I223" t="str">
        <f ca="1">VLOOKUP(A223,Import_SuiviGlobal_MigAppliSate!A:I,9,FALSE)</f>
        <v>bertrand.defontaine_coop_su_uex@systeme-u.fr</v>
      </c>
      <c r="J223" s="24" t="str">
        <f ca="1">VLOOKUP(A223,Import_SuiviGlobal_MigAppliSate!A:K,10,FALSE)</f>
        <v>Gilbert PAYEUR</v>
      </c>
      <c r="K223" t="str">
        <f ca="1">VLOOKUP(A223,Import_SuiviGlobal_MigAppliSate!A:K,11,FALSE)</f>
        <v>uexpress.chefboutonne.direction@systeme-u.fr,nbrigant@coop-atlantique.fr,sjaud@coop-atlantique.fr,aouvrard@coop-atlantique.fr</v>
      </c>
      <c r="O223" s="1" t="s">
        <v>22</v>
      </c>
    </row>
    <row r="224" spans="1:15" ht="12.75" hidden="1" x14ac:dyDescent="0.2">
      <c r="A224">
        <v>36017</v>
      </c>
      <c r="B224" t="str">
        <f ca="1">VLOOKUP(A224,Import_SuiviGlobal_MigAppliSate!A:I,2,FALSE)</f>
        <v>CHEMILLE</v>
      </c>
      <c r="C224" t="str">
        <f ca="1">VLOOKUP(A224,Import_SuiviGlobal_MigAppliSate!A:I,3,FALSE)</f>
        <v>Super U</v>
      </c>
      <c r="D224" s="1" t="str">
        <f ca="1">VLOOKUP(A224,Import_SuiviGlobal_MigAppliSate!A:I,4,FALSE)</f>
        <v>Coop U Enseigne Ouest</v>
      </c>
      <c r="E224">
        <f ca="1">VLOOKUP(A224,Import_SuiviGlobal_MigAppliSate!A:I,5,FALSE)</f>
        <v>49120</v>
      </c>
      <c r="F224" t="str">
        <f ca="1">VLOOKUP(A224,Import_SuiviGlobal_MigAppliSate!A:I,6,FALSE)</f>
        <v>PARC COMMERCIAL DU CHALET</v>
      </c>
      <c r="G224" t="str">
        <f ca="1">VLOOKUP(A224,Import_SuiviGlobal_MigAppliSate!A:I,7,FALSE)</f>
        <v>02.41.49.17.80</v>
      </c>
      <c r="H224" t="str">
        <f ca="1">VLOOKUP(A224,Import_SuiviGlobal_MigAppliSate!A:I,8,FALSE)</f>
        <v>BARRE Didier</v>
      </c>
      <c r="I224" t="str">
        <f ca="1">VLOOKUP(A224,Import_SuiviGlobal_MigAppliSate!A:I,9,FALSE)</f>
        <v>didier.barre@systeme-u.fr</v>
      </c>
      <c r="J224" s="24" t="str">
        <f ca="1">VLOOKUP(A224,Import_SuiviGlobal_MigAppliSate!A:K,10,FALSE)</f>
        <v>M. Montaillé</v>
      </c>
      <c r="K224" t="str">
        <f ca="1">VLOOKUP(A224,Import_SuiviGlobal_MigAppliSate!A:K,11,FALSE)</f>
        <v>superu.chemille.bazar@systeme-u.fr</v>
      </c>
      <c r="O224" s="1" t="s">
        <v>22</v>
      </c>
    </row>
    <row r="225" spans="1:15" ht="12.75" hidden="1" x14ac:dyDescent="0.2">
      <c r="A225">
        <v>62104</v>
      </c>
      <c r="B225" t="str">
        <f ca="1">VLOOKUP(A225,Import_SuiviGlobal_MigAppliSate!A:I,2,FALSE)</f>
        <v>CHENOVE</v>
      </c>
      <c r="C225" t="str">
        <f ca="1">VLOOKUP(A225,Import_SuiviGlobal_MigAppliSate!A:I,3,FALSE)</f>
        <v>Super U</v>
      </c>
      <c r="D225" s="1" t="str">
        <f ca="1">VLOOKUP(A225,Import_SuiviGlobal_MigAppliSate!A:I,4,FALSE)</f>
        <v>Coop U Enseigne Est</v>
      </c>
      <c r="E225">
        <f ca="1">VLOOKUP(A225,Import_SuiviGlobal_MigAppliSate!A:I,5,FALSE)</f>
        <v>21300</v>
      </c>
      <c r="F225" t="str">
        <f ca="1">VLOOKUP(A225,Import_SuiviGlobal_MigAppliSate!A:I,6,FALSE)</f>
        <v>Zac des Grands Crus</v>
      </c>
      <c r="G225" t="str">
        <f ca="1">VLOOKUP(A225,Import_SuiviGlobal_MigAppliSate!A:I,7,FALSE)</f>
        <v>03.80.52.10.48</v>
      </c>
      <c r="H225" t="str">
        <f ca="1">VLOOKUP(A225,Import_SuiviGlobal_MigAppliSate!A:I,8,FALSE)</f>
        <v>BARRERE Alain</v>
      </c>
      <c r="I225" t="str">
        <f ca="1">VLOOKUP(A225,Import_SuiviGlobal_MigAppliSate!A:I,9,FALSE)</f>
        <v>alain.barrere@systeme-u.fr</v>
      </c>
      <c r="J225" s="24" t="str">
        <f ca="1">VLOOKUP(A225,Import_SuiviGlobal_MigAppliSate!A:K,10,FALSE)</f>
        <v>M. FAYET</v>
      </c>
      <c r="K225" t="str">
        <f ca="1">VLOOKUP(A225,Import_SuiviGlobal_MigAppliSate!A:K,11,FALSE)</f>
        <v>superu.chenove.direction@systeme-u.fr</v>
      </c>
      <c r="O225" s="1" t="s">
        <v>22</v>
      </c>
    </row>
    <row r="226" spans="1:15" ht="12.75" hidden="1" x14ac:dyDescent="0.2">
      <c r="A226">
        <v>38044</v>
      </c>
      <c r="B226" t="str">
        <f ca="1">VLOOKUP(A226,Import_SuiviGlobal_MigAppliSate!A:I,2,FALSE)</f>
        <v>CHINON</v>
      </c>
      <c r="C226" t="str">
        <f ca="1">VLOOKUP(A226,Import_SuiviGlobal_MigAppliSate!A:I,3,FALSE)</f>
        <v>Super U</v>
      </c>
      <c r="D226" s="1" t="str">
        <f ca="1">VLOOKUP(A226,Import_SuiviGlobal_MigAppliSate!A:I,4,FALSE)</f>
        <v>Coop U Enseigne Ouest</v>
      </c>
      <c r="E226">
        <f ca="1">VLOOKUP(A226,Import_SuiviGlobal_MigAppliSate!A:I,5,FALSE)</f>
        <v>37500</v>
      </c>
      <c r="F226" t="str">
        <f ca="1">VLOOKUP(A226,Import_SuiviGlobal_MigAppliSate!A:I,6,FALSE)</f>
        <v>11, AVENUE SAINT LAZARE</v>
      </c>
      <c r="G226" t="str">
        <f ca="1">VLOOKUP(A226,Import_SuiviGlobal_MigAppliSate!A:I,7,FALSE)</f>
        <v>02.47.93.01.98</v>
      </c>
      <c r="H226" t="str">
        <f ca="1">VLOOKUP(A226,Import_SuiviGlobal_MigAppliSate!A:I,8,FALSE)</f>
        <v>GUILLOU RPT SARL FINANSA Stéphane</v>
      </c>
      <c r="I226" t="str">
        <f ca="1">VLOOKUP(A226,Import_SuiviGlobal_MigAppliSate!A:I,9,FALSE)</f>
        <v>stephane.guillou@systeme-u.fr</v>
      </c>
      <c r="J226" s="24" t="str">
        <f ca="1">VLOOKUP(A226,Import_SuiviGlobal_MigAppliSate!A:K,10,FALSE)</f>
        <v/>
      </c>
      <c r="K226" t="str">
        <f ca="1">VLOOKUP(A226,Import_SuiviGlobal_MigAppliSate!A:K,11,FALSE)</f>
        <v/>
      </c>
      <c r="O226" s="1" t="s">
        <v>22</v>
      </c>
    </row>
    <row r="227" spans="1:15" ht="12.75" hidden="1" x14ac:dyDescent="0.2">
      <c r="A227">
        <v>30833</v>
      </c>
      <c r="B227" t="str">
        <f ca="1">VLOOKUP(A227,Import_SuiviGlobal_MigAppliSate!A:I,2,FALSE)</f>
        <v>CHISSAY-EN-TOURAINE</v>
      </c>
      <c r="C227" t="str">
        <f ca="1">VLOOKUP(A227,Import_SuiviGlobal_MigAppliSate!A:I,3,FALSE)</f>
        <v>Super U</v>
      </c>
      <c r="D227" s="1" t="str">
        <f ca="1">VLOOKUP(A227,Import_SuiviGlobal_MigAppliSate!A:I,4,FALSE)</f>
        <v>Coop U Enseigne Ouest</v>
      </c>
      <c r="E227">
        <f ca="1">VLOOKUP(A227,Import_SuiviGlobal_MigAppliSate!A:I,5,FALSE)</f>
        <v>41400</v>
      </c>
      <c r="F227" t="str">
        <f ca="1">VLOOKUP(A227,Import_SuiviGlobal_MigAppliSate!A:I,6,FALSE)</f>
        <v>30, RUE DE CHENONCEAUX</v>
      </c>
      <c r="G227" t="str">
        <f ca="1">VLOOKUP(A227,Import_SuiviGlobal_MigAppliSate!A:I,7,FALSE)</f>
        <v>02.54.71.64.64</v>
      </c>
      <c r="H227" t="str">
        <f ca="1">VLOOKUP(A227,Import_SuiviGlobal_MigAppliSate!A:I,8,FALSE)</f>
        <v>BODIN RPT SARL DI MARQUIS Olivier</v>
      </c>
      <c r="I227" t="str">
        <f ca="1">VLOOKUP(A227,Import_SuiviGlobal_MigAppliSate!A:I,9,FALSE)</f>
        <v>olivier.bodin@systeme-u.fr</v>
      </c>
      <c r="J227" s="24" t="str">
        <f ca="1">VLOOKUP(A227,Import_SuiviGlobal_MigAppliSate!A:K,10,FALSE)</f>
        <v>Hellard Carine
M. GABIRAULT</v>
      </c>
      <c r="K227" t="str">
        <f ca="1">VLOOKUP(A227,Import_SuiviGlobal_MigAppliSate!A:K,11,FALSE)</f>
        <v>superu.chissayentouraine.informatique@systeme-u.fr,superu.chissayentouraine@systeme-u.fr</v>
      </c>
      <c r="O227" s="1" t="s">
        <v>22</v>
      </c>
    </row>
    <row r="228" spans="1:15" ht="12.75" hidden="1" x14ac:dyDescent="0.2">
      <c r="A228">
        <v>38974</v>
      </c>
      <c r="B228" t="str">
        <f ca="1">VLOOKUP(A228,Import_SuiviGlobal_MigAppliSate!A:I,2,FALSE)</f>
        <v>CHOLET</v>
      </c>
      <c r="C228" t="str">
        <f ca="1">VLOOKUP(A228,Import_SuiviGlobal_MigAppliSate!A:I,3,FALSE)</f>
        <v>U Express</v>
      </c>
      <c r="D228" s="1" t="str">
        <f ca="1">VLOOKUP(A228,Import_SuiviGlobal_MigAppliSate!A:I,4,FALSE)</f>
        <v>Coop U Enseigne Ouest</v>
      </c>
      <c r="E228">
        <f ca="1">VLOOKUP(A228,Import_SuiviGlobal_MigAppliSate!A:I,5,FALSE)</f>
        <v>49300</v>
      </c>
      <c r="F228" t="str">
        <f ca="1">VLOOKUP(A228,Import_SuiviGlobal_MigAppliSate!A:I,6,FALSE)</f>
        <v>ZAC DE LA SARDINERIE</v>
      </c>
      <c r="G228" t="str">
        <f ca="1">VLOOKUP(A228,Import_SuiviGlobal_MigAppliSate!A:I,7,FALSE)</f>
        <v>02.41.56.20.46</v>
      </c>
      <c r="H228" t="str">
        <f ca="1">VLOOKUP(A228,Import_SuiviGlobal_MigAppliSate!A:I,8,FALSE)</f>
        <v>NIEDLAND Christina</v>
      </c>
      <c r="I228" t="str">
        <f ca="1">VLOOKUP(A228,Import_SuiviGlobal_MigAppliSate!A:I,9,FALSE)</f>
        <v>sebastien.niedland@systeme-u.fr</v>
      </c>
      <c r="J228" s="24" t="str">
        <f ca="1">VLOOKUP(A228,Import_SuiviGlobal_MigAppliSate!A:K,10,FALSE)</f>
        <v>Rebion Jérôme</v>
      </c>
      <c r="K228" t="str">
        <f ca="1">VLOOKUP(A228,Import_SuiviGlobal_MigAppliSate!A:K,11,FALSE)</f>
        <v>superu.cholet@systeme-u.fr</v>
      </c>
      <c r="O228" s="1" t="s">
        <v>22</v>
      </c>
    </row>
    <row r="229" spans="1:15" ht="12.75" hidden="1" x14ac:dyDescent="0.2">
      <c r="A229">
        <v>99230</v>
      </c>
      <c r="B229" t="str">
        <f ca="1">VLOOKUP(A229,Import_SuiviGlobal_MigAppliSate!A:I,2,FALSE)</f>
        <v>CILAOS-IDR</v>
      </c>
      <c r="C229" t="str">
        <f ca="1">VLOOKUP(A229,Import_SuiviGlobal_MigAppliSate!A:I,3,FALSE)</f>
        <v>U Express</v>
      </c>
      <c r="D229" s="1" t="str">
        <f ca="1">VLOOKUP(A229,Import_SuiviGlobal_MigAppliSate!A:I,4,FALSE)</f>
        <v>Coop U Enseigne Sud</v>
      </c>
      <c r="E229">
        <f ca="1">VLOOKUP(A229,Import_SuiviGlobal_MigAppliSate!A:I,5,FALSE)</f>
        <v>97413</v>
      </c>
      <c r="F229" t="str">
        <f ca="1">VLOOKUP(A229,Import_SuiviGlobal_MigAppliSate!A:I,6,FALSE)</f>
        <v>25 RN 5 MARE SECHE</v>
      </c>
      <c r="G229" t="str">
        <f ca="1">VLOOKUP(A229,Import_SuiviGlobal_MigAppliSate!A:I,7,FALSE)</f>
        <v>02.62.31.70.93</v>
      </c>
      <c r="H229" t="str">
        <f ca="1">VLOOKUP(A229,Import_SuiviGlobal_MigAppliSate!A:I,8,FALSE)</f>
        <v>PAYET Emmanuel</v>
      </c>
      <c r="I229" t="str">
        <f ca="1">VLOOKUP(A229,Import_SuiviGlobal_MigAppliSate!A:I,9,FALSE)</f>
        <v>emmanuel.payet@systeme-u.fr</v>
      </c>
      <c r="J229" s="24" t="str">
        <f ca="1">VLOOKUP(A229,Import_SuiviGlobal_MigAppliSate!A:K,10,FALSE)</f>
        <v/>
      </c>
      <c r="K229" t="str">
        <f ca="1">VLOOKUP(A229,Import_SuiviGlobal_MigAppliSate!A:K,11,FALSE)</f>
        <v/>
      </c>
      <c r="O229" s="1" t="s">
        <v>22</v>
      </c>
    </row>
    <row r="230" spans="1:15" ht="12.75" hidden="1" x14ac:dyDescent="0.2">
      <c r="A230">
        <v>32067</v>
      </c>
      <c r="B230" t="str">
        <f ca="1">VLOOKUP(A230,Import_SuiviGlobal_MigAppliSate!A:I,2,FALSE)</f>
        <v>CIVRAY</v>
      </c>
      <c r="C230" t="str">
        <f ca="1">VLOOKUP(A230,Import_SuiviGlobal_MigAppliSate!A:I,3,FALSE)</f>
        <v>Super U</v>
      </c>
      <c r="D230" s="1" t="str">
        <f ca="1">VLOOKUP(A230,Import_SuiviGlobal_MigAppliSate!A:I,4,FALSE)</f>
        <v>Coop Atlantique</v>
      </c>
      <c r="E230">
        <f ca="1">VLOOKUP(A230,Import_SuiviGlobal_MigAppliSate!A:I,5,FALSE)</f>
        <v>86400</v>
      </c>
      <c r="F230" t="str">
        <f ca="1">VLOOKUP(A230,Import_SuiviGlobal_MigAppliSate!A:I,6,FALSE)</f>
        <v>RUE DE LA PIERRE DU THEIL</v>
      </c>
      <c r="G230" t="str">
        <f ca="1">VLOOKUP(A230,Import_SuiviGlobal_MigAppliSate!A:I,7,FALSE)</f>
        <v>05.49.87.92.45</v>
      </c>
      <c r="H230" t="str">
        <f ca="1">VLOOKUP(A230,Import_SuiviGlobal_MigAppliSate!A:I,8,FALSE)</f>
        <v>FLAMBARD Hervé</v>
      </c>
      <c r="I230" t="str">
        <f ca="1">VLOOKUP(A230,Import_SuiviGlobal_MigAppliSate!A:I,9,FALSE)</f>
        <v>bertrand.defontaine_coop_su_uex@systeme-u.fr</v>
      </c>
      <c r="J230" s="24" t="str">
        <f ca="1">VLOOKUP(A230,Import_SuiviGlobal_MigAppliSate!A:K,10,FALSE)</f>
        <v>Mr Pascaud</v>
      </c>
      <c r="K230" t="str">
        <f ca="1">VLOOKUP(A230,Import_SuiviGlobal_MigAppliSate!A:K,11,FALSE)</f>
        <v>superu.civray.direction@systeme-u.fr,nbrigant@coop-atlantique.fr,sjaud@coop-atlantique.fr,mag786@coop-atlantique.fr</v>
      </c>
      <c r="L230" s="1" t="s">
        <v>17</v>
      </c>
      <c r="M230" t="s">
        <v>23</v>
      </c>
      <c r="O230" s="1" t="s">
        <v>22</v>
      </c>
    </row>
    <row r="231" spans="1:15" ht="12.75" hidden="1" x14ac:dyDescent="0.2">
      <c r="A231">
        <v>21600</v>
      </c>
      <c r="B231" t="str">
        <f ca="1">VLOOKUP(A231,Import_SuiviGlobal_MigAppliSate!A:I,2,FALSE)</f>
        <v>CLAMART GARE</v>
      </c>
      <c r="C231" t="str">
        <f ca="1">VLOOKUP(A231,Import_SuiviGlobal_MigAppliSate!A:I,3,FALSE)</f>
        <v>Super U</v>
      </c>
      <c r="D231" s="1" t="str">
        <f ca="1">VLOOKUP(A231,Import_SuiviGlobal_MigAppliSate!A:I,4,FALSE)</f>
        <v>Coop U Enseigne NordOuest</v>
      </c>
      <c r="E231">
        <f ca="1">VLOOKUP(A231,Import_SuiviGlobal_MigAppliSate!A:I,5,FALSE)</f>
        <v>92140</v>
      </c>
      <c r="F231" t="str">
        <f ca="1">VLOOKUP(A231,Import_SuiviGlobal_MigAppliSate!A:I,6,FALSE)</f>
        <v>14 RUE DE VANVES</v>
      </c>
      <c r="G231" t="str">
        <f ca="1">VLOOKUP(A231,Import_SuiviGlobal_MigAppliSate!A:I,7,FALSE)</f>
        <v>01.47.36.37.85</v>
      </c>
      <c r="H231" t="str">
        <f ca="1">VLOOKUP(A231,Import_SuiviGlobal_MigAppliSate!A:I,8,FALSE)</f>
        <v>MARX Jean-Jacques</v>
      </c>
      <c r="I231" t="str">
        <f ca="1">VLOOKUP(A231,Import_SuiviGlobal_MigAppliSate!A:I,9,FALSE)</f>
        <v>jean-jacques.marx@systeme-u.fr</v>
      </c>
      <c r="J231" s="24" t="str">
        <f ca="1">VLOOKUP(A231,Import_SuiviGlobal_MigAppliSate!A:K,10,FALSE)</f>
        <v>M. BADA</v>
      </c>
      <c r="K231" t="str">
        <f ca="1">VLOOKUP(A231,Import_SuiviGlobal_MigAppliSate!A:K,11,FALSE)</f>
        <v>superu.clamart.vanves@systeme-u.fr</v>
      </c>
      <c r="O231" s="1" t="s">
        <v>22</v>
      </c>
    </row>
    <row r="232" spans="1:15" ht="12.75" hidden="1" x14ac:dyDescent="0.2">
      <c r="A232">
        <v>20299</v>
      </c>
      <c r="B232" t="str">
        <f ca="1">VLOOKUP(A232,Import_SuiviGlobal_MigAppliSate!A:I,2,FALSE)</f>
        <v>CLAMART V. HUGO</v>
      </c>
      <c r="C232" t="str">
        <f ca="1">VLOOKUP(A232,Import_SuiviGlobal_MigAppliSate!A:I,3,FALSE)</f>
        <v>Super U</v>
      </c>
      <c r="D232" s="1" t="str">
        <f ca="1">VLOOKUP(A232,Import_SuiviGlobal_MigAppliSate!A:I,4,FALSE)</f>
        <v>Coop U Enseigne NordOuest</v>
      </c>
      <c r="E232">
        <f ca="1">VLOOKUP(A232,Import_SuiviGlobal_MigAppliSate!A:I,5,FALSE)</f>
        <v>92140</v>
      </c>
      <c r="F232" t="str">
        <f ca="1">VLOOKUP(A232,Import_SuiviGlobal_MigAppliSate!A:I,6,FALSE)</f>
        <v>4 BIS RUE PAUL VAILLANT COUTURIER</v>
      </c>
      <c r="G232" t="str">
        <f ca="1">VLOOKUP(A232,Import_SuiviGlobal_MigAppliSate!A:I,7,FALSE)</f>
        <v>01.46.44.13.20</v>
      </c>
      <c r="H232" t="str">
        <f ca="1">VLOOKUP(A232,Import_SuiviGlobal_MigAppliSate!A:I,8,FALSE)</f>
        <v>MARX Jean-Jacques</v>
      </c>
      <c r="I232" t="str">
        <f ca="1">VLOOKUP(A232,Import_SuiviGlobal_MigAppliSate!A:I,9,FALSE)</f>
        <v>jean-jacques.marx@systeme-u.fr</v>
      </c>
      <c r="J232" s="24" t="str">
        <f ca="1">VLOOKUP(A232,Import_SuiviGlobal_MigAppliSate!A:K,10,FALSE)</f>
        <v>M Harouche (ou Mme Aymar ou M Ramampiandra Herinjaka)</v>
      </c>
      <c r="K232" t="str">
        <f ca="1">VLOOKUP(A232,Import_SuiviGlobal_MigAppliSate!A:K,11,FALSE)</f>
        <v>superu.clamart.direction@systeme-u.fr</v>
      </c>
      <c r="O232" s="1" t="s">
        <v>22</v>
      </c>
    </row>
    <row r="233" spans="1:15" ht="12.75" x14ac:dyDescent="0.2">
      <c r="A233">
        <v>95382</v>
      </c>
      <c r="B233" t="str">
        <f ca="1">VLOOKUP(A233,Import_SuiviGlobal_MigAppliSate!A:I,2,FALSE)</f>
        <v>CLAOUEY LEGE</v>
      </c>
      <c r="C233" t="str">
        <f ca="1">VLOOKUP(A233,Import_SuiviGlobal_MigAppliSate!A:I,3,FALSE)</f>
        <v>Super U</v>
      </c>
      <c r="D233" s="1" t="str">
        <f ca="1">VLOOKUP(A233,Import_SuiviGlobal_MigAppliSate!A:I,4,FALSE)</f>
        <v>Coop U Enseigne Sud</v>
      </c>
      <c r="E233">
        <f ca="1">VLOOKUP(A233,Import_SuiviGlobal_MigAppliSate!A:I,5,FALSE)</f>
        <v>33950</v>
      </c>
      <c r="F233" t="str">
        <f ca="1">VLOOKUP(A233,Import_SuiviGlobal_MigAppliSate!A:I,6,FALSE)</f>
        <v>AVENUE DES HALLES</v>
      </c>
      <c r="G233" t="str">
        <f ca="1">VLOOKUP(A233,Import_SuiviGlobal_MigAppliSate!A:I,7,FALSE)</f>
        <v>05.57.76.57.76</v>
      </c>
      <c r="H233" t="str">
        <f ca="1">VLOOKUP(A233,Import_SuiviGlobal_MigAppliSate!A:I,8,FALSE)</f>
        <v>ET PIERRE FEUGIER NICOLAS MANNEVILLE</v>
      </c>
      <c r="I233" t="str">
        <f ca="1">VLOOKUP(A233,Import_SuiviGlobal_MigAppliSate!A:I,9,FALSE)</f>
        <v>pierre.feugier@systeme-u.fr</v>
      </c>
      <c r="J233" s="24" t="str">
        <f ca="1">VLOOKUP(A233,Import_SuiviGlobal_MigAppliSate!A:K,10,FALSE)</f>
        <v>Mme Laurence Berthier</v>
      </c>
      <c r="K233" t="str">
        <f ca="1">VLOOKUP(A233,Import_SuiviGlobal_MigAppliSate!A:K,11,FALSE)</f>
        <v>groupe.sofaldis.daf@systeme-u.fr</v>
      </c>
      <c r="L233" t="s">
        <v>17</v>
      </c>
      <c r="M233" t="s">
        <v>0</v>
      </c>
      <c r="O233" s="1" t="s">
        <v>22</v>
      </c>
    </row>
    <row r="234" spans="1:15" ht="12.75" hidden="1" x14ac:dyDescent="0.2">
      <c r="A234">
        <v>32496</v>
      </c>
      <c r="B234" t="str">
        <f ca="1">VLOOKUP(A234,Import_SuiviGlobal_MigAppliSate!A:I,2,FALSE)</f>
        <v>CLEDER</v>
      </c>
      <c r="C234" t="str">
        <f ca="1">VLOOKUP(A234,Import_SuiviGlobal_MigAppliSate!A:I,3,FALSE)</f>
        <v>U Express</v>
      </c>
      <c r="D234" s="1" t="str">
        <f ca="1">VLOOKUP(A234,Import_SuiviGlobal_MigAppliSate!A:I,4,FALSE)</f>
        <v>Coop U Enseigne Ouest</v>
      </c>
      <c r="E234">
        <f ca="1">VLOOKUP(A234,Import_SuiviGlobal_MigAppliSate!A:I,5,FALSE)</f>
        <v>29233</v>
      </c>
      <c r="F234" t="str">
        <f ca="1">VLOOKUP(A234,Import_SuiviGlobal_MigAppliSate!A:I,6,FALSE)</f>
        <v>24, ROUTE DE SAINT POL DE LÉON</v>
      </c>
      <c r="G234" t="str">
        <f ca="1">VLOOKUP(A234,Import_SuiviGlobal_MigAppliSate!A:I,7,FALSE)</f>
        <v>02.98.69.42.71</v>
      </c>
      <c r="H234" t="str">
        <f ca="1">VLOOKUP(A234,Import_SuiviGlobal_MigAppliSate!A:I,8,FALSE)</f>
        <v>BOUTET Christophe</v>
      </c>
      <c r="I234" t="str">
        <f ca="1">VLOOKUP(A234,Import_SuiviGlobal_MigAppliSate!A:I,9,FALSE)</f>
        <v>christophe.boutet@systeme-u.fr</v>
      </c>
      <c r="J234" s="24" t="str">
        <f ca="1">VLOOKUP(A234,Import_SuiviGlobal_MigAppliSate!A:K,10,FALSE)</f>
        <v>VALERIE BOUTET</v>
      </c>
      <c r="K234" t="str">
        <f ca="1">VLOOKUP(A234,Import_SuiviGlobal_MigAppliSate!A:K,11,FALSE)</f>
        <v>uexpress.cleder.compta@systeme-u.fr</v>
      </c>
      <c r="O234" s="1" t="s">
        <v>22</v>
      </c>
    </row>
    <row r="235" spans="1:15" ht="12.75" hidden="1" x14ac:dyDescent="0.2">
      <c r="A235">
        <v>90166</v>
      </c>
      <c r="B235" t="str">
        <f ca="1">VLOOKUP(A235,Import_SuiviGlobal_MigAppliSate!A:I,2,FALSE)</f>
        <v>CLERMONT L'HERAULT</v>
      </c>
      <c r="C235" t="str">
        <f ca="1">VLOOKUP(A235,Import_SuiviGlobal_MigAppliSate!A:I,3,FALSE)</f>
        <v>Hyper U</v>
      </c>
      <c r="D235" s="1" t="str">
        <f ca="1">VLOOKUP(A235,Import_SuiviGlobal_MigAppliSate!A:I,4,FALSE)</f>
        <v>Coop U Enseigne Sud</v>
      </c>
      <c r="E235">
        <f ca="1">VLOOKUP(A235,Import_SuiviGlobal_MigAppliSate!A:I,5,FALSE)</f>
        <v>34800</v>
      </c>
      <c r="F235" t="str">
        <f ca="1">VLOOKUP(A235,Import_SuiviGlobal_MigAppliSate!A:I,6,FALSE)</f>
        <v>CENTRE CIAL GRAND AXE</v>
      </c>
      <c r="G235" t="str">
        <f ca="1">VLOOKUP(A235,Import_SuiviGlobal_MigAppliSate!A:I,7,FALSE)</f>
        <v>04.67.88.45.45</v>
      </c>
      <c r="H235" t="str">
        <f ca="1">VLOOKUP(A235,Import_SuiviGlobal_MigAppliSate!A:I,8,FALSE)</f>
        <v>GINOUVES Bernard</v>
      </c>
      <c r="I235" t="str">
        <f ca="1">VLOOKUP(A235,Import_SuiviGlobal_MigAppliSate!A:I,9,FALSE)</f>
        <v>bernard.ginouves@systeme-u.fr</v>
      </c>
      <c r="J235" s="24" t="str">
        <f ca="1">VLOOKUP(A235,Import_SuiviGlobal_MigAppliSate!A:K,10,FALSE)</f>
        <v>M. BOUTIER</v>
      </c>
      <c r="K235" t="str">
        <f ca="1">VLOOKUP(A235,Import_SuiviGlobal_MigAppliSate!A:K,11,FALSE)</f>
        <v>hyperu.clermontlherault.direction@systeme-u.fr</v>
      </c>
      <c r="L235" s="1" t="s">
        <v>20</v>
      </c>
      <c r="M235" s="1" t="s">
        <v>27</v>
      </c>
      <c r="O235" s="1" t="s">
        <v>22</v>
      </c>
    </row>
    <row r="236" spans="1:15" ht="12.75" hidden="1" x14ac:dyDescent="0.2">
      <c r="A236">
        <v>65072</v>
      </c>
      <c r="B236" t="str">
        <f ca="1">VLOOKUP(A236,Import_SuiviGlobal_MigAppliSate!A:I,2,FALSE)</f>
        <v>CLOUANGE</v>
      </c>
      <c r="C236" t="str">
        <f ca="1">VLOOKUP(A236,Import_SuiviGlobal_MigAppliSate!A:I,3,FALSE)</f>
        <v>Super U</v>
      </c>
      <c r="D236" s="1" t="str">
        <f ca="1">VLOOKUP(A236,Import_SuiviGlobal_MigAppliSate!A:I,4,FALSE)</f>
        <v>Coop U Enseigne Est</v>
      </c>
      <c r="E236">
        <f ca="1">VLOOKUP(A236,Import_SuiviGlobal_MigAppliSate!A:I,5,FALSE)</f>
        <v>57185</v>
      </c>
      <c r="F236" t="str">
        <f ca="1">VLOOKUP(A236,Import_SuiviGlobal_MigAppliSate!A:I,6,FALSE)</f>
        <v>ZAC BELLE FONTAINE</v>
      </c>
      <c r="G236" t="str">
        <f ca="1">VLOOKUP(A236,Import_SuiviGlobal_MigAppliSate!A:I,7,FALSE)</f>
        <v>03.87.58.80.00</v>
      </c>
      <c r="H236" t="str">
        <f ca="1">VLOOKUP(A236,Import_SuiviGlobal_MigAppliSate!A:I,8,FALSE)</f>
        <v>BARANGER Christophe</v>
      </c>
      <c r="I236" t="str">
        <f ca="1">VLOOKUP(A236,Import_SuiviGlobal_MigAppliSate!A:I,9,FALSE)</f>
        <v>christophe.baranger@systeme-u.fr</v>
      </c>
      <c r="J236" s="24" t="str">
        <f ca="1">VLOOKUP(A236,Import_SuiviGlobal_MigAppliSate!A:K,10,FALSE)</f>
        <v>Karine Weber</v>
      </c>
      <c r="K236" t="str">
        <f ca="1">VLOOKUP(A236,Import_SuiviGlobal_MigAppliSate!A:K,11,FALSE)</f>
        <v>superu.clouange.courses_u@systeme-u.fr</v>
      </c>
      <c r="O236" s="1" t="s">
        <v>22</v>
      </c>
    </row>
    <row r="237" spans="1:15" ht="12.75" hidden="1" x14ac:dyDescent="0.2">
      <c r="A237">
        <v>30701</v>
      </c>
      <c r="B237" t="str">
        <f ca="1">VLOOKUP(A237,Import_SuiviGlobal_MigAppliSate!A:I,2,FALSE)</f>
        <v>COEX</v>
      </c>
      <c r="C237" t="str">
        <f ca="1">VLOOKUP(A237,Import_SuiviGlobal_MigAppliSate!A:I,3,FALSE)</f>
        <v>U Express</v>
      </c>
      <c r="D237" s="1" t="str">
        <f ca="1">VLOOKUP(A237,Import_SuiviGlobal_MigAppliSate!A:I,4,FALSE)</f>
        <v>Coop U Enseigne Ouest</v>
      </c>
      <c r="E237">
        <f ca="1">VLOOKUP(A237,Import_SuiviGlobal_MigAppliSate!A:I,5,FALSE)</f>
        <v>85220</v>
      </c>
      <c r="F237" t="str">
        <f ca="1">VLOOKUP(A237,Import_SuiviGlobal_MigAppliSate!A:I,6,FALSE)</f>
        <v>PLACE DU DOCTEUR BRECHOTEAU</v>
      </c>
      <c r="G237" t="str">
        <f ca="1">VLOOKUP(A237,Import_SuiviGlobal_MigAppliSate!A:I,7,FALSE)</f>
        <v>02.51.54.64.84</v>
      </c>
      <c r="H237" t="str">
        <f ca="1">VLOOKUP(A237,Import_SuiviGlobal_MigAppliSate!A:I,8,FALSE)</f>
        <v>THOUZEAU Philippe</v>
      </c>
      <c r="I237" t="str">
        <f ca="1">VLOOKUP(A237,Import_SuiviGlobal_MigAppliSate!A:I,9,FALSE)</f>
        <v>philippe.thouzeau@systeme-u.fr</v>
      </c>
      <c r="J237" s="24" t="str">
        <f ca="1">VLOOKUP(A237,Import_SuiviGlobal_MigAppliSate!A:K,10,FALSE)</f>
        <v>THIBAUD Sophie</v>
      </c>
      <c r="K237" t="str">
        <f ca="1">VLOOKUP(A237,Import_SuiviGlobal_MigAppliSate!A:K,11,FALSE)</f>
        <v>uexpress.coex@systeme-u.fr</v>
      </c>
      <c r="O237" s="1" t="s">
        <v>22</v>
      </c>
    </row>
    <row r="238" spans="1:15" ht="12.75" hidden="1" x14ac:dyDescent="0.2">
      <c r="A238">
        <v>34204</v>
      </c>
      <c r="B238" t="str">
        <f ca="1">VLOOKUP(A238,Import_SuiviGlobal_MigAppliSate!A:I,2,FALSE)</f>
        <v>COGNAC BAYARD B.</v>
      </c>
      <c r="C238" t="str">
        <f ca="1">VLOOKUP(A238,Import_SuiviGlobal_MigAppliSate!A:I,3,FALSE)</f>
        <v>Utile</v>
      </c>
      <c r="D238" s="1" t="str">
        <f ca="1">VLOOKUP(A238,Import_SuiviGlobal_MigAppliSate!A:I,4,FALSE)</f>
        <v>Coop Atlantique</v>
      </c>
      <c r="E238">
        <f ca="1">VLOOKUP(A238,Import_SuiviGlobal_MigAppliSate!A:I,5,FALSE)</f>
        <v>16100</v>
      </c>
      <c r="F238" t="str">
        <f ca="1">VLOOKUP(A238,Import_SuiviGlobal_MigAppliSate!A:I,6,FALSE)</f>
        <v>32 PLACE BAYARD</v>
      </c>
      <c r="G238" t="str">
        <f ca="1">VLOOKUP(A238,Import_SuiviGlobal_MigAppliSate!A:I,7,FALSE)</f>
        <v>05.45.82.16.60</v>
      </c>
      <c r="H238" t="str">
        <f ca="1">VLOOKUP(A238,Import_SuiviGlobal_MigAppliSate!A:I,8,FALSE)</f>
        <v>FLAMBARD Hervé</v>
      </c>
      <c r="I238" t="str">
        <f ca="1">VLOOKUP(A238,Import_SuiviGlobal_MigAppliSate!A:I,9,FALSE)</f>
        <v>bertrand.defontaine_coop_su_uex@systeme-u.fr</v>
      </c>
      <c r="J238" s="24" t="str">
        <f ca="1">VLOOKUP(A238,Import_SuiviGlobal_MigAppliSate!A:K,10,FALSE)</f>
        <v>PELLETIER Bruno</v>
      </c>
      <c r="K238" t="str">
        <f ca="1">VLOOKUP(A238,Import_SuiviGlobal_MigAppliSate!A:K,11,FALSE)</f>
        <v>uexpress.cognacbayard.direction@systeme-u.fr,nbrigant@coop-atlantique.fr,sjaud@coop-atlantique.fr,bpelletier@coop-atlantique.fr</v>
      </c>
      <c r="L238" s="1" t="s">
        <v>17</v>
      </c>
      <c r="M238" t="s">
        <v>23</v>
      </c>
      <c r="O238" s="1" t="s">
        <v>22</v>
      </c>
    </row>
    <row r="239" spans="1:15" ht="12.75" hidden="1" x14ac:dyDescent="0.2">
      <c r="A239">
        <v>66551</v>
      </c>
      <c r="B239" t="str">
        <f ca="1">VLOOKUP(A239,Import_SuiviGlobal_MigAppliSate!A:I,2,FALSE)</f>
        <v>COGNIN</v>
      </c>
      <c r="C239" t="str">
        <f ca="1">VLOOKUP(A239,Import_SuiviGlobal_MigAppliSate!A:I,3,FALSE)</f>
        <v>Super U</v>
      </c>
      <c r="D239" s="1" t="str">
        <f ca="1">VLOOKUP(A239,Import_SuiviGlobal_MigAppliSate!A:I,4,FALSE)</f>
        <v>Coop U Enseigne Est</v>
      </c>
      <c r="E239">
        <f ca="1">VLOOKUP(A239,Import_SuiviGlobal_MigAppliSate!A:I,5,FALSE)</f>
        <v>73160</v>
      </c>
      <c r="F239" t="str">
        <f ca="1">VLOOKUP(A239,Import_SuiviGlobal_MigAppliSate!A:I,6,FALSE)</f>
        <v>Centre Commercial</v>
      </c>
      <c r="G239" t="str">
        <f ca="1">VLOOKUP(A239,Import_SuiviGlobal_MigAppliSate!A:I,7,FALSE)</f>
        <v>04.79.44.06.00</v>
      </c>
      <c r="H239" t="str">
        <f ca="1">VLOOKUP(A239,Import_SuiviGlobal_MigAppliSate!A:I,8,FALSE)</f>
        <v>HERRERA Philippe</v>
      </c>
      <c r="I239" t="str">
        <f ca="1">VLOOKUP(A239,Import_SuiviGlobal_MigAppliSate!A:I,9,FALSE)</f>
        <v>philippe.herrera@systeme-u.fr</v>
      </c>
      <c r="J239" s="24" t="str">
        <f ca="1">VLOOKUP(A239,Import_SuiviGlobal_MigAppliSate!A:K,10,FALSE)</f>
        <v>M. CARON</v>
      </c>
      <c r="K239" t="str">
        <f ca="1">VLOOKUP(A239,Import_SuiviGlobal_MigAppliSate!A:K,11,FALSE)</f>
        <v>superu.cognin.direction@systeme-u.fr</v>
      </c>
      <c r="O239" s="1" t="s">
        <v>22</v>
      </c>
    </row>
    <row r="240" spans="1:15" ht="12.75" hidden="1" x14ac:dyDescent="0.2">
      <c r="A240">
        <v>24529</v>
      </c>
      <c r="B240" t="str">
        <f ca="1">VLOOKUP(A240,Import_SuiviGlobal_MigAppliSate!A:I,2,FALSE)</f>
        <v>#N/A</v>
      </c>
      <c r="C240" t="str">
        <f ca="1">VLOOKUP(A240,Import_SuiviGlobal_MigAppliSate!A:I,3,FALSE)</f>
        <v>#N/A</v>
      </c>
      <c r="D240" s="1" t="str">
        <f ca="1">VLOOKUP(A240,Import_SuiviGlobal_MigAppliSate!A:I,4,FALSE)</f>
        <v>#N/A</v>
      </c>
      <c r="E240" t="str">
        <f ca="1">VLOOKUP(A240,Import_SuiviGlobal_MigAppliSate!A:I,5,FALSE)</f>
        <v/>
      </c>
      <c r="F240" t="str">
        <f ca="1">VLOOKUP(A240,Import_SuiviGlobal_MigAppliSate!A:I,6,FALSE)</f>
        <v>#N/A</v>
      </c>
      <c r="G240" t="str">
        <f ca="1">VLOOKUP(A240,Import_SuiviGlobal_MigAppliSate!A:I,7,FALSE)</f>
        <v>#N/A</v>
      </c>
      <c r="H240" t="str">
        <f ca="1">VLOOKUP(A240,Import_SuiviGlobal_MigAppliSate!A:I,8,FALSE)</f>
        <v>#N/A</v>
      </c>
      <c r="I240" t="str">
        <f ca="1">VLOOKUP(A240,Import_SuiviGlobal_MigAppliSate!A:I,9,FALSE)</f>
        <v>#N/A</v>
      </c>
      <c r="J240" s="24" t="str">
        <f ca="1">VLOOKUP(A240,Import_SuiviGlobal_MigAppliSate!A:K,10,FALSE)</f>
        <v/>
      </c>
      <c r="K240" t="str">
        <f ca="1">VLOOKUP(A240,Import_SuiviGlobal_MigAppliSate!A:K,11,FALSE)</f>
        <v/>
      </c>
      <c r="O240" s="1" t="s">
        <v>22</v>
      </c>
    </row>
    <row r="241" spans="1:15" ht="12.75" hidden="1" x14ac:dyDescent="0.2">
      <c r="A241">
        <v>90677</v>
      </c>
      <c r="B241" t="str">
        <f ca="1">VLOOKUP(A241,Import_SuiviGlobal_MigAppliSate!A:I,2,FALSE)</f>
        <v>COLLONGES SOUS SALEVE</v>
      </c>
      <c r="C241" t="str">
        <f ca="1">VLOOKUP(A241,Import_SuiviGlobal_MigAppliSate!A:I,3,FALSE)</f>
        <v>U Express</v>
      </c>
      <c r="D241" s="1" t="str">
        <f ca="1">VLOOKUP(A241,Import_SuiviGlobal_MigAppliSate!A:I,4,FALSE)</f>
        <v>Coop MISTRAL</v>
      </c>
      <c r="E241">
        <f ca="1">VLOOKUP(A241,Import_SuiviGlobal_MigAppliSate!A:I,5,FALSE)</f>
        <v>74160</v>
      </c>
      <c r="F241" t="str">
        <f ca="1">VLOOKUP(A241,Import_SuiviGlobal_MigAppliSate!A:I,6,FALSE)</f>
        <v>ZAC SOUS LE CLOS</v>
      </c>
      <c r="G241" t="str">
        <f ca="1">VLOOKUP(A241,Import_SuiviGlobal_MigAppliSate!A:I,7,FALSE)</f>
        <v>04.50.82.05.20</v>
      </c>
      <c r="H241" t="str">
        <f ca="1">VLOOKUP(A241,Import_SuiviGlobal_MigAppliSate!A:I,8,FALSE)</f>
        <v>STUDER-BOISNEAU Sandra</v>
      </c>
      <c r="I241" t="str">
        <f ca="1">VLOOKUP(A241,Import_SuiviGlobal_MigAppliSate!A:I,9,FALSE)</f>
        <v>uexpress.collonges@mistral-u.fr</v>
      </c>
      <c r="J241" s="24" t="str">
        <f ca="1">VLOOKUP(A241,Import_SuiviGlobal_MigAppliSate!A:K,10,FALSE)</f>
        <v/>
      </c>
      <c r="K241" t="str">
        <f ca="1">VLOOKUP(A241,Import_SuiviGlobal_MigAppliSate!A:K,11,FALSE)</f>
        <v>delphine.damian@lemistral.fr,helene.mina@lemistral.fr</v>
      </c>
      <c r="O241" s="1" t="s">
        <v>22</v>
      </c>
    </row>
    <row r="242" spans="1:15" ht="12.75" hidden="1" x14ac:dyDescent="0.2">
      <c r="A242">
        <v>60012</v>
      </c>
      <c r="B242" t="str">
        <f ca="1">VLOOKUP(A242,Import_SuiviGlobal_MigAppliSate!A:I,2,FALSE)</f>
        <v>COLMAR</v>
      </c>
      <c r="C242" t="str">
        <f ca="1">VLOOKUP(A242,Import_SuiviGlobal_MigAppliSate!A:I,3,FALSE)</f>
        <v>Hyper U</v>
      </c>
      <c r="D242" s="1" t="str">
        <f ca="1">VLOOKUP(A242,Import_SuiviGlobal_MigAppliSate!A:I,4,FALSE)</f>
        <v>Coop U Enseigne Est</v>
      </c>
      <c r="E242">
        <f ca="1">VLOOKUP(A242,Import_SuiviGlobal_MigAppliSate!A:I,5,FALSE)</f>
        <v>68000</v>
      </c>
      <c r="F242" t="str">
        <f ca="1">VLOOKUP(A242,Import_SuiviGlobal_MigAppliSate!A:I,6,FALSE)</f>
        <v>107 ROUTE DE ROUFFACH</v>
      </c>
      <c r="G242" t="str">
        <f ca="1">VLOOKUP(A242,Import_SuiviGlobal_MigAppliSate!A:I,7,FALSE)</f>
        <v>03.89.20.39.40</v>
      </c>
      <c r="H242" t="str">
        <f ca="1">VLOOKUP(A242,Import_SuiviGlobal_MigAppliSate!A:I,8,FALSE)</f>
        <v>TISCHMACHER Annick</v>
      </c>
      <c r="I242" t="str">
        <f ca="1">VLOOKUP(A242,Import_SuiviGlobal_MigAppliSate!A:I,9,FALSE)</f>
        <v>annick.tischmacher@systeme-u.fr</v>
      </c>
      <c r="J242" s="24" t="str">
        <f ca="1">VLOOKUP(A242,Import_SuiviGlobal_MigAppliSate!A:K,10,FALSE)</f>
        <v>M. ANDRE 
M. SEGHAIR</v>
      </c>
      <c r="K242" t="str">
        <f ca="1">VLOOKUP(A242,Import_SuiviGlobal_MigAppliSate!A:K,11,FALSE)</f>
        <v>nicolas@u-colmar.com</v>
      </c>
      <c r="O242" s="1" t="s">
        <v>22</v>
      </c>
    </row>
    <row r="243" spans="1:15" ht="12.75" hidden="1" x14ac:dyDescent="0.2">
      <c r="A243">
        <v>60065</v>
      </c>
      <c r="B243" t="str">
        <f ca="1">VLOOKUP(A243,Import_SuiviGlobal_MigAppliSate!A:I,2,FALSE)</f>
        <v>COLMAR BOIS FLEURI</v>
      </c>
      <c r="C243" t="str">
        <f ca="1">VLOOKUP(A243,Import_SuiviGlobal_MigAppliSate!A:I,3,FALSE)</f>
        <v>Super U</v>
      </c>
      <c r="D243" s="1" t="str">
        <f ca="1">VLOOKUP(A243,Import_SuiviGlobal_MigAppliSate!A:I,4,FALSE)</f>
        <v>Coop U Enseigne Est</v>
      </c>
      <c r="E243">
        <f ca="1">VLOOKUP(A243,Import_SuiviGlobal_MigAppliSate!A:I,5,FALSE)</f>
        <v>68000</v>
      </c>
      <c r="F243" t="str">
        <f ca="1">VLOOKUP(A243,Import_SuiviGlobal_MigAppliSate!A:I,6,FALSE)</f>
        <v>148 AVENUE D'ALSACE</v>
      </c>
      <c r="G243" t="str">
        <f ca="1">VLOOKUP(A243,Import_SuiviGlobal_MigAppliSate!A:I,7,FALSE)</f>
        <v>03.89.23.73.74</v>
      </c>
      <c r="H243" t="str">
        <f ca="1">VLOOKUP(A243,Import_SuiviGlobal_MigAppliSate!A:I,8,FALSE)</f>
        <v>TISCHMACHER Georges</v>
      </c>
      <c r="I243" t="str">
        <f ca="1">VLOOKUP(A243,Import_SuiviGlobal_MigAppliSate!A:I,9,FALSE)</f>
        <v>georges.tischmacher@systeme-u.fr</v>
      </c>
      <c r="J243" s="24" t="str">
        <f ca="1">VLOOKUP(A243,Import_SuiviGlobal_MigAppliSate!A:K,10,FALSE)</f>
        <v>M. Anthony CASTEL</v>
      </c>
      <c r="K243" t="str">
        <f ca="1">VLOOKUP(A243,Import_SuiviGlobal_MigAppliSate!A:K,11,FALSE)</f>
        <v>anthony@u-colmar.com</v>
      </c>
      <c r="O243" s="1" t="s">
        <v>22</v>
      </c>
    </row>
    <row r="244" spans="1:15" ht="12.75" hidden="1" x14ac:dyDescent="0.2">
      <c r="A244">
        <v>66054</v>
      </c>
      <c r="B244" t="str">
        <f ca="1">VLOOKUP(A244,Import_SuiviGlobal_MigAppliSate!A:I,2,FALSE)</f>
        <v>COLOMBE</v>
      </c>
      <c r="C244" t="str">
        <f ca="1">VLOOKUP(A244,Import_SuiviGlobal_MigAppliSate!A:I,3,FALSE)</f>
        <v>Super U</v>
      </c>
      <c r="D244" s="1" t="str">
        <f ca="1">VLOOKUP(A244,Import_SuiviGlobal_MigAppliSate!A:I,4,FALSE)</f>
        <v>Coop U Enseigne Est</v>
      </c>
      <c r="E244">
        <f ca="1">VLOOKUP(A244,Import_SuiviGlobal_MigAppliSate!A:I,5,FALSE)</f>
        <v>38690</v>
      </c>
      <c r="F244" t="str">
        <f ca="1">VLOOKUP(A244,Import_SuiviGlobal_MigAppliSate!A:I,6,FALSE)</f>
        <v>PARC D'ACTIVITES BRIEVRE DAUPHINE</v>
      </c>
      <c r="G244" t="str">
        <f ca="1">VLOOKUP(A244,Import_SuiviGlobal_MigAppliSate!A:I,7,FALSE)</f>
        <v>04.76.65.18.05</v>
      </c>
      <c r="H244" t="str">
        <f ca="1">VLOOKUP(A244,Import_SuiviGlobal_MigAppliSate!A:I,8,FALSE)</f>
        <v>MICHAUD RPT SAS MIDIS Patrick</v>
      </c>
      <c r="I244" t="str">
        <f ca="1">VLOOKUP(A244,Import_SuiviGlobal_MigAppliSate!A:I,9,FALSE)</f>
        <v>patrick.michaud@systeme-u.fr</v>
      </c>
      <c r="J244" s="24" t="str">
        <f ca="1">VLOOKUP(A244,Import_SuiviGlobal_MigAppliSate!A:K,10,FALSE)</f>
        <v/>
      </c>
      <c r="K244" t="str">
        <f ca="1">VLOOKUP(A244,Import_SuiviGlobal_MigAppliSate!A:K,11,FALSE)</f>
        <v/>
      </c>
      <c r="O244" s="1" t="s">
        <v>22</v>
      </c>
    </row>
    <row r="245" spans="1:15" ht="12.75" hidden="1" x14ac:dyDescent="0.2">
      <c r="A245">
        <v>22550</v>
      </c>
      <c r="B245" t="str">
        <f ca="1">VLOOKUP(A245,Import_SuiviGlobal_MigAppliSate!A:I,2,FALSE)</f>
        <v>COLOMBELLES</v>
      </c>
      <c r="C245" t="str">
        <f ca="1">VLOOKUP(A245,Import_SuiviGlobal_MigAppliSate!A:I,3,FALSE)</f>
        <v>Super U</v>
      </c>
      <c r="D245" s="1" t="str">
        <f ca="1">VLOOKUP(A245,Import_SuiviGlobal_MigAppliSate!A:I,4,FALSE)</f>
        <v>Coop U Enseigne NordOuest</v>
      </c>
      <c r="E245">
        <f ca="1">VLOOKUP(A245,Import_SuiviGlobal_MigAppliSate!A:I,5,FALSE)</f>
        <v>14460</v>
      </c>
      <c r="F245" t="str">
        <f ca="1">VLOOKUP(A245,Import_SuiviGlobal_MigAppliSate!A:I,6,FALSE)</f>
        <v>RD 403</v>
      </c>
      <c r="G245" t="str">
        <f ca="1">VLOOKUP(A245,Import_SuiviGlobal_MigAppliSate!A:I,7,FALSE)</f>
        <v>02.31.72.22.21</v>
      </c>
      <c r="H245" t="str">
        <f ca="1">VLOOKUP(A245,Import_SuiviGlobal_MigAppliSate!A:I,8,FALSE)</f>
        <v>GAUCHARD Alain</v>
      </c>
      <c r="I245" t="str">
        <f ca="1">VLOOKUP(A245,Import_SuiviGlobal_MigAppliSate!A:I,9,FALSE)</f>
        <v>superu.colombelles.direction@systeme-u.fr</v>
      </c>
      <c r="J245" s="24" t="str">
        <f ca="1">VLOOKUP(A245,Import_SuiviGlobal_MigAppliSate!A:K,10,FALSE)</f>
        <v>M. ou Mme Tetrel</v>
      </c>
      <c r="K245" t="str">
        <f ca="1">VLOOKUP(A245,Import_SuiviGlobal_MigAppliSate!A:K,11,FALSE)</f>
        <v/>
      </c>
      <c r="O245" s="1" t="s">
        <v>22</v>
      </c>
    </row>
    <row r="246" spans="1:15" ht="12.75" hidden="1" x14ac:dyDescent="0.2">
      <c r="A246">
        <v>96995</v>
      </c>
      <c r="B246" t="str">
        <f ca="1">VLOOKUP(A246,Import_SuiviGlobal_MigAppliSate!A:I,2,FALSE)</f>
        <v>COLOMIERS</v>
      </c>
      <c r="C246" t="str">
        <f ca="1">VLOOKUP(A246,Import_SuiviGlobal_MigAppliSate!A:I,3,FALSE)</f>
        <v>Super U</v>
      </c>
      <c r="D246" s="1" t="str">
        <f ca="1">VLOOKUP(A246,Import_SuiviGlobal_MigAppliSate!A:I,4,FALSE)</f>
        <v>Coop U Enseigne Sud</v>
      </c>
      <c r="E246">
        <f ca="1">VLOOKUP(A246,Import_SuiviGlobal_MigAppliSate!A:I,5,FALSE)</f>
        <v>31770</v>
      </c>
      <c r="F246" t="str">
        <f ca="1">VLOOKUP(A246,Import_SuiviGlobal_MigAppliSate!A:I,6,FALSE)</f>
        <v>BD DE GASCOGNE</v>
      </c>
      <c r="G246" t="str">
        <f ca="1">VLOOKUP(A246,Import_SuiviGlobal_MigAppliSate!A:I,7,FALSE)</f>
        <v>05.61.16.81.21</v>
      </c>
      <c r="H246" t="str">
        <f ca="1">VLOOKUP(A246,Import_SuiviGlobal_MigAppliSate!A:I,8,FALSE)</f>
        <v>FOURNIER Pierre</v>
      </c>
      <c r="I246" t="str">
        <f ca="1">VLOOKUP(A246,Import_SuiviGlobal_MigAppliSate!A:I,9,FALSE)</f>
        <v>pierre.fournier@systeme-u.fr</v>
      </c>
      <c r="J246" s="24" t="str">
        <f ca="1">VLOOKUP(A246,Import_SuiviGlobal_MigAppliSate!A:K,10,FALSE)</f>
        <v>Rose Marie FOURNIER</v>
      </c>
      <c r="K246" t="str">
        <f ca="1">VLOOKUP(A246,Import_SuiviGlobal_MigAppliSate!A:K,11,FALSE)</f>
        <v>Rose-Marie.Fournier@systeme-u.fr</v>
      </c>
      <c r="O246" s="1" t="s">
        <v>22</v>
      </c>
    </row>
    <row r="247" spans="1:15" ht="12.75" hidden="1" x14ac:dyDescent="0.2">
      <c r="A247">
        <v>35614</v>
      </c>
      <c r="B247" t="str">
        <f ca="1">VLOOKUP(A247,Import_SuiviGlobal_MigAppliSate!A:I,2,FALSE)</f>
        <v>COMBOURG</v>
      </c>
      <c r="C247" t="str">
        <f ca="1">VLOOKUP(A247,Import_SuiviGlobal_MigAppliSate!A:I,3,FALSE)</f>
        <v>Hyper U</v>
      </c>
      <c r="D247" s="1" t="str">
        <f ca="1">VLOOKUP(A247,Import_SuiviGlobal_MigAppliSate!A:I,4,FALSE)</f>
        <v>Coop U Enseigne Ouest</v>
      </c>
      <c r="E247">
        <f ca="1">VLOOKUP(A247,Import_SuiviGlobal_MigAppliSate!A:I,5,FALSE)</f>
        <v>35270</v>
      </c>
      <c r="F247" t="str">
        <f ca="1">VLOOKUP(A247,Import_SuiviGlobal_MigAppliSate!A:I,6,FALSE)</f>
        <v>7, AVENUE DES ERABLES</v>
      </c>
      <c r="G247" t="str">
        <f ca="1">VLOOKUP(A247,Import_SuiviGlobal_MigAppliSate!A:I,7,FALSE)</f>
        <v>02.99.73.11.90</v>
      </c>
      <c r="H247" t="str">
        <f ca="1">VLOOKUP(A247,Import_SuiviGlobal_MigAppliSate!A:I,8,FALSE)</f>
        <v>PETITPAS RPT GROUPE PETITPAS Marine</v>
      </c>
      <c r="I247" t="str">
        <f ca="1">VLOOKUP(A247,Import_SuiviGlobal_MigAppliSate!A:I,9,FALSE)</f>
        <v>marine.petitpas@systeme-u.fr</v>
      </c>
      <c r="J247" s="24" t="str">
        <f ca="1">VLOOKUP(A247,Import_SuiviGlobal_MigAppliSate!A:K,10,FALSE)</f>
        <v>Gestin Laurent</v>
      </c>
      <c r="K247" t="str">
        <f ca="1">VLOOKUP(A247,Import_SuiviGlobal_MigAppliSate!A:K,11,FALSE)</f>
        <v>hyperu.combourg.informatique@systeme-u.fr</v>
      </c>
      <c r="O247" s="1" t="s">
        <v>22</v>
      </c>
    </row>
    <row r="248" spans="1:15" ht="12.75" hidden="1" x14ac:dyDescent="0.2">
      <c r="A248">
        <v>36084</v>
      </c>
      <c r="B248" t="str">
        <f ca="1">VLOOKUP(A248,Import_SuiviGlobal_MigAppliSate!A:I,2,FALSE)</f>
        <v>COMBRIT</v>
      </c>
      <c r="C248" t="str">
        <f ca="1">VLOOKUP(A248,Import_SuiviGlobal_MigAppliSate!A:I,3,FALSE)</f>
        <v>Super U</v>
      </c>
      <c r="D248" s="1" t="str">
        <f ca="1">VLOOKUP(A248,Import_SuiviGlobal_MigAppliSate!A:I,4,FALSE)</f>
        <v>Coop U Enseigne Ouest</v>
      </c>
      <c r="E248">
        <f ca="1">VLOOKUP(A248,Import_SuiviGlobal_MigAppliSate!A:I,5,FALSE)</f>
        <v>29120</v>
      </c>
      <c r="F248" t="str">
        <f ca="1">VLOOKUP(A248,Import_SuiviGlobal_MigAppliSate!A:I,6,FALSE)</f>
        <v>LE LANNOU</v>
      </c>
      <c r="G248" t="str">
        <f ca="1">VLOOKUP(A248,Import_SuiviGlobal_MigAppliSate!A:I,7,FALSE)</f>
        <v>02.98.51.91.40</v>
      </c>
      <c r="H248" t="str">
        <f ca="1">VLOOKUP(A248,Import_SuiviGlobal_MigAppliSate!A:I,8,FALSE)</f>
        <v>AUBERTIN Ollivier</v>
      </c>
      <c r="I248" t="str">
        <f ca="1">VLOOKUP(A248,Import_SuiviGlobal_MigAppliSate!A:I,9,FALSE)</f>
        <v>ollivier.aubertin@systeme-u.fr</v>
      </c>
      <c r="J248" s="24" t="str">
        <f ca="1">VLOOKUP(A248,Import_SuiviGlobal_MigAppliSate!A:K,10,FALSE)</f>
        <v>KERDRANVAT Nathalie</v>
      </c>
      <c r="K248" t="str">
        <f ca="1">VLOOKUP(A248,Import_SuiviGlobal_MigAppliSate!A:K,11,FALSE)</f>
        <v>superu.combrit@systeme-u.fr</v>
      </c>
      <c r="O248" s="1" t="s">
        <v>22</v>
      </c>
    </row>
    <row r="249" spans="1:15" ht="12.75" hidden="1" x14ac:dyDescent="0.2">
      <c r="A249">
        <v>37145</v>
      </c>
      <c r="B249" t="str">
        <f ca="1">VLOOKUP(A249,Import_SuiviGlobal_MigAppliSate!A:I,2,FALSE)</f>
        <v>COMMEQUIERS</v>
      </c>
      <c r="C249" t="str">
        <f ca="1">VLOOKUP(A249,Import_SuiviGlobal_MigAppliSate!A:I,3,FALSE)</f>
        <v>U Express</v>
      </c>
      <c r="D249" s="1" t="str">
        <f ca="1">VLOOKUP(A249,Import_SuiviGlobal_MigAppliSate!A:I,4,FALSE)</f>
        <v>Coop U Enseigne Ouest</v>
      </c>
      <c r="E249">
        <f ca="1">VLOOKUP(A249,Import_SuiviGlobal_MigAppliSate!A:I,5,FALSE)</f>
        <v>85220</v>
      </c>
      <c r="F249" t="str">
        <f ca="1">VLOOKUP(A249,Import_SuiviGlobal_MigAppliSate!A:I,6,FALSE)</f>
        <v>28 RUE CHARLES DE GAULLE</v>
      </c>
      <c r="G249" t="str">
        <f ca="1">VLOOKUP(A249,Import_SuiviGlobal_MigAppliSate!A:I,7,FALSE)</f>
        <v>02.51.54.80.79</v>
      </c>
      <c r="H249" t="str">
        <f ca="1">VLOOKUP(A249,Import_SuiviGlobal_MigAppliSate!A:I,8,FALSE)</f>
        <v>SALMON Guylene</v>
      </c>
      <c r="I249" t="str">
        <f ca="1">VLOOKUP(A249,Import_SuiviGlobal_MigAppliSate!A:I,9,FALSE)</f>
        <v>guylene.salmon@systeme-u.fr</v>
      </c>
      <c r="J249" s="24" t="str">
        <f ca="1">VLOOKUP(A249,Import_SuiviGlobal_MigAppliSate!A:K,10,FALSE)</f>
        <v/>
      </c>
      <c r="K249" t="str">
        <f ca="1">VLOOKUP(A249,Import_SuiviGlobal_MigAppliSate!A:K,11,FALSE)</f>
        <v/>
      </c>
      <c r="O249" s="1" t="s">
        <v>22</v>
      </c>
    </row>
    <row r="250" spans="1:15" ht="12.75" hidden="1" x14ac:dyDescent="0.2">
      <c r="A250">
        <v>23425</v>
      </c>
      <c r="B250" t="str">
        <f ca="1">VLOOKUP(A250,Import_SuiviGlobal_MigAppliSate!A:I,2,FALSE)</f>
        <v>CONDE SUR VIRE</v>
      </c>
      <c r="C250" t="str">
        <f ca="1">VLOOKUP(A250,Import_SuiviGlobal_MigAppliSate!A:I,3,FALSE)</f>
        <v>U Express</v>
      </c>
      <c r="D250" s="1" t="str">
        <f ca="1">VLOOKUP(A250,Import_SuiviGlobal_MigAppliSate!A:I,4,FALSE)</f>
        <v>Coop U Enseigne NordOuest</v>
      </c>
      <c r="E250">
        <f ca="1">VLOOKUP(A250,Import_SuiviGlobal_MigAppliSate!A:I,5,FALSE)</f>
        <v>50890</v>
      </c>
      <c r="F250" t="str">
        <f ca="1">VLOOKUP(A250,Import_SuiviGlobal_MigAppliSate!A:I,6,FALSE)</f>
        <v>10 RUE D'ARGANCHY</v>
      </c>
      <c r="G250" t="str">
        <f ca="1">VLOOKUP(A250,Import_SuiviGlobal_MigAppliSate!A:I,7,FALSE)</f>
        <v>02.33.05.00.03</v>
      </c>
      <c r="H250" t="str">
        <f ca="1">VLOOKUP(A250,Import_SuiviGlobal_MigAppliSate!A:I,8,FALSE)</f>
        <v>RENOUF Thierry</v>
      </c>
      <c r="I250" t="str">
        <f ca="1">VLOOKUP(A250,Import_SuiviGlobal_MigAppliSate!A:I,9,FALSE)</f>
        <v>thierry.renouf@systeme-u.fr</v>
      </c>
      <c r="J250" s="24" t="str">
        <f ca="1">VLOOKUP(A250,Import_SuiviGlobal_MigAppliSate!A:K,10,FALSE)</f>
        <v/>
      </c>
      <c r="K250" t="str">
        <f ca="1">VLOOKUP(A250,Import_SuiviGlobal_MigAppliSate!A:K,11,FALSE)</f>
        <v/>
      </c>
      <c r="O250" s="1" t="s">
        <v>22</v>
      </c>
    </row>
    <row r="251" spans="1:15" ht="12.75" hidden="1" x14ac:dyDescent="0.2">
      <c r="A251">
        <v>32275</v>
      </c>
      <c r="B251" t="str">
        <f ca="1">VLOOKUP(A251,Import_SuiviGlobal_MigAppliSate!A:I,2,FALSE)</f>
        <v>CONLIE</v>
      </c>
      <c r="C251" t="str">
        <f ca="1">VLOOKUP(A251,Import_SuiviGlobal_MigAppliSate!A:I,3,FALSE)</f>
        <v>Super U</v>
      </c>
      <c r="D251" s="1" t="str">
        <f ca="1">VLOOKUP(A251,Import_SuiviGlobal_MigAppliSate!A:I,4,FALSE)</f>
        <v>Coop U Enseigne Ouest</v>
      </c>
      <c r="E251">
        <f ca="1">VLOOKUP(A251,Import_SuiviGlobal_MigAppliSate!A:I,5,FALSE)</f>
        <v>72240</v>
      </c>
      <c r="F251" t="str">
        <f ca="1">VLOOKUP(A251,Import_SuiviGlobal_MigAppliSate!A:I,6,FALSE)</f>
        <v>ROUTE DU MANS</v>
      </c>
      <c r="G251" t="str">
        <f ca="1">VLOOKUP(A251,Import_SuiviGlobal_MigAppliSate!A:I,7,FALSE)</f>
        <v>02.43.20.82.60</v>
      </c>
      <c r="H251" t="str">
        <f ca="1">VLOOKUP(A251,Import_SuiviGlobal_MigAppliSate!A:I,8,FALSE)</f>
        <v>DEMARET RPT SARL D.C.P. 72 Charlotte</v>
      </c>
      <c r="I251" t="str">
        <f ca="1">VLOOKUP(A251,Import_SuiviGlobal_MigAppliSate!A:I,9,FALSE)</f>
        <v>charlotte.demaret@systeme-u.fr</v>
      </c>
      <c r="J251" s="24" t="str">
        <f ca="1">VLOOKUP(A251,Import_SuiviGlobal_MigAppliSate!A:K,10,FALSE)</f>
        <v>Mr Bouglet</v>
      </c>
      <c r="K251" t="str">
        <f ca="1">VLOOKUP(A251,Import_SuiviGlobal_MigAppliSate!A:K,11,FALSE)</f>
        <v>guillaume.bouglet@systeme-u.fr</v>
      </c>
      <c r="O251" s="1" t="s">
        <v>22</v>
      </c>
    </row>
    <row r="252" spans="1:15" ht="12.75" hidden="1" x14ac:dyDescent="0.2">
      <c r="A252">
        <v>36807</v>
      </c>
      <c r="B252" t="str">
        <f ca="1">VLOOKUP(A252,Import_SuiviGlobal_MigAppliSate!A:I,2,FALSE)</f>
        <v>CONTRES</v>
      </c>
      <c r="C252" t="str">
        <f ca="1">VLOOKUP(A252,Import_SuiviGlobal_MigAppliSate!A:I,3,FALSE)</f>
        <v>Super U</v>
      </c>
      <c r="D252" s="1" t="str">
        <f ca="1">VLOOKUP(A252,Import_SuiviGlobal_MigAppliSate!A:I,4,FALSE)</f>
        <v>Coop U Enseigne Ouest</v>
      </c>
      <c r="E252">
        <f ca="1">VLOOKUP(A252,Import_SuiviGlobal_MigAppliSate!A:I,5,FALSE)</f>
        <v>41700</v>
      </c>
      <c r="F252" t="str">
        <f ca="1">VLOOKUP(A252,Import_SuiviGlobal_MigAppliSate!A:I,6,FALSE)</f>
        <v>69 ROUTE DE CHEVERNY</v>
      </c>
      <c r="G252" t="str">
        <f ca="1">VLOOKUP(A252,Import_SuiviGlobal_MigAppliSate!A:I,7,FALSE)</f>
        <v>02.54.79.59.62</v>
      </c>
      <c r="H252" t="str">
        <f ca="1">VLOOKUP(A252,Import_SuiviGlobal_MigAppliSate!A:I,8,FALSE)</f>
        <v>BODIN RPT SARL DI MARQUIS Olivier</v>
      </c>
      <c r="I252" t="str">
        <f ca="1">VLOOKUP(A252,Import_SuiviGlobal_MigAppliSate!A:I,9,FALSE)</f>
        <v>olivier.bodin@systeme-u.fr</v>
      </c>
      <c r="J252" s="24" t="str">
        <f ca="1">VLOOKUP(A252,Import_SuiviGlobal_MigAppliSate!A:K,10,FALSE)</f>
        <v>ANTOINE Jean-Charles</v>
      </c>
      <c r="K252" t="str">
        <f ca="1">VLOOKUP(A252,Import_SuiviGlobal_MigAppliSate!A:K,11,FALSE)</f>
        <v>superu.contres.direction@systeme-u.fr</v>
      </c>
      <c r="O252" s="1" t="s">
        <v>22</v>
      </c>
    </row>
    <row r="253" spans="1:15" ht="12.75" hidden="1" x14ac:dyDescent="0.2">
      <c r="A253">
        <v>24456</v>
      </c>
      <c r="B253" t="str">
        <f ca="1">VLOOKUP(A253,Import_SuiviGlobal_MigAppliSate!A:I,2,FALSE)</f>
        <v>#N/A</v>
      </c>
      <c r="C253" t="str">
        <f ca="1">VLOOKUP(A253,Import_SuiviGlobal_MigAppliSate!A:I,3,FALSE)</f>
        <v>#N/A</v>
      </c>
      <c r="D253" s="1" t="str">
        <f ca="1">VLOOKUP(A253,Import_SuiviGlobal_MigAppliSate!A:I,4,FALSE)</f>
        <v>#N/A</v>
      </c>
      <c r="E253" t="str">
        <f ca="1">VLOOKUP(A253,Import_SuiviGlobal_MigAppliSate!A:I,5,FALSE)</f>
        <v/>
      </c>
      <c r="F253" t="str">
        <f ca="1">VLOOKUP(A253,Import_SuiviGlobal_MigAppliSate!A:I,6,FALSE)</f>
        <v>#N/A</v>
      </c>
      <c r="G253" t="str">
        <f ca="1">VLOOKUP(A253,Import_SuiviGlobal_MigAppliSate!A:I,7,FALSE)</f>
        <v>#N/A</v>
      </c>
      <c r="H253" t="str">
        <f ca="1">VLOOKUP(A253,Import_SuiviGlobal_MigAppliSate!A:I,8,FALSE)</f>
        <v>#N/A</v>
      </c>
      <c r="I253" t="str">
        <f ca="1">VLOOKUP(A253,Import_SuiviGlobal_MigAppliSate!A:I,9,FALSE)</f>
        <v>#N/A</v>
      </c>
      <c r="J253" s="24" t="str">
        <f ca="1">VLOOKUP(A253,Import_SuiviGlobal_MigAppliSate!A:K,10,FALSE)</f>
        <v/>
      </c>
      <c r="K253" t="str">
        <f ca="1">VLOOKUP(A253,Import_SuiviGlobal_MigAppliSate!A:K,11,FALSE)</f>
        <v/>
      </c>
      <c r="O253" s="1" t="s">
        <v>22</v>
      </c>
    </row>
    <row r="254" spans="1:15" ht="12.75" hidden="1" x14ac:dyDescent="0.2">
      <c r="A254">
        <v>24715</v>
      </c>
      <c r="B254" t="str">
        <f ca="1">VLOOKUP(A254,Import_SuiviGlobal_MigAppliSate!A:I,2,FALSE)</f>
        <v>#N/A</v>
      </c>
      <c r="C254" t="str">
        <f ca="1">VLOOKUP(A254,Import_SuiviGlobal_MigAppliSate!A:I,3,FALSE)</f>
        <v>#N/A</v>
      </c>
      <c r="D254" s="1" t="str">
        <f ca="1">VLOOKUP(A254,Import_SuiviGlobal_MigAppliSate!A:I,4,FALSE)</f>
        <v>#N/A</v>
      </c>
      <c r="E254" t="str">
        <f ca="1">VLOOKUP(A254,Import_SuiviGlobal_MigAppliSate!A:I,5,FALSE)</f>
        <v/>
      </c>
      <c r="F254" t="str">
        <f ca="1">VLOOKUP(A254,Import_SuiviGlobal_MigAppliSate!A:I,6,FALSE)</f>
        <v>#N/A</v>
      </c>
      <c r="G254" t="str">
        <f ca="1">VLOOKUP(A254,Import_SuiviGlobal_MigAppliSate!A:I,7,FALSE)</f>
        <v>#N/A</v>
      </c>
      <c r="H254" t="str">
        <f ca="1">VLOOKUP(A254,Import_SuiviGlobal_MigAppliSate!A:I,8,FALSE)</f>
        <v>#N/A</v>
      </c>
      <c r="I254" t="str">
        <f ca="1">VLOOKUP(A254,Import_SuiviGlobal_MigAppliSate!A:I,9,FALSE)</f>
        <v>#N/A</v>
      </c>
      <c r="J254" s="24" t="str">
        <f ca="1">VLOOKUP(A254,Import_SuiviGlobal_MigAppliSate!A:K,10,FALSE)</f>
        <v>Gilles EVRARD</v>
      </c>
      <c r="K254" t="str">
        <f ca="1">VLOOKUP(A254,Import_SuiviGlobal_MigAppliSate!A:K,11,FALSE)</f>
        <v>gilles.evrard@syrinxpan.fr</v>
      </c>
      <c r="O254" s="1" t="s">
        <v>22</v>
      </c>
    </row>
    <row r="255" spans="1:15" ht="12.75" hidden="1" x14ac:dyDescent="0.2">
      <c r="A255">
        <v>66215</v>
      </c>
      <c r="B255" t="str">
        <f ca="1">VLOOKUP(A255,Import_SuiviGlobal_MigAppliSate!A:I,2,FALSE)</f>
        <v>CORBELIN</v>
      </c>
      <c r="C255" t="str">
        <f ca="1">VLOOKUP(A255,Import_SuiviGlobal_MigAppliSate!A:I,3,FALSE)</f>
        <v>U Express</v>
      </c>
      <c r="D255" s="1" t="str">
        <f ca="1">VLOOKUP(A255,Import_SuiviGlobal_MigAppliSate!A:I,4,FALSE)</f>
        <v>Coop U Enseigne Est</v>
      </c>
      <c r="E255">
        <f ca="1">VLOOKUP(A255,Import_SuiviGlobal_MigAppliSate!A:I,5,FALSE)</f>
        <v>38630</v>
      </c>
      <c r="F255" t="str">
        <f ca="1">VLOOKUP(A255,Import_SuiviGlobal_MigAppliSate!A:I,6,FALSE)</f>
        <v>AVENUE DES FRERES GUIGUET</v>
      </c>
      <c r="G255" t="str">
        <f ca="1">VLOOKUP(A255,Import_SuiviGlobal_MigAppliSate!A:I,7,FALSE)</f>
        <v>04.37.05.00.90</v>
      </c>
      <c r="H255" t="str">
        <f ca="1">VLOOKUP(A255,Import_SuiviGlobal_MigAppliSate!A:I,8,FALSE)</f>
        <v>LAUBRY Marc</v>
      </c>
      <c r="I255" t="str">
        <f ca="1">VLOOKUP(A255,Import_SuiviGlobal_MigAppliSate!A:I,9,FALSE)</f>
        <v>marc.laubry@systeme-u.fr</v>
      </c>
      <c r="J255" s="24" t="str">
        <f ca="1">VLOOKUP(A255,Import_SuiviGlobal_MigAppliSate!A:K,10,FALSE)</f>
        <v>Mme Boitte</v>
      </c>
      <c r="K255" t="str">
        <f ca="1">VLOOKUP(A255,Import_SuiviGlobal_MigAppliSate!A:K,11,FALSE)</f>
        <v>uexpress.corbelin.direction@systeme-u.fr</v>
      </c>
      <c r="O255" s="1" t="s">
        <v>22</v>
      </c>
    </row>
    <row r="256" spans="1:15" ht="12.75" hidden="1" x14ac:dyDescent="0.2">
      <c r="A256">
        <v>90670</v>
      </c>
      <c r="B256" t="str">
        <f ca="1">VLOOKUP(A256,Import_SuiviGlobal_MigAppliSate!A:I,2,FALSE)</f>
        <v>CORTE GARE</v>
      </c>
      <c r="C256" t="str">
        <f ca="1">VLOOKUP(A256,Import_SuiviGlobal_MigAppliSate!A:I,3,FALSE)</f>
        <v>U Express</v>
      </c>
      <c r="D256" s="1" t="str">
        <f ca="1">VLOOKUP(A256,Import_SuiviGlobal_MigAppliSate!A:I,4,FALSE)</f>
        <v>Coop MISTRAL</v>
      </c>
      <c r="E256">
        <f ca="1">VLOOKUP(A256,Import_SuiviGlobal_MigAppliSate!A:I,5,FALSE)</f>
        <v>20250</v>
      </c>
      <c r="F256" t="str">
        <f ca="1">VLOOKUP(A256,Import_SuiviGlobal_MigAppliSate!A:I,6,FALSE)</f>
        <v>PLACE DE LA GARE</v>
      </c>
      <c r="G256" t="str">
        <f ca="1">VLOOKUP(A256,Import_SuiviGlobal_MigAppliSate!A:I,7,FALSE)</f>
        <v>04.95.32.25.42</v>
      </c>
      <c r="H256" t="str">
        <f ca="1">VLOOKUP(A256,Import_SuiviGlobal_MigAppliSate!A:I,8,FALSE)</f>
        <v>SIMONETTI Renaud</v>
      </c>
      <c r="I256" t="str">
        <f ca="1">VLOOKUP(A256,Import_SuiviGlobal_MigAppliSate!A:I,9,FALSE)</f>
        <v/>
      </c>
      <c r="J256" s="24" t="str">
        <f ca="1">VLOOKUP(A256,Import_SuiviGlobal_MigAppliSate!A:K,10,FALSE)</f>
        <v>BATTESTI Jean-Pierre</v>
      </c>
      <c r="K256" t="str">
        <f ca="1">VLOOKUP(A256,Import_SuiviGlobal_MigAppliSate!A:K,11,FALSE)</f>
        <v>uexpress.corte@mistral-u.fr,delphine.damian@lemistral.fr,helene.mina@lemistral.fr</v>
      </c>
      <c r="O256" s="1" t="s">
        <v>22</v>
      </c>
    </row>
    <row r="257" spans="1:15" ht="12.75" x14ac:dyDescent="0.2">
      <c r="A257">
        <v>30078</v>
      </c>
      <c r="B257" t="str">
        <f ca="1">VLOOKUP(A257,Import_SuiviGlobal_MigAppliSate!A:I,2,FALSE)</f>
        <v>CORZE</v>
      </c>
      <c r="C257" t="str">
        <f ca="1">VLOOKUP(A257,Import_SuiviGlobal_MigAppliSate!A:I,3,FALSE)</f>
        <v>Super U</v>
      </c>
      <c r="D257" s="1" t="str">
        <f ca="1">VLOOKUP(A257,Import_SuiviGlobal_MigAppliSate!A:I,4,FALSE)</f>
        <v>Coop U Enseigne Ouest</v>
      </c>
      <c r="E257">
        <f ca="1">VLOOKUP(A257,Import_SuiviGlobal_MigAppliSate!A:I,5,FALSE)</f>
        <v>49140</v>
      </c>
      <c r="F257" t="str">
        <f ca="1">VLOOKUP(A257,Import_SuiviGlobal_MigAppliSate!A:I,6,FALSE)</f>
        <v>NATIONALE 23 L'AURORE</v>
      </c>
      <c r="G257" t="str">
        <f ca="1">VLOOKUP(A257,Import_SuiviGlobal_MigAppliSate!A:I,7,FALSE)</f>
        <v>02.41.18.22.44</v>
      </c>
      <c r="H257" t="str">
        <f ca="1">VLOOKUP(A257,Import_SuiviGlobal_MigAppliSate!A:I,8,FALSE)</f>
        <v>JEANNEAU RPT LUEMAG DISTRIBUTI David</v>
      </c>
      <c r="I257" t="str">
        <f ca="1">VLOOKUP(A257,Import_SuiviGlobal_MigAppliSate!A:I,9,FALSE)</f>
        <v>david.jeanneau@systeme-u.fr</v>
      </c>
      <c r="J257" s="24" t="str">
        <f ca="1">VLOOKUP(A257,Import_SuiviGlobal_MigAppliSate!A:K,10,FALSE)</f>
        <v xml:space="preserve">Bretagne Sylvie </v>
      </c>
      <c r="K257" t="str">
        <f ca="1">VLOOKUP(A257,Import_SuiviGlobal_MigAppliSate!A:K,11,FALSE)</f>
        <v>superu.corze.compta@systeme-u.fr, superu.corze.direction@systeme-u.fr</v>
      </c>
      <c r="L257" t="s">
        <v>17</v>
      </c>
      <c r="M257" t="s">
        <v>0</v>
      </c>
      <c r="O257" s="1" t="s">
        <v>22</v>
      </c>
    </row>
    <row r="258" spans="1:15" ht="12.75" x14ac:dyDescent="0.2">
      <c r="A258">
        <v>32739</v>
      </c>
      <c r="B258" t="str">
        <f ca="1">VLOOKUP(A258,Import_SuiviGlobal_MigAppliSate!A:I,2,FALSE)</f>
        <v>COUERON LA CHABOSSIERE</v>
      </c>
      <c r="C258" t="str">
        <f ca="1">VLOOKUP(A258,Import_SuiviGlobal_MigAppliSate!A:I,3,FALSE)</f>
        <v>Super U</v>
      </c>
      <c r="D258" s="1" t="str">
        <f ca="1">VLOOKUP(A258,Import_SuiviGlobal_MigAppliSate!A:I,4,FALSE)</f>
        <v>Coop U Enseigne Ouest</v>
      </c>
      <c r="E258">
        <f ca="1">VLOOKUP(A258,Import_SuiviGlobal_MigAppliSate!A:I,5,FALSE)</f>
        <v>44220</v>
      </c>
      <c r="F258" t="str">
        <f ca="1">VLOOKUP(A258,Import_SuiviGlobal_MigAppliSate!A:I,6,FALSE)</f>
        <v>48, BD DE LA LIBERATION</v>
      </c>
      <c r="G258" t="str">
        <f ca="1">VLOOKUP(A258,Import_SuiviGlobal_MigAppliSate!A:I,7,FALSE)</f>
        <v>02.40.86.10.13</v>
      </c>
      <c r="H258" t="str">
        <f ca="1">VLOOKUP(A258,Import_SuiviGlobal_MigAppliSate!A:I,8,FALSE)</f>
        <v>SANZ Loic</v>
      </c>
      <c r="I258" t="str">
        <f ca="1">VLOOKUP(A258,Import_SuiviGlobal_MigAppliSate!A:I,9,FALSE)</f>
        <v>loic.sanz@systeme-u.fr</v>
      </c>
      <c r="J258" s="24" t="str">
        <f ca="1">VLOOKUP(A258,Import_SuiviGlobal_MigAppliSate!A:K,10,FALSE)</f>
        <v>RABILLARD Manuella</v>
      </c>
      <c r="K258" t="str">
        <f ca="1">VLOOKUP(A258,Import_SuiviGlobal_MigAppliSate!A:K,11,FALSE)</f>
        <v>superu.coueronlachabossiere.gescom@systeme-u.fr</v>
      </c>
      <c r="L258" t="s">
        <v>17</v>
      </c>
      <c r="M258" s="1" t="s">
        <v>0</v>
      </c>
      <c r="O258" s="1" t="s">
        <v>22</v>
      </c>
    </row>
    <row r="259" spans="1:15" ht="12.75" hidden="1" x14ac:dyDescent="0.2">
      <c r="A259">
        <v>23913</v>
      </c>
      <c r="B259" t="str">
        <f ca="1">VLOOKUP(A259,Import_SuiviGlobal_MigAppliSate!A:I,2,FALSE)</f>
        <v>COUILLY PONT AUX DAMES</v>
      </c>
      <c r="C259" t="str">
        <f ca="1">VLOOKUP(A259,Import_SuiviGlobal_MigAppliSate!A:I,3,FALSE)</f>
        <v>Super U</v>
      </c>
      <c r="D259" s="1" t="str">
        <f ca="1">VLOOKUP(A259,Import_SuiviGlobal_MigAppliSate!A:I,4,FALSE)</f>
        <v>Coop U Enseigne NordOuest</v>
      </c>
      <c r="E259">
        <f ca="1">VLOOKUP(A259,Import_SuiviGlobal_MigAppliSate!A:I,5,FALSE)</f>
        <v>77860</v>
      </c>
      <c r="F259" t="str">
        <f ca="1">VLOOKUP(A259,Import_SuiviGlobal_MigAppliSate!A:I,6,FALSE)</f>
        <v>61 AVENUE DE L'ENSOLEILLEE</v>
      </c>
      <c r="G259" t="str">
        <f ca="1">VLOOKUP(A259,Import_SuiviGlobal_MigAppliSate!A:I,7,FALSE)</f>
        <v>01.64.63.88.88</v>
      </c>
      <c r="H259" t="str">
        <f ca="1">VLOOKUP(A259,Import_SuiviGlobal_MigAppliSate!A:I,8,FALSE)</f>
        <v>PROUX Stéphane</v>
      </c>
      <c r="I259" t="str">
        <f ca="1">VLOOKUP(A259,Import_SuiviGlobal_MigAppliSate!A:I,9,FALSE)</f>
        <v>stephane.proux@systeme-u.fr</v>
      </c>
      <c r="J259" s="24" t="str">
        <f ca="1">VLOOKUP(A259,Import_SuiviGlobal_MigAppliSate!A:K,10,FALSE)</f>
        <v>M. BERGERON
Mme CROIN
Mme VADDA Nadia</v>
      </c>
      <c r="K259" t="str">
        <f ca="1">VLOOKUP(A259,Import_SuiviGlobal_MigAppliSate!A:K,11,FALSE)</f>
        <v>lolita.croin@systeme-u.fr,superu.couillypontauxdames@systeme-u.fr</v>
      </c>
      <c r="O259" s="1" t="s">
        <v>22</v>
      </c>
    </row>
    <row r="260" spans="1:15" ht="12.75" hidden="1" x14ac:dyDescent="0.2">
      <c r="A260">
        <v>32615</v>
      </c>
      <c r="B260" t="str">
        <f ca="1">VLOOKUP(A260,Import_SuiviGlobal_MigAppliSate!A:I,2,FALSE)</f>
        <v>COULONGES-SUR-L'AUTIZE</v>
      </c>
      <c r="C260" t="str">
        <f ca="1">VLOOKUP(A260,Import_SuiviGlobal_MigAppliSate!A:I,3,FALSE)</f>
        <v>Super U</v>
      </c>
      <c r="D260" s="1" t="str">
        <f ca="1">VLOOKUP(A260,Import_SuiviGlobal_MigAppliSate!A:I,4,FALSE)</f>
        <v>Coop U Enseigne Ouest</v>
      </c>
      <c r="E260">
        <f ca="1">VLOOKUP(A260,Import_SuiviGlobal_MigAppliSate!A:I,5,FALSE)</f>
        <v>79160</v>
      </c>
      <c r="F260" t="str">
        <f ca="1">VLOOKUP(A260,Import_SuiviGlobal_MigAppliSate!A:I,6,FALSE)</f>
        <v>ROUTE DE NIORT</v>
      </c>
      <c r="G260" t="str">
        <f ca="1">VLOOKUP(A260,Import_SuiviGlobal_MigAppliSate!A:I,7,FALSE)</f>
        <v>05.49.06.11.48</v>
      </c>
      <c r="H260" t="str">
        <f ca="1">VLOOKUP(A260,Import_SuiviGlobal_MigAppliSate!A:I,8,FALSE)</f>
        <v>DUHALDE Céline</v>
      </c>
      <c r="I260" t="str">
        <f ca="1">VLOOKUP(A260,Import_SuiviGlobal_MigAppliSate!A:I,9,FALSE)</f>
        <v>celine.duhalde@systeme-u.fr</v>
      </c>
      <c r="J260" s="24" t="str">
        <f ca="1">VLOOKUP(A260,Import_SuiviGlobal_MigAppliSate!A:K,10,FALSE)</f>
        <v>DRILLON Christelle</v>
      </c>
      <c r="K260" t="str">
        <f ca="1">VLOOKUP(A260,Import_SuiviGlobal_MigAppliSate!A:K,11,FALSE)</f>
        <v>superu.coulongessurautize.gescom@systeme-u.fr</v>
      </c>
      <c r="O260" s="1" t="s">
        <v>22</v>
      </c>
    </row>
    <row r="261" spans="1:15" ht="12.75" hidden="1" x14ac:dyDescent="0.2">
      <c r="A261">
        <v>90005</v>
      </c>
      <c r="B261" t="str">
        <f ca="1">VLOOKUP(A261,Import_SuiviGlobal_MigAppliSate!A:I,2,FALSE)</f>
        <v>COURSAN</v>
      </c>
      <c r="C261" t="str">
        <f ca="1">VLOOKUP(A261,Import_SuiviGlobal_MigAppliSate!A:I,3,FALSE)</f>
        <v>Super U</v>
      </c>
      <c r="D261" s="1" t="str">
        <f ca="1">VLOOKUP(A261,Import_SuiviGlobal_MigAppliSate!A:I,4,FALSE)</f>
        <v>Coop U Enseigne Sud</v>
      </c>
      <c r="E261">
        <f ca="1">VLOOKUP(A261,Import_SuiviGlobal_MigAppliSate!A:I,5,FALSE)</f>
        <v>11110</v>
      </c>
      <c r="F261" t="str">
        <f ca="1">VLOOKUP(A261,Import_SuiviGlobal_MigAppliSate!A:I,6,FALSE)</f>
        <v>AVENUE DE TOULOUSE</v>
      </c>
      <c r="G261" t="str">
        <f ca="1">VLOOKUP(A261,Import_SuiviGlobal_MigAppliSate!A:I,7,FALSE)</f>
        <v>04.68.46.60.90</v>
      </c>
      <c r="H261" t="str">
        <f ca="1">VLOOKUP(A261,Import_SuiviGlobal_MigAppliSate!A:I,8,FALSE)</f>
        <v>BARDAY Romuald</v>
      </c>
      <c r="I261" t="str">
        <f ca="1">VLOOKUP(A261,Import_SuiviGlobal_MigAppliSate!A:I,9,FALSE)</f>
        <v>romuald.barday@systeme-u.fr</v>
      </c>
      <c r="J261" s="24" t="str">
        <f ca="1">VLOOKUP(A261,Import_SuiviGlobal_MigAppliSate!A:K,10,FALSE)</f>
        <v>BUREU Jean-louis</v>
      </c>
      <c r="K261" t="str">
        <f ca="1">VLOOKUP(A261,Import_SuiviGlobal_MigAppliSate!A:K,11,FALSE)</f>
        <v>superu.coursan.direction@systeme-u.fr</v>
      </c>
      <c r="O261" s="1" t="s">
        <v>22</v>
      </c>
    </row>
    <row r="262" spans="1:15" ht="12.75" hidden="1" x14ac:dyDescent="0.2">
      <c r="A262">
        <v>90643</v>
      </c>
      <c r="B262" t="str">
        <f ca="1">VLOOKUP(A262,Import_SuiviGlobal_MigAppliSate!A:I,2,FALSE)</f>
        <v>COURTHEZON</v>
      </c>
      <c r="C262" t="str">
        <f ca="1">VLOOKUP(A262,Import_SuiviGlobal_MigAppliSate!A:I,3,FALSE)</f>
        <v>U Express</v>
      </c>
      <c r="D262" s="1" t="str">
        <f ca="1">VLOOKUP(A262,Import_SuiviGlobal_MigAppliSate!A:I,4,FALSE)</f>
        <v>Coop MISTRAL</v>
      </c>
      <c r="E262">
        <f ca="1">VLOOKUP(A262,Import_SuiviGlobal_MigAppliSate!A:I,5,FALSE)</f>
        <v>84350</v>
      </c>
      <c r="F262" t="str">
        <f ca="1">VLOOKUP(A262,Import_SuiviGlobal_MigAppliSate!A:I,6,FALSE)</f>
        <v>ROUTE DE CHATEAUNEUF DU PAPE</v>
      </c>
      <c r="G262" t="str">
        <f ca="1">VLOOKUP(A262,Import_SuiviGlobal_MigAppliSate!A:I,7,FALSE)</f>
        <v>04.90.30.39.60</v>
      </c>
      <c r="H262" t="str">
        <f ca="1">VLOOKUP(A262,Import_SuiviGlobal_MigAppliSate!A:I,8,FALSE)</f>
        <v>RENET Etienne</v>
      </c>
      <c r="I262" t="str">
        <f ca="1">VLOOKUP(A262,Import_SuiviGlobal_MigAppliSate!A:I,9,FALSE)</f>
        <v/>
      </c>
      <c r="J262" s="24" t="str">
        <f ca="1">VLOOKUP(A262,Import_SuiviGlobal_MigAppliSate!A:K,10,FALSE)</f>
        <v xml:space="preserve">vieira paulo </v>
      </c>
      <c r="K262" t="str">
        <f ca="1">VLOOKUP(A262,Import_SuiviGlobal_MigAppliSate!A:K,11,FALSE)</f>
        <v>delphine.damian@lemistral.fr,helene.mina@lemistral.fr, courthezon.pgc735@gmail.com, sdcourthezon@gmail.com</v>
      </c>
      <c r="O262" s="1" t="s">
        <v>22</v>
      </c>
    </row>
    <row r="263" spans="1:15" ht="12.75" hidden="1" x14ac:dyDescent="0.2">
      <c r="A263">
        <v>26505</v>
      </c>
      <c r="B263" t="str">
        <f ca="1">VLOOKUP(A263,Import_SuiviGlobal_MigAppliSate!A:I,2,FALSE)</f>
        <v>COURVILLE SUR EURE</v>
      </c>
      <c r="C263" t="str">
        <f ca="1">VLOOKUP(A263,Import_SuiviGlobal_MigAppliSate!A:I,3,FALSE)</f>
        <v>Super U</v>
      </c>
      <c r="D263" s="1" t="str">
        <f ca="1">VLOOKUP(A263,Import_SuiviGlobal_MigAppliSate!A:I,4,FALSE)</f>
        <v>Coop U Enseigne NordOuest</v>
      </c>
      <c r="E263">
        <f ca="1">VLOOKUP(A263,Import_SuiviGlobal_MigAppliSate!A:I,5,FALSE)</f>
        <v>28190</v>
      </c>
      <c r="F263" t="str">
        <f ca="1">VLOOKUP(A263,Import_SuiviGlobal_MigAppliSate!A:I,6,FALSE)</f>
        <v>RUE DE BEAUCE</v>
      </c>
      <c r="G263" t="str">
        <f ca="1">VLOOKUP(A263,Import_SuiviGlobal_MigAppliSate!A:I,7,FALSE)</f>
        <v>02.37.23.20.50</v>
      </c>
      <c r="H263" t="str">
        <f ca="1">VLOOKUP(A263,Import_SuiviGlobal_MigAppliSate!A:I,8,FALSE)</f>
        <v>LAIZEAU Thierry</v>
      </c>
      <c r="I263" t="str">
        <f ca="1">VLOOKUP(A263,Import_SuiviGlobal_MigAppliSate!A:I,9,FALSE)</f>
        <v>thierry.laizeau@systeme-u.fr</v>
      </c>
      <c r="J263" s="24" t="str">
        <f ca="1">VLOOKUP(A263,Import_SuiviGlobal_MigAppliSate!A:K,10,FALSE)</f>
        <v/>
      </c>
      <c r="K263" t="str">
        <f ca="1">VLOOKUP(A263,Import_SuiviGlobal_MigAppliSate!A:K,11,FALSE)</f>
        <v/>
      </c>
      <c r="O263" s="1" t="s">
        <v>22</v>
      </c>
    </row>
    <row r="264" spans="1:15" ht="12.75" hidden="1" x14ac:dyDescent="0.2">
      <c r="A264">
        <v>32068</v>
      </c>
      <c r="B264" t="str">
        <f ca="1">VLOOKUP(A264,Import_SuiviGlobal_MigAppliSate!A:I,2,FALSE)</f>
        <v>COZES</v>
      </c>
      <c r="C264" t="str">
        <f ca="1">VLOOKUP(A264,Import_SuiviGlobal_MigAppliSate!A:I,3,FALSE)</f>
        <v>Super U</v>
      </c>
      <c r="D264" s="1" t="str">
        <f ca="1">VLOOKUP(A264,Import_SuiviGlobal_MigAppliSate!A:I,4,FALSE)</f>
        <v>Coop Atlantique</v>
      </c>
      <c r="E264">
        <f ca="1">VLOOKUP(A264,Import_SuiviGlobal_MigAppliSate!A:I,5,FALSE)</f>
        <v>17120</v>
      </c>
      <c r="F264" t="str">
        <f ca="1">VLOOKUP(A264,Import_SuiviGlobal_MigAppliSate!A:I,6,FALSE)</f>
        <v>30 BOULEVARD DES DANDONNEAUX</v>
      </c>
      <c r="G264" t="str">
        <f ca="1">VLOOKUP(A264,Import_SuiviGlobal_MigAppliSate!A:I,7,FALSE)</f>
        <v>05.46.90.85.70</v>
      </c>
      <c r="H264" t="str">
        <f ca="1">VLOOKUP(A264,Import_SuiviGlobal_MigAppliSate!A:I,8,FALSE)</f>
        <v>FLAMBARD Hervé</v>
      </c>
      <c r="I264" t="str">
        <f ca="1">VLOOKUP(A264,Import_SuiviGlobal_MigAppliSate!A:I,9,FALSE)</f>
        <v>bertrand.defontaine_coop_su_uex@systeme-u.fr</v>
      </c>
      <c r="J264" s="24" t="str">
        <f ca="1">VLOOKUP(A264,Import_SuiviGlobal_MigAppliSate!A:K,10,FALSE)</f>
        <v>Céline FAUCONNET</v>
      </c>
      <c r="K264" t="str">
        <f ca="1">VLOOKUP(A264,Import_SuiviGlobal_MigAppliSate!A:K,11,FALSE)</f>
        <v>superu.cozes.direction@systeme-u.fr,nbrigant@coop-atlantique.fr,sjaud@coop-atlantique.fr,pauge@coop-atlantique.fr</v>
      </c>
      <c r="L264" s="1" t="s">
        <v>17</v>
      </c>
      <c r="M264" t="s">
        <v>23</v>
      </c>
      <c r="O264" s="1" t="s">
        <v>22</v>
      </c>
    </row>
    <row r="265" spans="1:15" ht="12.75" hidden="1" x14ac:dyDescent="0.2">
      <c r="A265">
        <v>38478</v>
      </c>
      <c r="B265" t="str">
        <f ca="1">VLOOKUP(A265,Import_SuiviGlobal_MigAppliSate!A:I,2,FALSE)</f>
        <v>CRAON CENTRE</v>
      </c>
      <c r="C265" t="str">
        <f ca="1">VLOOKUP(A265,Import_SuiviGlobal_MigAppliSate!A:I,3,FALSE)</f>
        <v>U Express</v>
      </c>
      <c r="D265" s="1" t="str">
        <f ca="1">VLOOKUP(A265,Import_SuiviGlobal_MigAppliSate!A:I,4,FALSE)</f>
        <v>Coop U Enseigne Ouest</v>
      </c>
      <c r="E265">
        <f ca="1">VLOOKUP(A265,Import_SuiviGlobal_MigAppliSate!A:I,5,FALSE)</f>
        <v>53400</v>
      </c>
      <c r="F265" t="str">
        <f ca="1">VLOOKUP(A265,Import_SuiviGlobal_MigAppliSate!A:I,6,FALSE)</f>
        <v>3, PROMENADE CHARLES DE GAULLE</v>
      </c>
      <c r="G265" t="str">
        <f ca="1">VLOOKUP(A265,Import_SuiviGlobal_MigAppliSate!A:I,7,FALSE)</f>
        <v>02.43.06.15.79</v>
      </c>
      <c r="H265" t="str">
        <f ca="1">VLOOKUP(A265,Import_SuiviGlobal_MigAppliSate!A:I,8,FALSE)</f>
        <v>LEROY Yannick</v>
      </c>
      <c r="I265" t="str">
        <f ca="1">VLOOKUP(A265,Import_SuiviGlobal_MigAppliSate!A:I,9,FALSE)</f>
        <v>yannick.leroy@systeme-u.fr</v>
      </c>
      <c r="J265" s="24" t="str">
        <f ca="1">VLOOKUP(A265,Import_SuiviGlobal_MigAppliSate!A:K,10,FALSE)</f>
        <v>Mme Gatineau</v>
      </c>
      <c r="K265" t="str">
        <f ca="1">VLOOKUP(A265,Import_SuiviGlobal_MigAppliSate!A:K,11,FALSE)</f>
        <v>uexpress.craoncentre@systeme-u.fr</v>
      </c>
      <c r="O265" s="1" t="s">
        <v>22</v>
      </c>
    </row>
    <row r="266" spans="1:15" ht="12.75" hidden="1" x14ac:dyDescent="0.2">
      <c r="A266">
        <v>30213</v>
      </c>
      <c r="B266" t="str">
        <f ca="1">VLOOKUP(A266,Import_SuiviGlobal_MigAppliSate!A:I,2,FALSE)</f>
        <v>CRAON-ST-CLEMENT</v>
      </c>
      <c r="C266" t="str">
        <f ca="1">VLOOKUP(A266,Import_SuiviGlobal_MigAppliSate!A:I,3,FALSE)</f>
        <v>Super U</v>
      </c>
      <c r="D266" s="1" t="str">
        <f ca="1">VLOOKUP(A266,Import_SuiviGlobal_MigAppliSate!A:I,4,FALSE)</f>
        <v>Coop U Enseigne Ouest</v>
      </c>
      <c r="E266">
        <f ca="1">VLOOKUP(A266,Import_SuiviGlobal_MigAppliSate!A:I,5,FALSE)</f>
        <v>53400</v>
      </c>
      <c r="F266" t="str">
        <f ca="1">VLOOKUP(A266,Import_SuiviGlobal_MigAppliSate!A:I,6,FALSE)</f>
        <v>ZONE ARTISANALE DE LA PÉPINIÈRE</v>
      </c>
      <c r="G266" t="str">
        <f ca="1">VLOOKUP(A266,Import_SuiviGlobal_MigAppliSate!A:I,7,FALSE)</f>
        <v>02.43.70.97.09</v>
      </c>
      <c r="H266" t="str">
        <f ca="1">VLOOKUP(A266,Import_SuiviGlobal_MigAppliSate!A:I,8,FALSE)</f>
        <v>VALLEE RPT SAS SOVAL Alain</v>
      </c>
      <c r="I266" t="str">
        <f ca="1">VLOOKUP(A266,Import_SuiviGlobal_MigAppliSate!A:I,9,FALSE)</f>
        <v>alain.vallee@systeme-u.fr</v>
      </c>
      <c r="J266" s="24" t="str">
        <f ca="1">VLOOKUP(A266,Import_SuiviGlobal_MigAppliSate!A:K,10,FALSE)</f>
        <v>David</v>
      </c>
      <c r="K266" t="str">
        <f ca="1">VLOOKUP(A266,Import_SuiviGlobal_MigAppliSate!A:K,11,FALSE)</f>
        <v>superu.craon.bazar@systeme-u.fr</v>
      </c>
      <c r="O266" s="1" t="s">
        <v>22</v>
      </c>
    </row>
    <row r="267" spans="1:15" ht="12.75" hidden="1" x14ac:dyDescent="0.2">
      <c r="A267">
        <v>66197</v>
      </c>
      <c r="B267" t="str">
        <f ca="1">VLOOKUP(A267,Import_SuiviGlobal_MigAppliSate!A:I,2,FALSE)</f>
        <v>CRAPONNE SUR ARZON</v>
      </c>
      <c r="C267" t="str">
        <f ca="1">VLOOKUP(A267,Import_SuiviGlobal_MigAppliSate!A:I,3,FALSE)</f>
        <v>Super U</v>
      </c>
      <c r="D267" s="1" t="str">
        <f ca="1">VLOOKUP(A267,Import_SuiviGlobal_MigAppliSate!A:I,4,FALSE)</f>
        <v>Coop U Enseigne Est</v>
      </c>
      <c r="E267">
        <f ca="1">VLOOKUP(A267,Import_SuiviGlobal_MigAppliSate!A:I,5,FALSE)</f>
        <v>43500</v>
      </c>
      <c r="F267" t="str">
        <f ca="1">VLOOKUP(A267,Import_SuiviGlobal_MigAppliSate!A:I,6,FALSE)</f>
        <v>24 RUE D'OLLIAS</v>
      </c>
      <c r="G267" t="str">
        <f ca="1">VLOOKUP(A267,Import_SuiviGlobal_MigAppliSate!A:I,7,FALSE)</f>
        <v>04.71.03.36.09</v>
      </c>
      <c r="H267" t="str">
        <f ca="1">VLOOKUP(A267,Import_SuiviGlobal_MigAppliSate!A:I,8,FALSE)</f>
        <v>EPIARD Stephane</v>
      </c>
      <c r="I267" t="str">
        <f ca="1">VLOOKUP(A267,Import_SuiviGlobal_MigAppliSate!A:I,9,FALSE)</f>
        <v>stephane.epiard@systeme-u.fr</v>
      </c>
      <c r="J267" s="24" t="str">
        <f ca="1">VLOOKUP(A267,Import_SuiviGlobal_MigAppliSate!A:K,10,FALSE)</f>
        <v>BITTON YAN</v>
      </c>
      <c r="K267" t="str">
        <f ca="1">VLOOKUP(A267,Import_SuiviGlobal_MigAppliSate!A:K,11,FALSE)</f>
        <v>superu.craponnesurarzon.direction@systeme-u.fr</v>
      </c>
      <c r="O267" s="1" t="s">
        <v>22</v>
      </c>
    </row>
    <row r="268" spans="1:15" ht="12.75" hidden="1" x14ac:dyDescent="0.2">
      <c r="A268">
        <v>68517</v>
      </c>
      <c r="B268" t="str">
        <f ca="1">VLOOKUP(A268,Import_SuiviGlobal_MigAppliSate!A:I,2,FALSE)</f>
        <v>CRONENBOURG</v>
      </c>
      <c r="C268" t="str">
        <f ca="1">VLOOKUP(A268,Import_SuiviGlobal_MigAppliSate!A:I,3,FALSE)</f>
        <v>U Express</v>
      </c>
      <c r="D268" s="1" t="str">
        <f ca="1">VLOOKUP(A268,Import_SuiviGlobal_MigAppliSate!A:I,4,FALSE)</f>
        <v>Coop U Enseigne Est</v>
      </c>
      <c r="E268">
        <f ca="1">VLOOKUP(A268,Import_SuiviGlobal_MigAppliSate!A:I,5,FALSE)</f>
        <v>67200</v>
      </c>
      <c r="F268" t="str">
        <f ca="1">VLOOKUP(A268,Import_SuiviGlobal_MigAppliSate!A:I,6,FALSE)</f>
        <v>26 ALLEE DE L'HOUBLONNIERE</v>
      </c>
      <c r="G268" t="str">
        <f ca="1">VLOOKUP(A268,Import_SuiviGlobal_MigAppliSate!A:I,7,FALSE)</f>
        <v>03.88.30.54.30</v>
      </c>
      <c r="H268" t="str">
        <f ca="1">VLOOKUP(A268,Import_SuiviGlobal_MigAppliSate!A:I,8,FALSE)</f>
        <v>LORENTZ Pierre</v>
      </c>
      <c r="I268" t="str">
        <f ca="1">VLOOKUP(A268,Import_SuiviGlobal_MigAppliSate!A:I,9,FALSE)</f>
        <v>pierre.lorentz@systeme-u.fr</v>
      </c>
      <c r="J268" s="24" t="str">
        <f ca="1">VLOOKUP(A268,Import_SuiviGlobal_MigAppliSate!A:K,10,FALSE)</f>
        <v>Jonathan Sanger</v>
      </c>
      <c r="K268" t="str">
        <f ca="1">VLOOKUP(A268,Import_SuiviGlobal_MigAppliSate!A:K,11,FALSE)</f>
        <v/>
      </c>
      <c r="L268" t="s">
        <v>17</v>
      </c>
      <c r="M268" s="1" t="s">
        <v>24</v>
      </c>
      <c r="N268" s="1" t="s">
        <v>18</v>
      </c>
      <c r="O268" s="1" t="s">
        <v>19</v>
      </c>
    </row>
    <row r="269" spans="1:15" ht="12.75" hidden="1" x14ac:dyDescent="0.2">
      <c r="A269">
        <v>38226</v>
      </c>
      <c r="B269" t="str">
        <f ca="1">VLOOKUP(A269,Import_SuiviGlobal_MigAppliSate!A:I,2,FALSE)</f>
        <v>CROZON</v>
      </c>
      <c r="C269" t="str">
        <f ca="1">VLOOKUP(A269,Import_SuiviGlobal_MigAppliSate!A:I,3,FALSE)</f>
        <v>Sans enseigne</v>
      </c>
      <c r="D269" s="1" t="str">
        <f ca="1">VLOOKUP(A269,Import_SuiviGlobal_MigAppliSate!A:I,4,FALSE)</f>
        <v>Coop U Enseigne Ouest</v>
      </c>
      <c r="E269">
        <f ca="1">VLOOKUP(A269,Import_SuiviGlobal_MigAppliSate!A:I,5,FALSE)</f>
        <v>29160</v>
      </c>
      <c r="F269" t="str">
        <f ca="1">VLOOKUP(A269,Import_SuiviGlobal_MigAppliSate!A:I,6,FALSE)</f>
        <v>ALLEE DES TILLEULS</v>
      </c>
      <c r="G269" t="str">
        <f ca="1">VLOOKUP(A269,Import_SuiviGlobal_MigAppliSate!A:I,7,FALSE)</f>
        <v>02.29.25.02.02</v>
      </c>
      <c r="H269" t="str">
        <f ca="1">VLOOKUP(A269,Import_SuiviGlobal_MigAppliSate!A:I,8,FALSE)</f>
        <v>GOUEZ Emmanuelle</v>
      </c>
      <c r="I269" t="str">
        <f ca="1">VLOOKUP(A269,Import_SuiviGlobal_MigAppliSate!A:I,9,FALSE)</f>
        <v>jean-michel.gouez@systeme-u.fr</v>
      </c>
      <c r="J269" s="24" t="str">
        <f ca="1">VLOOKUP(A269,Import_SuiviGlobal_MigAppliSate!A:K,10,FALSE)</f>
        <v xml:space="preserve">Mme GOUEZ - Mme MIGNON - Mme LEBERRE																														
</v>
      </c>
      <c r="K269" t="str">
        <f ca="1">VLOOKUP(A269,Import_SuiviGlobal_MigAppliSate!A:K,11,FALSE)</f>
        <v>morbreizh.dis@orange.fr</v>
      </c>
      <c r="O269" s="1" t="s">
        <v>22</v>
      </c>
    </row>
    <row r="270" spans="1:15" ht="12.75" hidden="1" x14ac:dyDescent="0.2">
      <c r="A270">
        <v>62081</v>
      </c>
      <c r="B270" t="str">
        <f ca="1">VLOOKUP(A270,Import_SuiviGlobal_MigAppliSate!A:I,2,FALSE)</f>
        <v>CUISEAUX</v>
      </c>
      <c r="C270" t="str">
        <f ca="1">VLOOKUP(A270,Import_SuiviGlobal_MigAppliSate!A:I,3,FALSE)</f>
        <v>U Express</v>
      </c>
      <c r="D270" s="1" t="str">
        <f ca="1">VLOOKUP(A270,Import_SuiviGlobal_MigAppliSate!A:I,4,FALSE)</f>
        <v>Coop U Enseigne Est</v>
      </c>
      <c r="E270">
        <f ca="1">VLOOKUP(A270,Import_SuiviGlobal_MigAppliSate!A:I,5,FALSE)</f>
        <v>71480</v>
      </c>
      <c r="F270" t="str">
        <f ca="1">VLOOKUP(A270,Import_SuiviGlobal_MigAppliSate!A:I,6,FALSE)</f>
        <v>ROUTE DE DOMMARTIN</v>
      </c>
      <c r="G270" t="str">
        <f ca="1">VLOOKUP(A270,Import_SuiviGlobal_MigAppliSate!A:I,7,FALSE)</f>
        <v>03.85.72.78.54</v>
      </c>
      <c r="H270" t="str">
        <f ca="1">VLOOKUP(A270,Import_SuiviGlobal_MigAppliSate!A:I,8,FALSE)</f>
        <v>GRAS Fabien</v>
      </c>
      <c r="I270" t="str">
        <f ca="1">VLOOKUP(A270,Import_SuiviGlobal_MigAppliSate!A:I,9,FALSE)</f>
        <v>fabien.gras@systeme-u.fr</v>
      </c>
      <c r="J270" s="24" t="str">
        <f ca="1">VLOOKUP(A270,Import_SuiviGlobal_MigAppliSate!A:K,10,FALSE)</f>
        <v/>
      </c>
      <c r="K270" t="str">
        <f ca="1">VLOOKUP(A270,Import_SuiviGlobal_MigAppliSate!A:K,11,FALSE)</f>
        <v/>
      </c>
      <c r="O270" s="1" t="s">
        <v>22</v>
      </c>
    </row>
    <row r="271" spans="1:15" ht="12.75" hidden="1" x14ac:dyDescent="0.2">
      <c r="A271">
        <v>60102</v>
      </c>
      <c r="B271" t="str">
        <f ca="1">VLOOKUP(A271,Import_SuiviGlobal_MigAppliSate!A:I,2,FALSE)</f>
        <v>DANNEMARIE</v>
      </c>
      <c r="C271" t="str">
        <f ca="1">VLOOKUP(A271,Import_SuiviGlobal_MigAppliSate!A:I,3,FALSE)</f>
        <v>Super U</v>
      </c>
      <c r="D271" s="1" t="str">
        <f ca="1">VLOOKUP(A271,Import_SuiviGlobal_MigAppliSate!A:I,4,FALSE)</f>
        <v>Coop U Enseigne Est</v>
      </c>
      <c r="E271">
        <f ca="1">VLOOKUP(A271,Import_SuiviGlobal_MigAppliSate!A:I,5,FALSE)</f>
        <v>68210</v>
      </c>
      <c r="F271" t="str">
        <f ca="1">VLOOKUP(A271,Import_SuiviGlobal_MigAppliSate!A:I,6,FALSE)</f>
        <v>8 RUE SAINT LEONARD.</v>
      </c>
      <c r="G271" t="str">
        <f ca="1">VLOOKUP(A271,Import_SuiviGlobal_MigAppliSate!A:I,7,FALSE)</f>
        <v>03.89.25.00.88</v>
      </c>
      <c r="H271" t="str">
        <f ca="1">VLOOKUP(A271,Import_SuiviGlobal_MigAppliSate!A:I,8,FALSE)</f>
        <v>CHEVALLOT René</v>
      </c>
      <c r="I271" t="str">
        <f ca="1">VLOOKUP(A271,Import_SuiviGlobal_MigAppliSate!A:I,9,FALSE)</f>
        <v>stephanie.chevallot@systeme-u.fr</v>
      </c>
      <c r="J271" s="24" t="str">
        <f ca="1">VLOOKUP(A271,Import_SuiviGlobal_MigAppliSate!A:K,10,FALSE)</f>
        <v>Mme Chevallot</v>
      </c>
      <c r="K271" t="str">
        <f ca="1">VLOOKUP(A271,Import_SuiviGlobal_MigAppliSate!A:K,11,FALSE)</f>
        <v/>
      </c>
      <c r="O271" s="1" t="s">
        <v>22</v>
      </c>
    </row>
    <row r="272" spans="1:15" ht="12.75" hidden="1" x14ac:dyDescent="0.2">
      <c r="A272">
        <v>37692</v>
      </c>
      <c r="B272" t="str">
        <f ca="1">VLOOKUP(A272,Import_SuiviGlobal_MigAppliSate!A:I,2,FALSE)</f>
        <v>DAOULAS</v>
      </c>
      <c r="C272" t="str">
        <f ca="1">VLOOKUP(A272,Import_SuiviGlobal_MigAppliSate!A:I,3,FALSE)</f>
        <v>Super U</v>
      </c>
      <c r="D272" s="1" t="str">
        <f ca="1">VLOOKUP(A272,Import_SuiviGlobal_MigAppliSate!A:I,4,FALSE)</f>
        <v>Coop U Enseigne Ouest</v>
      </c>
      <c r="E272">
        <f ca="1">VLOOKUP(A272,Import_SuiviGlobal_MigAppliSate!A:I,5,FALSE)</f>
        <v>29460</v>
      </c>
      <c r="F272" t="str">
        <f ca="1">VLOOKUP(A272,Import_SuiviGlobal_MigAppliSate!A:I,6,FALSE)</f>
        <v>ZONE DU VERN DEREDEC</v>
      </c>
      <c r="G272" t="str">
        <f ca="1">VLOOKUP(A272,Import_SuiviGlobal_MigAppliSate!A:I,7,FALSE)</f>
        <v>02.98.25.80.28</v>
      </c>
      <c r="H272" t="str">
        <f ca="1">VLOOKUP(A272,Import_SuiviGlobal_MigAppliSate!A:I,8,FALSE)</f>
        <v>CIMIER Michel</v>
      </c>
      <c r="I272" t="str">
        <f ca="1">VLOOKUP(A272,Import_SuiviGlobal_MigAppliSate!A:I,9,FALSE)</f>
        <v>michel.cimier@systeme-u.fr</v>
      </c>
      <c r="J272" s="24" t="str">
        <f ca="1">VLOOKUP(A272,Import_SuiviGlobal_MigAppliSate!A:K,10,FALSE)</f>
        <v/>
      </c>
      <c r="K272" t="str">
        <f ca="1">VLOOKUP(A272,Import_SuiviGlobal_MigAppliSate!A:K,11,FALSE)</f>
        <v/>
      </c>
      <c r="O272" s="1" t="s">
        <v>22</v>
      </c>
    </row>
    <row r="273" spans="1:15" ht="12.75" hidden="1" x14ac:dyDescent="0.2">
      <c r="A273">
        <v>25614</v>
      </c>
      <c r="B273" t="str">
        <f ca="1">VLOOKUP(A273,Import_SuiviGlobal_MigAppliSate!A:I,2,FALSE)</f>
        <v>DARNETAL</v>
      </c>
      <c r="C273" t="str">
        <f ca="1">VLOOKUP(A273,Import_SuiviGlobal_MigAppliSate!A:I,3,FALSE)</f>
        <v>Super U</v>
      </c>
      <c r="D273" s="1" t="str">
        <f ca="1">VLOOKUP(A273,Import_SuiviGlobal_MigAppliSate!A:I,4,FALSE)</f>
        <v>Coop U Enseigne NordOuest</v>
      </c>
      <c r="E273">
        <f ca="1">VLOOKUP(A273,Import_SuiviGlobal_MigAppliSate!A:I,5,FALSE)</f>
        <v>76160</v>
      </c>
      <c r="F273" t="str">
        <f ca="1">VLOOKUP(A273,Import_SuiviGlobal_MigAppliSate!A:I,6,FALSE)</f>
        <v>88 RUE SADI CARNOT</v>
      </c>
      <c r="G273" t="str">
        <f ca="1">VLOOKUP(A273,Import_SuiviGlobal_MigAppliSate!A:I,7,FALSE)</f>
        <v>02.35.08.06.32</v>
      </c>
      <c r="H273" t="str">
        <f ca="1">VLOOKUP(A273,Import_SuiviGlobal_MigAppliSate!A:I,8,FALSE)</f>
        <v>BARRE Stéphane</v>
      </c>
      <c r="I273" t="str">
        <f ca="1">VLOOKUP(A273,Import_SuiviGlobal_MigAppliSate!A:I,9,FALSE)</f>
        <v>stephane.barre@systeme-u.fr</v>
      </c>
      <c r="J273" s="24" t="str">
        <f ca="1">VLOOKUP(A273,Import_SuiviGlobal_MigAppliSate!A:K,10,FALSE)</f>
        <v>Mme Céline Bottais (directrice)
M Lemelle</v>
      </c>
      <c r="K273" t="str">
        <f ca="1">VLOOKUP(A273,Import_SuiviGlobal_MigAppliSate!A:K,11,FALSE)</f>
        <v>superu.darnetal.direction@systeme-u.fr,philippe.cappe@coop-cnp.coop</v>
      </c>
      <c r="L273" t="s">
        <v>20</v>
      </c>
      <c r="M273" t="s">
        <v>21</v>
      </c>
      <c r="O273" s="1" t="s">
        <v>22</v>
      </c>
    </row>
    <row r="274" spans="1:15" ht="12.75" hidden="1" x14ac:dyDescent="0.2">
      <c r="A274">
        <v>32186</v>
      </c>
      <c r="B274" t="str">
        <f ca="1">VLOOKUP(A274,Import_SuiviGlobal_MigAppliSate!A:I,2,FALSE)</f>
        <v>DERVAL</v>
      </c>
      <c r="C274" t="str">
        <f ca="1">VLOOKUP(A274,Import_SuiviGlobal_MigAppliSate!A:I,3,FALSE)</f>
        <v>Super U</v>
      </c>
      <c r="D274" s="1" t="str">
        <f ca="1">VLOOKUP(A274,Import_SuiviGlobal_MigAppliSate!A:I,4,FALSE)</f>
        <v>Coop U Enseigne Ouest</v>
      </c>
      <c r="E274">
        <f ca="1">VLOOKUP(A274,Import_SuiviGlobal_MigAppliSate!A:I,5,FALSE)</f>
        <v>44590</v>
      </c>
      <c r="F274" t="str">
        <f ca="1">VLOOKUP(A274,Import_SuiviGlobal_MigAppliSate!A:I,6,FALSE)</f>
        <v>48 ROUTE DE CHATEAUBRIANT</v>
      </c>
      <c r="G274" t="str">
        <f ca="1">VLOOKUP(A274,Import_SuiviGlobal_MigAppliSate!A:I,7,FALSE)</f>
        <v>02.40.07.07.07</v>
      </c>
      <c r="H274" t="str">
        <f ca="1">VLOOKUP(A274,Import_SuiviGlobal_MigAppliSate!A:I,8,FALSE)</f>
        <v>GUERIN Christophe</v>
      </c>
      <c r="I274" t="str">
        <f ca="1">VLOOKUP(A274,Import_SuiviGlobal_MigAppliSate!A:I,9,FALSE)</f>
        <v>christophe.guerin@systeme-u.fr</v>
      </c>
      <c r="J274" s="24" t="str">
        <f ca="1">VLOOKUP(A274,Import_SuiviGlobal_MigAppliSate!A:K,10,FALSE)</f>
        <v/>
      </c>
      <c r="K274" t="str">
        <f ca="1">VLOOKUP(A274,Import_SuiviGlobal_MigAppliSate!A:K,11,FALSE)</f>
        <v/>
      </c>
      <c r="O274" s="1" t="s">
        <v>22</v>
      </c>
    </row>
    <row r="275" spans="1:15" ht="12.75" hidden="1" x14ac:dyDescent="0.2">
      <c r="A275">
        <v>66055</v>
      </c>
      <c r="B275" t="str">
        <f ca="1">VLOOKUP(A275,Import_SuiviGlobal_MigAppliSate!A:I,2,FALSE)</f>
        <v>DETRIER LA ROCHETTE</v>
      </c>
      <c r="C275" t="str">
        <f ca="1">VLOOKUP(A275,Import_SuiviGlobal_MigAppliSate!A:I,3,FALSE)</f>
        <v>Super U</v>
      </c>
      <c r="D275" s="1" t="str">
        <f ca="1">VLOOKUP(A275,Import_SuiviGlobal_MigAppliSate!A:I,4,FALSE)</f>
        <v>Coop U Enseigne Est</v>
      </c>
      <c r="E275">
        <f ca="1">VLOOKUP(A275,Import_SuiviGlobal_MigAppliSate!A:I,5,FALSE)</f>
        <v>73110</v>
      </c>
      <c r="F275" t="str">
        <f ca="1">VLOOKUP(A275,Import_SuiviGlobal_MigAppliSate!A:I,6,FALSE)</f>
        <v>CD 925</v>
      </c>
      <c r="G275" t="str">
        <f ca="1">VLOOKUP(A275,Import_SuiviGlobal_MigAppliSate!A:I,7,FALSE)</f>
        <v>04.79.25.77.11</v>
      </c>
      <c r="H275" t="str">
        <f ca="1">VLOOKUP(A275,Import_SuiviGlobal_MigAppliSate!A:I,8,FALSE)</f>
        <v>D'ANGELO Fabrice</v>
      </c>
      <c r="I275" t="str">
        <f ca="1">VLOOKUP(A275,Import_SuiviGlobal_MigAppliSate!A:I,9,FALSE)</f>
        <v>fabrice.dangelo@systeme-u.fr</v>
      </c>
      <c r="J275" s="24" t="str">
        <f ca="1">VLOOKUP(A275,Import_SuiviGlobal_MigAppliSate!A:K,10,FALSE)</f>
        <v/>
      </c>
      <c r="K275" t="str">
        <f ca="1">VLOOKUP(A275,Import_SuiviGlobal_MigAppliSate!A:K,11,FALSE)</f>
        <v/>
      </c>
      <c r="O275" s="1" t="s">
        <v>22</v>
      </c>
    </row>
    <row r="276" spans="1:15" ht="12.75" hidden="1" x14ac:dyDescent="0.2">
      <c r="A276">
        <v>62111</v>
      </c>
      <c r="B276" t="str">
        <f ca="1">VLOOKUP(A276,Import_SuiviGlobal_MigAppliSate!A:I,2,FALSE)</f>
        <v>DEVECEY</v>
      </c>
      <c r="C276" t="str">
        <f ca="1">VLOOKUP(A276,Import_SuiviGlobal_MigAppliSate!A:I,3,FALSE)</f>
        <v>Super U</v>
      </c>
      <c r="D276" s="1" t="str">
        <f ca="1">VLOOKUP(A276,Import_SuiviGlobal_MigAppliSate!A:I,4,FALSE)</f>
        <v>Coop U Enseigne Est</v>
      </c>
      <c r="E276">
        <f ca="1">VLOOKUP(A276,Import_SuiviGlobal_MigAppliSate!A:I,5,FALSE)</f>
        <v>25870</v>
      </c>
      <c r="F276" t="str">
        <f ca="1">VLOOKUP(A276,Import_SuiviGlobal_MigAppliSate!A:I,6,FALSE)</f>
        <v>route de BONNAY</v>
      </c>
      <c r="G276" t="str">
        <f ca="1">VLOOKUP(A276,Import_SuiviGlobal_MigAppliSate!A:I,7,FALSE)</f>
        <v>03.81.56.84.47</v>
      </c>
      <c r="H276" t="str">
        <f ca="1">VLOOKUP(A276,Import_SuiviGlobal_MigAppliSate!A:I,8,FALSE)</f>
        <v>DUPREZ Olivier</v>
      </c>
      <c r="I276" t="str">
        <f ca="1">VLOOKUP(A276,Import_SuiviGlobal_MigAppliSate!A:I,9,FALSE)</f>
        <v>olivier.duprez@systeme-u.fr</v>
      </c>
      <c r="J276" s="24" t="str">
        <f ca="1">VLOOKUP(A276,Import_SuiviGlobal_MigAppliSate!A:K,10,FALSE)</f>
        <v>M. De DREUX BREZÉ</v>
      </c>
      <c r="K276" t="str">
        <f ca="1">VLOOKUP(A276,Import_SuiviGlobal_MigAppliSate!A:K,11,FALSE)</f>
        <v>superu.devecey.direction@systeme-u.fr</v>
      </c>
      <c r="O276" s="1" t="s">
        <v>22</v>
      </c>
    </row>
    <row r="277" spans="1:15" ht="12.75" hidden="1" x14ac:dyDescent="0.2">
      <c r="A277">
        <v>90628</v>
      </c>
      <c r="B277" t="str">
        <f ca="1">VLOOKUP(A277,Import_SuiviGlobal_MigAppliSate!A:I,2,FALSE)</f>
        <v>DIE</v>
      </c>
      <c r="C277" t="str">
        <f ca="1">VLOOKUP(A277,Import_SuiviGlobal_MigAppliSate!A:I,3,FALSE)</f>
        <v>U Express</v>
      </c>
      <c r="D277" s="1" t="str">
        <f ca="1">VLOOKUP(A277,Import_SuiviGlobal_MigAppliSate!A:I,4,FALSE)</f>
        <v>Coop MISTRAL</v>
      </c>
      <c r="E277">
        <f ca="1">VLOOKUP(A277,Import_SuiviGlobal_MigAppliSate!A:I,5,FALSE)</f>
        <v>26150</v>
      </c>
      <c r="F277" t="str">
        <f ca="1">VLOOKUP(A277,Import_SuiviGlobal_MigAppliSate!A:I,6,FALSE)</f>
        <v>77 AVENUE SADI CARNOT</v>
      </c>
      <c r="G277" t="str">
        <f ca="1">VLOOKUP(A277,Import_SuiviGlobal_MigAppliSate!A:I,7,FALSE)</f>
        <v>04.75.22.04.87</v>
      </c>
      <c r="H277" t="str">
        <f ca="1">VLOOKUP(A277,Import_SuiviGlobal_MigAppliSate!A:I,8,FALSE)</f>
        <v>GIRAUD Loic</v>
      </c>
      <c r="I277" t="str">
        <f ca="1">VLOOKUP(A277,Import_SuiviGlobal_MigAppliSate!A:I,9,FALSE)</f>
        <v>uexpress.die@mistral-u.fr</v>
      </c>
      <c r="J277" s="24" t="str">
        <f ca="1">VLOOKUP(A277,Import_SuiviGlobal_MigAppliSate!A:K,10,FALSE)</f>
        <v/>
      </c>
      <c r="K277" t="str">
        <f ca="1">VLOOKUP(A277,Import_SuiviGlobal_MigAppliSate!A:K,11,FALSE)</f>
        <v>delphine.damian@lemistral.fr,helene.mina@lemistral.fr</v>
      </c>
      <c r="O277" s="1" t="s">
        <v>22</v>
      </c>
    </row>
    <row r="278" spans="1:15" ht="12.75" hidden="1" x14ac:dyDescent="0.2">
      <c r="A278">
        <v>60747</v>
      </c>
      <c r="B278" t="str">
        <f ca="1">VLOOKUP(A278,Import_SuiviGlobal_MigAppliSate!A:I,2,FALSE)</f>
        <v>DIEMERINGEN</v>
      </c>
      <c r="C278" t="str">
        <f ca="1">VLOOKUP(A278,Import_SuiviGlobal_MigAppliSate!A:I,3,FALSE)</f>
        <v>Super U</v>
      </c>
      <c r="D278" s="1" t="str">
        <f ca="1">VLOOKUP(A278,Import_SuiviGlobal_MigAppliSate!A:I,4,FALSE)</f>
        <v>Coop U Enseigne Est</v>
      </c>
      <c r="E278">
        <f ca="1">VLOOKUP(A278,Import_SuiviGlobal_MigAppliSate!A:I,5,FALSE)</f>
        <v>67430</v>
      </c>
      <c r="F278" t="str">
        <f ca="1">VLOOKUP(A278,Import_SuiviGlobal_MigAppliSate!A:I,6,FALSE)</f>
        <v>RUE PAUL PARAY</v>
      </c>
      <c r="G278" t="str">
        <f ca="1">VLOOKUP(A278,Import_SuiviGlobal_MigAppliSate!A:I,7,FALSE)</f>
        <v>03.88.00.48.48</v>
      </c>
      <c r="H278" t="str">
        <f ca="1">VLOOKUP(A278,Import_SuiviGlobal_MigAppliSate!A:I,8,FALSE)</f>
        <v>LEROY Emmanuel</v>
      </c>
      <c r="I278" t="str">
        <f ca="1">VLOOKUP(A278,Import_SuiviGlobal_MigAppliSate!A:I,9,FALSE)</f>
        <v>superu.diemeringen.filiale@systeme-u.fr</v>
      </c>
      <c r="J278" s="24" t="str">
        <f ca="1">VLOOKUP(A278,Import_SuiviGlobal_MigAppliSate!A:K,10,FALSE)</f>
        <v/>
      </c>
      <c r="K278" t="str">
        <f ca="1">VLOOKUP(A278,Import_SuiviGlobal_MigAppliSate!A:K,11,FALSE)</f>
        <v/>
      </c>
      <c r="O278" s="1" t="s">
        <v>22</v>
      </c>
    </row>
    <row r="279" spans="1:15" ht="12.75" hidden="1" x14ac:dyDescent="0.2">
      <c r="A279">
        <v>90017</v>
      </c>
      <c r="B279" t="str">
        <f ca="1">VLOOKUP(A279,Import_SuiviGlobal_MigAppliSate!A:I,2,FALSE)</f>
        <v>DIEULEFIT</v>
      </c>
      <c r="C279" t="str">
        <f ca="1">VLOOKUP(A279,Import_SuiviGlobal_MigAppliSate!A:I,3,FALSE)</f>
        <v>Super U</v>
      </c>
      <c r="D279" s="1" t="str">
        <f ca="1">VLOOKUP(A279,Import_SuiviGlobal_MigAppliSate!A:I,4,FALSE)</f>
        <v>Coop U Enseigne Sud</v>
      </c>
      <c r="E279">
        <f ca="1">VLOOKUP(A279,Import_SuiviGlobal_MigAppliSate!A:I,5,FALSE)</f>
        <v>26220</v>
      </c>
      <c r="F279" t="str">
        <f ca="1">VLOOKUP(A279,Import_SuiviGlobal_MigAppliSate!A:I,6,FALSE)</f>
        <v>NOTRE DAME DE LA CALLE</v>
      </c>
      <c r="G279" t="str">
        <f ca="1">VLOOKUP(A279,Import_SuiviGlobal_MigAppliSate!A:I,7,FALSE)</f>
        <v>04.75.46.85.46</v>
      </c>
      <c r="H279" t="str">
        <f ca="1">VLOOKUP(A279,Import_SuiviGlobal_MigAppliSate!A:I,8,FALSE)</f>
        <v>FERNANDEZ Stephane</v>
      </c>
      <c r="I279" t="str">
        <f ca="1">VLOOKUP(A279,Import_SuiviGlobal_MigAppliSate!A:I,9,FALSE)</f>
        <v>stephane.fernandez@systeme-u.fr</v>
      </c>
      <c r="J279" s="24" t="str">
        <f ca="1">VLOOKUP(A279,Import_SuiviGlobal_MigAppliSate!A:K,10,FALSE)</f>
        <v>FERNANDEZ Julien</v>
      </c>
      <c r="K279" t="str">
        <f ca="1">VLOOKUP(A279,Import_SuiviGlobal_MigAppliSate!A:K,11,FALSE)</f>
        <v>superu.dieulefit.direction@systeme-u.fr</v>
      </c>
      <c r="O279" s="1" t="s">
        <v>22</v>
      </c>
    </row>
    <row r="280" spans="1:15" ht="12.75" hidden="1" x14ac:dyDescent="0.2">
      <c r="A280">
        <v>62065</v>
      </c>
      <c r="B280" t="str">
        <f ca="1">VLOOKUP(A280,Import_SuiviGlobal_MigAppliSate!A:I,2,FALSE)</f>
        <v>DIJON</v>
      </c>
      <c r="C280" t="str">
        <f ca="1">VLOOKUP(A280,Import_SuiviGlobal_MigAppliSate!A:I,3,FALSE)</f>
        <v>U Express</v>
      </c>
      <c r="D280" s="1" t="str">
        <f ca="1">VLOOKUP(A280,Import_SuiviGlobal_MigAppliSate!A:I,4,FALSE)</f>
        <v>Coop U Enseigne Est</v>
      </c>
      <c r="E280">
        <f ca="1">VLOOKUP(A280,Import_SuiviGlobal_MigAppliSate!A:I,5,FALSE)</f>
        <v>21000</v>
      </c>
      <c r="F280" t="str">
        <f ca="1">VLOOKUP(A280,Import_SuiviGlobal_MigAppliSate!A:I,6,FALSE)</f>
        <v>1 rue A. et A. Claudot</v>
      </c>
      <c r="G280" t="str">
        <f ca="1">VLOOKUP(A280,Import_SuiviGlobal_MigAppliSate!A:I,7,FALSE)</f>
        <v>03.80.67.51.80</v>
      </c>
      <c r="H280" t="str">
        <f ca="1">VLOOKUP(A280,Import_SuiviGlobal_MigAppliSate!A:I,8,FALSE)</f>
        <v>TOUX Jean-Pierre</v>
      </c>
      <c r="I280" t="str">
        <f ca="1">VLOOKUP(A280,Import_SuiviGlobal_MigAppliSate!A:I,9,FALSE)</f>
        <v>jean-pierre.toux@systeme-u.fr</v>
      </c>
      <c r="J280" s="24" t="str">
        <f ca="1">VLOOKUP(A280,Import_SuiviGlobal_MigAppliSate!A:K,10,FALSE)</f>
        <v/>
      </c>
      <c r="K280" t="str">
        <f ca="1">VLOOKUP(A280,Import_SuiviGlobal_MigAppliSate!A:K,11,FALSE)</f>
        <v/>
      </c>
      <c r="O280" s="1" t="s">
        <v>22</v>
      </c>
    </row>
    <row r="281" spans="1:15" ht="12.75" hidden="1" x14ac:dyDescent="0.2">
      <c r="A281">
        <v>35177</v>
      </c>
      <c r="B281" t="str">
        <f ca="1">VLOOKUP(A281,Import_SuiviGlobal_MigAppliSate!A:I,2,FALSE)</f>
        <v>DOL-DE-BRETAGNE</v>
      </c>
      <c r="C281" t="str">
        <f ca="1">VLOOKUP(A281,Import_SuiviGlobal_MigAppliSate!A:I,3,FALSE)</f>
        <v>Super U</v>
      </c>
      <c r="D281" s="1" t="str">
        <f ca="1">VLOOKUP(A281,Import_SuiviGlobal_MigAppliSate!A:I,4,FALSE)</f>
        <v>Coop U Enseigne Ouest</v>
      </c>
      <c r="E281">
        <f ca="1">VLOOKUP(A281,Import_SuiviGlobal_MigAppliSate!A:I,5,FALSE)</f>
        <v>35120</v>
      </c>
      <c r="F281" t="str">
        <f ca="1">VLOOKUP(A281,Import_SuiviGlobal_MigAppliSate!A:I,6,FALSE)</f>
        <v>RUE DU DOCTEUR GRINGOIRE</v>
      </c>
      <c r="G281" t="str">
        <f ca="1">VLOOKUP(A281,Import_SuiviGlobal_MigAppliSate!A:I,7,FALSE)</f>
        <v>02.99.48.04.86</v>
      </c>
      <c r="H281" t="str">
        <f ca="1">VLOOKUP(A281,Import_SuiviGlobal_MigAppliSate!A:I,8,FALSE)</f>
        <v>DUTERTRE RPT SARL JMN INVEST Jean-Marie</v>
      </c>
      <c r="I281" t="str">
        <f ca="1">VLOOKUP(A281,Import_SuiviGlobal_MigAppliSate!A:I,9,FALSE)</f>
        <v>jean-marie.dutertre@systeme-u.fr</v>
      </c>
      <c r="J281" s="24" t="str">
        <f ca="1">VLOOKUP(A281,Import_SuiviGlobal_MigAppliSate!A:K,10,FALSE)</f>
        <v>Mr Guehenneuc (directeur)</v>
      </c>
      <c r="K281" t="str">
        <f ca="1">VLOOKUP(A281,Import_SuiviGlobal_MigAppliSate!A:K,11,FALSE)</f>
        <v>superu.doldebretagne.direction@systeme-u.fr</v>
      </c>
      <c r="O281" s="1" t="s">
        <v>22</v>
      </c>
    </row>
    <row r="282" spans="1:15" ht="12.75" hidden="1" x14ac:dyDescent="0.2">
      <c r="A282">
        <v>63014</v>
      </c>
      <c r="B282" t="str">
        <f ca="1">VLOOKUP(A282,Import_SuiviGlobal_MigAppliSate!A:I,2,FALSE)</f>
        <v>DOMPIERRE SUR BESBRE</v>
      </c>
      <c r="C282" t="str">
        <f ca="1">VLOOKUP(A282,Import_SuiviGlobal_MigAppliSate!A:I,3,FALSE)</f>
        <v>Super U</v>
      </c>
      <c r="D282" s="1" t="str">
        <f ca="1">VLOOKUP(A282,Import_SuiviGlobal_MigAppliSate!A:I,4,FALSE)</f>
        <v>Coop U Enseigne Est</v>
      </c>
      <c r="E282">
        <f ca="1">VLOOKUP(A282,Import_SuiviGlobal_MigAppliSate!A:I,5,FALSE)</f>
        <v>3290</v>
      </c>
      <c r="F282" t="str">
        <f ca="1">VLOOKUP(A282,Import_SuiviGlobal_MigAppliSate!A:I,6,FALSE)</f>
        <v>PLACE DU COMMERCE</v>
      </c>
      <c r="G282" t="str">
        <f ca="1">VLOOKUP(A282,Import_SuiviGlobal_MigAppliSate!A:I,7,FALSE)</f>
        <v>04.70.34.64.85</v>
      </c>
      <c r="H282" t="str">
        <f ca="1">VLOOKUP(A282,Import_SuiviGlobal_MigAppliSate!A:I,8,FALSE)</f>
        <v>CHARGROS Guy</v>
      </c>
      <c r="I282" t="str">
        <f ca="1">VLOOKUP(A282,Import_SuiviGlobal_MigAppliSate!A:I,9,FALSE)</f>
        <v>guy.chargros@systeme-u.fr</v>
      </c>
      <c r="J282" s="24" t="str">
        <f ca="1">VLOOKUP(A282,Import_SuiviGlobal_MigAppliSate!A:K,10,FALSE)</f>
        <v/>
      </c>
      <c r="K282" t="str">
        <f ca="1">VLOOKUP(A282,Import_SuiviGlobal_MigAppliSate!A:K,11,FALSE)</f>
        <v/>
      </c>
      <c r="O282" s="1" t="s">
        <v>22</v>
      </c>
    </row>
    <row r="283" spans="1:15" ht="12.75" hidden="1" x14ac:dyDescent="0.2">
      <c r="A283">
        <v>35711</v>
      </c>
      <c r="B283" t="str">
        <f ca="1">VLOOKUP(A283,Import_SuiviGlobal_MigAppliSate!A:I,2,FALSE)</f>
        <v>DOMPIERRE-SUR-MER</v>
      </c>
      <c r="C283" t="str">
        <f ca="1">VLOOKUP(A283,Import_SuiviGlobal_MigAppliSate!A:I,3,FALSE)</f>
        <v>U Express</v>
      </c>
      <c r="D283" s="1" t="str">
        <f ca="1">VLOOKUP(A283,Import_SuiviGlobal_MigAppliSate!A:I,4,FALSE)</f>
        <v>Coop U Enseigne Ouest</v>
      </c>
      <c r="E283">
        <f ca="1">VLOOKUP(A283,Import_SuiviGlobal_MigAppliSate!A:I,5,FALSE)</f>
        <v>17139</v>
      </c>
      <c r="F283" t="str">
        <f ca="1">VLOOKUP(A283,Import_SuiviGlobal_MigAppliSate!A:I,6,FALSE)</f>
        <v>1 RUE DE L'ADJUDANT GALLAND</v>
      </c>
      <c r="G283" t="str">
        <f ca="1">VLOOKUP(A283,Import_SuiviGlobal_MigAppliSate!A:I,7,FALSE)</f>
        <v>05.46.35.33.21</v>
      </c>
      <c r="H283" t="str">
        <f ca="1">VLOOKUP(A283,Import_SuiviGlobal_MigAppliSate!A:I,8,FALSE)</f>
        <v>BOURREAU Ludovic</v>
      </c>
      <c r="I283" t="str">
        <f ca="1">VLOOKUP(A283,Import_SuiviGlobal_MigAppliSate!A:I,9,FALSE)</f>
        <v>ludovic.bourreau@systeme-u.fr</v>
      </c>
      <c r="J283" s="24" t="str">
        <f ca="1">VLOOKUP(A283,Import_SuiviGlobal_MigAppliSate!A:K,10,FALSE)</f>
        <v>Trichard Jacques</v>
      </c>
      <c r="K283" t="str">
        <f ca="1">VLOOKUP(A283,Import_SuiviGlobal_MigAppliSate!A:K,11,FALSE)</f>
        <v>uexpress.dompierresurmer.compta@systeme-u.fr</v>
      </c>
      <c r="O283" s="1" t="s">
        <v>22</v>
      </c>
    </row>
    <row r="284" spans="1:15" ht="12.75" hidden="1" x14ac:dyDescent="0.2">
      <c r="A284">
        <v>90518</v>
      </c>
      <c r="B284" t="str">
        <f ca="1">VLOOKUP(A284,Import_SuiviGlobal_MigAppliSate!A:I,2,FALSE)</f>
        <v>DONZERE</v>
      </c>
      <c r="C284" t="str">
        <f ca="1">VLOOKUP(A284,Import_SuiviGlobal_MigAppliSate!A:I,3,FALSE)</f>
        <v>Super U</v>
      </c>
      <c r="D284" s="1" t="str">
        <f ca="1">VLOOKUP(A284,Import_SuiviGlobal_MigAppliSate!A:I,4,FALSE)</f>
        <v>Coop U Enseigne Sud</v>
      </c>
      <c r="E284">
        <f ca="1">VLOOKUP(A284,Import_SuiviGlobal_MigAppliSate!A:I,5,FALSE)</f>
        <v>26290</v>
      </c>
      <c r="F284" t="str">
        <f ca="1">VLOOKUP(A284,Import_SuiviGlobal_MigAppliSate!A:I,6,FALSE)</f>
        <v>280 AV JEAN MOULIN RN 7</v>
      </c>
      <c r="G284" t="str">
        <f ca="1">VLOOKUP(A284,Import_SuiviGlobal_MigAppliSate!A:I,7,FALSE)</f>
        <v>04.75.50.50.00</v>
      </c>
      <c r="H284" t="str">
        <f ca="1">VLOOKUP(A284,Import_SuiviGlobal_MigAppliSate!A:I,8,FALSE)</f>
        <v>CHANSON Eric</v>
      </c>
      <c r="I284" t="str">
        <f ca="1">VLOOKUP(A284,Import_SuiviGlobal_MigAppliSate!A:I,9,FALSE)</f>
        <v>eric.chanson@systeme-u.fr</v>
      </c>
      <c r="J284" s="24" t="str">
        <f ca="1">VLOOKUP(A284,Import_SuiviGlobal_MigAppliSate!A:K,10,FALSE)</f>
        <v/>
      </c>
      <c r="K284" t="str">
        <f ca="1">VLOOKUP(A284,Import_SuiviGlobal_MigAppliSate!A:K,11,FALSE)</f>
        <v/>
      </c>
      <c r="O284" s="1" t="s">
        <v>22</v>
      </c>
    </row>
    <row r="285" spans="1:15" ht="12.75" hidden="1" x14ac:dyDescent="0.2">
      <c r="A285">
        <v>36122</v>
      </c>
      <c r="B285" t="str">
        <f ca="1">VLOOKUP(A285,Import_SuiviGlobal_MigAppliSate!A:I,2,FALSE)</f>
        <v>DOUE-LA-FONTAINE</v>
      </c>
      <c r="C285" t="str">
        <f ca="1">VLOOKUP(A285,Import_SuiviGlobal_MigAppliSate!A:I,3,FALSE)</f>
        <v>Super U</v>
      </c>
      <c r="D285" s="1" t="str">
        <f ca="1">VLOOKUP(A285,Import_SuiviGlobal_MigAppliSate!A:I,4,FALSE)</f>
        <v>Coop U Enseigne Ouest</v>
      </c>
      <c r="E285">
        <f ca="1">VLOOKUP(A285,Import_SuiviGlobal_MigAppliSate!A:I,5,FALSE)</f>
        <v>49700</v>
      </c>
      <c r="F285" t="str">
        <f ca="1">VLOOKUP(A285,Import_SuiviGlobal_MigAppliSate!A:I,6,FALSE)</f>
        <v>BOULEVARD DU DOCTEUR LIONET</v>
      </c>
      <c r="G285" t="str">
        <f ca="1">VLOOKUP(A285,Import_SuiviGlobal_MigAppliSate!A:I,7,FALSE)</f>
        <v>02.41.40.19.60</v>
      </c>
      <c r="H285" t="str">
        <f ca="1">VLOOKUP(A285,Import_SuiviGlobal_MigAppliSate!A:I,8,FALSE)</f>
        <v>VALLANT RPT SARL VAL N'CO François</v>
      </c>
      <c r="I285" t="str">
        <f ca="1">VLOOKUP(A285,Import_SuiviGlobal_MigAppliSate!A:I,9,FALSE)</f>
        <v>francois.vallant@systeme-u.fr</v>
      </c>
      <c r="J285" s="24" t="str">
        <f ca="1">VLOOKUP(A285,Import_SuiviGlobal_MigAppliSate!A:K,10,FALSE)</f>
        <v>Mme Carpentier</v>
      </c>
      <c r="K285" t="str">
        <f ca="1">VLOOKUP(A285,Import_SuiviGlobal_MigAppliSate!A:K,11,FALSE)</f>
        <v>superu.douelafontaine.compta@systeme-u.fr</v>
      </c>
      <c r="O285" s="1" t="s">
        <v>22</v>
      </c>
    </row>
    <row r="286" spans="1:15" ht="12.75" hidden="1" x14ac:dyDescent="0.2">
      <c r="A286">
        <v>25894</v>
      </c>
      <c r="B286" t="str">
        <f ca="1">VLOOKUP(A286,Import_SuiviGlobal_MigAppliSate!A:I,2,FALSE)</f>
        <v>#N/A</v>
      </c>
      <c r="C286" t="str">
        <f ca="1">VLOOKUP(A286,Import_SuiviGlobal_MigAppliSate!A:I,3,FALSE)</f>
        <v>#N/A</v>
      </c>
      <c r="D286" s="1" t="str">
        <f ca="1">VLOOKUP(A286,Import_SuiviGlobal_MigAppliSate!A:I,4,FALSE)</f>
        <v>#N/A</v>
      </c>
      <c r="E286" t="str">
        <f ca="1">VLOOKUP(A286,Import_SuiviGlobal_MigAppliSate!A:I,5,FALSE)</f>
        <v/>
      </c>
      <c r="F286" t="str">
        <f ca="1">VLOOKUP(A286,Import_SuiviGlobal_MigAppliSate!A:I,6,FALSE)</f>
        <v>#N/A</v>
      </c>
      <c r="G286" t="str">
        <f ca="1">VLOOKUP(A286,Import_SuiviGlobal_MigAppliSate!A:I,7,FALSE)</f>
        <v>#N/A</v>
      </c>
      <c r="H286" t="str">
        <f ca="1">VLOOKUP(A286,Import_SuiviGlobal_MigAppliSate!A:I,8,FALSE)</f>
        <v>#N/A</v>
      </c>
      <c r="I286" t="str">
        <f ca="1">VLOOKUP(A286,Import_SuiviGlobal_MigAppliSate!A:I,9,FALSE)</f>
        <v/>
      </c>
      <c r="J286" s="24" t="str">
        <f ca="1">VLOOKUP(A286,Import_SuiviGlobal_MigAppliSate!A:K,10,FALSE)</f>
        <v>Mme Hameau</v>
      </c>
      <c r="K286" t="str">
        <f ca="1">VLOOKUP(A286,Import_SuiviGlobal_MigAppliSate!A:K,11,FALSE)</f>
        <v>superu.doullens@systeme-u.fr,philippe.cappe@coop-cnp.coop, aline.hameau@coop-cnp.coop</v>
      </c>
      <c r="O286" s="1" t="s">
        <v>22</v>
      </c>
    </row>
    <row r="287" spans="1:15" ht="12.75" hidden="1" x14ac:dyDescent="0.2">
      <c r="A287">
        <v>28400</v>
      </c>
      <c r="B287" t="str">
        <f ca="1">VLOOKUP(A287,Import_SuiviGlobal_MigAppliSate!A:I,2,FALSE)</f>
        <v>DOURDAN</v>
      </c>
      <c r="C287" t="str">
        <f ca="1">VLOOKUP(A287,Import_SuiviGlobal_MigAppliSate!A:I,3,FALSE)</f>
        <v>U Express</v>
      </c>
      <c r="D287" s="1" t="str">
        <f ca="1">VLOOKUP(A287,Import_SuiviGlobal_MigAppliSate!A:I,4,FALSE)</f>
        <v>Coop U Enseigne NordOuest</v>
      </c>
      <c r="E287">
        <f ca="1">VLOOKUP(A287,Import_SuiviGlobal_MigAppliSate!A:I,5,FALSE)</f>
        <v>91410</v>
      </c>
      <c r="F287" t="str">
        <f ca="1">VLOOKUP(A287,Import_SuiviGlobal_MigAppliSate!A:I,6,FALSE)</f>
        <v>3 RUE SAINT PIERRE</v>
      </c>
      <c r="G287" t="str">
        <f ca="1">VLOOKUP(A287,Import_SuiviGlobal_MigAppliSate!A:I,7,FALSE)</f>
        <v>01.64.59.76.28</v>
      </c>
      <c r="H287" t="str">
        <f ca="1">VLOOKUP(A287,Import_SuiviGlobal_MigAppliSate!A:I,8,FALSE)</f>
        <v>THIAU Anthony</v>
      </c>
      <c r="I287" t="str">
        <f ca="1">VLOOKUP(A287,Import_SuiviGlobal_MigAppliSate!A:I,9,FALSE)</f>
        <v>anthony.thiau@systeme-u.fr</v>
      </c>
      <c r="J287" s="24" t="str">
        <f ca="1">VLOOKUP(A287,Import_SuiviGlobal_MigAppliSate!A:K,10,FALSE)</f>
        <v/>
      </c>
      <c r="K287" t="str">
        <f ca="1">VLOOKUP(A287,Import_SuiviGlobal_MigAppliSate!A:K,11,FALSE)</f>
        <v>uexpress.dourdan@systeme-u.fr</v>
      </c>
      <c r="O287" s="1" t="s">
        <v>22</v>
      </c>
    </row>
    <row r="288" spans="1:15" ht="12.75" hidden="1" x14ac:dyDescent="0.2">
      <c r="A288">
        <v>21309</v>
      </c>
      <c r="B288" t="str">
        <f ca="1">VLOOKUP(A288,Import_SuiviGlobal_MigAppliSate!A:I,2,FALSE)</f>
        <v>DOUVRES LA DELIVRANDE</v>
      </c>
      <c r="C288" t="str">
        <f ca="1">VLOOKUP(A288,Import_SuiviGlobal_MigAppliSate!A:I,3,FALSE)</f>
        <v>Hyper U</v>
      </c>
      <c r="D288" s="1" t="str">
        <f ca="1">VLOOKUP(A288,Import_SuiviGlobal_MigAppliSate!A:I,4,FALSE)</f>
        <v>Coop U Enseigne NordOuest</v>
      </c>
      <c r="E288">
        <f ca="1">VLOOKUP(A288,Import_SuiviGlobal_MigAppliSate!A:I,5,FALSE)</f>
        <v>14440</v>
      </c>
      <c r="F288" t="str">
        <f ca="1">VLOOKUP(A288,Import_SuiviGlobal_MigAppliSate!A:I,6,FALSE)</f>
        <v>VOIE DES ALLIÉS</v>
      </c>
      <c r="G288" t="str">
        <f ca="1">VLOOKUP(A288,Import_SuiviGlobal_MigAppliSate!A:I,7,FALSE)</f>
        <v>02.31.37.85.00</v>
      </c>
      <c r="H288" t="str">
        <f ca="1">VLOOKUP(A288,Import_SuiviGlobal_MigAppliSate!A:I,8,FALSE)</f>
        <v>CARPENTIER Laurence</v>
      </c>
      <c r="I288" t="str">
        <f ca="1">VLOOKUP(A288,Import_SuiviGlobal_MigAppliSate!A:I,9,FALSE)</f>
        <v>laurence.carpentier@systeme-u.fr</v>
      </c>
      <c r="J288" s="24" t="str">
        <f ca="1">VLOOKUP(A288,Import_SuiviGlobal_MigAppliSate!A:K,10,FALSE)</f>
        <v>HALBY CHRISTOPHE</v>
      </c>
      <c r="K288" t="str">
        <f ca="1">VLOOKUP(A288,Import_SuiviGlobal_MigAppliSate!A:K,11,FALSE)</f>
        <v>hyperu.douvresladelivrande.compta@systeme-u.fr</v>
      </c>
      <c r="O288" s="1" t="s">
        <v>22</v>
      </c>
    </row>
    <row r="289" spans="1:15" ht="12.75" hidden="1" x14ac:dyDescent="0.2">
      <c r="A289">
        <v>21244</v>
      </c>
      <c r="B289" t="str">
        <f ca="1">VLOOKUP(A289,Import_SuiviGlobal_MigAppliSate!A:I,2,FALSE)</f>
        <v>DOZULE</v>
      </c>
      <c r="C289" t="str">
        <f ca="1">VLOOKUP(A289,Import_SuiviGlobal_MigAppliSate!A:I,3,FALSE)</f>
        <v>Super U</v>
      </c>
      <c r="D289" s="1" t="str">
        <f ca="1">VLOOKUP(A289,Import_SuiviGlobal_MigAppliSate!A:I,4,FALSE)</f>
        <v>Coop U Enseigne NordOuest</v>
      </c>
      <c r="E289">
        <f ca="1">VLOOKUP(A289,Import_SuiviGlobal_MigAppliSate!A:I,5,FALSE)</f>
        <v>14430</v>
      </c>
      <c r="F289" t="str">
        <f ca="1">VLOOKUP(A289,Import_SuiviGlobal_MigAppliSate!A:I,6,FALSE)</f>
        <v>20-22 GRANDE RUE</v>
      </c>
      <c r="G289" t="str">
        <f ca="1">VLOOKUP(A289,Import_SuiviGlobal_MigAppliSate!A:I,7,FALSE)</f>
        <v>02.31.79.21.12</v>
      </c>
      <c r="H289" t="str">
        <f ca="1">VLOOKUP(A289,Import_SuiviGlobal_MigAppliSate!A:I,8,FALSE)</f>
        <v>ANDRO Eric</v>
      </c>
      <c r="I289" t="str">
        <f ca="1">VLOOKUP(A289,Import_SuiviGlobal_MigAppliSate!A:I,9,FALSE)</f>
        <v>eric.andro@systeme-u.fr</v>
      </c>
      <c r="J289" s="24" t="str">
        <f ca="1">VLOOKUP(A289,Import_SuiviGlobal_MigAppliSate!A:K,10,FALSE)</f>
        <v/>
      </c>
      <c r="K289" t="str">
        <f ca="1">VLOOKUP(A289,Import_SuiviGlobal_MigAppliSate!A:K,11,FALSE)</f>
        <v/>
      </c>
      <c r="O289" s="1" t="s">
        <v>22</v>
      </c>
    </row>
    <row r="290" spans="1:15" ht="12.75" hidden="1" x14ac:dyDescent="0.2">
      <c r="A290">
        <v>23453</v>
      </c>
      <c r="B290" t="str">
        <f ca="1">VLOOKUP(A290,Import_SuiviGlobal_MigAppliSate!A:I,2,FALSE)</f>
        <v>DRAVEIL</v>
      </c>
      <c r="C290" t="str">
        <f ca="1">VLOOKUP(A290,Import_SuiviGlobal_MigAppliSate!A:I,3,FALSE)</f>
        <v>Super U</v>
      </c>
      <c r="D290" s="1" t="str">
        <f ca="1">VLOOKUP(A290,Import_SuiviGlobal_MigAppliSate!A:I,4,FALSE)</f>
        <v>Coop U Enseigne NordOuest</v>
      </c>
      <c r="E290">
        <f ca="1">VLOOKUP(A290,Import_SuiviGlobal_MigAppliSate!A:I,5,FALSE)</f>
        <v>91210</v>
      </c>
      <c r="F290" t="str">
        <f ca="1">VLOOKUP(A290,Import_SuiviGlobal_MigAppliSate!A:I,6,FALSE)</f>
        <v>6 AVENUE DE L'EUROPE</v>
      </c>
      <c r="G290" t="str">
        <f ca="1">VLOOKUP(A290,Import_SuiviGlobal_MigAppliSate!A:I,7,FALSE)</f>
        <v>01.69.42.41.41</v>
      </c>
      <c r="H290" t="str">
        <f ca="1">VLOOKUP(A290,Import_SuiviGlobal_MigAppliSate!A:I,8,FALSE)</f>
        <v>BRESSON Antoine</v>
      </c>
      <c r="I290" t="str">
        <f ca="1">VLOOKUP(A290,Import_SuiviGlobal_MigAppliSate!A:I,9,FALSE)</f>
        <v>antoine.bresson@systeme-u.fr</v>
      </c>
      <c r="J290" s="24" t="str">
        <f ca="1">VLOOKUP(A290,Import_SuiviGlobal_MigAppliSate!A:K,10,FALSE)</f>
        <v/>
      </c>
      <c r="K290" t="str">
        <f ca="1">VLOOKUP(A290,Import_SuiviGlobal_MigAppliSate!A:K,11,FALSE)</f>
        <v/>
      </c>
      <c r="L290" s="1" t="s">
        <v>17</v>
      </c>
      <c r="M290" s="1" t="s">
        <v>24</v>
      </c>
      <c r="N290" s="1" t="s">
        <v>18</v>
      </c>
      <c r="O290" s="1" t="s">
        <v>19</v>
      </c>
    </row>
    <row r="291" spans="1:15" ht="12.75" hidden="1" x14ac:dyDescent="0.2">
      <c r="A291">
        <v>38268</v>
      </c>
      <c r="B291" t="str">
        <f ca="1">VLOOKUP(A291,Import_SuiviGlobal_MigAppliSate!A:I,2,FALSE)</f>
        <v>DUN-SUR-AURON</v>
      </c>
      <c r="C291" t="str">
        <f ca="1">VLOOKUP(A291,Import_SuiviGlobal_MigAppliSate!A:I,3,FALSE)</f>
        <v>Super U</v>
      </c>
      <c r="D291" s="1" t="str">
        <f ca="1">VLOOKUP(A291,Import_SuiviGlobal_MigAppliSate!A:I,4,FALSE)</f>
        <v>Coop U Enseigne Ouest</v>
      </c>
      <c r="E291">
        <f ca="1">VLOOKUP(A291,Import_SuiviGlobal_MigAppliSate!A:I,5,FALSE)</f>
        <v>18130</v>
      </c>
      <c r="F291" t="str">
        <f ca="1">VLOOKUP(A291,Import_SuiviGlobal_MigAppliSate!A:I,6,FALSE)</f>
        <v>14 BIS ROUTE DE BOURGES</v>
      </c>
      <c r="G291" t="str">
        <f ca="1">VLOOKUP(A291,Import_SuiviGlobal_MigAppliSate!A:I,7,FALSE)</f>
        <v>02.48.59.68.68</v>
      </c>
      <c r="H291" t="str">
        <f ca="1">VLOOKUP(A291,Import_SuiviGlobal_MigAppliSate!A:I,8,FALSE)</f>
        <v>MARTIN Jacky</v>
      </c>
      <c r="I291" t="str">
        <f ca="1">VLOOKUP(A291,Import_SuiviGlobal_MigAppliSate!A:I,9,FALSE)</f>
        <v>jacky.martin@systeme-u.fr</v>
      </c>
      <c r="J291" s="24" t="str">
        <f ca="1">VLOOKUP(A291,Import_SuiviGlobal_MigAppliSate!A:K,10,FALSE)</f>
        <v/>
      </c>
      <c r="K291" t="str">
        <f ca="1">VLOOKUP(A291,Import_SuiviGlobal_MigAppliSate!A:K,11,FALSE)</f>
        <v/>
      </c>
      <c r="O291" s="1" t="s">
        <v>22</v>
      </c>
    </row>
    <row r="292" spans="1:15" ht="12.75" hidden="1" x14ac:dyDescent="0.2">
      <c r="A292">
        <v>37072</v>
      </c>
      <c r="B292" t="str">
        <f ca="1">VLOOKUP(A292,Import_SuiviGlobal_MigAppliSate!A:I,2,FALSE)</f>
        <v>DURTAL</v>
      </c>
      <c r="C292" t="str">
        <f ca="1">VLOOKUP(A292,Import_SuiviGlobal_MigAppliSate!A:I,3,FALSE)</f>
        <v>Super U</v>
      </c>
      <c r="D292" s="1" t="str">
        <f ca="1">VLOOKUP(A292,Import_SuiviGlobal_MigAppliSate!A:I,4,FALSE)</f>
        <v>Coop U Enseigne Ouest</v>
      </c>
      <c r="E292">
        <f ca="1">VLOOKUP(A292,Import_SuiviGlobal_MigAppliSate!A:I,5,FALSE)</f>
        <v>49430</v>
      </c>
      <c r="F292" t="str">
        <f ca="1">VLOOKUP(A292,Import_SuiviGlobal_MigAppliSate!A:I,6,FALSE)</f>
        <v>13, RUE DES FRÈRES LUMIERE</v>
      </c>
      <c r="G292" t="str">
        <f ca="1">VLOOKUP(A292,Import_SuiviGlobal_MigAppliSate!A:I,7,FALSE)</f>
        <v>02.41.76.04.04</v>
      </c>
      <c r="H292" t="str">
        <f ca="1">VLOOKUP(A292,Import_SuiviGlobal_MigAppliSate!A:I,8,FALSE)</f>
        <v>OUARY RPT SAS JUGALI Yann</v>
      </c>
      <c r="I292" t="str">
        <f ca="1">VLOOKUP(A292,Import_SuiviGlobal_MigAppliSate!A:I,9,FALSE)</f>
        <v>yann.ouary@systeme-u.fr</v>
      </c>
      <c r="J292" s="24" t="str">
        <f ca="1">VLOOKUP(A292,Import_SuiviGlobal_MigAppliSate!A:K,10,FALSE)</f>
        <v>Géraldine OUARY</v>
      </c>
      <c r="K292" t="str">
        <f ca="1">VLOOKUP(A292,Import_SuiviGlobal_MigAppliSate!A:K,11,FALSE)</f>
        <v>geraldine.ouary@systeme-u.fr</v>
      </c>
      <c r="O292" s="1" t="s">
        <v>22</v>
      </c>
    </row>
    <row r="293" spans="1:15" ht="12.75" hidden="1" x14ac:dyDescent="0.2">
      <c r="A293">
        <v>95133</v>
      </c>
      <c r="B293" t="str">
        <f ca="1">VLOOKUP(A293,Import_SuiviGlobal_MigAppliSate!A:I,2,FALSE)</f>
        <v>EAUNES</v>
      </c>
      <c r="C293" t="str">
        <f ca="1">VLOOKUP(A293,Import_SuiviGlobal_MigAppliSate!A:I,3,FALSE)</f>
        <v>Super U</v>
      </c>
      <c r="D293" s="1" t="str">
        <f ca="1">VLOOKUP(A293,Import_SuiviGlobal_MigAppliSate!A:I,4,FALSE)</f>
        <v>Coop U Enseigne Sud</v>
      </c>
      <c r="E293">
        <f ca="1">VLOOKUP(A293,Import_SuiviGlobal_MigAppliSate!A:I,5,FALSE)</f>
        <v>31600</v>
      </c>
      <c r="F293" t="str">
        <f ca="1">VLOOKUP(A293,Import_SuiviGlobal_MigAppliSate!A:I,6,FALSE)</f>
        <v>ZAC DU MANDARIN</v>
      </c>
      <c r="G293" t="str">
        <f ca="1">VLOOKUP(A293,Import_SuiviGlobal_MigAppliSate!A:I,7,FALSE)</f>
        <v>05.62.11.58.60</v>
      </c>
      <c r="H293" t="str">
        <f ca="1">VLOOKUP(A293,Import_SuiviGlobal_MigAppliSate!A:I,8,FALSE)</f>
        <v>BRULIERE Serge</v>
      </c>
      <c r="I293" t="str">
        <f ca="1">VLOOKUP(A293,Import_SuiviGlobal_MigAppliSate!A:I,9,FALSE)</f>
        <v>serge.bruliere@systeme-u.fr</v>
      </c>
      <c r="J293" s="24" t="str">
        <f ca="1">VLOOKUP(A293,Import_SuiviGlobal_MigAppliSate!A:K,10,FALSE)</f>
        <v>MARIN Laurence</v>
      </c>
      <c r="K293" t="str">
        <f ca="1">VLOOKUP(A293,Import_SuiviGlobal_MigAppliSate!A:K,11,FALSE)</f>
        <v>superu.eaunes@systeme-u.fr</v>
      </c>
      <c r="L293" s="1" t="s">
        <v>20</v>
      </c>
      <c r="M293" s="1" t="s">
        <v>27</v>
      </c>
      <c r="O293" s="1" t="s">
        <v>22</v>
      </c>
    </row>
    <row r="294" spans="1:15" ht="12.75" hidden="1" x14ac:dyDescent="0.2">
      <c r="A294">
        <v>35822</v>
      </c>
      <c r="B294" t="str">
        <f ca="1">VLOOKUP(A294,Import_SuiviGlobal_MigAppliSate!A:I,2,FALSE)</f>
        <v>ECHILLAIS</v>
      </c>
      <c r="C294" t="str">
        <f ca="1">VLOOKUP(A294,Import_SuiviGlobal_MigAppliSate!A:I,3,FALSE)</f>
        <v>Super U</v>
      </c>
      <c r="D294" s="1" t="str">
        <f ca="1">VLOOKUP(A294,Import_SuiviGlobal_MigAppliSate!A:I,4,FALSE)</f>
        <v>Coop U Enseigne Ouest</v>
      </c>
      <c r="E294">
        <f ca="1">VLOOKUP(A294,Import_SuiviGlobal_MigAppliSate!A:I,5,FALSE)</f>
        <v>17620</v>
      </c>
      <c r="F294" t="str">
        <f ca="1">VLOOKUP(A294,Import_SuiviGlobal_MigAppliSate!A:I,6,FALSE)</f>
        <v>RUE DE LA POULINE</v>
      </c>
      <c r="G294" t="str">
        <f ca="1">VLOOKUP(A294,Import_SuiviGlobal_MigAppliSate!A:I,7,FALSE)</f>
        <v>05.46.83.50.90</v>
      </c>
      <c r="H294" t="str">
        <f ca="1">VLOOKUP(A294,Import_SuiviGlobal_MigAppliSate!A:I,8,FALSE)</f>
        <v>CHAPRON Pascal</v>
      </c>
      <c r="I294" t="str">
        <f ca="1">VLOOKUP(A294,Import_SuiviGlobal_MigAppliSate!A:I,9,FALSE)</f>
        <v>pascal.chapron@systeme-u.fr</v>
      </c>
      <c r="J294" s="24" t="str">
        <f ca="1">VLOOKUP(A294,Import_SuiviGlobal_MigAppliSate!A:K,10,FALSE)</f>
        <v>Doré Maryline</v>
      </c>
      <c r="K294" t="str">
        <f ca="1">VLOOKUP(A294,Import_SuiviGlobal_MigAppliSate!A:K,11,FALSE)</f>
        <v>superu.echillais@systeme-u.fr</v>
      </c>
      <c r="L294" s="1" t="s">
        <v>17</v>
      </c>
      <c r="M294" s="1" t="s">
        <v>24</v>
      </c>
      <c r="N294" s="1" t="s">
        <v>18</v>
      </c>
      <c r="O294" s="1" t="s">
        <v>28</v>
      </c>
    </row>
    <row r="295" spans="1:15" ht="12.75" hidden="1" x14ac:dyDescent="0.2">
      <c r="A295">
        <v>35630</v>
      </c>
      <c r="B295" t="str">
        <f ca="1">VLOOKUP(A295,Import_SuiviGlobal_MigAppliSate!A:I,2,FALSE)</f>
        <v>ECHIRE</v>
      </c>
      <c r="C295" t="str">
        <f ca="1">VLOOKUP(A295,Import_SuiviGlobal_MigAppliSate!A:I,3,FALSE)</f>
        <v>Super U</v>
      </c>
      <c r="D295" s="1" t="str">
        <f ca="1">VLOOKUP(A295,Import_SuiviGlobal_MigAppliSate!A:I,4,FALSE)</f>
        <v>Coop U Enseigne Ouest</v>
      </c>
      <c r="E295">
        <f ca="1">VLOOKUP(A295,Import_SuiviGlobal_MigAppliSate!A:I,5,FALSE)</f>
        <v>79410</v>
      </c>
      <c r="F295" t="str">
        <f ca="1">VLOOKUP(A295,Import_SuiviGlobal_MigAppliSate!A:I,6,FALSE)</f>
        <v>RUE DE LA SABLIÈRE</v>
      </c>
      <c r="G295" t="str">
        <f ca="1">VLOOKUP(A295,Import_SuiviGlobal_MigAppliSate!A:I,7,FALSE)</f>
        <v>05.49.25.70.31</v>
      </c>
      <c r="H295" t="str">
        <f ca="1">VLOOKUP(A295,Import_SuiviGlobal_MigAppliSate!A:I,8,FALSE)</f>
        <v>PACAULT RPT SARL JP INVEST Julien</v>
      </c>
      <c r="I295" t="str">
        <f ca="1">VLOOKUP(A295,Import_SuiviGlobal_MigAppliSate!A:I,9,FALSE)</f>
        <v>julien.pacault@systeme-u.fr</v>
      </c>
      <c r="J295" s="24" t="str">
        <f ca="1">VLOOKUP(A295,Import_SuiviGlobal_MigAppliSate!A:K,10,FALSE)</f>
        <v/>
      </c>
      <c r="K295" t="str">
        <f ca="1">VLOOKUP(A295,Import_SuiviGlobal_MigAppliSate!A:K,11,FALSE)</f>
        <v/>
      </c>
      <c r="O295" s="1" t="s">
        <v>22</v>
      </c>
    </row>
    <row r="296" spans="1:15" ht="12.75" hidden="1" x14ac:dyDescent="0.2">
      <c r="A296">
        <v>30493</v>
      </c>
      <c r="B296" t="str">
        <f ca="1">VLOOKUP(A296,Import_SuiviGlobal_MigAppliSate!A:I,2,FALSE)</f>
        <v>ECOMMOY</v>
      </c>
      <c r="C296" t="str">
        <f ca="1">VLOOKUP(A296,Import_SuiviGlobal_MigAppliSate!A:I,3,FALSE)</f>
        <v>Hyper U</v>
      </c>
      <c r="D296" s="1" t="str">
        <f ca="1">VLOOKUP(A296,Import_SuiviGlobal_MigAppliSate!A:I,4,FALSE)</f>
        <v>Coop U Enseigne Ouest</v>
      </c>
      <c r="E296">
        <f ca="1">VLOOKUP(A296,Import_SuiviGlobal_MigAppliSate!A:I,5,FALSE)</f>
        <v>72220</v>
      </c>
      <c r="F296" t="str">
        <f ca="1">VLOOKUP(A296,Import_SuiviGlobal_MigAppliSate!A:I,6,FALSE)</f>
        <v>ROUTE DU MANS</v>
      </c>
      <c r="G296" t="str">
        <f ca="1">VLOOKUP(A296,Import_SuiviGlobal_MigAppliSate!A:I,7,FALSE)</f>
        <v>02.43.42.16.59</v>
      </c>
      <c r="H296" t="str">
        <f ca="1">VLOOKUP(A296,Import_SuiviGlobal_MigAppliSate!A:I,8,FALSE)</f>
        <v>COSNARD Nicolas</v>
      </c>
      <c r="I296" t="str">
        <f ca="1">VLOOKUP(A296,Import_SuiviGlobal_MigAppliSate!A:I,9,FALSE)</f>
        <v>nicolas.cosnard@systeme-u.fr</v>
      </c>
      <c r="J296" s="24" t="str">
        <f ca="1">VLOOKUP(A296,Import_SuiviGlobal_MigAppliSate!A:K,10,FALSE)</f>
        <v>Alleron Sarah (UPLV)
Mr Carreau (Pilote)</v>
      </c>
      <c r="K296" t="str">
        <f ca="1">VLOOKUP(A296,Import_SuiviGlobal_MigAppliSate!A:K,11,FALSE)</f>
        <v>hyperu.ecommoy@systeme-u.fr, hyperu.ecommoy.compta1@systeme-u.fr</v>
      </c>
      <c r="O296" s="1" t="s">
        <v>22</v>
      </c>
    </row>
    <row r="297" spans="1:15" ht="12.75" hidden="1" x14ac:dyDescent="0.2">
      <c r="A297">
        <v>28362</v>
      </c>
      <c r="B297" t="str">
        <f ca="1">VLOOKUP(A297,Import_SuiviGlobal_MigAppliSate!A:I,2,FALSE)</f>
        <v>ECOUEN</v>
      </c>
      <c r="C297" t="str">
        <f ca="1">VLOOKUP(A297,Import_SuiviGlobal_MigAppliSate!A:I,3,FALSE)</f>
        <v>Super U</v>
      </c>
      <c r="D297" s="1" t="str">
        <f ca="1">VLOOKUP(A297,Import_SuiviGlobal_MigAppliSate!A:I,4,FALSE)</f>
        <v>Coop U Enseigne NordOuest</v>
      </c>
      <c r="E297">
        <f ca="1">VLOOKUP(A297,Import_SuiviGlobal_MigAppliSate!A:I,5,FALSE)</f>
        <v>95440</v>
      </c>
      <c r="F297" t="str">
        <f ca="1">VLOOKUP(A297,Import_SuiviGlobal_MigAppliSate!A:I,6,FALSE)</f>
        <v>56 RUE DE LA LIBERATION</v>
      </c>
      <c r="G297" t="str">
        <f ca="1">VLOOKUP(A297,Import_SuiviGlobal_MigAppliSate!A:I,7,FALSE)</f>
        <v>01.39.90.06.97</v>
      </c>
      <c r="H297" t="str">
        <f ca="1">VLOOKUP(A297,Import_SuiviGlobal_MigAppliSate!A:I,8,FALSE)</f>
        <v>DELPRAT Alain</v>
      </c>
      <c r="I297" t="str">
        <f ca="1">VLOOKUP(A297,Import_SuiviGlobal_MigAppliSate!A:I,9,FALSE)</f>
        <v>alain.delprat@systeme-u.fr</v>
      </c>
      <c r="J297" s="24" t="str">
        <f ca="1">VLOOKUP(A297,Import_SuiviGlobal_MigAppliSate!A:K,10,FALSE)</f>
        <v>Mr Ferrand</v>
      </c>
      <c r="K297" t="str">
        <f ca="1">VLOOKUP(A297,Import_SuiviGlobal_MigAppliSate!A:K,11,FALSE)</f>
        <v>superu.ecouen.direction@systeme-u.fr</v>
      </c>
      <c r="O297" s="1" t="s">
        <v>22</v>
      </c>
    </row>
    <row r="298" spans="1:15" ht="12.75" hidden="1" x14ac:dyDescent="0.2">
      <c r="A298">
        <v>90231</v>
      </c>
      <c r="B298" t="str">
        <f ca="1">VLOOKUP(A298,Import_SuiviGlobal_MigAppliSate!A:I,2,FALSE)</f>
        <v>EGAT</v>
      </c>
      <c r="C298" t="str">
        <f ca="1">VLOOKUP(A298,Import_SuiviGlobal_MigAppliSate!A:I,3,FALSE)</f>
        <v>Super U</v>
      </c>
      <c r="D298" s="1" t="str">
        <f ca="1">VLOOKUP(A298,Import_SuiviGlobal_MigAppliSate!A:I,4,FALSE)</f>
        <v>Coop U Enseigne Sud</v>
      </c>
      <c r="E298">
        <f ca="1">VLOOKUP(A298,Import_SuiviGlobal_MigAppliSate!A:I,5,FALSE)</f>
        <v>66120</v>
      </c>
      <c r="F298" t="str">
        <f ca="1">VLOOKUP(A298,Import_SuiviGlobal_MigAppliSate!A:I,6,FALSE)</f>
        <v>ROND POINT D'EGAT</v>
      </c>
      <c r="G298" t="str">
        <f ca="1">VLOOKUP(A298,Import_SuiviGlobal_MigAppliSate!A:I,7,FALSE)</f>
        <v>04.68.30.31.11</v>
      </c>
      <c r="H298" t="str">
        <f ca="1">VLOOKUP(A298,Import_SuiviGlobal_MigAppliSate!A:I,8,FALSE)</f>
        <v>LE DOUJET Daniel</v>
      </c>
      <c r="I298" t="str">
        <f ca="1">VLOOKUP(A298,Import_SuiviGlobal_MigAppliSate!A:I,9,FALSE)</f>
        <v>francois.garcia@systeme-u.fr</v>
      </c>
      <c r="J298" s="24" t="str">
        <f ca="1">VLOOKUP(A298,Import_SuiviGlobal_MigAppliSate!A:K,10,FALSE)</f>
        <v>Mr GARCIA</v>
      </c>
      <c r="K298" t="str">
        <f ca="1">VLOOKUP(A298,Import_SuiviGlobal_MigAppliSate!A:K,11,FALSE)</f>
        <v>superu.egat.direction@systeme-u.fr</v>
      </c>
      <c r="O298" s="1" t="s">
        <v>22</v>
      </c>
    </row>
    <row r="299" spans="1:15" ht="12.75" hidden="1" x14ac:dyDescent="0.2">
      <c r="A299">
        <v>32069</v>
      </c>
      <c r="B299" t="str">
        <f ca="1">VLOOKUP(A299,Import_SuiviGlobal_MigAppliSate!A:I,2,FALSE)</f>
        <v>EGLETONS</v>
      </c>
      <c r="C299" t="str">
        <f ca="1">VLOOKUP(A299,Import_SuiviGlobal_MigAppliSate!A:I,3,FALSE)</f>
        <v>Super U</v>
      </c>
      <c r="D299" s="1" t="str">
        <f ca="1">VLOOKUP(A299,Import_SuiviGlobal_MigAppliSate!A:I,4,FALSE)</f>
        <v>Coop Atlantique</v>
      </c>
      <c r="E299">
        <f ca="1">VLOOKUP(A299,Import_SuiviGlobal_MigAppliSate!A:I,5,FALSE)</f>
        <v>19300</v>
      </c>
      <c r="F299" t="str">
        <f ca="1">VLOOKUP(A299,Import_SuiviGlobal_MigAppliSate!A:I,6,FALSE)</f>
        <v>AVENUE CHARLES DE GAULLE</v>
      </c>
      <c r="G299" t="str">
        <f ca="1">VLOOKUP(A299,Import_SuiviGlobal_MigAppliSate!A:I,7,FALSE)</f>
        <v>05.55.93.99.22</v>
      </c>
      <c r="H299" t="str">
        <f ca="1">VLOOKUP(A299,Import_SuiviGlobal_MigAppliSate!A:I,8,FALSE)</f>
        <v>FLAMBARD Hervé</v>
      </c>
      <c r="I299" t="str">
        <f ca="1">VLOOKUP(A299,Import_SuiviGlobal_MigAppliSate!A:I,9,FALSE)</f>
        <v>bertrand.defontaine_coop_su_uex@systeme-u.fr</v>
      </c>
      <c r="J299" s="24" t="str">
        <f ca="1">VLOOKUP(A299,Import_SuiviGlobal_MigAppliSate!A:K,10,FALSE)</f>
        <v>Valérie PLANAS</v>
      </c>
      <c r="K299" t="str">
        <f ca="1">VLOOKUP(A299,Import_SuiviGlobal_MigAppliSate!A:K,11,FALSE)</f>
        <v>superu.egletons.direction@systeme-u.fr,nbrigant@coop-atlantique.fr,sjaud@coop-atlantique.fr, tclement@coop-atlantique.fr</v>
      </c>
      <c r="L299" s="1" t="s">
        <v>17</v>
      </c>
      <c r="M299" t="s">
        <v>23</v>
      </c>
      <c r="O299" s="1" t="s">
        <v>22</v>
      </c>
    </row>
    <row r="300" spans="1:15" ht="12.75" hidden="1" x14ac:dyDescent="0.2">
      <c r="A300">
        <v>38224</v>
      </c>
      <c r="B300" t="str">
        <f ca="1">VLOOKUP(A300,Import_SuiviGlobal_MigAppliSate!A:I,2,FALSE)</f>
        <v>EGREVILLE</v>
      </c>
      <c r="C300" t="str">
        <f ca="1">VLOOKUP(A300,Import_SuiviGlobal_MigAppliSate!A:I,3,FALSE)</f>
        <v>U Express</v>
      </c>
      <c r="D300" s="1" t="str">
        <f ca="1">VLOOKUP(A300,Import_SuiviGlobal_MigAppliSate!A:I,4,FALSE)</f>
        <v>Coop U Enseigne Ouest</v>
      </c>
      <c r="E300">
        <f ca="1">VLOOKUP(A300,Import_SuiviGlobal_MigAppliSate!A:I,5,FALSE)</f>
        <v>77620</v>
      </c>
      <c r="F300" t="str">
        <f ca="1">VLOOKUP(A300,Import_SuiviGlobal_MigAppliSate!A:I,6,FALSE)</f>
        <v>ROUTE DE LORREZ</v>
      </c>
      <c r="G300" t="str">
        <f ca="1">VLOOKUP(A300,Import_SuiviGlobal_MigAppliSate!A:I,7,FALSE)</f>
        <v>01.64.29.56.42</v>
      </c>
      <c r="H300" t="str">
        <f ca="1">VLOOKUP(A300,Import_SuiviGlobal_MigAppliSate!A:I,8,FALSE)</f>
        <v>DEVOUCOUX Thierry</v>
      </c>
      <c r="I300" t="str">
        <f ca="1">VLOOKUP(A300,Import_SuiviGlobal_MigAppliSate!A:I,9,FALSE)</f>
        <v>thierry.devoucoux@systeme-u.fr</v>
      </c>
      <c r="J300" s="24" t="str">
        <f ca="1">VLOOKUP(A300,Import_SuiviGlobal_MigAppliSate!A:K,10,FALSE)</f>
        <v/>
      </c>
      <c r="K300" t="str">
        <f ca="1">VLOOKUP(A300,Import_SuiviGlobal_MigAppliSate!A:K,11,FALSE)</f>
        <v/>
      </c>
      <c r="O300" s="1" t="s">
        <v>22</v>
      </c>
    </row>
    <row r="301" spans="1:15" ht="12.75" hidden="1" x14ac:dyDescent="0.2">
      <c r="A301">
        <v>31511</v>
      </c>
      <c r="B301" t="str">
        <f ca="1">VLOOKUP(A301,Import_SuiviGlobal_MigAppliSate!A:I,2,FALSE)</f>
        <v>EGUZON</v>
      </c>
      <c r="C301" t="str">
        <f ca="1">VLOOKUP(A301,Import_SuiviGlobal_MigAppliSate!A:I,3,FALSE)</f>
        <v>Super U</v>
      </c>
      <c r="D301" s="1" t="str">
        <f ca="1">VLOOKUP(A301,Import_SuiviGlobal_MigAppliSate!A:I,4,FALSE)</f>
        <v>Coop U Enseigne Ouest</v>
      </c>
      <c r="E301">
        <f ca="1">VLOOKUP(A301,Import_SuiviGlobal_MigAppliSate!A:I,5,FALSE)</f>
        <v>36270</v>
      </c>
      <c r="F301" t="str">
        <f ca="1">VLOOKUP(A301,Import_SuiviGlobal_MigAppliSate!A:I,6,FALSE)</f>
        <v>RUE CAMILLE TOUSSAINT</v>
      </c>
      <c r="G301" t="str">
        <f ca="1">VLOOKUP(A301,Import_SuiviGlobal_MigAppliSate!A:I,7,FALSE)</f>
        <v>02.54.47.46.86</v>
      </c>
      <c r="H301" t="str">
        <f ca="1">VLOOKUP(A301,Import_SuiviGlobal_MigAppliSate!A:I,8,FALSE)</f>
        <v>RICHARD Jean-Paul</v>
      </c>
      <c r="I301" t="str">
        <f ca="1">VLOOKUP(A301,Import_SuiviGlobal_MigAppliSate!A:I,9,FALSE)</f>
        <v>jean-paul.richard@systeme-u.fr</v>
      </c>
      <c r="J301" s="24" t="str">
        <f ca="1">VLOOKUP(A301,Import_SuiviGlobal_MigAppliSate!A:K,10,FALSE)</f>
        <v>Andréa SHACKLEY</v>
      </c>
      <c r="K301" t="str">
        <f ca="1">VLOOKUP(A301,Import_SuiviGlobal_MigAppliSate!A:K,11,FALSE)</f>
        <v>superu.eguzon@systeme-u.fr</v>
      </c>
      <c r="O301" s="1" t="s">
        <v>22</v>
      </c>
    </row>
    <row r="302" spans="1:15" ht="12.75" x14ac:dyDescent="0.2">
      <c r="A302">
        <v>90282</v>
      </c>
      <c r="B302" t="str">
        <f ca="1">VLOOKUP(A302,Import_SuiviGlobal_MigAppliSate!A:I,2,FALSE)</f>
        <v>EMBRUN</v>
      </c>
      <c r="C302" t="str">
        <f ca="1">VLOOKUP(A302,Import_SuiviGlobal_MigAppliSate!A:I,3,FALSE)</f>
        <v>Super U</v>
      </c>
      <c r="D302" s="1" t="str">
        <f ca="1">VLOOKUP(A302,Import_SuiviGlobal_MigAppliSate!A:I,4,FALSE)</f>
        <v>Coop U Enseigne Sud</v>
      </c>
      <c r="E302">
        <f ca="1">VLOOKUP(A302,Import_SuiviGlobal_MigAppliSate!A:I,5,FALSE)</f>
        <v>5200</v>
      </c>
      <c r="F302" t="str">
        <f ca="1">VLOOKUP(A302,Import_SuiviGlobal_MigAppliSate!A:I,6,FALSE)</f>
        <v>BP 68 CC Rives de DURANCE</v>
      </c>
      <c r="G302" t="str">
        <f ca="1">VLOOKUP(A302,Import_SuiviGlobal_MigAppliSate!A:I,7,FALSE)</f>
        <v>04.92.43.28.50</v>
      </c>
      <c r="H302" t="str">
        <f ca="1">VLOOKUP(A302,Import_SuiviGlobal_MigAppliSate!A:I,8,FALSE)</f>
        <v>VAPPEREAU Alain</v>
      </c>
      <c r="I302" t="str">
        <f ca="1">VLOOKUP(A302,Import_SuiviGlobal_MigAppliSate!A:I,9,FALSE)</f>
        <v>alain.vappereau@systeme-u.fr</v>
      </c>
      <c r="J302" s="24" t="str">
        <f ca="1">VLOOKUP(A302,Import_SuiviGlobal_MigAppliSate!A:K,10,FALSE)</f>
        <v/>
      </c>
      <c r="K302" t="str">
        <f ca="1">VLOOKUP(A302,Import_SuiviGlobal_MigAppliSate!A:K,11,FALSE)</f>
        <v>superu.embrun.pgc@systeme-u.fr</v>
      </c>
      <c r="L302" t="s">
        <v>17</v>
      </c>
      <c r="M302" t="s">
        <v>0</v>
      </c>
      <c r="O302" s="1" t="s">
        <v>22</v>
      </c>
    </row>
    <row r="303" spans="1:15" ht="12.75" hidden="1" x14ac:dyDescent="0.2">
      <c r="A303">
        <v>95463</v>
      </c>
      <c r="B303" t="str">
        <f ca="1">VLOOKUP(A303,Import_SuiviGlobal_MigAppliSate!A:I,2,FALSE)</f>
        <v>ENTRAYGUES</v>
      </c>
      <c r="C303" t="str">
        <f ca="1">VLOOKUP(A303,Import_SuiviGlobal_MigAppliSate!A:I,3,FALSE)</f>
        <v>U Express</v>
      </c>
      <c r="D303" s="1" t="str">
        <f ca="1">VLOOKUP(A303,Import_SuiviGlobal_MigAppliSate!A:I,4,FALSE)</f>
        <v>Coop UPSO</v>
      </c>
      <c r="E303">
        <f ca="1">VLOOKUP(A303,Import_SuiviGlobal_MigAppliSate!A:I,5,FALSE)</f>
        <v>12140</v>
      </c>
      <c r="F303" t="str">
        <f ca="1">VLOOKUP(A303,Import_SuiviGlobal_MigAppliSate!A:I,6,FALSE)</f>
        <v>3 AVENUE DE LA CORNELIE</v>
      </c>
      <c r="G303" t="str">
        <f ca="1">VLOOKUP(A303,Import_SuiviGlobal_MigAppliSate!A:I,7,FALSE)</f>
        <v>05.65.48.26.74</v>
      </c>
      <c r="H303" t="str">
        <f ca="1">VLOOKUP(A303,Import_SuiviGlobal_MigAppliSate!A:I,8,FALSE)</f>
        <v>PONCET Jerome et Rosette</v>
      </c>
      <c r="I303" t="str">
        <f ca="1">VLOOKUP(A303,Import_SuiviGlobal_MigAppliSate!A:I,9,FALSE)</f>
        <v>uexpress.entraygues@systeme-u.fr</v>
      </c>
      <c r="J303" s="24" t="str">
        <f ca="1">VLOOKUP(A303,Import_SuiviGlobal_MigAppliSate!A:K,10,FALSE)</f>
        <v/>
      </c>
      <c r="K303" t="str">
        <f ca="1">VLOOKUP(A303,Import_SuiviGlobal_MigAppliSate!A:K,11,FALSE)</f>
        <v/>
      </c>
      <c r="O303" s="1" t="s">
        <v>22</v>
      </c>
    </row>
    <row r="304" spans="1:15" ht="12.75" hidden="1" x14ac:dyDescent="0.2">
      <c r="A304">
        <v>99221</v>
      </c>
      <c r="B304" t="str">
        <f ca="1">VLOOKUP(A304,Import_SuiviGlobal_MigAppliSate!A:I,2,FALSE)</f>
        <v>ENTRE-DEUX-IDR</v>
      </c>
      <c r="C304" t="str">
        <f ca="1">VLOOKUP(A304,Import_SuiviGlobal_MigAppliSate!A:I,3,FALSE)</f>
        <v>U Express</v>
      </c>
      <c r="D304" s="1" t="str">
        <f ca="1">VLOOKUP(A304,Import_SuiviGlobal_MigAppliSate!A:I,4,FALSE)</f>
        <v>Coop U Enseigne Sud</v>
      </c>
      <c r="E304">
        <f ca="1">VLOOKUP(A304,Import_SuiviGlobal_MigAppliSate!A:I,5,FALSE)</f>
        <v>97414</v>
      </c>
      <c r="F304" t="str">
        <f ca="1">VLOOKUP(A304,Import_SuiviGlobal_MigAppliSate!A:I,6,FALSE)</f>
        <v>3 RUE DU COMMERCE</v>
      </c>
      <c r="G304" t="str">
        <f ca="1">VLOOKUP(A304,Import_SuiviGlobal_MigAppliSate!A:I,7,FALSE)</f>
        <v>02.62.39.51.15</v>
      </c>
      <c r="H304" t="str">
        <f ca="1">VLOOKUP(A304,Import_SuiviGlobal_MigAppliSate!A:I,8,FALSE)</f>
        <v>YOUNG PIN Frederick</v>
      </c>
      <c r="I304" t="str">
        <f ca="1">VLOOKUP(A304,Import_SuiviGlobal_MigAppliSate!A:I,9,FALSE)</f>
        <v>frederick.young-pin@systeme-u.fr</v>
      </c>
      <c r="J304" s="24" t="str">
        <f ca="1">VLOOKUP(A304,Import_SuiviGlobal_MigAppliSate!A:K,10,FALSE)</f>
        <v/>
      </c>
      <c r="K304" t="str">
        <f ca="1">VLOOKUP(A304,Import_SuiviGlobal_MigAppliSate!A:K,11,FALSE)</f>
        <v/>
      </c>
      <c r="O304" s="1" t="s">
        <v>22</v>
      </c>
    </row>
    <row r="305" spans="1:15" ht="12.75" hidden="1" x14ac:dyDescent="0.2">
      <c r="A305">
        <v>20701</v>
      </c>
      <c r="B305" t="str">
        <f ca="1">VLOOKUP(A305,Import_SuiviGlobal_MigAppliSate!A:I,2,FALSE)</f>
        <v>EQUEURDREVILLE</v>
      </c>
      <c r="C305" t="str">
        <f ca="1">VLOOKUP(A305,Import_SuiviGlobal_MigAppliSate!A:I,3,FALSE)</f>
        <v>U Express</v>
      </c>
      <c r="D305" s="1" t="str">
        <f ca="1">VLOOKUP(A305,Import_SuiviGlobal_MigAppliSate!A:I,4,FALSE)</f>
        <v>Coop U Enseigne NordOuest</v>
      </c>
      <c r="E305">
        <f ca="1">VLOOKUP(A305,Import_SuiviGlobal_MigAppliSate!A:I,5,FALSE)</f>
        <v>50120</v>
      </c>
      <c r="F305" t="str">
        <f ca="1">VLOOKUP(A305,Import_SuiviGlobal_MigAppliSate!A:I,6,FALSE)</f>
        <v>60-66 RUE DE LA PAIX</v>
      </c>
      <c r="G305" t="str">
        <f ca="1">VLOOKUP(A305,Import_SuiviGlobal_MigAppliSate!A:I,7,FALSE)</f>
        <v>02.33.93.86.02</v>
      </c>
      <c r="H305" t="str">
        <f ca="1">VLOOKUP(A305,Import_SuiviGlobal_MigAppliSate!A:I,8,FALSE)</f>
        <v>BLONDET Renaud</v>
      </c>
      <c r="I305" t="str">
        <f ca="1">VLOOKUP(A305,Import_SuiviGlobal_MigAppliSate!A:I,9,FALSE)</f>
        <v>renaud.blondet@systeme-u.fr</v>
      </c>
      <c r="J305" s="24" t="str">
        <f ca="1">VLOOKUP(A305,Import_SuiviGlobal_MigAppliSate!A:K,10,FALSE)</f>
        <v>Florence</v>
      </c>
      <c r="K305" t="str">
        <f ca="1">VLOOKUP(A305,Import_SuiviGlobal_MigAppliSate!A:K,11,FALSE)</f>
        <v>uexpress.equeurdreville@systeme-u.fr,philippe.cappe@coop-cnp.coop</v>
      </c>
      <c r="L305" t="s">
        <v>20</v>
      </c>
      <c r="M305" t="s">
        <v>21</v>
      </c>
      <c r="O305" s="1" t="s">
        <v>22</v>
      </c>
    </row>
    <row r="306" spans="1:15" ht="12.75" hidden="1" x14ac:dyDescent="0.2">
      <c r="A306">
        <v>28737</v>
      </c>
      <c r="B306" t="str">
        <f ca="1">VLOOKUP(A306,Import_SuiviGlobal_MigAppliSate!A:I,2,FALSE)</f>
        <v>ERAGNY SUR OISE</v>
      </c>
      <c r="C306" t="str">
        <f ca="1">VLOOKUP(A306,Import_SuiviGlobal_MigAppliSate!A:I,3,FALSE)</f>
        <v>Super U</v>
      </c>
      <c r="D306" s="1" t="str">
        <f ca="1">VLOOKUP(A306,Import_SuiviGlobal_MigAppliSate!A:I,4,FALSE)</f>
        <v>Coop U Enseigne NordOuest</v>
      </c>
      <c r="E306">
        <f ca="1">VLOOKUP(A306,Import_SuiviGlobal_MigAppliSate!A:I,5,FALSE)</f>
        <v>95610</v>
      </c>
      <c r="F306" t="str">
        <f ca="1">VLOOKUP(A306,Import_SuiviGlobal_MigAppliSate!A:I,6,FALSE)</f>
        <v>1 RUE DU BAS NOYER</v>
      </c>
      <c r="G306" t="str">
        <f ca="1">VLOOKUP(A306,Import_SuiviGlobal_MigAppliSate!A:I,7,FALSE)</f>
        <v>01.34.40.11.50</v>
      </c>
      <c r="H306" t="str">
        <f ca="1">VLOOKUP(A306,Import_SuiviGlobal_MigAppliSate!A:I,8,FALSE)</f>
        <v>FERRAND Alain</v>
      </c>
      <c r="I306" t="str">
        <f ca="1">VLOOKUP(A306,Import_SuiviGlobal_MigAppliSate!A:I,9,FALSE)</f>
        <v>alain.ferrand@systeme-u.fr</v>
      </c>
      <c r="J306" s="24" t="str">
        <f ca="1">VLOOKUP(A306,Import_SuiviGlobal_MigAppliSate!A:K,10,FALSE)</f>
        <v/>
      </c>
      <c r="K306" t="str">
        <f ca="1">VLOOKUP(A306,Import_SuiviGlobal_MigAppliSate!A:K,11,FALSE)</f>
        <v/>
      </c>
      <c r="O306" s="1" t="s">
        <v>22</v>
      </c>
    </row>
    <row r="307" spans="1:15" ht="12.75" hidden="1" x14ac:dyDescent="0.2">
      <c r="A307">
        <v>30337</v>
      </c>
      <c r="B307" t="str">
        <f ca="1">VLOOKUP(A307,Import_SuiviGlobal_MigAppliSate!A:I,2,FALSE)</f>
        <v>ERNEE</v>
      </c>
      <c r="C307" t="str">
        <f ca="1">VLOOKUP(A307,Import_SuiviGlobal_MigAppliSate!A:I,3,FALSE)</f>
        <v>Super U</v>
      </c>
      <c r="D307" s="1" t="str">
        <f ca="1">VLOOKUP(A307,Import_SuiviGlobal_MigAppliSate!A:I,4,FALSE)</f>
        <v>Coop U Enseigne Ouest</v>
      </c>
      <c r="E307">
        <f ca="1">VLOOKUP(A307,Import_SuiviGlobal_MigAppliSate!A:I,5,FALSE)</f>
        <v>53500</v>
      </c>
      <c r="F307" t="str">
        <f ca="1">VLOOKUP(A307,Import_SuiviGlobal_MigAppliSate!A:I,6,FALSE)</f>
        <v>LES SEMONDIÈRES</v>
      </c>
      <c r="G307" t="str">
        <f ca="1">VLOOKUP(A307,Import_SuiviGlobal_MigAppliSate!A:I,7,FALSE)</f>
        <v>02.43.05.77.40</v>
      </c>
      <c r="H307" t="str">
        <f ca="1">VLOOKUP(A307,Import_SuiviGlobal_MigAppliSate!A:I,8,FALSE)</f>
        <v>DUVERGER RPT SARL INAXENE Josselin</v>
      </c>
      <c r="I307" t="str">
        <f ca="1">VLOOKUP(A307,Import_SuiviGlobal_MigAppliSate!A:I,9,FALSE)</f>
        <v>josselin.duverger@systeme-u.fr</v>
      </c>
      <c r="J307" s="24" t="str">
        <f ca="1">VLOOKUP(A307,Import_SuiviGlobal_MigAppliSate!A:K,10,FALSE)</f>
        <v>Mme Besnier (UPLV)</v>
      </c>
      <c r="K307" t="str">
        <f ca="1">VLOOKUP(A307,Import_SuiviGlobal_MigAppliSate!A:K,11,FALSE)</f>
        <v>superu.ernee.gescom@systeme-u.fr</v>
      </c>
      <c r="O307" s="1" t="s">
        <v>22</v>
      </c>
    </row>
    <row r="308" spans="1:15" ht="12.75" hidden="1" x14ac:dyDescent="0.2">
      <c r="A308">
        <v>33875</v>
      </c>
      <c r="B308" t="str">
        <f ca="1">VLOOKUP(A308,Import_SuiviGlobal_MigAppliSate!A:I,2,FALSE)</f>
        <v>ERQUY</v>
      </c>
      <c r="C308" t="str">
        <f ca="1">VLOOKUP(A308,Import_SuiviGlobal_MigAppliSate!A:I,3,FALSE)</f>
        <v>Super U</v>
      </c>
      <c r="D308" s="1" t="str">
        <f ca="1">VLOOKUP(A308,Import_SuiviGlobal_MigAppliSate!A:I,4,FALSE)</f>
        <v>Coop U Enseigne Ouest</v>
      </c>
      <c r="E308">
        <f ca="1">VLOOKUP(A308,Import_SuiviGlobal_MigAppliSate!A:I,5,FALSE)</f>
        <v>22430</v>
      </c>
      <c r="F308" t="str">
        <f ca="1">VLOOKUP(A308,Import_SuiviGlobal_MigAppliSate!A:I,6,FALSE)</f>
        <v>LES JEANNETTES</v>
      </c>
      <c r="G308" t="str">
        <f ca="1">VLOOKUP(A308,Import_SuiviGlobal_MigAppliSate!A:I,7,FALSE)</f>
        <v>02.96.72.02.72</v>
      </c>
      <c r="H308" t="str">
        <f ca="1">VLOOKUP(A308,Import_SuiviGlobal_MigAppliSate!A:I,8,FALSE)</f>
        <v>LAIGO RPT SARL HOLDING LAIGO Frédéric</v>
      </c>
      <c r="I308" t="str">
        <f ca="1">VLOOKUP(A308,Import_SuiviGlobal_MigAppliSate!A:I,9,FALSE)</f>
        <v>frederic.laigo@systeme-u.fr</v>
      </c>
      <c r="J308" s="24" t="str">
        <f ca="1">VLOOKUP(A308,Import_SuiviGlobal_MigAppliSate!A:K,10,FALSE)</f>
        <v>LONCLE Stéphanie</v>
      </c>
      <c r="K308" t="str">
        <f ca="1">VLOOKUP(A308,Import_SuiviGlobal_MigAppliSate!A:K,11,FALSE)</f>
        <v>superu.erquy@systeme-u.fr</v>
      </c>
      <c r="O308" s="1" t="s">
        <v>22</v>
      </c>
    </row>
    <row r="309" spans="1:15" ht="12.75" x14ac:dyDescent="0.2">
      <c r="A309">
        <v>60017</v>
      </c>
      <c r="B309" t="str">
        <f ca="1">VLOOKUP(A309,Import_SuiviGlobal_MigAppliSate!A:I,2,FALSE)</f>
        <v>ESCHAU</v>
      </c>
      <c r="C309" t="str">
        <f ca="1">VLOOKUP(A309,Import_SuiviGlobal_MigAppliSate!A:I,3,FALSE)</f>
        <v>Super U</v>
      </c>
      <c r="D309" s="1" t="str">
        <f ca="1">VLOOKUP(A309,Import_SuiviGlobal_MigAppliSate!A:I,4,FALSE)</f>
        <v>Coop U Enseigne Est</v>
      </c>
      <c r="E309">
        <f ca="1">VLOOKUP(A309,Import_SuiviGlobal_MigAppliSate!A:I,5,FALSE)</f>
        <v>67114</v>
      </c>
      <c r="F309" t="str">
        <f ca="1">VLOOKUP(A309,Import_SuiviGlobal_MigAppliSate!A:I,6,FALSE)</f>
        <v>25 rue du Tramway</v>
      </c>
      <c r="G309" t="str">
        <f ca="1">VLOOKUP(A309,Import_SuiviGlobal_MigAppliSate!A:I,7,FALSE)</f>
        <v>03.88.64.91.92</v>
      </c>
      <c r="H309" t="str">
        <f ca="1">VLOOKUP(A309,Import_SuiviGlobal_MigAppliSate!A:I,8,FALSE)</f>
        <v>HIRSCHNER Richard</v>
      </c>
      <c r="I309" t="str">
        <f ca="1">VLOOKUP(A309,Import_SuiviGlobal_MigAppliSate!A:I,9,FALSE)</f>
        <v>richard.hirschner@systeme-u.fr</v>
      </c>
      <c r="J309" s="24" t="str">
        <f ca="1">VLOOKUP(A309,Import_SuiviGlobal_MigAppliSate!A:K,10,FALSE)</f>
        <v>MEYER Alexandre</v>
      </c>
      <c r="K309" t="str">
        <f ca="1">VLOOKUP(A309,Import_SuiviGlobal_MigAppliSate!A:K,11,FALSE)</f>
        <v>superu.eschau.services@systeme-u.fr</v>
      </c>
      <c r="L309" t="s">
        <v>17</v>
      </c>
      <c r="M309" t="s">
        <v>0</v>
      </c>
      <c r="O309" s="1" t="s">
        <v>22</v>
      </c>
    </row>
    <row r="310" spans="1:15" ht="12.75" x14ac:dyDescent="0.2">
      <c r="A310">
        <v>90504</v>
      </c>
      <c r="B310" t="str">
        <f ca="1">VLOOKUP(A310,Import_SuiviGlobal_MigAppliSate!A:I,2,FALSE)</f>
        <v>ESPALION</v>
      </c>
      <c r="C310" t="str">
        <f ca="1">VLOOKUP(A310,Import_SuiviGlobal_MigAppliSate!A:I,3,FALSE)</f>
        <v>Super U</v>
      </c>
      <c r="D310" s="1" t="str">
        <f ca="1">VLOOKUP(A310,Import_SuiviGlobal_MigAppliSate!A:I,4,FALSE)</f>
        <v>Coop U Enseigne Sud</v>
      </c>
      <c r="E310">
        <f ca="1">VLOOKUP(A310,Import_SuiviGlobal_MigAppliSate!A:I,5,FALSE)</f>
        <v>12500</v>
      </c>
      <c r="F310" t="str">
        <f ca="1">VLOOKUP(A310,Import_SuiviGlobal_MigAppliSate!A:I,6,FALSE)</f>
        <v>LA BOUYSSE AVENUE D ESTAING</v>
      </c>
      <c r="G310" t="str">
        <f ca="1">VLOOKUP(A310,Import_SuiviGlobal_MigAppliSate!A:I,7,FALSE)</f>
        <v>05.65.44.05.32</v>
      </c>
      <c r="H310" t="str">
        <f ca="1">VLOOKUP(A310,Import_SuiviGlobal_MigAppliSate!A:I,8,FALSE)</f>
        <v>NEYROLLES Michel</v>
      </c>
      <c r="I310" t="str">
        <f ca="1">VLOOKUP(A310,Import_SuiviGlobal_MigAppliSate!A:I,9,FALSE)</f>
        <v>michel.neyrolles@systeme-u.fr</v>
      </c>
      <c r="J310" s="24" t="str">
        <f ca="1">VLOOKUP(A310,Import_SuiviGlobal_MigAppliSate!A:K,10,FALSE)</f>
        <v>Pouillaude Guillaume</v>
      </c>
      <c r="K310" t="str">
        <f ca="1">VLOOKUP(A310,Import_SuiviGlobal_MigAppliSate!A:K,11,FALSE)</f>
        <v>superu.espalion@systeme-u.fr,superu.espalion.compta@systeme-u.fr,superu.espalion.direction@systeme-u.fr</v>
      </c>
      <c r="L310" s="1" t="s">
        <v>17</v>
      </c>
      <c r="M310" s="1" t="s">
        <v>0</v>
      </c>
      <c r="O310" s="1" t="s">
        <v>22</v>
      </c>
    </row>
    <row r="311" spans="1:15" ht="12.75" x14ac:dyDescent="0.2">
      <c r="A311">
        <v>69180</v>
      </c>
      <c r="B311" t="str">
        <f ca="1">VLOOKUP(A311,Import_SuiviGlobal_MigAppliSate!A:I,2,FALSE)</f>
        <v>ESSERT</v>
      </c>
      <c r="C311" t="str">
        <f ca="1">VLOOKUP(A311,Import_SuiviGlobal_MigAppliSate!A:I,3,FALSE)</f>
        <v>Super U</v>
      </c>
      <c r="D311" s="1" t="str">
        <f ca="1">VLOOKUP(A311,Import_SuiviGlobal_MigAppliSate!A:I,4,FALSE)</f>
        <v>Coop U Enseigne Est</v>
      </c>
      <c r="E311">
        <f ca="1">VLOOKUP(A311,Import_SuiviGlobal_MigAppliSate!A:I,5,FALSE)</f>
        <v>90850</v>
      </c>
      <c r="F311" t="str">
        <f ca="1">VLOOKUP(A311,Import_SuiviGlobal_MigAppliSate!A:I,6,FALSE)</f>
        <v>Rue Prévert</v>
      </c>
      <c r="G311" t="str">
        <f ca="1">VLOOKUP(A311,Import_SuiviGlobal_MigAppliSate!A:I,7,FALSE)</f>
        <v>03.84.21.51.55</v>
      </c>
      <c r="H311" t="str">
        <f ca="1">VLOOKUP(A311,Import_SuiviGlobal_MigAppliSate!A:I,8,FALSE)</f>
        <v>JEANROY Eric</v>
      </c>
      <c r="I311" t="str">
        <f ca="1">VLOOKUP(A311,Import_SuiviGlobal_MigAppliSate!A:I,9,FALSE)</f>
        <v>eric.jeanroy@systeme-u.fr</v>
      </c>
      <c r="J311" s="24" t="str">
        <f ca="1">VLOOKUP(A311,Import_SuiviGlobal_MigAppliSate!A:K,10,FALSE)</f>
        <v/>
      </c>
      <c r="K311" t="str">
        <f ca="1">VLOOKUP(A311,Import_SuiviGlobal_MigAppliSate!A:K,11,FALSE)</f>
        <v/>
      </c>
      <c r="L311" t="s">
        <v>17</v>
      </c>
      <c r="M311" t="s">
        <v>0</v>
      </c>
      <c r="O311" s="1" t="s">
        <v>22</v>
      </c>
    </row>
    <row r="312" spans="1:15" ht="12.75" hidden="1" x14ac:dyDescent="0.2">
      <c r="A312">
        <v>99200</v>
      </c>
      <c r="B312" t="str">
        <f ca="1">VLOOKUP(A312,Import_SuiviGlobal_MigAppliSate!A:I,2,FALSE)</f>
        <v>ETANG-SALE-IDR</v>
      </c>
      <c r="C312" t="str">
        <f ca="1">VLOOKUP(A312,Import_SuiviGlobal_MigAppliSate!A:I,3,FALSE)</f>
        <v>Super U</v>
      </c>
      <c r="D312" s="1" t="str">
        <f ca="1">VLOOKUP(A312,Import_SuiviGlobal_MigAppliSate!A:I,4,FALSE)</f>
        <v>Coop U Enseigne Sud</v>
      </c>
      <c r="E312">
        <f ca="1">VLOOKUP(A312,Import_SuiviGlobal_MigAppliSate!A:I,5,FALSE)</f>
        <v>97427</v>
      </c>
      <c r="F312" t="str">
        <f ca="1">VLOOKUP(A312,Import_SuiviGlobal_MigAppliSate!A:I,6,FALSE)</f>
        <v>22 RUE DU PERE VAN BERLO</v>
      </c>
      <c r="G312" t="str">
        <f ca="1">VLOOKUP(A312,Import_SuiviGlobal_MigAppliSate!A:I,7,FALSE)</f>
        <v>02.62.26.59.70</v>
      </c>
      <c r="H312" t="str">
        <f ca="1">VLOOKUP(A312,Import_SuiviGlobal_MigAppliSate!A:I,8,FALSE)</f>
        <v>YONG WAI MAN Roland et Joseph</v>
      </c>
      <c r="I312" t="str">
        <f ca="1">VLOOKUP(A312,Import_SuiviGlobal_MigAppliSate!A:I,9,FALSE)</f>
        <v>joel.yong@systeme-u.fr</v>
      </c>
      <c r="J312" s="24" t="str">
        <f ca="1">VLOOKUP(A312,Import_SuiviGlobal_MigAppliSate!A:K,10,FALSE)</f>
        <v>YONG Bernard</v>
      </c>
      <c r="K312" t="str">
        <f ca="1">VLOOKUP(A312,Import_SuiviGlobal_MigAppliSate!A:K,11,FALSE)</f>
        <v>bernard.yong@systeme-u.fr</v>
      </c>
      <c r="O312" s="1" t="s">
        <v>22</v>
      </c>
    </row>
    <row r="313" spans="1:15" ht="12.75" hidden="1" x14ac:dyDescent="0.2">
      <c r="A313">
        <v>22712</v>
      </c>
      <c r="B313" t="str">
        <f ca="1">VLOOKUP(A313,Import_SuiviGlobal_MigAppliSate!A:I,2,FALSE)</f>
        <v>ETREPAGNY</v>
      </c>
      <c r="C313" t="str">
        <f ca="1">VLOOKUP(A313,Import_SuiviGlobal_MigAppliSate!A:I,3,FALSE)</f>
        <v>Super U</v>
      </c>
      <c r="D313" s="1" t="str">
        <f ca="1">VLOOKUP(A313,Import_SuiviGlobal_MigAppliSate!A:I,4,FALSE)</f>
        <v>Coop U Enseigne NordOuest</v>
      </c>
      <c r="E313">
        <f ca="1">VLOOKUP(A313,Import_SuiviGlobal_MigAppliSate!A:I,5,FALSE)</f>
        <v>27150</v>
      </c>
      <c r="F313" t="str">
        <f ca="1">VLOOKUP(A313,Import_SuiviGlobal_MigAppliSate!A:I,6,FALSE)</f>
        <v>1 RUE TURGOT</v>
      </c>
      <c r="G313" t="str">
        <f ca="1">VLOOKUP(A313,Import_SuiviGlobal_MigAppliSate!A:I,7,FALSE)</f>
        <v>02.32.27.20.40</v>
      </c>
      <c r="H313" t="str">
        <f ca="1">VLOOKUP(A313,Import_SuiviGlobal_MigAppliSate!A:I,8,FALSE)</f>
        <v>JOIMEL Thierry</v>
      </c>
      <c r="I313" t="str">
        <f ca="1">VLOOKUP(A313,Import_SuiviGlobal_MigAppliSate!A:I,9,FALSE)</f>
        <v>thierry.joimel@systeme-u.fr</v>
      </c>
      <c r="J313" s="24" t="str">
        <f ca="1">VLOOKUP(A313,Import_SuiviGlobal_MigAppliSate!A:K,10,FALSE)</f>
        <v>M RAYER Nicolas</v>
      </c>
      <c r="K313" t="str">
        <f ca="1">VLOOKUP(A313,Import_SuiviGlobal_MigAppliSate!A:K,11,FALSE)</f>
        <v>superu.etrepagny.direction@systeme-u.fr</v>
      </c>
      <c r="O313" s="1" t="s">
        <v>22</v>
      </c>
    </row>
    <row r="314" spans="1:15" ht="12.75" hidden="1" x14ac:dyDescent="0.2">
      <c r="A314">
        <v>34025</v>
      </c>
      <c r="B314" t="str">
        <f ca="1">VLOOKUP(A314,Import_SuiviGlobal_MigAppliSate!A:I,2,FALSE)</f>
        <v>EVAUX-LES-BAINS</v>
      </c>
      <c r="C314" t="str">
        <f ca="1">VLOOKUP(A314,Import_SuiviGlobal_MigAppliSate!A:I,3,FALSE)</f>
        <v>U Express</v>
      </c>
      <c r="D314" s="1" t="str">
        <f ca="1">VLOOKUP(A314,Import_SuiviGlobal_MigAppliSate!A:I,4,FALSE)</f>
        <v>Coop U Enseigne Ouest</v>
      </c>
      <c r="E314">
        <f ca="1">VLOOKUP(A314,Import_SuiviGlobal_MigAppliSate!A:I,5,FALSE)</f>
        <v>23110</v>
      </c>
      <c r="F314" t="str">
        <f ca="1">VLOOKUP(A314,Import_SuiviGlobal_MigAppliSate!A:I,6,FALSE)</f>
        <v>55, AVENUE DE LA RÉPUBLIQUE</v>
      </c>
      <c r="G314" t="str">
        <f ca="1">VLOOKUP(A314,Import_SuiviGlobal_MigAppliSate!A:I,7,FALSE)</f>
        <v>05.55.65.50.69</v>
      </c>
      <c r="H314" t="str">
        <f ca="1">VLOOKUP(A314,Import_SuiviGlobal_MigAppliSate!A:I,8,FALSE)</f>
        <v>PATRAUD Abel</v>
      </c>
      <c r="I314" t="str">
        <f ca="1">VLOOKUP(A314,Import_SuiviGlobal_MigAppliSate!A:I,9,FALSE)</f>
        <v>abel.patraud@systeme-u.fr</v>
      </c>
      <c r="J314" s="24" t="str">
        <f ca="1">VLOOKUP(A314,Import_SuiviGlobal_MigAppliSate!A:K,10,FALSE)</f>
        <v/>
      </c>
      <c r="K314" t="str">
        <f ca="1">VLOOKUP(A314,Import_SuiviGlobal_MigAppliSate!A:K,11,FALSE)</f>
        <v/>
      </c>
      <c r="O314" s="1" t="s">
        <v>22</v>
      </c>
    </row>
    <row r="315" spans="1:15" ht="12.75" hidden="1" x14ac:dyDescent="0.2">
      <c r="A315">
        <v>25487</v>
      </c>
      <c r="B315" t="str">
        <f ca="1">VLOOKUP(A315,Import_SuiviGlobal_MigAppliSate!A:I,2,FALSE)</f>
        <v>EVREUX</v>
      </c>
      <c r="C315" t="str">
        <f ca="1">VLOOKUP(A315,Import_SuiviGlobal_MigAppliSate!A:I,3,FALSE)</f>
        <v>Super U</v>
      </c>
      <c r="D315" s="1" t="str">
        <f ca="1">VLOOKUP(A315,Import_SuiviGlobal_MigAppliSate!A:I,4,FALSE)</f>
        <v>Coop U Enseigne NordOuest</v>
      </c>
      <c r="E315">
        <f ca="1">VLOOKUP(A315,Import_SuiviGlobal_MigAppliSate!A:I,5,FALSE)</f>
        <v>27000</v>
      </c>
      <c r="F315" t="str">
        <f ca="1">VLOOKUP(A315,Import_SuiviGlobal_MigAppliSate!A:I,6,FALSE)</f>
        <v>4 PLACE DE LA RÉPUBLIQUE</v>
      </c>
      <c r="G315" t="str">
        <f ca="1">VLOOKUP(A315,Import_SuiviGlobal_MigAppliSate!A:I,7,FALSE)</f>
        <v>02.32.39.31.00</v>
      </c>
      <c r="H315" t="str">
        <f ca="1">VLOOKUP(A315,Import_SuiviGlobal_MigAppliSate!A:I,8,FALSE)</f>
        <v>DEMAEGDT Arnaud</v>
      </c>
      <c r="I315" t="str">
        <f ca="1">VLOOKUP(A315,Import_SuiviGlobal_MigAppliSate!A:I,9,FALSE)</f>
        <v>arnaud.demaegdt@systeme-u.fr</v>
      </c>
      <c r="J315" s="24" t="str">
        <f ca="1">VLOOKUP(A315,Import_SuiviGlobal_MigAppliSate!A:K,10,FALSE)</f>
        <v>David MANUEL</v>
      </c>
      <c r="K315" t="str">
        <f ca="1">VLOOKUP(A315,Import_SuiviGlobal_MigAppliSate!A:K,11,FALSE)</f>
        <v>superu.evreux.direction@systeme-u.fr</v>
      </c>
      <c r="O315" s="1" t="s">
        <v>22</v>
      </c>
    </row>
    <row r="316" spans="1:15" ht="12.75" hidden="1" x14ac:dyDescent="0.2">
      <c r="A316">
        <v>36335</v>
      </c>
      <c r="B316" t="str">
        <f ca="1">VLOOKUP(A316,Import_SuiviGlobal_MigAppliSate!A:I,2,FALSE)</f>
        <v>EVRON</v>
      </c>
      <c r="C316" t="str">
        <f ca="1">VLOOKUP(A316,Import_SuiviGlobal_MigAppliSate!A:I,3,FALSE)</f>
        <v>Super U</v>
      </c>
      <c r="D316" s="1" t="str">
        <f ca="1">VLOOKUP(A316,Import_SuiviGlobal_MigAppliSate!A:I,4,FALSE)</f>
        <v>Coop U Enseigne Ouest</v>
      </c>
      <c r="E316">
        <f ca="1">VLOOKUP(A316,Import_SuiviGlobal_MigAppliSate!A:I,5,FALSE)</f>
        <v>53600</v>
      </c>
      <c r="F316" t="str">
        <f ca="1">VLOOKUP(A316,Import_SuiviGlobal_MigAppliSate!A:I,6,FALSE)</f>
        <v>ROUTE DE LAVAL</v>
      </c>
      <c r="G316" t="str">
        <f ca="1">VLOOKUP(A316,Import_SuiviGlobal_MigAppliSate!A:I,7,FALSE)</f>
        <v>02.43.01.34.82</v>
      </c>
      <c r="H316" t="str">
        <f ca="1">VLOOKUP(A316,Import_SuiviGlobal_MigAppliSate!A:I,8,FALSE)</f>
        <v>LECHAT RPT SARL HELIOS Hubert</v>
      </c>
      <c r="I316" t="str">
        <f ca="1">VLOOKUP(A316,Import_SuiviGlobal_MigAppliSate!A:I,9,FALSE)</f>
        <v>nathalie.lechat@systeme-u.fr</v>
      </c>
      <c r="J316" s="24" t="str">
        <f ca="1">VLOOKUP(A316,Import_SuiviGlobal_MigAppliSate!A:K,10,FALSE)</f>
        <v>FERANDIN JEREMY</v>
      </c>
      <c r="K316" t="str">
        <f ca="1">VLOOKUP(A316,Import_SuiviGlobal_MigAppliSate!A:K,11,FALSE)</f>
        <v>superu.evron.administratif@systeme-u.fr</v>
      </c>
      <c r="O316" s="1" t="s">
        <v>22</v>
      </c>
    </row>
    <row r="317" spans="1:15" ht="12.75" hidden="1" x14ac:dyDescent="0.2">
      <c r="A317">
        <v>38187</v>
      </c>
      <c r="B317" t="str">
        <f ca="1">VLOOKUP(A317,Import_SuiviGlobal_MigAppliSate!A:I,2,FALSE)</f>
        <v>EVRON</v>
      </c>
      <c r="C317" t="str">
        <f ca="1">VLOOKUP(A317,Import_SuiviGlobal_MigAppliSate!A:I,3,FALSE)</f>
        <v>U Express</v>
      </c>
      <c r="D317" s="1" t="str">
        <f ca="1">VLOOKUP(A317,Import_SuiviGlobal_MigAppliSate!A:I,4,FALSE)</f>
        <v>Coop U Enseigne Ouest</v>
      </c>
      <c r="E317">
        <f ca="1">VLOOKUP(A317,Import_SuiviGlobal_MigAppliSate!A:I,5,FALSE)</f>
        <v>53600</v>
      </c>
      <c r="F317" t="str">
        <f ca="1">VLOOKUP(A317,Import_SuiviGlobal_MigAppliSate!A:I,6,FALSE)</f>
        <v>ROUTE DE SILLÉ LE GUILLAUME</v>
      </c>
      <c r="G317" t="str">
        <f ca="1">VLOOKUP(A317,Import_SuiviGlobal_MigAppliSate!A:I,7,FALSE)</f>
        <v>02.43.01.64.95</v>
      </c>
      <c r="H317" t="str">
        <f ca="1">VLOOKUP(A317,Import_SuiviGlobal_MigAppliSate!A:I,8,FALSE)</f>
        <v>LECHAT Hubert</v>
      </c>
      <c r="I317" t="str">
        <f ca="1">VLOOKUP(A317,Import_SuiviGlobal_MigAppliSate!A:I,9,FALSE)</f>
        <v>hubert.lechat@systeme-u.fr</v>
      </c>
      <c r="J317" s="24" t="str">
        <f ca="1">VLOOKUP(A317,Import_SuiviGlobal_MigAppliSate!A:K,10,FALSE)</f>
        <v/>
      </c>
      <c r="K317" t="str">
        <f ca="1">VLOOKUP(A317,Import_SuiviGlobal_MigAppliSate!A:K,11,FALSE)</f>
        <v/>
      </c>
      <c r="O317" s="1" t="s">
        <v>22</v>
      </c>
    </row>
    <row r="318" spans="1:15" ht="12.75" hidden="1" x14ac:dyDescent="0.2">
      <c r="A318">
        <v>90600</v>
      </c>
      <c r="B318" t="str">
        <f ca="1">VLOOKUP(A318,Import_SuiviGlobal_MigAppliSate!A:I,2,FALSE)</f>
        <v>EYRAGUES</v>
      </c>
      <c r="C318" t="str">
        <f ca="1">VLOOKUP(A318,Import_SuiviGlobal_MigAppliSate!A:I,3,FALSE)</f>
        <v>U Express</v>
      </c>
      <c r="D318" s="1" t="str">
        <f ca="1">VLOOKUP(A318,Import_SuiviGlobal_MigAppliSate!A:I,4,FALSE)</f>
        <v>Coop MISTRAL</v>
      </c>
      <c r="E318">
        <f ca="1">VLOOKUP(A318,Import_SuiviGlobal_MigAppliSate!A:I,5,FALSE)</f>
        <v>13630</v>
      </c>
      <c r="F318" t="str">
        <f ca="1">VLOOKUP(A318,Import_SuiviGlobal_MigAppliSate!A:I,6,FALSE)</f>
        <v>149 LES ALLÉES</v>
      </c>
      <c r="G318" t="str">
        <f ca="1">VLOOKUP(A318,Import_SuiviGlobal_MigAppliSate!A:I,7,FALSE)</f>
        <v>04.90.94.00.31</v>
      </c>
      <c r="H318" t="str">
        <f ca="1">VLOOKUP(A318,Import_SuiviGlobal_MigAppliSate!A:I,8,FALSE)</f>
        <v>MARCEL David</v>
      </c>
      <c r="I318" t="str">
        <f ca="1">VLOOKUP(A318,Import_SuiviGlobal_MigAppliSate!A:I,9,FALSE)</f>
        <v>uexpress.eyragues@orange.fr</v>
      </c>
      <c r="J318" s="24" t="str">
        <f ca="1">VLOOKUP(A318,Import_SuiviGlobal_MigAppliSate!A:K,10,FALSE)</f>
        <v/>
      </c>
      <c r="K318" t="str">
        <f ca="1">VLOOKUP(A318,Import_SuiviGlobal_MigAppliSate!A:K,11,FALSE)</f>
        <v>delphine.damian@lemistral.fr,helene.mina@lemistral.fr</v>
      </c>
      <c r="O318" s="1" t="s">
        <v>22</v>
      </c>
    </row>
    <row r="319" spans="1:15" ht="12.75" hidden="1" x14ac:dyDescent="0.2">
      <c r="A319">
        <v>95524</v>
      </c>
      <c r="B319" t="str">
        <f ca="1">VLOOKUP(A319,Import_SuiviGlobal_MigAppliSate!A:I,2,FALSE)</f>
        <v>EYSINES</v>
      </c>
      <c r="C319" t="str">
        <f ca="1">VLOOKUP(A319,Import_SuiviGlobal_MigAppliSate!A:I,3,FALSE)</f>
        <v>Super U</v>
      </c>
      <c r="D319" s="1" t="str">
        <f ca="1">VLOOKUP(A319,Import_SuiviGlobal_MigAppliSate!A:I,4,FALSE)</f>
        <v>Coop U Enseigne Sud</v>
      </c>
      <c r="E319">
        <f ca="1">VLOOKUP(A319,Import_SuiviGlobal_MigAppliSate!A:I,5,FALSE)</f>
        <v>33320</v>
      </c>
      <c r="F319" t="str">
        <f ca="1">VLOOKUP(A319,Import_SuiviGlobal_MigAppliSate!A:I,6,FALSE)</f>
        <v>3 ALLEE DE L EUROPE</v>
      </c>
      <c r="G319" t="str">
        <f ca="1">VLOOKUP(A319,Import_SuiviGlobal_MigAppliSate!A:I,7,FALSE)</f>
        <v>05.56.28.92.58</v>
      </c>
      <c r="H319" t="str">
        <f ca="1">VLOOKUP(A319,Import_SuiviGlobal_MigAppliSate!A:I,8,FALSE)</f>
        <v>HOUDAYER Jean-Luc</v>
      </c>
      <c r="I319" t="str">
        <f ca="1">VLOOKUP(A319,Import_SuiviGlobal_MigAppliSate!A:I,9,FALSE)</f>
        <v>jean-luc.houdayer@systeme-u.fr</v>
      </c>
      <c r="J319" s="24" t="str">
        <f ca="1">VLOOKUP(A319,Import_SuiviGlobal_MigAppliSate!A:K,10,FALSE)</f>
        <v>Mme Oliviera ou Mme Lalande</v>
      </c>
      <c r="K319" t="str">
        <f ca="1">VLOOKUP(A319,Import_SuiviGlobal_MigAppliSate!A:K,11,FALSE)</f>
        <v>superu.Eysines@systeme-u.fr</v>
      </c>
      <c r="O319" s="1" t="s">
        <v>22</v>
      </c>
    </row>
    <row r="320" spans="1:15" ht="12.75" hidden="1" x14ac:dyDescent="0.2">
      <c r="A320">
        <v>95626</v>
      </c>
      <c r="B320" t="str">
        <f ca="1">VLOOKUP(A320,Import_SuiviGlobal_MigAppliSate!A:I,2,FALSE)</f>
        <v>FARGUES ST HILAIRE</v>
      </c>
      <c r="C320" t="str">
        <f ca="1">VLOOKUP(A320,Import_SuiviGlobal_MigAppliSate!A:I,3,FALSE)</f>
        <v>Super U</v>
      </c>
      <c r="D320" s="1" t="str">
        <f ca="1">VLOOKUP(A320,Import_SuiviGlobal_MigAppliSate!A:I,4,FALSE)</f>
        <v>Coop U Enseigne Sud</v>
      </c>
      <c r="E320">
        <f ca="1">VLOOKUP(A320,Import_SuiviGlobal_MigAppliSate!A:I,5,FALSE)</f>
        <v>33370</v>
      </c>
      <c r="F320" t="str">
        <f ca="1">VLOOKUP(A320,Import_SuiviGlobal_MigAppliSate!A:I,6,FALSE)</f>
        <v>BOIS MENU VAL LAURENCE</v>
      </c>
      <c r="G320" t="str">
        <f ca="1">VLOOKUP(A320,Import_SuiviGlobal_MigAppliSate!A:I,7,FALSE)</f>
        <v>05.56.68.33.33</v>
      </c>
      <c r="H320" t="str">
        <f ca="1">VLOOKUP(A320,Import_SuiviGlobal_MigAppliSate!A:I,8,FALSE)</f>
        <v>COTTINAUD Adrien</v>
      </c>
      <c r="I320" t="str">
        <f ca="1">VLOOKUP(A320,Import_SuiviGlobal_MigAppliSate!A:I,9,FALSE)</f>
        <v>adrien.cottinaud@systeme-u.fr</v>
      </c>
      <c r="J320" s="24" t="str">
        <f ca="1">VLOOKUP(A320,Import_SuiviGlobal_MigAppliSate!A:K,10,FALSE)</f>
        <v>provost sandrine</v>
      </c>
      <c r="K320" t="str">
        <f ca="1">VLOOKUP(A320,Import_SuiviGlobal_MigAppliSate!A:K,11,FALSE)</f>
        <v>superu.farguessainthilaire.compta@systeme-u.fr,superu.sandrine@gmail.com</v>
      </c>
      <c r="O320" s="1" t="s">
        <v>22</v>
      </c>
    </row>
    <row r="321" spans="1:18" ht="12.75" hidden="1" x14ac:dyDescent="0.2">
      <c r="A321">
        <v>68505</v>
      </c>
      <c r="B321" t="str">
        <f ca="1">VLOOKUP(A321,Import_SuiviGlobal_MigAppliSate!A:I,2,FALSE)</f>
        <v>FAULQUEMONT</v>
      </c>
      <c r="C321" t="str">
        <f ca="1">VLOOKUP(A321,Import_SuiviGlobal_MigAppliSate!A:I,3,FALSE)</f>
        <v>Super U</v>
      </c>
      <c r="D321" s="1" t="str">
        <f ca="1">VLOOKUP(A321,Import_SuiviGlobal_MigAppliSate!A:I,4,FALSE)</f>
        <v>Coop U Enseigne Est</v>
      </c>
      <c r="E321">
        <f ca="1">VLOOKUP(A321,Import_SuiviGlobal_MigAppliSate!A:I,5,FALSE)</f>
        <v>57380</v>
      </c>
      <c r="F321" t="str">
        <f ca="1">VLOOKUP(A321,Import_SuiviGlobal_MigAppliSate!A:I,6,FALSE)</f>
        <v>42 RUE DE CREHANGE</v>
      </c>
      <c r="G321" t="str">
        <f ca="1">VLOOKUP(A321,Import_SuiviGlobal_MigAppliSate!A:I,7,FALSE)</f>
        <v>03.87.00.36.40</v>
      </c>
      <c r="H321" t="str">
        <f ca="1">VLOOKUP(A321,Import_SuiviGlobal_MigAppliSate!A:I,8,FALSE)</f>
        <v>WEBER Mathieu</v>
      </c>
      <c r="I321" t="str">
        <f ca="1">VLOOKUP(A321,Import_SuiviGlobal_MigAppliSate!A:I,9,FALSE)</f>
        <v>mathieu.weber@systeme-u.fr</v>
      </c>
      <c r="J321" s="24" t="str">
        <f ca="1">VLOOKUP(A321,Import_SuiviGlobal_MigAppliSate!A:K,10,FALSE)</f>
        <v/>
      </c>
      <c r="K321" t="str">
        <f ca="1">VLOOKUP(A321,Import_SuiviGlobal_MigAppliSate!A:K,11,FALSE)</f>
        <v/>
      </c>
      <c r="O321" s="1" t="s">
        <v>22</v>
      </c>
    </row>
    <row r="322" spans="1:18" ht="12.75" hidden="1" x14ac:dyDescent="0.2">
      <c r="A322">
        <v>21473</v>
      </c>
      <c r="B322" t="str">
        <f ca="1">VLOOKUP(A322,Import_SuiviGlobal_MigAppliSate!A:I,2,FALSE)</f>
        <v>FAUVILLE EN CAUX</v>
      </c>
      <c r="C322" t="str">
        <f ca="1">VLOOKUP(A322,Import_SuiviGlobal_MigAppliSate!A:I,3,FALSE)</f>
        <v>Super U</v>
      </c>
      <c r="D322" s="1" t="str">
        <f ca="1">VLOOKUP(A322,Import_SuiviGlobal_MigAppliSate!A:I,4,FALSE)</f>
        <v>Coop U Enseigne NordOuest</v>
      </c>
      <c r="E322">
        <f ca="1">VLOOKUP(A322,Import_SuiviGlobal_MigAppliSate!A:I,5,FALSE)</f>
        <v>76640</v>
      </c>
      <c r="F322" t="str">
        <f ca="1">VLOOKUP(A322,Import_SuiviGlobal_MigAppliSate!A:I,6,FALSE)</f>
        <v>RUE DE L'EUROPE</v>
      </c>
      <c r="G322" t="str">
        <f ca="1">VLOOKUP(A322,Import_SuiviGlobal_MigAppliSate!A:I,7,FALSE)</f>
        <v>02.35.56.58.18</v>
      </c>
      <c r="H322" t="str">
        <f ca="1">VLOOKUP(A322,Import_SuiviGlobal_MigAppliSate!A:I,8,FALSE)</f>
        <v>TRIGUEL Sonia</v>
      </c>
      <c r="I322" t="str">
        <f ca="1">VLOOKUP(A322,Import_SuiviGlobal_MigAppliSate!A:I,9,FALSE)</f>
        <v>sonia.triguel@systeme-u.fr</v>
      </c>
      <c r="J322" s="24" t="str">
        <f ca="1">VLOOKUP(A322,Import_SuiviGlobal_MigAppliSate!A:K,10,FALSE)</f>
        <v>M. Stéphane Menant</v>
      </c>
      <c r="K322" t="str">
        <f ca="1">VLOOKUP(A322,Import_SuiviGlobal_MigAppliSate!A:K,11,FALSE)</f>
        <v>stephane.menant@systeme-u.fr</v>
      </c>
      <c r="O322" s="1" t="s">
        <v>22</v>
      </c>
    </row>
    <row r="323" spans="1:18" ht="12.75" hidden="1" x14ac:dyDescent="0.2">
      <c r="A323">
        <v>90404</v>
      </c>
      <c r="B323" t="str">
        <f ca="1">VLOOKUP(A323,Import_SuiviGlobal_MigAppliSate!A:I,2,FALSE)</f>
        <v>FAYENCE</v>
      </c>
      <c r="C323" t="str">
        <f ca="1">VLOOKUP(A323,Import_SuiviGlobal_MigAppliSate!A:I,3,FALSE)</f>
        <v>Super U</v>
      </c>
      <c r="D323" s="1" t="str">
        <f ca="1">VLOOKUP(A323,Import_SuiviGlobal_MigAppliSate!A:I,4,FALSE)</f>
        <v>Coop U Enseigne Sud</v>
      </c>
      <c r="E323">
        <f ca="1">VLOOKUP(A323,Import_SuiviGlobal_MigAppliSate!A:I,5,FALSE)</f>
        <v>83440</v>
      </c>
      <c r="F323" t="str">
        <f ca="1">VLOOKUP(A323,Import_SuiviGlobal_MigAppliSate!A:I,6,FALSE)</f>
        <v>86 ROUTE DE FREJUS</v>
      </c>
      <c r="G323" t="str">
        <f ca="1">VLOOKUP(A323,Import_SuiviGlobal_MigAppliSate!A:I,7,FALSE)</f>
        <v>04.94.76.22.42</v>
      </c>
      <c r="H323" t="str">
        <f ca="1">VLOOKUP(A323,Import_SuiviGlobal_MigAppliSate!A:I,8,FALSE)</f>
        <v>PROU Sebastien</v>
      </c>
      <c r="I323" t="str">
        <f ca="1">VLOOKUP(A323,Import_SuiviGlobal_MigAppliSate!A:I,9,FALSE)</f>
        <v>sebastien.prou@systeme-u.fr</v>
      </c>
      <c r="J323" s="24" t="str">
        <f ca="1">VLOOKUP(A323,Import_SuiviGlobal_MigAppliSate!A:K,10,FALSE)</f>
        <v>M. SOTO
Mme HERMANT</v>
      </c>
      <c r="K323" t="str">
        <f ca="1">VLOOKUP(A323,Import_SuiviGlobal_MigAppliSate!A:K,11,FALSE)</f>
        <v>superu.fayence.direction@systeme-u.fr,superu.fayence.compta@systeme-u.fr</v>
      </c>
      <c r="L323" s="1" t="s">
        <v>17</v>
      </c>
      <c r="M323" s="1" t="s">
        <v>24</v>
      </c>
      <c r="N323" s="1" t="s">
        <v>29</v>
      </c>
      <c r="O323" s="1" t="s">
        <v>19</v>
      </c>
    </row>
    <row r="324" spans="1:18" ht="12.75" hidden="1" x14ac:dyDescent="0.2">
      <c r="A324">
        <v>60101</v>
      </c>
      <c r="B324" t="str">
        <f ca="1">VLOOKUP(A324,Import_SuiviGlobal_MigAppliSate!A:I,2,FALSE)</f>
        <v>FELLERING</v>
      </c>
      <c r="C324" t="str">
        <f ca="1">VLOOKUP(A324,Import_SuiviGlobal_MigAppliSate!A:I,3,FALSE)</f>
        <v>U Express</v>
      </c>
      <c r="D324" s="1" t="str">
        <f ca="1">VLOOKUP(A324,Import_SuiviGlobal_MigAppliSate!A:I,4,FALSE)</f>
        <v>Coop U Enseigne Est</v>
      </c>
      <c r="E324">
        <f ca="1">VLOOKUP(A324,Import_SuiviGlobal_MigAppliSate!A:I,5,FALSE)</f>
        <v>68470</v>
      </c>
      <c r="F324" t="str">
        <f ca="1">VLOOKUP(A324,Import_SuiviGlobal_MigAppliSate!A:I,6,FALSE)</f>
        <v>2 RUE DES FABRIQUES</v>
      </c>
      <c r="G324" t="str">
        <f ca="1">VLOOKUP(A324,Import_SuiviGlobal_MigAppliSate!A:I,7,FALSE)</f>
        <v>03.89.82.60.61</v>
      </c>
      <c r="H324" t="str">
        <f ca="1">VLOOKUP(A324,Import_SuiviGlobal_MigAppliSate!A:I,8,FALSE)</f>
        <v>ABRUZZI Elric</v>
      </c>
      <c r="I324" t="str">
        <f ca="1">VLOOKUP(A324,Import_SuiviGlobal_MigAppliSate!A:I,9,FALSE)</f>
        <v>elric.abruzzi@systeme-u.fr</v>
      </c>
      <c r="J324" s="24" t="str">
        <f ca="1">VLOOKUP(A324,Import_SuiviGlobal_MigAppliSate!A:K,10,FALSE)</f>
        <v>Mme Brunner</v>
      </c>
      <c r="K324" t="str">
        <f ca="1">VLOOKUP(A324,Import_SuiviGlobal_MigAppliSate!A:K,11,FALSE)</f>
        <v>uexpress.fellering.direction@systeme-u.fr</v>
      </c>
      <c r="O324" s="1" t="s">
        <v>22</v>
      </c>
    </row>
    <row r="325" spans="1:18" ht="12.75" hidden="1" x14ac:dyDescent="0.2">
      <c r="A325">
        <v>21880</v>
      </c>
      <c r="B325" t="str">
        <f ca="1">VLOOKUP(A325,Import_SuiviGlobal_MigAppliSate!A:I,2,FALSE)</f>
        <v>FERE EN TARDENOIS</v>
      </c>
      <c r="C325" t="str">
        <f ca="1">VLOOKUP(A325,Import_SuiviGlobal_MigAppliSate!A:I,3,FALSE)</f>
        <v>Super U</v>
      </c>
      <c r="D325" s="1" t="str">
        <f ca="1">VLOOKUP(A325,Import_SuiviGlobal_MigAppliSate!A:I,4,FALSE)</f>
        <v>Coop U Enseigne NordOuest</v>
      </c>
      <c r="E325">
        <f ca="1">VLOOKUP(A325,Import_SuiviGlobal_MigAppliSate!A:I,5,FALSE)</f>
        <v>2130</v>
      </c>
      <c r="F325" t="str">
        <f ca="1">VLOOKUP(A325,Import_SuiviGlobal_MigAppliSate!A:I,6,FALSE)</f>
        <v>RUE DU STADE</v>
      </c>
      <c r="G325" t="str">
        <f ca="1">VLOOKUP(A325,Import_SuiviGlobal_MigAppliSate!A:I,7,FALSE)</f>
        <v>03.23.82.57.30</v>
      </c>
      <c r="H325" t="str">
        <f ca="1">VLOOKUP(A325,Import_SuiviGlobal_MigAppliSate!A:I,8,FALSE)</f>
        <v>OLIVIER Jean-Roch</v>
      </c>
      <c r="I325" t="str">
        <f ca="1">VLOOKUP(A325,Import_SuiviGlobal_MigAppliSate!A:I,9,FALSE)</f>
        <v>jean-roch.olivier@systeme-u.fr</v>
      </c>
      <c r="J325" s="24" t="str">
        <f ca="1">VLOOKUP(A325,Import_SuiviGlobal_MigAppliSate!A:K,10,FALSE)</f>
        <v>Lambot Sandrine</v>
      </c>
      <c r="K325" t="str">
        <f ca="1">VLOOKUP(A325,Import_SuiviGlobal_MigAppliSate!A:K,11,FALSE)</f>
        <v>superu.fereentardenois@systeme-u.fr</v>
      </c>
      <c r="O325" s="1" t="s">
        <v>22</v>
      </c>
    </row>
    <row r="326" spans="1:18" ht="12.75" hidden="1" x14ac:dyDescent="0.2">
      <c r="A326">
        <v>24731</v>
      </c>
      <c r="B326" t="str">
        <f ca="1">VLOOKUP(A326,Import_SuiviGlobal_MigAppliSate!A:I,2,FALSE)</f>
        <v>FERRIÈRES EN BRAY</v>
      </c>
      <c r="C326" t="str">
        <f ca="1">VLOOKUP(A326,Import_SuiviGlobal_MigAppliSate!A:I,3,FALSE)</f>
        <v>Super U</v>
      </c>
      <c r="D326" s="1" t="str">
        <f ca="1">VLOOKUP(A326,Import_SuiviGlobal_MigAppliSate!A:I,4,FALSE)</f>
        <v>Coop U Enseigne NordOuest</v>
      </c>
      <c r="E326">
        <f ca="1">VLOOKUP(A326,Import_SuiviGlobal_MigAppliSate!A:I,5,FALSE)</f>
        <v>76220</v>
      </c>
      <c r="F326" t="str">
        <f ca="1">VLOOKUP(A326,Import_SuiviGlobal_MigAppliSate!A:I,6,FALSE)</f>
        <v>PROMENADE DU PAYS DE BRAY</v>
      </c>
      <c r="G326" t="str">
        <f ca="1">VLOOKUP(A326,Import_SuiviGlobal_MigAppliSate!A:I,7,FALSE)</f>
        <v>02.35.09.72.72</v>
      </c>
      <c r="H326" t="str">
        <f ca="1">VLOOKUP(A326,Import_SuiviGlobal_MigAppliSate!A:I,8,FALSE)</f>
        <v>CARON Stéphane</v>
      </c>
      <c r="I326" t="str">
        <f ca="1">VLOOKUP(A326,Import_SuiviGlobal_MigAppliSate!A:I,9,FALSE)</f>
        <v>stephane.caron@systeme-u.fr</v>
      </c>
      <c r="J326" s="24" t="str">
        <f ca="1">VLOOKUP(A326,Import_SuiviGlobal_MigAppliSate!A:K,10,FALSE)</f>
        <v>Christopher Quillet</v>
      </c>
      <c r="K326" t="str">
        <f ca="1">VLOOKUP(A326,Import_SuiviGlobal_MigAppliSate!A:K,11,FALSE)</f>
        <v>superu.ferrieresenbray.direction@systeme-u.fr</v>
      </c>
      <c r="O326" s="1" t="s">
        <v>22</v>
      </c>
    </row>
    <row r="327" spans="1:18" ht="12.75" hidden="1" x14ac:dyDescent="0.2">
      <c r="A327">
        <v>60700</v>
      </c>
      <c r="B327" t="str">
        <f ca="1">VLOOKUP(A327,Import_SuiviGlobal_MigAppliSate!A:I,2,FALSE)</f>
        <v>FESSENHEIM</v>
      </c>
      <c r="C327" t="str">
        <f ca="1">VLOOKUP(A327,Import_SuiviGlobal_MigAppliSate!A:I,3,FALSE)</f>
        <v>Super U</v>
      </c>
      <c r="D327" s="1" t="str">
        <f ca="1">VLOOKUP(A327,Import_SuiviGlobal_MigAppliSate!A:I,4,FALSE)</f>
        <v>Coop U Enseigne Est</v>
      </c>
      <c r="E327">
        <f ca="1">VLOOKUP(A327,Import_SuiviGlobal_MigAppliSate!A:I,5,FALSE)</f>
        <v>68740</v>
      </c>
      <c r="F327" t="str">
        <f ca="1">VLOOKUP(A327,Import_SuiviGlobal_MigAppliSate!A:I,6,FALSE)</f>
        <v>Rue de la 1ère Armée</v>
      </c>
      <c r="G327" t="str">
        <f ca="1">VLOOKUP(A327,Import_SuiviGlobal_MigAppliSate!A:I,7,FALSE)</f>
        <v>03.89.83.78.50</v>
      </c>
      <c r="H327" t="str">
        <f ca="1">VLOOKUP(A327,Import_SuiviGlobal_MigAppliSate!A:I,8,FALSE)</f>
        <v>SCHELCHER Dominique</v>
      </c>
      <c r="I327" t="str">
        <f ca="1">VLOOKUP(A327,Import_SuiviGlobal_MigAppliSate!A:I,9,FALSE)</f>
        <v>dominique.schelcher@systeme-u.fr</v>
      </c>
      <c r="J327" s="24" t="str">
        <f ca="1">VLOOKUP(A327,Import_SuiviGlobal_MigAppliSate!A:K,10,FALSE)</f>
        <v>M. PORCU</v>
      </c>
      <c r="K327" t="str">
        <f ca="1">VLOOKUP(A327,Import_SuiviGlobal_MigAppliSate!A:K,11,FALSE)</f>
        <v>olivier.porcu@systeme-u.fr</v>
      </c>
      <c r="O327" s="1" t="s">
        <v>22</v>
      </c>
    </row>
    <row r="328" spans="1:18" ht="12.75" x14ac:dyDescent="0.2">
      <c r="A328">
        <v>35460</v>
      </c>
      <c r="B328" t="str">
        <f ca="1">VLOOKUP(A328,Import_SuiviGlobal_MigAppliSate!A:I,2,FALSE)</f>
        <v>FEYTIAT</v>
      </c>
      <c r="C328" t="str">
        <f ca="1">VLOOKUP(A328,Import_SuiviGlobal_MigAppliSate!A:I,3,FALSE)</f>
        <v>Super U</v>
      </c>
      <c r="D328" s="1" t="str">
        <f ca="1">VLOOKUP(A328,Import_SuiviGlobal_MigAppliSate!A:I,4,FALSE)</f>
        <v>Coop U Enseigne Ouest</v>
      </c>
      <c r="E328">
        <f ca="1">VLOOKUP(A328,Import_SuiviGlobal_MigAppliSate!A:I,5,FALSE)</f>
        <v>87220</v>
      </c>
      <c r="F328" t="str">
        <f ca="1">VLOOKUP(A328,Import_SuiviGlobal_MigAppliSate!A:I,6,FALSE)</f>
        <v>CENTRE COMM LE MAS CERISE</v>
      </c>
      <c r="G328" t="str">
        <f ca="1">VLOOKUP(A328,Import_SuiviGlobal_MigAppliSate!A:I,7,FALSE)</f>
        <v>05.55.00.26.17</v>
      </c>
      <c r="H328" t="str">
        <f ca="1">VLOOKUP(A328,Import_SuiviGlobal_MigAppliSate!A:I,8,FALSE)</f>
        <v>ONILLION Guillaume</v>
      </c>
      <c r="I328" t="str">
        <f ca="1">VLOOKUP(A328,Import_SuiviGlobal_MigAppliSate!A:I,9,FALSE)</f>
        <v>guillaume.onillion@systeme-u.fr</v>
      </c>
      <c r="J328" s="24" t="str">
        <f ca="1">VLOOKUP(A328,Import_SuiviGlobal_MigAppliSate!A:K,10,FALSE)</f>
        <v>Mme Faucher</v>
      </c>
      <c r="K328" t="str">
        <f ca="1">VLOOKUP(A328,Import_SuiviGlobal_MigAppliSate!A:K,11,FALSE)</f>
        <v>superu.feytiat.locationu@systeme-u.fr</v>
      </c>
      <c r="L328" t="s">
        <v>17</v>
      </c>
      <c r="M328" t="s">
        <v>0</v>
      </c>
      <c r="O328" s="1" t="s">
        <v>22</v>
      </c>
    </row>
    <row r="329" spans="1:18" ht="12.75" hidden="1" x14ac:dyDescent="0.2">
      <c r="A329">
        <v>66015</v>
      </c>
      <c r="B329" t="str">
        <f ca="1">VLOOKUP(A329,Import_SuiviGlobal_MigAppliSate!A:I,2,FALSE)</f>
        <v>FEYZIN</v>
      </c>
      <c r="C329" t="str">
        <f ca="1">VLOOKUP(A329,Import_SuiviGlobal_MigAppliSate!A:I,3,FALSE)</f>
        <v>U Express</v>
      </c>
      <c r="D329" s="1" t="str">
        <f ca="1">VLOOKUP(A329,Import_SuiviGlobal_MigAppliSate!A:I,4,FALSE)</f>
        <v>Coop U Enseigne Est</v>
      </c>
      <c r="E329">
        <f ca="1">VLOOKUP(A329,Import_SuiviGlobal_MigAppliSate!A:I,5,FALSE)</f>
        <v>69320</v>
      </c>
      <c r="F329" t="str">
        <f ca="1">VLOOKUP(A329,Import_SuiviGlobal_MigAppliSate!A:I,6,FALSE)</f>
        <v>6 place Louis Grenier</v>
      </c>
      <c r="G329" t="str">
        <f ca="1">VLOOKUP(A329,Import_SuiviGlobal_MigAppliSate!A:I,7,FALSE)</f>
        <v>04.78.67.52.40</v>
      </c>
      <c r="H329" t="str">
        <f ca="1">VLOOKUP(A329,Import_SuiviGlobal_MigAppliSate!A:I,8,FALSE)</f>
        <v>PERCHE RPT SAS CRISLO Christian</v>
      </c>
      <c r="I329" t="str">
        <f ca="1">VLOOKUP(A329,Import_SuiviGlobal_MigAppliSate!A:I,9,FALSE)</f>
        <v>christian.perche@systeme-u.fr</v>
      </c>
      <c r="J329" s="24" t="str">
        <f ca="1">VLOOKUP(A329,Import_SuiviGlobal_MigAppliSate!A:K,10,FALSE)</f>
        <v/>
      </c>
      <c r="K329" t="str">
        <f ca="1">VLOOKUP(A329,Import_SuiviGlobal_MigAppliSate!A:K,11,FALSE)</f>
        <v>uexpress.feyzin.direction@systeme-u.fr</v>
      </c>
      <c r="O329" s="1" t="s">
        <v>22</v>
      </c>
    </row>
    <row r="330" spans="1:18" ht="12.75" x14ac:dyDescent="0.2">
      <c r="A330">
        <v>90535</v>
      </c>
      <c r="B330" t="str">
        <f ca="1">VLOOKUP(A330,Import_SuiviGlobal_MigAppliSate!A:I,2,FALSE)</f>
        <v>FLASSANS ISSOLE</v>
      </c>
      <c r="C330" t="str">
        <f ca="1">VLOOKUP(A330,Import_SuiviGlobal_MigAppliSate!A:I,3,FALSE)</f>
        <v>Super U</v>
      </c>
      <c r="D330" s="1" t="str">
        <f ca="1">VLOOKUP(A330,Import_SuiviGlobal_MigAppliSate!A:I,4,FALSE)</f>
        <v>Coop U Enseigne Sud</v>
      </c>
      <c r="E330">
        <f ca="1">VLOOKUP(A330,Import_SuiviGlobal_MigAppliSate!A:I,5,FALSE)</f>
        <v>83340</v>
      </c>
      <c r="F330" t="str">
        <f ca="1">VLOOKUP(A330,Import_SuiviGlobal_MigAppliSate!A:I,6,FALSE)</f>
        <v>LE PEYROUAS RD 13</v>
      </c>
      <c r="G330" t="str">
        <f ca="1">VLOOKUP(A330,Import_SuiviGlobal_MigAppliSate!A:I,7,FALSE)</f>
        <v>04.94.37.63.70</v>
      </c>
      <c r="H330" t="str">
        <f ca="1">VLOOKUP(A330,Import_SuiviGlobal_MigAppliSate!A:I,8,FALSE)</f>
        <v>DUBUS Thibaut</v>
      </c>
      <c r="I330" t="str">
        <f ca="1">VLOOKUP(A330,Import_SuiviGlobal_MigAppliSate!A:I,9,FALSE)</f>
        <v>thibaut.dubus@systeme-u.fr</v>
      </c>
      <c r="J330" s="24" t="str">
        <f ca="1">VLOOKUP(A330,Import_SuiviGlobal_MigAppliSate!A:K,10,FALSE)</f>
        <v>Mme DUBUS</v>
      </c>
      <c r="K330" t="str">
        <f ca="1">VLOOKUP(A330,Import_SuiviGlobal_MigAppliSate!A:K,11,FALSE)</f>
        <v>superu.flassans.compta@systeme-u.fr</v>
      </c>
      <c r="L330" t="s">
        <v>17</v>
      </c>
      <c r="M330" t="s">
        <v>0</v>
      </c>
      <c r="O330" s="1" t="s">
        <v>22</v>
      </c>
    </row>
    <row r="331" spans="1:18" ht="12.75" hidden="1" x14ac:dyDescent="0.2">
      <c r="A331">
        <v>22879</v>
      </c>
      <c r="B331" t="str">
        <f ca="1">VLOOKUP(A331,Import_SuiviGlobal_MigAppliSate!A:I,2,FALSE)</f>
        <v>FLIXECOURT</v>
      </c>
      <c r="C331" t="str">
        <f ca="1">VLOOKUP(A331,Import_SuiviGlobal_MigAppliSate!A:I,3,FALSE)</f>
        <v>Super U</v>
      </c>
      <c r="D331" s="1" t="str">
        <f ca="1">VLOOKUP(A331,Import_SuiviGlobal_MigAppliSate!A:I,4,FALSE)</f>
        <v>Coop U Enseigne NordOuest</v>
      </c>
      <c r="E331">
        <f ca="1">VLOOKUP(A331,Import_SuiviGlobal_MigAppliSate!A:I,5,FALSE)</f>
        <v>80420</v>
      </c>
      <c r="F331" t="str">
        <f ca="1">VLOOKUP(A331,Import_SuiviGlobal_MigAppliSate!A:I,6,FALSE)</f>
        <v>ZAC DES HAUTS DU VAL DE NIEVRE</v>
      </c>
      <c r="G331" t="str">
        <f ca="1">VLOOKUP(A331,Import_SuiviGlobal_MigAppliSate!A:I,7,FALSE)</f>
        <v>03.22.40.30.60</v>
      </c>
      <c r="H331" t="str">
        <f ca="1">VLOOKUP(A331,Import_SuiviGlobal_MigAppliSate!A:I,8,FALSE)</f>
        <v>DIERICK (PORTAGE) Sébastien</v>
      </c>
      <c r="I331" t="str">
        <f ca="1">VLOOKUP(A331,Import_SuiviGlobal_MigAppliSate!A:I,9,FALSE)</f>
        <v>sebastien.dierick@systeme-u.fr</v>
      </c>
      <c r="J331" s="24" t="str">
        <f ca="1">VLOOKUP(A331,Import_SuiviGlobal_MigAppliSate!A:K,10,FALSE)</f>
        <v>MADELAINE Jérome</v>
      </c>
      <c r="K331" t="str">
        <f ca="1">VLOOKUP(A331,Import_SuiviGlobal_MigAppliSate!A:K,11,FALSE)</f>
        <v>jerome.madelaine@systeme-u.fr</v>
      </c>
      <c r="O331" s="1" t="s">
        <v>22</v>
      </c>
    </row>
    <row r="332" spans="1:18" ht="12.75" x14ac:dyDescent="0.2">
      <c r="A332">
        <v>95162</v>
      </c>
      <c r="B332" t="str">
        <f ca="1">VLOOKUP(A332,Import_SuiviGlobal_MigAppliSate!A:I,2,FALSE)</f>
        <v>FLOURENS</v>
      </c>
      <c r="C332" t="str">
        <f ca="1">VLOOKUP(A332,Import_SuiviGlobal_MigAppliSate!A:I,3,FALSE)</f>
        <v>Super U</v>
      </c>
      <c r="D332" s="1" t="str">
        <f ca="1">VLOOKUP(A332,Import_SuiviGlobal_MigAppliSate!A:I,4,FALSE)</f>
        <v>Coop U Enseigne Sud</v>
      </c>
      <c r="E332">
        <f ca="1">VLOOKUP(A332,Import_SuiviGlobal_MigAppliSate!A:I,5,FALSE)</f>
        <v>31130</v>
      </c>
      <c r="F332" t="str">
        <f ca="1">VLOOKUP(A332,Import_SuiviGlobal_MigAppliSate!A:I,6,FALSE)</f>
        <v>D 826 ROUTE DE CASTRES</v>
      </c>
      <c r="G332" t="str">
        <f ca="1">VLOOKUP(A332,Import_SuiviGlobal_MigAppliSate!A:I,7,FALSE)</f>
        <v>05.61.34.31.35</v>
      </c>
      <c r="H332" t="str">
        <f ca="1">VLOOKUP(A332,Import_SuiviGlobal_MigAppliSate!A:I,8,FALSE)</f>
        <v>ABOU Bernard</v>
      </c>
      <c r="I332" t="str">
        <f ca="1">VLOOKUP(A332,Import_SuiviGlobal_MigAppliSate!A:I,9,FALSE)</f>
        <v>bernard.abou@systeme-u.fr</v>
      </c>
      <c r="J332" s="24" t="str">
        <f ca="1">VLOOKUP(A332,Import_SuiviGlobal_MigAppliSate!A:K,10,FALSE)</f>
        <v>M. Marcotte</v>
      </c>
      <c r="K332" t="str">
        <f ca="1">VLOOKUP(A332,Import_SuiviGlobal_MigAppliSate!A:K,11,FALSE)</f>
        <v>superu.flourens.directeur@systeme-u.fr</v>
      </c>
      <c r="L332" s="1" t="s">
        <v>17</v>
      </c>
      <c r="M332" s="1" t="s">
        <v>30</v>
      </c>
      <c r="N332" s="1" t="s">
        <v>29</v>
      </c>
      <c r="O332" s="1" t="s">
        <v>19</v>
      </c>
      <c r="P332" s="1"/>
      <c r="Q332" s="1"/>
      <c r="R332" s="1"/>
    </row>
    <row r="333" spans="1:18" ht="12.75" hidden="1" x14ac:dyDescent="0.2">
      <c r="A333">
        <v>96953</v>
      </c>
      <c r="B333" t="str">
        <f ca="1">VLOOKUP(A333,Import_SuiviGlobal_MigAppliSate!A:I,2,FALSE)</f>
        <v>FONBEAUZARD</v>
      </c>
      <c r="C333" t="str">
        <f ca="1">VLOOKUP(A333,Import_SuiviGlobal_MigAppliSate!A:I,3,FALSE)</f>
        <v>Super U</v>
      </c>
      <c r="D333" s="1" t="str">
        <f ca="1">VLOOKUP(A333,Import_SuiviGlobal_MigAppliSate!A:I,4,FALSE)</f>
        <v>Coop U Enseigne Sud</v>
      </c>
      <c r="E333">
        <f ca="1">VLOOKUP(A333,Import_SuiviGlobal_MigAppliSate!A:I,5,FALSE)</f>
        <v>31140</v>
      </c>
      <c r="F333" t="str">
        <f ca="1">VLOOKUP(A333,Import_SuiviGlobal_MigAppliSate!A:I,6,FALSE)</f>
        <v>121 ROUTE DE BESSIERES</v>
      </c>
      <c r="G333" t="str">
        <f ca="1">VLOOKUP(A333,Import_SuiviGlobal_MigAppliSate!A:I,7,FALSE)</f>
        <v>05.62.79.88.18</v>
      </c>
      <c r="H333" t="str">
        <f ca="1">VLOOKUP(A333,Import_SuiviGlobal_MigAppliSate!A:I,8,FALSE)</f>
        <v>PELISSIER &amp; TREUIL Thomas &amp; Cyril</v>
      </c>
      <c r="I333" t="str">
        <f ca="1">VLOOKUP(A333,Import_SuiviGlobal_MigAppliSate!A:I,9,FALSE)</f>
        <v>cyril.treuil@systeme-u.fr</v>
      </c>
      <c r="J333" s="24" t="str">
        <f ca="1">VLOOKUP(A333,Import_SuiviGlobal_MigAppliSate!A:K,10,FALSE)</f>
        <v>PELISSIER Thomas</v>
      </c>
      <c r="K333" t="str">
        <f ca="1">VLOOKUP(A333,Import_SuiviGlobal_MigAppliSate!A:K,11,FALSE)</f>
        <v>Thomas.PELISSIER@systeme-u.fr, superu.fonbeauzard.compta@systeme-u.fr</v>
      </c>
      <c r="O333" s="1" t="s">
        <v>22</v>
      </c>
    </row>
    <row r="334" spans="1:18" ht="12.75" hidden="1" x14ac:dyDescent="0.2">
      <c r="A334">
        <v>22941</v>
      </c>
      <c r="B334" t="str">
        <f ca="1">VLOOKUP(A334,Import_SuiviGlobal_MigAppliSate!A:I,2,FALSE)</f>
        <v>FONTENAY LE FLEURY</v>
      </c>
      <c r="C334" t="str">
        <f ca="1">VLOOKUP(A334,Import_SuiviGlobal_MigAppliSate!A:I,3,FALSE)</f>
        <v>Super U</v>
      </c>
      <c r="D334" s="1" t="str">
        <f ca="1">VLOOKUP(A334,Import_SuiviGlobal_MigAppliSate!A:I,4,FALSE)</f>
        <v>Coop U Enseigne NordOuest</v>
      </c>
      <c r="E334">
        <f ca="1">VLOOKUP(A334,Import_SuiviGlobal_MigAppliSate!A:I,5,FALSE)</f>
        <v>78330</v>
      </c>
      <c r="F334" t="str">
        <f ca="1">VLOOKUP(A334,Import_SuiviGlobal_MigAppliSate!A:I,6,FALSE)</f>
        <v>30 RUE DE LA DÉMENERIE</v>
      </c>
      <c r="G334" t="str">
        <f ca="1">VLOOKUP(A334,Import_SuiviGlobal_MigAppliSate!A:I,7,FALSE)</f>
        <v>01.30.07.11.70</v>
      </c>
      <c r="H334" t="str">
        <f ca="1">VLOOKUP(A334,Import_SuiviGlobal_MigAppliSate!A:I,8,FALSE)</f>
        <v>DECRÉ Bertrand</v>
      </c>
      <c r="I334" t="str">
        <f ca="1">VLOOKUP(A334,Import_SuiviGlobal_MigAppliSate!A:I,9,FALSE)</f>
        <v>bertrand.decre@systeme-u.fr</v>
      </c>
      <c r="J334" s="24" t="str">
        <f ca="1">VLOOKUP(A334,Import_SuiviGlobal_MigAppliSate!A:K,10,FALSE)</f>
        <v>ROIGNAN Alexis</v>
      </c>
      <c r="K334" t="str">
        <f ca="1">VLOOKUP(A334,Import_SuiviGlobal_MigAppliSate!A:K,11,FALSE)</f>
        <v>superu.fontenaylefleury@systeme-u.fr</v>
      </c>
      <c r="O334" s="1" t="s">
        <v>22</v>
      </c>
    </row>
    <row r="335" spans="1:18" ht="12.75" hidden="1" x14ac:dyDescent="0.2">
      <c r="A335">
        <v>30442</v>
      </c>
      <c r="B335" t="str">
        <f ca="1">VLOOKUP(A335,Import_SuiviGlobal_MigAppliSate!A:I,2,FALSE)</f>
        <v>FONTENAY-LE COMTE</v>
      </c>
      <c r="C335" t="str">
        <f ca="1">VLOOKUP(A335,Import_SuiviGlobal_MigAppliSate!A:I,3,FALSE)</f>
        <v>Hyper U</v>
      </c>
      <c r="D335" s="1" t="str">
        <f ca="1">VLOOKUP(A335,Import_SuiviGlobal_MigAppliSate!A:I,4,FALSE)</f>
        <v>Coop U Enseigne Ouest</v>
      </c>
      <c r="E335">
        <f ca="1">VLOOKUP(A335,Import_SuiviGlobal_MigAppliSate!A:I,5,FALSE)</f>
        <v>85200</v>
      </c>
      <c r="F335" t="str">
        <f ca="1">VLOOKUP(A335,Import_SuiviGlobal_MigAppliSate!A:I,6,FALSE)</f>
        <v>ROUTE DE LA ROCHELLE</v>
      </c>
      <c r="G335" t="str">
        <f ca="1">VLOOKUP(A335,Import_SuiviGlobal_MigAppliSate!A:I,7,FALSE)</f>
        <v>02.51.69.19.47</v>
      </c>
      <c r="H335" t="str">
        <f ca="1">VLOOKUP(A335,Import_SuiviGlobal_MigAppliSate!A:I,8,FALSE)</f>
        <v>BERNARD Colette</v>
      </c>
      <c r="I335" t="str">
        <f ca="1">VLOOKUP(A335,Import_SuiviGlobal_MigAppliSate!A:I,9,FALSE)</f>
        <v>colette.bernard@systeme-u.fr</v>
      </c>
      <c r="J335" s="24" t="str">
        <f ca="1">VLOOKUP(A335,Import_SuiviGlobal_MigAppliSate!A:K,10,FALSE)</f>
        <v>THIBAUD Jacky</v>
      </c>
      <c r="K335" t="str">
        <f ca="1">VLOOKUP(A335,Import_SuiviGlobal_MigAppliSate!A:K,11,FALSE)</f>
        <v>jacky.thibaud@systeme-u.fr</v>
      </c>
      <c r="O335" s="1" t="s">
        <v>22</v>
      </c>
    </row>
    <row r="336" spans="1:18" ht="12.75" hidden="1" x14ac:dyDescent="0.2">
      <c r="A336">
        <v>65080</v>
      </c>
      <c r="B336" t="str">
        <f ca="1">VLOOKUP(A336,Import_SuiviGlobal_MigAppliSate!A:I,2,FALSE)</f>
        <v>FONTOY</v>
      </c>
      <c r="C336" t="str">
        <f ca="1">VLOOKUP(A336,Import_SuiviGlobal_MigAppliSate!A:I,3,FALSE)</f>
        <v>Super U</v>
      </c>
      <c r="D336" s="1" t="str">
        <f ca="1">VLOOKUP(A336,Import_SuiviGlobal_MigAppliSate!A:I,4,FALSE)</f>
        <v>Coop U Enseigne Est</v>
      </c>
      <c r="E336">
        <f ca="1">VLOOKUP(A336,Import_SuiviGlobal_MigAppliSate!A:I,5,FALSE)</f>
        <v>57650</v>
      </c>
      <c r="F336" t="str">
        <f ca="1">VLOOKUP(A336,Import_SuiviGlobal_MigAppliSate!A:I,6,FALSE)</f>
        <v>CD 59</v>
      </c>
      <c r="G336" t="str">
        <f ca="1">VLOOKUP(A336,Import_SuiviGlobal_MigAppliSate!A:I,7,FALSE)</f>
        <v>03.82.84.94.94</v>
      </c>
      <c r="H336" t="str">
        <f ca="1">VLOOKUP(A336,Import_SuiviGlobal_MigAppliSate!A:I,8,FALSE)</f>
        <v>PIGUET Stéphane</v>
      </c>
      <c r="I336" t="str">
        <f ca="1">VLOOKUP(A336,Import_SuiviGlobal_MigAppliSate!A:I,9,FALSE)</f>
        <v>stephane.piguet@systeme-u.fr</v>
      </c>
      <c r="J336" s="24" t="str">
        <f ca="1">VLOOKUP(A336,Import_SuiviGlobal_MigAppliSate!A:K,10,FALSE)</f>
        <v>ARNAUD HAMMER</v>
      </c>
      <c r="K336" t="str">
        <f ca="1">VLOOKUP(A336,Import_SuiviGlobal_MigAppliSate!A:K,11,FALSE)</f>
        <v>superu.fontoy.direction@systeme-u.fr</v>
      </c>
      <c r="O336" s="1" t="s">
        <v>22</v>
      </c>
    </row>
    <row r="337" spans="1:18" ht="12.75" hidden="1" x14ac:dyDescent="0.2">
      <c r="A337">
        <v>34863</v>
      </c>
      <c r="B337" t="str">
        <f ca="1">VLOOKUP(A337,Import_SuiviGlobal_MigAppliSate!A:I,2,FALSE)</f>
        <v>FORT DE FRANCE</v>
      </c>
      <c r="C337" t="str">
        <f ca="1">VLOOKUP(A337,Import_SuiviGlobal_MigAppliSate!A:I,3,FALSE)</f>
        <v>Hyper U</v>
      </c>
      <c r="D337" s="1" t="str">
        <f ca="1">VLOOKUP(A337,Import_SuiviGlobal_MigAppliSate!A:I,4,FALSE)</f>
        <v>Coop U Enseigne Ouest</v>
      </c>
      <c r="E337">
        <f ca="1">VLOOKUP(A337,Import_SuiviGlobal_MigAppliSate!A:I,5,FALSE)</f>
        <v>97200</v>
      </c>
      <c r="F337" t="str">
        <f ca="1">VLOOKUP(A337,Import_SuiviGlobal_MigAppliSate!A:I,6,FALSE)</f>
        <v>CENTRE COMMERCIAL LE ROND POINT</v>
      </c>
      <c r="G337" t="str">
        <f ca="1">VLOOKUP(A337,Import_SuiviGlobal_MigAppliSate!A:I,7,FALSE)</f>
        <v>05.96.72.15.00</v>
      </c>
      <c r="H337" t="str">
        <f ca="1">VLOOKUP(A337,Import_SuiviGlobal_MigAppliSate!A:I,8,FALSE)</f>
        <v>PARFAIT Robert</v>
      </c>
      <c r="I337" t="str">
        <f ca="1">VLOOKUP(A337,Import_SuiviGlobal_MigAppliSate!A:I,9,FALSE)</f>
        <v>robert.parfait@systeme-u.fr</v>
      </c>
      <c r="J337" s="24" t="str">
        <f ca="1">VLOOKUP(A337,Import_SuiviGlobal_MigAppliSate!A:K,10,FALSE)</f>
        <v>ALBERT Julie</v>
      </c>
      <c r="K337" t="str">
        <f ca="1">VLOOKUP(A337,Import_SuiviGlobal_MigAppliSate!A:K,11,FALSE)</f>
        <v>julie.albert@uantilles.com,martine.crevecoeur@systeme-u.fr</v>
      </c>
      <c r="O337" s="1" t="s">
        <v>22</v>
      </c>
    </row>
    <row r="338" spans="1:18" ht="12.75" hidden="1" x14ac:dyDescent="0.2">
      <c r="A338">
        <v>38152</v>
      </c>
      <c r="B338" t="str">
        <f ca="1">VLOOKUP(A338,Import_SuiviGlobal_MigAppliSate!A:I,2,FALSE)</f>
        <v>FOUESNANT</v>
      </c>
      <c r="C338" t="str">
        <f ca="1">VLOOKUP(A338,Import_SuiviGlobal_MigAppliSate!A:I,3,FALSE)</f>
        <v>U Express</v>
      </c>
      <c r="D338" s="1" t="str">
        <f ca="1">VLOOKUP(A338,Import_SuiviGlobal_MigAppliSate!A:I,4,FALSE)</f>
        <v>Coop U Enseigne Ouest</v>
      </c>
      <c r="E338">
        <f ca="1">VLOOKUP(A338,Import_SuiviGlobal_MigAppliSate!A:I,5,FALSE)</f>
        <v>29170</v>
      </c>
      <c r="F338" t="str">
        <f ca="1">VLOOKUP(A338,Import_SuiviGlobal_MigAppliSate!A:I,6,FALSE)</f>
        <v>4 RUE DE KERNEVELECK</v>
      </c>
      <c r="G338" t="str">
        <f ca="1">VLOOKUP(A338,Import_SuiviGlobal_MigAppliSate!A:I,7,FALSE)</f>
        <v>02.98.50.98.60</v>
      </c>
      <c r="H338" t="str">
        <f ca="1">VLOOKUP(A338,Import_SuiviGlobal_MigAppliSate!A:I,8,FALSE)</f>
        <v>CABALLINA RPT SARL CABALLINA Bruno</v>
      </c>
      <c r="I338" t="str">
        <f ca="1">VLOOKUP(A338,Import_SuiviGlobal_MigAppliSate!A:I,9,FALSE)</f>
        <v>bruno.caballina@systeme-u.fr</v>
      </c>
      <c r="J338" s="24" t="str">
        <f ca="1">VLOOKUP(A338,Import_SuiviGlobal_MigAppliSate!A:K,10,FALSE)</f>
        <v/>
      </c>
      <c r="K338" t="str">
        <f ca="1">VLOOKUP(A338,Import_SuiviGlobal_MigAppliSate!A:K,11,FALSE)</f>
        <v/>
      </c>
      <c r="O338" s="1" t="s">
        <v>22</v>
      </c>
    </row>
    <row r="339" spans="1:18" ht="12.75" hidden="1" x14ac:dyDescent="0.2">
      <c r="A339">
        <v>30889</v>
      </c>
      <c r="B339" t="str">
        <f ca="1">VLOOKUP(A339,Import_SuiviGlobal_MigAppliSate!A:I,2,FALSE)</f>
        <v>FOURAS</v>
      </c>
      <c r="C339" t="str">
        <f ca="1">VLOOKUP(A339,Import_SuiviGlobal_MigAppliSate!A:I,3,FALSE)</f>
        <v>Super U</v>
      </c>
      <c r="D339" s="1" t="str">
        <f ca="1">VLOOKUP(A339,Import_SuiviGlobal_MigAppliSate!A:I,4,FALSE)</f>
        <v>Coop U Enseigne Ouest</v>
      </c>
      <c r="E339">
        <f ca="1">VLOOKUP(A339,Import_SuiviGlobal_MigAppliSate!A:I,5,FALSE)</f>
        <v>17450</v>
      </c>
      <c r="F339" t="str">
        <f ca="1">VLOOKUP(A339,Import_SuiviGlobal_MigAppliSate!A:I,6,FALSE)</f>
        <v>9, RUE DIEU ME GARDE</v>
      </c>
      <c r="G339" t="str">
        <f ca="1">VLOOKUP(A339,Import_SuiviGlobal_MigAppliSate!A:I,7,FALSE)</f>
        <v>05.46.83.50.00</v>
      </c>
      <c r="H339" t="str">
        <f ca="1">VLOOKUP(A339,Import_SuiviGlobal_MigAppliSate!A:I,8,FALSE)</f>
        <v>BERTEAUD RPT SARL FANBERO Muriel</v>
      </c>
      <c r="I339" t="str">
        <f ca="1">VLOOKUP(A339,Import_SuiviGlobal_MigAppliSate!A:I,9,FALSE)</f>
        <v>renaud-loic.berteaud@systeme-u.fr</v>
      </c>
      <c r="J339" s="24" t="str">
        <f ca="1">VLOOKUP(A339,Import_SuiviGlobal_MigAppliSate!A:K,10,FALSE)</f>
        <v/>
      </c>
      <c r="K339" t="str">
        <f ca="1">VLOOKUP(A339,Import_SuiviGlobal_MigAppliSate!A:K,11,FALSE)</f>
        <v/>
      </c>
      <c r="O339" s="1" t="s">
        <v>22</v>
      </c>
    </row>
    <row r="340" spans="1:18" ht="12.75" hidden="1" x14ac:dyDescent="0.2">
      <c r="A340">
        <v>25576</v>
      </c>
      <c r="B340" t="str">
        <f ca="1">VLOOKUP(A340,Import_SuiviGlobal_MigAppliSate!A:I,2,FALSE)</f>
        <v>FRANQUEVILLE ST PIERRE</v>
      </c>
      <c r="C340" t="str">
        <f ca="1">VLOOKUP(A340,Import_SuiviGlobal_MigAppliSate!A:I,3,FALSE)</f>
        <v>Super U</v>
      </c>
      <c r="D340" s="1" t="str">
        <f ca="1">VLOOKUP(A340,Import_SuiviGlobal_MigAppliSate!A:I,4,FALSE)</f>
        <v>Coop U Enseigne NordOuest</v>
      </c>
      <c r="E340">
        <f ca="1">VLOOKUP(A340,Import_SuiviGlobal_MigAppliSate!A:I,5,FALSE)</f>
        <v>76520</v>
      </c>
      <c r="F340" t="str">
        <f ca="1">VLOOKUP(A340,Import_SuiviGlobal_MigAppliSate!A:I,6,FALSE)</f>
        <v>RUE DU CANIVET</v>
      </c>
      <c r="G340" t="str">
        <f ca="1">VLOOKUP(A340,Import_SuiviGlobal_MigAppliSate!A:I,7,FALSE)</f>
        <v>02.35.61.51.13</v>
      </c>
      <c r="H340" t="str">
        <f ca="1">VLOOKUP(A340,Import_SuiviGlobal_MigAppliSate!A:I,8,FALSE)</f>
        <v>JOIMEL Thierry</v>
      </c>
      <c r="I340" t="str">
        <f ca="1">VLOOKUP(A340,Import_SuiviGlobal_MigAppliSate!A:I,9,FALSE)</f>
        <v>thierry.joimel@systeme-u.fr</v>
      </c>
      <c r="J340" s="24" t="str">
        <f ca="1">VLOOKUP(A340,Import_SuiviGlobal_MigAppliSate!A:K,10,FALSE)</f>
        <v>M. Barrat</v>
      </c>
      <c r="K340" t="str">
        <f ca="1">VLOOKUP(A340,Import_SuiviGlobal_MigAppliSate!A:K,11,FALSE)</f>
        <v>superu.franquevillesaintpierre@systeme-u.fr</v>
      </c>
      <c r="O340" s="1" t="s">
        <v>22</v>
      </c>
    </row>
    <row r="341" spans="1:18" ht="12.75" hidden="1" x14ac:dyDescent="0.2">
      <c r="A341">
        <v>62086</v>
      </c>
      <c r="B341" t="str">
        <f ca="1">VLOOKUP(A341,Import_SuiviGlobal_MigAppliSate!A:I,2,FALSE)</f>
        <v>FRASNE</v>
      </c>
      <c r="C341" t="str">
        <f ca="1">VLOOKUP(A341,Import_SuiviGlobal_MigAppliSate!A:I,3,FALSE)</f>
        <v>Super U</v>
      </c>
      <c r="D341" s="1" t="str">
        <f ca="1">VLOOKUP(A341,Import_SuiviGlobal_MigAppliSate!A:I,4,FALSE)</f>
        <v>Coop U Enseigne Est</v>
      </c>
      <c r="E341">
        <f ca="1">VLOOKUP(A341,Import_SuiviGlobal_MigAppliSate!A:I,5,FALSE)</f>
        <v>25560</v>
      </c>
      <c r="F341" t="str">
        <f ca="1">VLOOKUP(A341,Import_SuiviGlobal_MigAppliSate!A:I,6,FALSE)</f>
        <v>Grande rue</v>
      </c>
      <c r="G341" t="str">
        <f ca="1">VLOOKUP(A341,Import_SuiviGlobal_MigAppliSate!A:I,7,FALSE)</f>
        <v>03.81.89.78.78</v>
      </c>
      <c r="H341" t="str">
        <f ca="1">VLOOKUP(A341,Import_SuiviGlobal_MigAppliSate!A:I,8,FALSE)</f>
        <v>MAGDELAINE Nadine</v>
      </c>
      <c r="I341" t="str">
        <f ca="1">VLOOKUP(A341,Import_SuiviGlobal_MigAppliSate!A:I,9,FALSE)</f>
        <v>nadine.magdelaine@systeme-u.fr</v>
      </c>
      <c r="J341" s="24" t="str">
        <f ca="1">VLOOKUP(A341,Import_SuiviGlobal_MigAppliSate!A:K,10,FALSE)</f>
        <v>Mme MAGDELAINE</v>
      </c>
      <c r="K341" t="str">
        <f ca="1">VLOOKUP(A341,Import_SuiviGlobal_MigAppliSate!A:K,11,FALSE)</f>
        <v>superu.frasne.direction@systeme-u.fr</v>
      </c>
      <c r="O341" s="1" t="s">
        <v>22</v>
      </c>
    </row>
    <row r="342" spans="1:18" ht="12.75" hidden="1" x14ac:dyDescent="0.2">
      <c r="A342">
        <v>38206</v>
      </c>
      <c r="B342" t="str">
        <f ca="1">VLOOKUP(A342,Import_SuiviGlobal_MigAppliSate!A:I,2,FALSE)</f>
        <v>FRESNAY-SUR-SARTHE</v>
      </c>
      <c r="C342" t="str">
        <f ca="1">VLOOKUP(A342,Import_SuiviGlobal_MigAppliSate!A:I,3,FALSE)</f>
        <v>Super U</v>
      </c>
      <c r="D342" s="1" t="str">
        <f ca="1">VLOOKUP(A342,Import_SuiviGlobal_MigAppliSate!A:I,4,FALSE)</f>
        <v>Coop U Enseigne Ouest</v>
      </c>
      <c r="E342">
        <f ca="1">VLOOKUP(A342,Import_SuiviGlobal_MigAppliSate!A:I,5,FALSE)</f>
        <v>72130</v>
      </c>
      <c r="F342" t="str">
        <f ca="1">VLOOKUP(A342,Import_SuiviGlobal_MigAppliSate!A:I,6,FALSE)</f>
        <v>RUE ABBÉ LELIÈVRE</v>
      </c>
      <c r="G342" t="str">
        <f ca="1">VLOOKUP(A342,Import_SuiviGlobal_MigAppliSate!A:I,7,FALSE)</f>
        <v>02.43.33.27.06</v>
      </c>
      <c r="H342" t="str">
        <f ca="1">VLOOKUP(A342,Import_SuiviGlobal_MigAppliSate!A:I,8,FALSE)</f>
        <v>COURANT RPT SARL DESBLON Christian</v>
      </c>
      <c r="I342" t="str">
        <f ca="1">VLOOKUP(A342,Import_SuiviGlobal_MigAppliSate!A:I,9,FALSE)</f>
        <v>christian.courant@systeme-u.fr</v>
      </c>
      <c r="J342" s="24" t="str">
        <f ca="1">VLOOKUP(A342,Import_SuiviGlobal_MigAppliSate!A:K,10,FALSE)</f>
        <v/>
      </c>
      <c r="K342" t="str">
        <f ca="1">VLOOKUP(A342,Import_SuiviGlobal_MigAppliSate!A:K,11,FALSE)</f>
        <v/>
      </c>
      <c r="O342" s="1" t="s">
        <v>22</v>
      </c>
    </row>
    <row r="343" spans="1:18" ht="12.75" hidden="1" x14ac:dyDescent="0.2">
      <c r="A343">
        <v>65457</v>
      </c>
      <c r="B343" t="str">
        <f ca="1">VLOOKUP(A343,Import_SuiviGlobal_MigAppliSate!A:I,2,FALSE)</f>
        <v>FRIGNICOURT</v>
      </c>
      <c r="C343" t="str">
        <f ca="1">VLOOKUP(A343,Import_SuiviGlobal_MigAppliSate!A:I,3,FALSE)</f>
        <v>Super U</v>
      </c>
      <c r="D343" s="1" t="str">
        <f ca="1">VLOOKUP(A343,Import_SuiviGlobal_MigAppliSate!A:I,4,FALSE)</f>
        <v>Coop U Enseigne Est</v>
      </c>
      <c r="E343">
        <f ca="1">VLOOKUP(A343,Import_SuiviGlobal_MigAppliSate!A:I,5,FALSE)</f>
        <v>51300</v>
      </c>
      <c r="F343" t="str">
        <f ca="1">VLOOKUP(A343,Import_SuiviGlobal_MigAppliSate!A:I,6,FALSE)</f>
        <v>AVENUE DE CHAMPAGNE.</v>
      </c>
      <c r="G343" t="str">
        <f ca="1">VLOOKUP(A343,Import_SuiviGlobal_MigAppliSate!A:I,7,FALSE)</f>
        <v>03.26.74.00.10</v>
      </c>
      <c r="H343" t="str">
        <f ca="1">VLOOKUP(A343,Import_SuiviGlobal_MigAppliSate!A:I,8,FALSE)</f>
        <v>BARBARISI Bruno</v>
      </c>
      <c r="I343" t="str">
        <f ca="1">VLOOKUP(A343,Import_SuiviGlobal_MigAppliSate!A:I,9,FALSE)</f>
        <v>superu.frignicourt.filiale@systeme-u.fr</v>
      </c>
      <c r="J343" s="24" t="str">
        <f ca="1">VLOOKUP(A343,Import_SuiviGlobal_MigAppliSate!A:K,10,FALSE)</f>
        <v>M. HUGENEL</v>
      </c>
      <c r="K343" t="str">
        <f ca="1">VLOOKUP(A343,Import_SuiviGlobal_MigAppliSate!A:K,11,FALSE)</f>
        <v/>
      </c>
      <c r="O343" s="1" t="s">
        <v>22</v>
      </c>
    </row>
    <row r="344" spans="1:18" ht="12.75" hidden="1" x14ac:dyDescent="0.2">
      <c r="A344">
        <v>95175</v>
      </c>
      <c r="B344" t="str">
        <f ca="1">VLOOKUP(A344,Import_SuiviGlobal_MigAppliSate!A:I,2,FALSE)</f>
        <v>GABARRET</v>
      </c>
      <c r="C344" t="str">
        <f ca="1">VLOOKUP(A344,Import_SuiviGlobal_MigAppliSate!A:I,3,FALSE)</f>
        <v>U Express</v>
      </c>
      <c r="D344" s="1" t="str">
        <f ca="1">VLOOKUP(A344,Import_SuiviGlobal_MigAppliSate!A:I,4,FALSE)</f>
        <v>Coop U Enseigne Sud</v>
      </c>
      <c r="E344">
        <f ca="1">VLOOKUP(A344,Import_SuiviGlobal_MigAppliSate!A:I,5,FALSE)</f>
        <v>40310</v>
      </c>
      <c r="F344" t="str">
        <f ca="1">VLOOKUP(A344,Import_SuiviGlobal_MigAppliSate!A:I,6,FALSE)</f>
        <v>ZI LAMARRAQUE</v>
      </c>
      <c r="G344" t="str">
        <f ca="1">VLOOKUP(A344,Import_SuiviGlobal_MigAppliSate!A:I,7,FALSE)</f>
        <v>05.58.05.38.12</v>
      </c>
      <c r="H344" t="str">
        <f ca="1">VLOOKUP(A344,Import_SuiviGlobal_MigAppliSate!A:I,8,FALSE)</f>
        <v>BENABDELOUHAB Gamal</v>
      </c>
      <c r="I344" t="str">
        <f ca="1">VLOOKUP(A344,Import_SuiviGlobal_MigAppliSate!A:I,9,FALSE)</f>
        <v>gamal.benabdelouhab@systeme-u.fr</v>
      </c>
      <c r="J344" s="24" t="str">
        <f ca="1">VLOOKUP(A344,Import_SuiviGlobal_MigAppliSate!A:K,10,FALSE)</f>
        <v>Mr LAHCEL</v>
      </c>
      <c r="K344" t="str">
        <f ca="1">VLOOKUP(A344,Import_SuiviGlobal_MigAppliSate!A:K,11,FALSE)</f>
        <v>uexpress.gabarret@systeme-u.fr</v>
      </c>
      <c r="O344" s="1" t="s">
        <v>22</v>
      </c>
    </row>
    <row r="345" spans="1:18" ht="12.75" hidden="1" x14ac:dyDescent="0.2">
      <c r="A345">
        <v>95190</v>
      </c>
      <c r="B345" t="str">
        <f ca="1">VLOOKUP(A345,Import_SuiviGlobal_MigAppliSate!A:I,2,FALSE)</f>
        <v>GAGNAC SUR GARONNE</v>
      </c>
      <c r="C345" t="str">
        <f ca="1">VLOOKUP(A345,Import_SuiviGlobal_MigAppliSate!A:I,3,FALSE)</f>
        <v>Super U</v>
      </c>
      <c r="D345" s="1" t="str">
        <f ca="1">VLOOKUP(A345,Import_SuiviGlobal_MigAppliSate!A:I,4,FALSE)</f>
        <v>Coop U Enseigne Sud</v>
      </c>
      <c r="E345">
        <f ca="1">VLOOKUP(A345,Import_SuiviGlobal_MigAppliSate!A:I,5,FALSE)</f>
        <v>31150</v>
      </c>
      <c r="F345" t="str">
        <f ca="1">VLOOKUP(A345,Import_SuiviGlobal_MigAppliSate!A:I,6,FALSE)</f>
        <v>LIEU DIT DE L ESPAGNOULET</v>
      </c>
      <c r="G345" t="str">
        <f ca="1">VLOOKUP(A345,Import_SuiviGlobal_MigAppliSate!A:I,7,FALSE)</f>
        <v>05.61.37.60.40</v>
      </c>
      <c r="H345" t="str">
        <f ca="1">VLOOKUP(A345,Import_SuiviGlobal_MigAppliSate!A:I,8,FALSE)</f>
        <v>LAURENT Sebastien</v>
      </c>
      <c r="I345" t="str">
        <f ca="1">VLOOKUP(A345,Import_SuiviGlobal_MigAppliSate!A:I,9,FALSE)</f>
        <v>sandrine.laurent@systeme-u.fr</v>
      </c>
      <c r="J345" s="24" t="str">
        <f ca="1">VLOOKUP(A345,Import_SuiviGlobal_MigAppliSate!A:K,10,FALSE)</f>
        <v/>
      </c>
      <c r="K345" t="str">
        <f ca="1">VLOOKUP(A345,Import_SuiviGlobal_MigAppliSate!A:K,11,FALSE)</f>
        <v/>
      </c>
      <c r="L345" s="1" t="s">
        <v>17</v>
      </c>
      <c r="M345" s="1" t="s">
        <v>24</v>
      </c>
      <c r="N345" s="1" t="s">
        <v>29</v>
      </c>
      <c r="O345" s="1" t="s">
        <v>19</v>
      </c>
      <c r="P345" s="15"/>
      <c r="Q345" s="18"/>
      <c r="R345" s="18"/>
    </row>
    <row r="346" spans="1:18" ht="12.75" hidden="1" x14ac:dyDescent="0.2">
      <c r="A346">
        <v>95762</v>
      </c>
      <c r="B346" t="str">
        <f ca="1">VLOOKUP(A346,Import_SuiviGlobal_MigAppliSate!A:I,2,FALSE)</f>
        <v>GALGON</v>
      </c>
      <c r="C346" t="str">
        <f ca="1">VLOOKUP(A346,Import_SuiviGlobal_MigAppliSate!A:I,3,FALSE)</f>
        <v>Super U</v>
      </c>
      <c r="D346" s="1" t="str">
        <f ca="1">VLOOKUP(A346,Import_SuiviGlobal_MigAppliSate!A:I,4,FALSE)</f>
        <v>Coop U Enseigne Sud</v>
      </c>
      <c r="E346">
        <f ca="1">VLOOKUP(A346,Import_SuiviGlobal_MigAppliSate!A:I,5,FALSE)</f>
        <v>33133</v>
      </c>
      <c r="F346" t="str">
        <f ca="1">VLOOKUP(A346,Import_SuiviGlobal_MigAppliSate!A:I,6,FALSE)</f>
        <v>2 avenue Fernand PILLOT</v>
      </c>
      <c r="G346" t="str">
        <f ca="1">VLOOKUP(A346,Import_SuiviGlobal_MigAppliSate!A:I,7,FALSE)</f>
        <v>05.57.74.30.07</v>
      </c>
      <c r="H346" t="str">
        <f ca="1">VLOOKUP(A346,Import_SuiviGlobal_MigAppliSate!A:I,8,FALSE)</f>
        <v>LEGUET Francis</v>
      </c>
      <c r="I346" t="str">
        <f ca="1">VLOOKUP(A346,Import_SuiviGlobal_MigAppliSate!A:I,9,FALSE)</f>
        <v>francis.leguet@systeme-u.fr</v>
      </c>
      <c r="J346" s="24" t="str">
        <f ca="1">VLOOKUP(A346,Import_SuiviGlobal_MigAppliSate!A:K,10,FALSE)</f>
        <v>Mme PAMART
Mme Valentin</v>
      </c>
      <c r="K346" t="str">
        <f ca="1">VLOOKUP(A346,Import_SuiviGlobal_MigAppliSate!A:K,11,FALSE)</f>
        <v>superu.galgon@systeme-u.fr</v>
      </c>
      <c r="O346" s="1" t="s">
        <v>22</v>
      </c>
    </row>
    <row r="347" spans="1:18" ht="12.75" hidden="1" x14ac:dyDescent="0.2">
      <c r="A347">
        <v>60049</v>
      </c>
      <c r="B347" t="str">
        <f ca="1">VLOOKUP(A347,Import_SuiviGlobal_MigAppliSate!A:I,2,FALSE)</f>
        <v>GAMBSHEIM</v>
      </c>
      <c r="C347" t="str">
        <f ca="1">VLOOKUP(A347,Import_SuiviGlobal_MigAppliSate!A:I,3,FALSE)</f>
        <v>Super U</v>
      </c>
      <c r="D347" s="1" t="str">
        <f ca="1">VLOOKUP(A347,Import_SuiviGlobal_MigAppliSate!A:I,4,FALSE)</f>
        <v>Coop U Enseigne Est</v>
      </c>
      <c r="E347">
        <f ca="1">VLOOKUP(A347,Import_SuiviGlobal_MigAppliSate!A:I,5,FALSE)</f>
        <v>67760</v>
      </c>
      <c r="F347" t="str">
        <f ca="1">VLOOKUP(A347,Import_SuiviGlobal_MigAppliSate!A:I,6,FALSE)</f>
        <v>Route de Herrlisheim</v>
      </c>
      <c r="G347" t="str">
        <f ca="1">VLOOKUP(A347,Import_SuiviGlobal_MigAppliSate!A:I,7,FALSE)</f>
        <v>03.88.96.74.75</v>
      </c>
      <c r="H347" t="str">
        <f ca="1">VLOOKUP(A347,Import_SuiviGlobal_MigAppliSate!A:I,8,FALSE)</f>
        <v>GROLL Sabine</v>
      </c>
      <c r="I347" t="str">
        <f ca="1">VLOOKUP(A347,Import_SuiviGlobal_MigAppliSate!A:I,9,FALSE)</f>
        <v>sabine.groll@systeme-u.fr</v>
      </c>
      <c r="J347" s="24" t="str">
        <f ca="1">VLOOKUP(A347,Import_SuiviGlobal_MigAppliSate!A:K,10,FALSE)</f>
        <v>GROLL Thierry</v>
      </c>
      <c r="K347" t="str">
        <f ca="1">VLOOKUP(A347,Import_SuiviGlobal_MigAppliSate!A:K,11,FALSE)</f>
        <v>thierry.groll@systeme-u.fr</v>
      </c>
      <c r="O347" s="1" t="s">
        <v>22</v>
      </c>
    </row>
    <row r="348" spans="1:18" ht="12.75" hidden="1" x14ac:dyDescent="0.2">
      <c r="A348">
        <v>95126</v>
      </c>
      <c r="B348" t="str">
        <f ca="1">VLOOKUP(A348,Import_SuiviGlobal_MigAppliSate!A:I,2,FALSE)</f>
        <v>GAN</v>
      </c>
      <c r="C348" t="str">
        <f ca="1">VLOOKUP(A348,Import_SuiviGlobal_MigAppliSate!A:I,3,FALSE)</f>
        <v>Super U</v>
      </c>
      <c r="D348" s="1" t="str">
        <f ca="1">VLOOKUP(A348,Import_SuiviGlobal_MigAppliSate!A:I,4,FALSE)</f>
        <v>Coop U Enseigne Sud</v>
      </c>
      <c r="E348">
        <f ca="1">VLOOKUP(A348,Import_SuiviGlobal_MigAppliSate!A:I,5,FALSE)</f>
        <v>64290</v>
      </c>
      <c r="F348" t="str">
        <f ca="1">VLOOKUP(A348,Import_SuiviGlobal_MigAppliSate!A:I,6,FALSE)</f>
        <v>123 RUE D'OSSAU</v>
      </c>
      <c r="G348" t="str">
        <f ca="1">VLOOKUP(A348,Import_SuiviGlobal_MigAppliSate!A:I,7,FALSE)</f>
        <v>05.59.21.65.45</v>
      </c>
      <c r="H348" t="str">
        <f ca="1">VLOOKUP(A348,Import_SuiviGlobal_MigAppliSate!A:I,8,FALSE)</f>
        <v>GAUDY Gildas</v>
      </c>
      <c r="I348" t="str">
        <f ca="1">VLOOKUP(A348,Import_SuiviGlobal_MigAppliSate!A:I,9,FALSE)</f>
        <v>gildas.gaudy@systeme-u.fr</v>
      </c>
      <c r="J348" s="24" t="str">
        <f ca="1">VLOOKUP(A348,Import_SuiviGlobal_MigAppliSate!A:K,10,FALSE)</f>
        <v/>
      </c>
      <c r="K348" t="str">
        <f ca="1">VLOOKUP(A348,Import_SuiviGlobal_MigAppliSate!A:K,11,FALSE)</f>
        <v>superu.gan.coursesu@systeme-u.fr</v>
      </c>
      <c r="O348" s="1" t="s">
        <v>22</v>
      </c>
    </row>
    <row r="349" spans="1:18" ht="12.75" hidden="1" x14ac:dyDescent="0.2">
      <c r="A349">
        <v>90122</v>
      </c>
      <c r="B349" t="str">
        <f ca="1">VLOOKUP(A349,Import_SuiviGlobal_MigAppliSate!A:I,2,FALSE)</f>
        <v>GANGES</v>
      </c>
      <c r="C349" t="str">
        <f ca="1">VLOOKUP(A349,Import_SuiviGlobal_MigAppliSate!A:I,3,FALSE)</f>
        <v>Super U</v>
      </c>
      <c r="D349" s="1" t="str">
        <f ca="1">VLOOKUP(A349,Import_SuiviGlobal_MigAppliSate!A:I,4,FALSE)</f>
        <v>Coop U Enseigne Sud</v>
      </c>
      <c r="E349">
        <f ca="1">VLOOKUP(A349,Import_SuiviGlobal_MigAppliSate!A:I,5,FALSE)</f>
        <v>34190</v>
      </c>
      <c r="F349" t="str">
        <f ca="1">VLOOKUP(A349,Import_SuiviGlobal_MigAppliSate!A:I,6,FALSE)</f>
        <v>QUARTIER DES CALQUIERES</v>
      </c>
      <c r="G349" t="str">
        <f ca="1">VLOOKUP(A349,Import_SuiviGlobal_MigAppliSate!A:I,7,FALSE)</f>
        <v>04.67.73.89.16</v>
      </c>
      <c r="H349" t="str">
        <f ca="1">VLOOKUP(A349,Import_SuiviGlobal_MigAppliSate!A:I,8,FALSE)</f>
        <v>DIAZ Christian</v>
      </c>
      <c r="I349" t="str">
        <f ca="1">VLOOKUP(A349,Import_SuiviGlobal_MigAppliSate!A:I,9,FALSE)</f>
        <v>christian.diaz@systeme-u.fr</v>
      </c>
      <c r="J349" s="24" t="str">
        <f ca="1">VLOOKUP(A349,Import_SuiviGlobal_MigAppliSate!A:K,10,FALSE)</f>
        <v>M. JUAN</v>
      </c>
      <c r="K349" t="str">
        <f ca="1">VLOOKUP(A349,Import_SuiviGlobal_MigAppliSate!A:K,11,FALSE)</f>
        <v>superu.ganges.direction@systeme-u.fr</v>
      </c>
      <c r="O349" s="1" t="s">
        <v>22</v>
      </c>
    </row>
    <row r="350" spans="1:18" ht="12.75" hidden="1" x14ac:dyDescent="0.2">
      <c r="A350">
        <v>21783</v>
      </c>
      <c r="B350" t="str">
        <f ca="1">VLOOKUP(A350,Import_SuiviGlobal_MigAppliSate!A:I,2,FALSE)</f>
        <v>GARCHES</v>
      </c>
      <c r="C350" t="str">
        <f ca="1">VLOOKUP(A350,Import_SuiviGlobal_MigAppliSate!A:I,3,FALSE)</f>
        <v>U Express</v>
      </c>
      <c r="D350" s="1" t="str">
        <f ca="1">VLOOKUP(A350,Import_SuiviGlobal_MigAppliSate!A:I,4,FALSE)</f>
        <v>Coop U Enseigne NordOuest</v>
      </c>
      <c r="E350">
        <f ca="1">VLOOKUP(A350,Import_SuiviGlobal_MigAppliSate!A:I,5,FALSE)</f>
        <v>92380</v>
      </c>
      <c r="F350" t="str">
        <f ca="1">VLOOKUP(A350,Import_SuiviGlobal_MigAppliSate!A:I,6,FALSE)</f>
        <v>153-155 GRANDE RUE</v>
      </c>
      <c r="G350" t="str">
        <f ca="1">VLOOKUP(A350,Import_SuiviGlobal_MigAppliSate!A:I,7,FALSE)</f>
        <v>01.47.95.53.53</v>
      </c>
      <c r="H350" t="str">
        <f ca="1">VLOOKUP(A350,Import_SuiviGlobal_MigAppliSate!A:I,8,FALSE)</f>
        <v>LEFEBVRE Yann</v>
      </c>
      <c r="I350" t="str">
        <f ca="1">VLOOKUP(A350,Import_SuiviGlobal_MigAppliSate!A:I,9,FALSE)</f>
        <v>yann.lefebvre@systeme-u.fr</v>
      </c>
      <c r="J350" s="24" t="str">
        <f ca="1">VLOOKUP(A350,Import_SuiviGlobal_MigAppliSate!A:K,10,FALSE)</f>
        <v>M. TRIBOUILLAT</v>
      </c>
      <c r="K350" t="str">
        <f ca="1">VLOOKUP(A350,Import_SuiviGlobal_MigAppliSate!A:K,11,FALSE)</f>
        <v>superu.villedavray.direction@systeme-u.fr</v>
      </c>
      <c r="O350" s="1" t="s">
        <v>22</v>
      </c>
    </row>
    <row r="351" spans="1:18" ht="12.75" hidden="1" x14ac:dyDescent="0.2">
      <c r="A351">
        <v>20744</v>
      </c>
      <c r="B351" t="str">
        <f ca="1">VLOOKUP(A351,Import_SuiviGlobal_MigAppliSate!A:I,2,FALSE)</f>
        <v>GAVRAY</v>
      </c>
      <c r="C351" t="str">
        <f ca="1">VLOOKUP(A351,Import_SuiviGlobal_MigAppliSate!A:I,3,FALSE)</f>
        <v>U Express</v>
      </c>
      <c r="D351" s="1" t="str">
        <f ca="1">VLOOKUP(A351,Import_SuiviGlobal_MigAppliSate!A:I,4,FALSE)</f>
        <v>Coop U Enseigne NordOuest</v>
      </c>
      <c r="E351">
        <f ca="1">VLOOKUP(A351,Import_SuiviGlobal_MigAppliSate!A:I,5,FALSE)</f>
        <v>50450</v>
      </c>
      <c r="F351" t="str">
        <f ca="1">VLOOKUP(A351,Import_SuiviGlobal_MigAppliSate!A:I,6,FALSE)</f>
        <v>7 RUE DE L'HÔTEL SAINT DENIS</v>
      </c>
      <c r="G351" t="str">
        <f ca="1">VLOOKUP(A351,Import_SuiviGlobal_MigAppliSate!A:I,7,FALSE)</f>
        <v>02.33.61.08.77</v>
      </c>
      <c r="H351" t="str">
        <f ca="1">VLOOKUP(A351,Import_SuiviGlobal_MigAppliSate!A:I,8,FALSE)</f>
        <v>LECERF Sébastien</v>
      </c>
      <c r="I351" t="str">
        <f ca="1">VLOOKUP(A351,Import_SuiviGlobal_MigAppliSate!A:I,9,FALSE)</f>
        <v>sebastien.lecerf@systeme-u.fr</v>
      </c>
      <c r="J351" s="24" t="str">
        <f ca="1">VLOOKUP(A351,Import_SuiviGlobal_MigAppliSate!A:K,10,FALSE)</f>
        <v/>
      </c>
      <c r="K351" t="str">
        <f ca="1">VLOOKUP(A351,Import_SuiviGlobal_MigAppliSate!A:K,11,FALSE)</f>
        <v/>
      </c>
      <c r="O351" s="1" t="s">
        <v>22</v>
      </c>
    </row>
    <row r="352" spans="1:18" ht="12.75" hidden="1" x14ac:dyDescent="0.2">
      <c r="A352">
        <v>35398</v>
      </c>
      <c r="B352" t="str">
        <f ca="1">VLOOKUP(A352,Import_SuiviGlobal_MigAppliSate!A:I,2,FALSE)</f>
        <v>GEMOZAC</v>
      </c>
      <c r="C352" t="str">
        <f ca="1">VLOOKUP(A352,Import_SuiviGlobal_MigAppliSate!A:I,3,FALSE)</f>
        <v>Super U</v>
      </c>
      <c r="D352" s="1" t="str">
        <f ca="1">VLOOKUP(A352,Import_SuiviGlobal_MigAppliSate!A:I,4,FALSE)</f>
        <v>Coop U Enseigne Ouest</v>
      </c>
      <c r="E352">
        <f ca="1">VLOOKUP(A352,Import_SuiviGlobal_MigAppliSate!A:I,5,FALSE)</f>
        <v>17260</v>
      </c>
      <c r="F352" t="str">
        <f ca="1">VLOOKUP(A352,Import_SuiviGlobal_MigAppliSate!A:I,6,FALSE)</f>
        <v>ZA PIED SEC</v>
      </c>
      <c r="G352" t="str">
        <f ca="1">VLOOKUP(A352,Import_SuiviGlobal_MigAppliSate!A:I,7,FALSE)</f>
        <v>05.46.94.21.10</v>
      </c>
      <c r="H352" t="str">
        <f ca="1">VLOOKUP(A352,Import_SuiviGlobal_MigAppliSate!A:I,8,FALSE)</f>
        <v>SIRET RPT SAS CGS HOLDING Dominique</v>
      </c>
      <c r="I352" t="str">
        <f ca="1">VLOOKUP(A352,Import_SuiviGlobal_MigAppliSate!A:I,9,FALSE)</f>
        <v>dominique.siret@systeme-u.fr</v>
      </c>
      <c r="J352" s="24" t="str">
        <f ca="1">VLOOKUP(A352,Import_SuiviGlobal_MigAppliSate!A:K,10,FALSE)</f>
        <v xml:space="preserve">Bellec Alain </v>
      </c>
      <c r="K352" t="str">
        <f ca="1">VLOOKUP(A352,Import_SuiviGlobal_MigAppliSate!A:K,11,FALSE)</f>
        <v>superu.gemozac.direction@systeme-u.fr</v>
      </c>
      <c r="O352" s="1" t="s">
        <v>22</v>
      </c>
    </row>
    <row r="353" spans="1:15" ht="12.75" hidden="1" x14ac:dyDescent="0.2">
      <c r="A353">
        <v>37218</v>
      </c>
      <c r="B353" t="str">
        <f ca="1">VLOOKUP(A353,Import_SuiviGlobal_MigAppliSate!A:I,2,FALSE)</f>
        <v>GENNES</v>
      </c>
      <c r="C353" t="str">
        <f ca="1">VLOOKUP(A353,Import_SuiviGlobal_MigAppliSate!A:I,3,FALSE)</f>
        <v>Super U</v>
      </c>
      <c r="D353" s="1" t="str">
        <f ca="1">VLOOKUP(A353,Import_SuiviGlobal_MigAppliSate!A:I,4,FALSE)</f>
        <v>Coop U Enseigne Ouest</v>
      </c>
      <c r="E353">
        <f ca="1">VLOOKUP(A353,Import_SuiviGlobal_MigAppliSate!A:I,5,FALSE)</f>
        <v>49350</v>
      </c>
      <c r="F353" t="str">
        <f ca="1">VLOOKUP(A353,Import_SuiviGlobal_MigAppliSate!A:I,6,FALSE)</f>
        <v>ROUTE DE DOUÉ</v>
      </c>
      <c r="G353" t="str">
        <f ca="1">VLOOKUP(A353,Import_SuiviGlobal_MigAppliSate!A:I,7,FALSE)</f>
        <v>02.41.53.06.70</v>
      </c>
      <c r="H353" t="str">
        <f ca="1">VLOOKUP(A353,Import_SuiviGlobal_MigAppliSate!A:I,8,FALSE)</f>
        <v>BAUDRY Frédéric</v>
      </c>
      <c r="I353" t="str">
        <f ca="1">VLOOKUP(A353,Import_SuiviGlobal_MigAppliSate!A:I,9,FALSE)</f>
        <v>frederic.baudry@systeme-u.fr</v>
      </c>
      <c r="J353" s="24" t="str">
        <f ca="1">VLOOKUP(A353,Import_SuiviGlobal_MigAppliSate!A:K,10,FALSE)</f>
        <v>Mme Baudry</v>
      </c>
      <c r="K353" t="str">
        <f ca="1">VLOOKUP(A353,Import_SuiviGlobal_MigAppliSate!A:K,11,FALSE)</f>
        <v>superu.gennes.direction@systeme-u.fr</v>
      </c>
      <c r="O353" s="1" t="s">
        <v>22</v>
      </c>
    </row>
    <row r="354" spans="1:15" ht="12.75" hidden="1" x14ac:dyDescent="0.2">
      <c r="A354">
        <v>60023</v>
      </c>
      <c r="B354" t="str">
        <f ca="1">VLOOKUP(A354,Import_SuiviGlobal_MigAppliSate!A:I,2,FALSE)</f>
        <v>GERARDMER</v>
      </c>
      <c r="C354" t="str">
        <f ca="1">VLOOKUP(A354,Import_SuiviGlobal_MigAppliSate!A:I,3,FALSE)</f>
        <v>Super U</v>
      </c>
      <c r="D354" s="1" t="str">
        <f ca="1">VLOOKUP(A354,Import_SuiviGlobal_MigAppliSate!A:I,4,FALSE)</f>
        <v>Coop U Enseigne Est</v>
      </c>
      <c r="E354">
        <f ca="1">VLOOKUP(A354,Import_SuiviGlobal_MigAppliSate!A:I,5,FALSE)</f>
        <v>88400</v>
      </c>
      <c r="F354" t="str">
        <f ca="1">VLOOKUP(A354,Import_SuiviGlobal_MigAppliSate!A:I,6,FALSE)</f>
        <v>Boulevard d'Alsace</v>
      </c>
      <c r="G354" t="str">
        <f ca="1">VLOOKUP(A354,Import_SuiviGlobal_MigAppliSate!A:I,7,FALSE)</f>
        <v>03.29.63.21.42</v>
      </c>
      <c r="H354" t="str">
        <f ca="1">VLOOKUP(A354,Import_SuiviGlobal_MigAppliSate!A:I,8,FALSE)</f>
        <v>CLAUDEL Caroline</v>
      </c>
      <c r="I354" t="str">
        <f ca="1">VLOOKUP(A354,Import_SuiviGlobal_MigAppliSate!A:I,9,FALSE)</f>
        <v>caroline.claudel@systeme-u.fr</v>
      </c>
      <c r="J354" s="24" t="str">
        <f ca="1">VLOOKUP(A354,Import_SuiviGlobal_MigAppliSate!A:K,10,FALSE)</f>
        <v>HALLUITTE Olivier</v>
      </c>
      <c r="K354" t="str">
        <f ca="1">VLOOKUP(A354,Import_SuiviGlobal_MigAppliSate!A:K,11,FALSE)</f>
        <v>superu.gerardmer.compta@systeme-u.fr</v>
      </c>
      <c r="L354" t="s">
        <v>20</v>
      </c>
      <c r="M354" s="1" t="s">
        <v>23</v>
      </c>
      <c r="O354" s="1" t="s">
        <v>22</v>
      </c>
    </row>
    <row r="355" spans="1:15" ht="12.75" hidden="1" x14ac:dyDescent="0.2">
      <c r="A355">
        <v>60730</v>
      </c>
      <c r="B355" t="str">
        <f ca="1">VLOOKUP(A355,Import_SuiviGlobal_MigAppliSate!A:I,2,FALSE)</f>
        <v>GERTWILLER</v>
      </c>
      <c r="C355" t="str">
        <f ca="1">VLOOKUP(A355,Import_SuiviGlobal_MigAppliSate!A:I,3,FALSE)</f>
        <v>Super U</v>
      </c>
      <c r="D355" s="1" t="str">
        <f ca="1">VLOOKUP(A355,Import_SuiviGlobal_MigAppliSate!A:I,4,FALSE)</f>
        <v>Coop U Enseigne Est</v>
      </c>
      <c r="E355">
        <f ca="1">VLOOKUP(A355,Import_SuiviGlobal_MigAppliSate!A:I,5,FALSE)</f>
        <v>67140</v>
      </c>
      <c r="F355" t="str">
        <f ca="1">VLOOKUP(A355,Import_SuiviGlobal_MigAppliSate!A:I,6,FALSE)</f>
        <v>2 route de Bourgheim</v>
      </c>
      <c r="G355" t="str">
        <f ca="1">VLOOKUP(A355,Import_SuiviGlobal_MigAppliSate!A:I,7,FALSE)</f>
        <v>03.88.08.00.81</v>
      </c>
      <c r="H355" t="str">
        <f ca="1">VLOOKUP(A355,Import_SuiviGlobal_MigAppliSate!A:I,8,FALSE)</f>
        <v>VALENTIN RPT SAS VALENTIN Olivier</v>
      </c>
      <c r="I355" t="str">
        <f ca="1">VLOOKUP(A355,Import_SuiviGlobal_MigAppliSate!A:I,9,FALSE)</f>
        <v>olivier.valentin@systeme-u.fr</v>
      </c>
      <c r="J355" s="24" t="str">
        <f ca="1">VLOOKUP(A355,Import_SuiviGlobal_MigAppliSate!A:K,10,FALSE)</f>
        <v>Valentin Guillaume</v>
      </c>
      <c r="K355" t="str">
        <f ca="1">VLOOKUP(A355,Import_SuiviGlobal_MigAppliSate!A:K,11,FALSE)</f>
        <v>guillaume.valentin@systeme-u.fr</v>
      </c>
      <c r="O355" s="1" t="s">
        <v>22</v>
      </c>
    </row>
    <row r="356" spans="1:15" ht="12.75" hidden="1" x14ac:dyDescent="0.2">
      <c r="A356">
        <v>30094</v>
      </c>
      <c r="B356" t="str">
        <f ca="1">VLOOKUP(A356,Import_SuiviGlobal_MigAppliSate!A:I,2,FALSE)</f>
        <v>GETIGNE</v>
      </c>
      <c r="C356" t="str">
        <f ca="1">VLOOKUP(A356,Import_SuiviGlobal_MigAppliSate!A:I,3,FALSE)</f>
        <v>Super U</v>
      </c>
      <c r="D356" s="1" t="str">
        <f ca="1">VLOOKUP(A356,Import_SuiviGlobal_MigAppliSate!A:I,4,FALSE)</f>
        <v>Coop U Enseigne Ouest</v>
      </c>
      <c r="E356">
        <f ca="1">VLOOKUP(A356,Import_SuiviGlobal_MigAppliSate!A:I,5,FALSE)</f>
        <v>44190</v>
      </c>
      <c r="F356" t="str">
        <f ca="1">VLOOKUP(A356,Import_SuiviGlobal_MigAppliSate!A:I,6,FALSE)</f>
        <v>ROUTE DE POITIERS</v>
      </c>
      <c r="G356" t="str">
        <f ca="1">VLOOKUP(A356,Import_SuiviGlobal_MigAppliSate!A:I,7,FALSE)</f>
        <v>02.40.03.92.75</v>
      </c>
      <c r="H356" t="str">
        <f ca="1">VLOOKUP(A356,Import_SuiviGlobal_MigAppliSate!A:I,8,FALSE)</f>
        <v>EGONNEAU RPT SARL EGOFI Franck</v>
      </c>
      <c r="I356" t="str">
        <f ca="1">VLOOKUP(A356,Import_SuiviGlobal_MigAppliSate!A:I,9,FALSE)</f>
        <v>franck.egonneau@systeme-u.fr</v>
      </c>
      <c r="J356" s="24" t="str">
        <f ca="1">VLOOKUP(A356,Import_SuiviGlobal_MigAppliSate!A:K,10,FALSE)</f>
        <v>GAUBERT Antoine</v>
      </c>
      <c r="K356" t="str">
        <f ca="1">VLOOKUP(A356,Import_SuiviGlobal_MigAppliSate!A:K,11,FALSE)</f>
        <v>superu.getigne.informatique@systeme-u.fr</v>
      </c>
      <c r="L356" s="1" t="s">
        <v>17</v>
      </c>
      <c r="M356" s="1" t="s">
        <v>24</v>
      </c>
      <c r="N356" s="1" t="s">
        <v>18</v>
      </c>
      <c r="O356" s="1" t="s">
        <v>25</v>
      </c>
    </row>
    <row r="357" spans="1:15" ht="12.75" hidden="1" x14ac:dyDescent="0.2">
      <c r="A357">
        <v>62052</v>
      </c>
      <c r="B357" t="str">
        <f ca="1">VLOOKUP(A357,Import_SuiviGlobal_MigAppliSate!A:I,2,FALSE)</f>
        <v>GEVREY CHAMBERTIN</v>
      </c>
      <c r="C357" t="str">
        <f ca="1">VLOOKUP(A357,Import_SuiviGlobal_MigAppliSate!A:I,3,FALSE)</f>
        <v>Super U</v>
      </c>
      <c r="D357" s="1" t="str">
        <f ca="1">VLOOKUP(A357,Import_SuiviGlobal_MigAppliSate!A:I,4,FALSE)</f>
        <v>Coop U Enseigne Est</v>
      </c>
      <c r="E357">
        <f ca="1">VLOOKUP(A357,Import_SuiviGlobal_MigAppliSate!A:I,5,FALSE)</f>
        <v>21220</v>
      </c>
      <c r="F357" t="str">
        <f ca="1">VLOOKUP(A357,Import_SuiviGlobal_MigAppliSate!A:I,6,FALSE)</f>
        <v>RN 74</v>
      </c>
      <c r="G357" t="str">
        <f ca="1">VLOOKUP(A357,Import_SuiviGlobal_MigAppliSate!A:I,7,FALSE)</f>
        <v>03.80.34.02.20</v>
      </c>
      <c r="H357" t="str">
        <f ca="1">VLOOKUP(A357,Import_SuiviGlobal_MigAppliSate!A:I,8,FALSE)</f>
        <v>BUFFET Guillaume</v>
      </c>
      <c r="I357" t="str">
        <f ca="1">VLOOKUP(A357,Import_SuiviGlobal_MigAppliSate!A:I,9,FALSE)</f>
        <v>guillaume.buffet@systeme-u.fr</v>
      </c>
      <c r="J357" s="24" t="str">
        <f ca="1">VLOOKUP(A357,Import_SuiviGlobal_MigAppliSate!A:K,10,FALSE)</f>
        <v>Mme Maître</v>
      </c>
      <c r="K357" t="str">
        <f ca="1">VLOOKUP(A357,Import_SuiviGlobal_MigAppliSate!A:K,11,FALSE)</f>
        <v>superu.gevreychambertin.compta@systeme-u.fr</v>
      </c>
      <c r="O357" s="1" t="s">
        <v>22</v>
      </c>
    </row>
    <row r="358" spans="1:15" ht="12.75" hidden="1" x14ac:dyDescent="0.2">
      <c r="A358">
        <v>38074</v>
      </c>
      <c r="B358" t="str">
        <f ca="1">VLOOKUP(A358,Import_SuiviGlobal_MigAppliSate!A:I,2,FALSE)</f>
        <v>GIVRAND</v>
      </c>
      <c r="C358" t="str">
        <f ca="1">VLOOKUP(A358,Import_SuiviGlobal_MigAppliSate!A:I,3,FALSE)</f>
        <v>Utile</v>
      </c>
      <c r="D358" s="1" t="str">
        <f ca="1">VLOOKUP(A358,Import_SuiviGlobal_MigAppliSate!A:I,4,FALSE)</f>
        <v>Coop U Enseigne Ouest</v>
      </c>
      <c r="E358">
        <f ca="1">VLOOKUP(A358,Import_SuiviGlobal_MigAppliSate!A:I,5,FALSE)</f>
        <v>85800</v>
      </c>
      <c r="F358" t="str">
        <f ca="1">VLOOKUP(A358,Import_SuiviGlobal_MigAppliSate!A:I,6,FALSE)</f>
        <v>CENTRE COMMERCIAL. LES MIMOSAS</v>
      </c>
      <c r="G358" t="str">
        <f ca="1">VLOOKUP(A358,Import_SuiviGlobal_MigAppliSate!A:I,7,FALSE)</f>
        <v>02.51.55.40.40</v>
      </c>
      <c r="H358" t="str">
        <f ca="1">VLOOKUP(A358,Import_SuiviGlobal_MigAppliSate!A:I,8,FALSE)</f>
        <v>STEPHAN Loic</v>
      </c>
      <c r="I358" t="str">
        <f ca="1">VLOOKUP(A358,Import_SuiviGlobal_MigAppliSate!A:I,9,FALSE)</f>
        <v>loic.stephan@systeme-u.fr</v>
      </c>
      <c r="J358" s="24" t="str">
        <f ca="1">VLOOKUP(A358,Import_SuiviGlobal_MigAppliSate!A:K,10,FALSE)</f>
        <v>RABILLE Nicolas</v>
      </c>
      <c r="K358" t="str">
        <f ca="1">VLOOKUP(A358,Import_SuiviGlobal_MigAppliSate!A:K,11,FALSE)</f>
        <v>superu.saintgillescroixdevie.gescom@systeme-u.fr</v>
      </c>
      <c r="O358" s="1" t="s">
        <v>22</v>
      </c>
    </row>
    <row r="359" spans="1:15" ht="12.75" x14ac:dyDescent="0.2">
      <c r="A359">
        <v>90517</v>
      </c>
      <c r="B359" t="str">
        <f ca="1">VLOOKUP(A359,Import_SuiviGlobal_MigAppliSate!A:I,2,FALSE)</f>
        <v>GOLFE JUAN</v>
      </c>
      <c r="C359" t="str">
        <f ca="1">VLOOKUP(A359,Import_SuiviGlobal_MigAppliSate!A:I,3,FALSE)</f>
        <v>U Express</v>
      </c>
      <c r="D359" s="1" t="str">
        <f ca="1">VLOOKUP(A359,Import_SuiviGlobal_MigAppliSate!A:I,4,FALSE)</f>
        <v>Coop MISTRAL</v>
      </c>
      <c r="E359">
        <f ca="1">VLOOKUP(A359,Import_SuiviGlobal_MigAppliSate!A:I,5,FALSE)</f>
        <v>6220</v>
      </c>
      <c r="F359" t="str">
        <f ca="1">VLOOKUP(A359,Import_SuiviGlobal_MigAppliSate!A:I,6,FALSE)</f>
        <v>8 AVENUE DU MIDI</v>
      </c>
      <c r="G359" t="str">
        <f ca="1">VLOOKUP(A359,Import_SuiviGlobal_MigAppliSate!A:I,7,FALSE)</f>
        <v>04.92.90.44.55</v>
      </c>
      <c r="H359" t="str">
        <f ca="1">VLOOKUP(A359,Import_SuiviGlobal_MigAppliSate!A:I,8,FALSE)</f>
        <v>MAIOLINO Bernard</v>
      </c>
      <c r="I359" t="str">
        <f ca="1">VLOOKUP(A359,Import_SuiviGlobal_MigAppliSate!A:I,9,FALSE)</f>
        <v>bernard.maiolino@systeme-u.fr</v>
      </c>
      <c r="J359" s="24" t="str">
        <f ca="1">VLOOKUP(A359,Import_SuiviGlobal_MigAppliSate!A:K,10,FALSE)</f>
        <v>Mr STAELS</v>
      </c>
      <c r="K359" t="str">
        <f ca="1">VLOOKUP(A359,Import_SuiviGlobal_MigAppliSate!A:K,11,FALSE)</f>
        <v>uexpress.golfejuan@mistral-u.fr</v>
      </c>
      <c r="L359" t="s">
        <v>17</v>
      </c>
      <c r="M359" s="1" t="s">
        <v>0</v>
      </c>
      <c r="O359" s="1" t="s">
        <v>22</v>
      </c>
    </row>
    <row r="360" spans="1:15" ht="12.75" hidden="1" x14ac:dyDescent="0.2">
      <c r="A360">
        <v>32518</v>
      </c>
      <c r="B360" t="str">
        <f ca="1">VLOOKUP(A360,Import_SuiviGlobal_MigAppliSate!A:I,2,FALSE)</f>
        <v>GORRON</v>
      </c>
      <c r="C360" t="str">
        <f ca="1">VLOOKUP(A360,Import_SuiviGlobal_MigAppliSate!A:I,3,FALSE)</f>
        <v>Super U</v>
      </c>
      <c r="D360" s="1" t="str">
        <f ca="1">VLOOKUP(A360,Import_SuiviGlobal_MigAppliSate!A:I,4,FALSE)</f>
        <v>Coop U Enseigne Ouest</v>
      </c>
      <c r="E360">
        <f ca="1">VLOOKUP(A360,Import_SuiviGlobal_MigAppliSate!A:I,5,FALSE)</f>
        <v>53120</v>
      </c>
      <c r="F360" t="str">
        <f ca="1">VLOOKUP(A360,Import_SuiviGlobal_MigAppliSate!A:I,6,FALSE)</f>
        <v>LA PROMENADE</v>
      </c>
      <c r="G360" t="str">
        <f ca="1">VLOOKUP(A360,Import_SuiviGlobal_MigAppliSate!A:I,7,FALSE)</f>
        <v>02.43.08.06.83</v>
      </c>
      <c r="H360" t="str">
        <f ca="1">VLOOKUP(A360,Import_SuiviGlobal_MigAppliSate!A:I,8,FALSE)</f>
        <v>RICHER RPT SARL GORRONDIS Claude</v>
      </c>
      <c r="I360" t="str">
        <f ca="1">VLOOKUP(A360,Import_SuiviGlobal_MigAppliSate!A:I,9,FALSE)</f>
        <v>claude.richer@systeme-u.fr</v>
      </c>
      <c r="J360" s="24" t="str">
        <f ca="1">VLOOKUP(A360,Import_SuiviGlobal_MigAppliSate!A:K,10,FALSE)</f>
        <v>RICHER Jean Michel</v>
      </c>
      <c r="K360" t="str">
        <f ca="1">VLOOKUP(A360,Import_SuiviGlobal_MigAppliSate!A:K,11,FALSE)</f>
        <v>jean-michel.richer@systeme-u.fr</v>
      </c>
      <c r="O360" s="1" t="s">
        <v>22</v>
      </c>
    </row>
    <row r="361" spans="1:15" ht="12.75" hidden="1" x14ac:dyDescent="0.2">
      <c r="A361">
        <v>37609</v>
      </c>
      <c r="B361" t="str">
        <f ca="1">VLOOKUP(A361,Import_SuiviGlobal_MigAppliSate!A:I,2,FALSE)</f>
        <v>GOUESNOU</v>
      </c>
      <c r="C361" t="str">
        <f ca="1">VLOOKUP(A361,Import_SuiviGlobal_MigAppliSate!A:I,3,FALSE)</f>
        <v>U Express</v>
      </c>
      <c r="D361" s="1" t="str">
        <f ca="1">VLOOKUP(A361,Import_SuiviGlobal_MigAppliSate!A:I,4,FALSE)</f>
        <v>Coop U Enseigne Ouest</v>
      </c>
      <c r="E361">
        <f ca="1">VLOOKUP(A361,Import_SuiviGlobal_MigAppliSate!A:I,5,FALSE)</f>
        <v>29850</v>
      </c>
      <c r="F361" t="str">
        <f ca="1">VLOOKUP(A361,Import_SuiviGlobal_MigAppliSate!A:I,6,FALSE)</f>
        <v>RUE SAINT GOUESNOU</v>
      </c>
      <c r="G361" t="str">
        <f ca="1">VLOOKUP(A361,Import_SuiviGlobal_MigAppliSate!A:I,7,FALSE)</f>
        <v>02.98.07.71.06</v>
      </c>
      <c r="H361" t="str">
        <f ca="1">VLOOKUP(A361,Import_SuiviGlobal_MigAppliSate!A:I,8,FALSE)</f>
        <v>BONSIGNE Bruno</v>
      </c>
      <c r="I361" t="str">
        <f ca="1">VLOOKUP(A361,Import_SuiviGlobal_MigAppliSate!A:I,9,FALSE)</f>
        <v>bruno.bonsigne@systeme-u.fr</v>
      </c>
      <c r="J361" s="24" t="str">
        <f ca="1">VLOOKUP(A361,Import_SuiviGlobal_MigAppliSate!A:K,10,FALSE)</f>
        <v>BOUFFART GREGORY</v>
      </c>
      <c r="K361" t="str">
        <f ca="1">VLOOKUP(A361,Import_SuiviGlobal_MigAppliSate!A:K,11,FALSE)</f>
        <v/>
      </c>
      <c r="O361" s="1" t="s">
        <v>22</v>
      </c>
    </row>
    <row r="362" spans="1:15" ht="12.75" hidden="1" x14ac:dyDescent="0.2">
      <c r="A362">
        <v>95773</v>
      </c>
      <c r="B362" t="str">
        <f ca="1">VLOOKUP(A362,Import_SuiviGlobal_MigAppliSate!A:I,2,FALSE)</f>
        <v>GOURDAN POLIGNAN</v>
      </c>
      <c r="C362" t="str">
        <f ca="1">VLOOKUP(A362,Import_SuiviGlobal_MigAppliSate!A:I,3,FALSE)</f>
        <v>Super U</v>
      </c>
      <c r="D362" s="1" t="str">
        <f ca="1">VLOOKUP(A362,Import_SuiviGlobal_MigAppliSate!A:I,4,FALSE)</f>
        <v>Coop U Enseigne Sud</v>
      </c>
      <c r="E362">
        <f ca="1">VLOOKUP(A362,Import_SuiviGlobal_MigAppliSate!A:I,5,FALSE)</f>
        <v>31210</v>
      </c>
      <c r="F362" t="str">
        <f ca="1">VLOOKUP(A362,Import_SuiviGlobal_MigAppliSate!A:I,6,FALSE)</f>
        <v>AVENUE DE LUCHON</v>
      </c>
      <c r="G362" t="str">
        <f ca="1">VLOOKUP(A362,Import_SuiviGlobal_MigAppliSate!A:I,7,FALSE)</f>
        <v>05.61.95.79.79</v>
      </c>
      <c r="H362" t="str">
        <f ca="1">VLOOKUP(A362,Import_SuiviGlobal_MigAppliSate!A:I,8,FALSE)</f>
        <v>VOUTERS Sebastien</v>
      </c>
      <c r="I362" t="str">
        <f ca="1">VLOOKUP(A362,Import_SuiviGlobal_MigAppliSate!A:I,9,FALSE)</f>
        <v>sebastien.vouters@systeme-u.fr</v>
      </c>
      <c r="J362" s="24" t="str">
        <f ca="1">VLOOKUP(A362,Import_SuiviGlobal_MigAppliSate!A:K,10,FALSE)</f>
        <v>Estelle deClunder</v>
      </c>
      <c r="K362" t="str">
        <f ca="1">VLOOKUP(A362,Import_SuiviGlobal_MigAppliSate!A:K,11,FALSE)</f>
        <v>superu.gourdanpolignan.rh@systeme-u.fr</v>
      </c>
      <c r="O362" s="1" t="s">
        <v>22</v>
      </c>
    </row>
    <row r="363" spans="1:15" ht="12.75" hidden="1" x14ac:dyDescent="0.2">
      <c r="A363">
        <v>20574</v>
      </c>
      <c r="B363" t="str">
        <f ca="1">VLOOKUP(A363,Import_SuiviGlobal_MigAppliSate!A:I,2,FALSE)</f>
        <v>GOUVILLE SUR</v>
      </c>
      <c r="C363" t="str">
        <f ca="1">VLOOKUP(A363,Import_SuiviGlobal_MigAppliSate!A:I,3,FALSE)</f>
        <v>U Express</v>
      </c>
      <c r="D363" s="1" t="str">
        <f ca="1">VLOOKUP(A363,Import_SuiviGlobal_MigAppliSate!A:I,4,FALSE)</f>
        <v>Coop U Enseigne NordOuest</v>
      </c>
      <c r="E363">
        <f ca="1">VLOOKUP(A363,Import_SuiviGlobal_MigAppliSate!A:I,5,FALSE)</f>
        <v>50560</v>
      </c>
      <c r="F363" t="str">
        <f ca="1">VLOOKUP(A363,Import_SuiviGlobal_MigAppliSate!A:I,6,FALSE)</f>
        <v>RUE DU HAMEAU LAISNEY</v>
      </c>
      <c r="G363" t="str">
        <f ca="1">VLOOKUP(A363,Import_SuiviGlobal_MigAppliSate!A:I,7,FALSE)</f>
        <v>02.33.76.79.54</v>
      </c>
      <c r="H363" t="str">
        <f ca="1">VLOOKUP(A363,Import_SuiviGlobal_MigAppliSate!A:I,8,FALSE)</f>
        <v>ALLAIN Nicolas</v>
      </c>
      <c r="I363" t="str">
        <f ca="1">VLOOKUP(A363,Import_SuiviGlobal_MigAppliSate!A:I,9,FALSE)</f>
        <v>nicolas.allain@systeme-u.fr</v>
      </c>
      <c r="J363" s="24" t="str">
        <f ca="1">VLOOKUP(A363,Import_SuiviGlobal_MigAppliSate!A:K,10,FALSE)</f>
        <v>AURELIE</v>
      </c>
      <c r="K363" t="str">
        <f ca="1">VLOOKUP(A363,Import_SuiviGlobal_MigAppliSate!A:K,11,FALSE)</f>
        <v/>
      </c>
      <c r="O363" s="1" t="s">
        <v>22</v>
      </c>
    </row>
    <row r="364" spans="1:15" ht="12.75" hidden="1" x14ac:dyDescent="0.2">
      <c r="A364">
        <v>29520</v>
      </c>
      <c r="B364" t="str">
        <f ca="1">VLOOKUP(A364,Import_SuiviGlobal_MigAppliSate!A:I,2,FALSE)</f>
        <v>GRAND FORT PHILIPPE</v>
      </c>
      <c r="C364" t="str">
        <f ca="1">VLOOKUP(A364,Import_SuiviGlobal_MigAppliSate!A:I,3,FALSE)</f>
        <v>Super U</v>
      </c>
      <c r="D364" s="1" t="str">
        <f ca="1">VLOOKUP(A364,Import_SuiviGlobal_MigAppliSate!A:I,4,FALSE)</f>
        <v>Coop U Enseigne NordOuest</v>
      </c>
      <c r="E364">
        <f ca="1">VLOOKUP(A364,Import_SuiviGlobal_MigAppliSate!A:I,5,FALSE)</f>
        <v>59153</v>
      </c>
      <c r="F364" t="str">
        <f ca="1">VLOOKUP(A364,Import_SuiviGlobal_MigAppliSate!A:I,6,FALSE)</f>
        <v>AVENUE PIERRE PLEUVRET</v>
      </c>
      <c r="G364" t="str">
        <f ca="1">VLOOKUP(A364,Import_SuiviGlobal_MigAppliSate!A:I,7,FALSE)</f>
        <v>03.28.23.80.90</v>
      </c>
      <c r="H364" t="str">
        <f ca="1">VLOOKUP(A364,Import_SuiviGlobal_MigAppliSate!A:I,8,FALSE)</f>
        <v>BARRE Yves</v>
      </c>
      <c r="I364" t="str">
        <f ca="1">VLOOKUP(A364,Import_SuiviGlobal_MigAppliSate!A:I,9,FALSE)</f>
        <v>yves.barre@systeme-u.fr</v>
      </c>
      <c r="J364" s="24" t="str">
        <f ca="1">VLOOKUP(A364,Import_SuiviGlobal_MigAppliSate!A:K,10,FALSE)</f>
        <v xml:space="preserve"> MERLEN YANNICK </v>
      </c>
      <c r="K364" t="str">
        <f ca="1">VLOOKUP(A364,Import_SuiviGlobal_MigAppliSate!A:K,11,FALSE)</f>
        <v/>
      </c>
      <c r="O364" s="1" t="s">
        <v>22</v>
      </c>
    </row>
    <row r="365" spans="1:15" ht="12.75" hidden="1" x14ac:dyDescent="0.2">
      <c r="A365">
        <v>39679</v>
      </c>
      <c r="B365" t="str">
        <f ca="1">VLOOKUP(A365,Import_SuiviGlobal_MigAppliSate!A:I,2,FALSE)</f>
        <v>GRAND-FOUGERAY</v>
      </c>
      <c r="C365" t="str">
        <f ca="1">VLOOKUP(A365,Import_SuiviGlobal_MigAppliSate!A:I,3,FALSE)</f>
        <v>U Express</v>
      </c>
      <c r="D365" s="1" t="str">
        <f ca="1">VLOOKUP(A365,Import_SuiviGlobal_MigAppliSate!A:I,4,FALSE)</f>
        <v>Coop U Enseigne Ouest</v>
      </c>
      <c r="E365">
        <f ca="1">VLOOKUP(A365,Import_SuiviGlobal_MigAppliSate!A:I,5,FALSE)</f>
        <v>35390</v>
      </c>
      <c r="F365" t="str">
        <f ca="1">VLOOKUP(A365,Import_SuiviGlobal_MigAppliSate!A:I,6,FALSE)</f>
        <v>ZAC DES LIZARDAIS</v>
      </c>
      <c r="G365" t="str">
        <f ca="1">VLOOKUP(A365,Import_SuiviGlobal_MigAppliSate!A:I,7,FALSE)</f>
        <v>02.99.08.42.90</v>
      </c>
      <c r="H365" t="str">
        <f ca="1">VLOOKUP(A365,Import_SuiviGlobal_MigAppliSate!A:I,8,FALSE)</f>
        <v>GOURDON Nathalie</v>
      </c>
      <c r="I365" t="str">
        <f ca="1">VLOOKUP(A365,Import_SuiviGlobal_MigAppliSate!A:I,9,FALSE)</f>
        <v>nathalie.gourdon@systeme-u.fr</v>
      </c>
      <c r="J365" s="24" t="str">
        <f ca="1">VLOOKUP(A365,Import_SuiviGlobal_MigAppliSate!A:K,10,FALSE)</f>
        <v>GOURDON Cyril</v>
      </c>
      <c r="K365" t="str">
        <f ca="1">VLOOKUP(A365,Import_SuiviGlobal_MigAppliSate!A:K,11,FALSE)</f>
        <v>cyril.gourdon@systeme-u.fr</v>
      </c>
      <c r="O365" s="1" t="s">
        <v>22</v>
      </c>
    </row>
    <row r="366" spans="1:15" ht="12.75" hidden="1" x14ac:dyDescent="0.2">
      <c r="A366">
        <v>35991</v>
      </c>
      <c r="B366" t="str">
        <f ca="1">VLOOKUP(A366,Import_SuiviGlobal_MigAppliSate!A:I,2,FALSE)</f>
        <v>GRAND-VILLAGE</v>
      </c>
      <c r="C366" t="str">
        <f ca="1">VLOOKUP(A366,Import_SuiviGlobal_MigAppliSate!A:I,3,FALSE)</f>
        <v>U Express</v>
      </c>
      <c r="D366" s="1" t="str">
        <f ca="1">VLOOKUP(A366,Import_SuiviGlobal_MigAppliSate!A:I,4,FALSE)</f>
        <v>Coop U Enseigne Ouest</v>
      </c>
      <c r="E366">
        <f ca="1">VLOOKUP(A366,Import_SuiviGlobal_MigAppliSate!A:I,5,FALSE)</f>
        <v>17370</v>
      </c>
      <c r="F366" t="str">
        <f ca="1">VLOOKUP(A366,Import_SuiviGlobal_MigAppliSate!A:I,6,FALSE)</f>
        <v>CENTRE COMMERCIAL GRAND VILLAGE</v>
      </c>
      <c r="G366" t="str">
        <f ca="1">VLOOKUP(A366,Import_SuiviGlobal_MigAppliSate!A:I,7,FALSE)</f>
        <v>05.46.47.50.11</v>
      </c>
      <c r="H366" t="str">
        <f ca="1">VLOOKUP(A366,Import_SuiviGlobal_MigAppliSate!A:I,8,FALSE)</f>
        <v>VAILLANT Pascal</v>
      </c>
      <c r="I366" t="str">
        <f ca="1">VLOOKUP(A366,Import_SuiviGlobal_MigAppliSate!A:I,9,FALSE)</f>
        <v>pascal.vaillant@systeme-u.fr</v>
      </c>
      <c r="J366" s="24" t="str">
        <f ca="1">VLOOKUP(A366,Import_SuiviGlobal_MigAppliSate!A:K,10,FALSE)</f>
        <v/>
      </c>
      <c r="K366" t="str">
        <f ca="1">VLOOKUP(A366,Import_SuiviGlobal_MigAppliSate!A:K,11,FALSE)</f>
        <v/>
      </c>
      <c r="O366" s="1" t="s">
        <v>22</v>
      </c>
    </row>
    <row r="367" spans="1:15" ht="12.75" hidden="1" x14ac:dyDescent="0.2">
      <c r="A367">
        <v>91271</v>
      </c>
      <c r="B367" t="str">
        <f ca="1">VLOOKUP(A367,Import_SuiviGlobal_MigAppliSate!A:I,2,FALSE)</f>
        <v>GRANS</v>
      </c>
      <c r="C367" t="str">
        <f ca="1">VLOOKUP(A367,Import_SuiviGlobal_MigAppliSate!A:I,3,FALSE)</f>
        <v>U Express</v>
      </c>
      <c r="D367" s="1" t="str">
        <f ca="1">VLOOKUP(A367,Import_SuiviGlobal_MigAppliSate!A:I,4,FALSE)</f>
        <v>Coop MISTRAL</v>
      </c>
      <c r="E367">
        <f ca="1">VLOOKUP(A367,Import_SuiviGlobal_MigAppliSate!A:I,5,FALSE)</f>
        <v>13450</v>
      </c>
      <c r="F367" t="str">
        <f ca="1">VLOOKUP(A367,Import_SuiviGlobal_MigAppliSate!A:I,6,FALSE)</f>
        <v>IMPASSE LES CHÊNES VERTS</v>
      </c>
      <c r="G367" t="str">
        <f ca="1">VLOOKUP(A367,Import_SuiviGlobal_MigAppliSate!A:I,7,FALSE)</f>
        <v>04.84.49.26.46</v>
      </c>
      <c r="H367" t="str">
        <f ca="1">VLOOKUP(A367,Import_SuiviGlobal_MigAppliSate!A:I,8,FALSE)</f>
        <v>VINET CHRISTOPHE</v>
      </c>
      <c r="I367" t="str">
        <f ca="1">VLOOKUP(A367,Import_SuiviGlobal_MigAppliSate!A:I,9,FALSE)</f>
        <v>uexpress.grans@mistral-u.fr</v>
      </c>
      <c r="J367" s="24" t="str">
        <f ca="1">VLOOKUP(A367,Import_SuiviGlobal_MigAppliSate!A:K,10,FALSE)</f>
        <v/>
      </c>
      <c r="K367" t="str">
        <f ca="1">VLOOKUP(A367,Import_SuiviGlobal_MigAppliSate!A:K,11,FALSE)</f>
        <v/>
      </c>
      <c r="O367" s="1" t="s">
        <v>22</v>
      </c>
    </row>
    <row r="368" spans="1:15" ht="12.75" hidden="1" x14ac:dyDescent="0.2">
      <c r="A368">
        <v>90615</v>
      </c>
      <c r="B368" t="str">
        <f ca="1">VLOOKUP(A368,Import_SuiviGlobal_MigAppliSate!A:I,2,FALSE)</f>
        <v>GRAVESON</v>
      </c>
      <c r="C368" t="str">
        <f ca="1">VLOOKUP(A368,Import_SuiviGlobal_MigAppliSate!A:I,3,FALSE)</f>
        <v>U Express</v>
      </c>
      <c r="D368" s="1" t="str">
        <f ca="1">VLOOKUP(A368,Import_SuiviGlobal_MigAppliSate!A:I,4,FALSE)</f>
        <v>Coop MISTRAL</v>
      </c>
      <c r="E368">
        <f ca="1">VLOOKUP(A368,Import_SuiviGlobal_MigAppliSate!A:I,5,FALSE)</f>
        <v>13690</v>
      </c>
      <c r="F368" t="str">
        <f ca="1">VLOOKUP(A368,Import_SuiviGlobal_MigAppliSate!A:I,6,FALSE)</f>
        <v>PLACE DU MARCHE</v>
      </c>
      <c r="G368" t="str">
        <f ca="1">VLOOKUP(A368,Import_SuiviGlobal_MigAppliSate!A:I,7,FALSE)</f>
        <v>04.90.95.83.50</v>
      </c>
      <c r="H368" t="str">
        <f ca="1">VLOOKUP(A368,Import_SuiviGlobal_MigAppliSate!A:I,8,FALSE)</f>
        <v>ROCHETTE Lionel</v>
      </c>
      <c r="I368" t="str">
        <f ca="1">VLOOKUP(A368,Import_SuiviGlobal_MigAppliSate!A:I,9,FALSE)</f>
        <v>uexpress.graveson@mistral-u.fr</v>
      </c>
      <c r="J368" s="24" t="str">
        <f ca="1">VLOOKUP(A368,Import_SuiviGlobal_MigAppliSate!A:K,10,FALSE)</f>
        <v/>
      </c>
      <c r="K368" t="str">
        <f ca="1">VLOOKUP(A368,Import_SuiviGlobal_MigAppliSate!A:K,11,FALSE)</f>
        <v>delphine.damian@lemistral.fr,helene.mina@lemistral.fr</v>
      </c>
      <c r="O368" s="1" t="s">
        <v>22</v>
      </c>
    </row>
    <row r="369" spans="1:15" ht="12.75" x14ac:dyDescent="0.2">
      <c r="A369">
        <v>95280</v>
      </c>
      <c r="B369" t="str">
        <f ca="1">VLOOKUP(A369,Import_SuiviGlobal_MigAppliSate!A:I,2,FALSE)</f>
        <v>GRENADE S/GARONNE</v>
      </c>
      <c r="C369" t="str">
        <f ca="1">VLOOKUP(A369,Import_SuiviGlobal_MigAppliSate!A:I,3,FALSE)</f>
        <v>Super U</v>
      </c>
      <c r="D369" s="1" t="str">
        <f ca="1">VLOOKUP(A369,Import_SuiviGlobal_MigAppliSate!A:I,4,FALSE)</f>
        <v>Coop U Enseigne Sud</v>
      </c>
      <c r="E369">
        <f ca="1">VLOOKUP(A369,Import_SuiviGlobal_MigAppliSate!A:I,5,FALSE)</f>
        <v>31330</v>
      </c>
      <c r="F369" t="str">
        <f ca="1">VLOOKUP(A369,Import_SuiviGlobal_MigAppliSate!A:I,6,FALSE)</f>
        <v>AVENUE PRESIDENT KENNEDY</v>
      </c>
      <c r="G369" t="str">
        <f ca="1">VLOOKUP(A369,Import_SuiviGlobal_MigAppliSate!A:I,7,FALSE)</f>
        <v>05.61.82.71.16</v>
      </c>
      <c r="H369" t="str">
        <f ca="1">VLOOKUP(A369,Import_SuiviGlobal_MigAppliSate!A:I,8,FALSE)</f>
        <v>LESOUDIER Ludovic</v>
      </c>
      <c r="I369" t="str">
        <f ca="1">VLOOKUP(A369,Import_SuiviGlobal_MigAppliSate!A:I,9,FALSE)</f>
        <v>ludovic.lesoudier@systeme-u.fr</v>
      </c>
      <c r="J369" s="24" t="str">
        <f ca="1">VLOOKUP(A369,Import_SuiviGlobal_MigAppliSate!A:K,10,FALSE)</f>
        <v>SOTY AURORE</v>
      </c>
      <c r="K369" t="str">
        <f ca="1">VLOOKUP(A369,Import_SuiviGlobal_MigAppliSate!A:K,11,FALSE)</f>
        <v>superu.grenadesurgaronne.informatique@systeme-u.fr</v>
      </c>
      <c r="L369" t="s">
        <v>17</v>
      </c>
      <c r="M369" t="s">
        <v>0</v>
      </c>
      <c r="O369" s="1" t="s">
        <v>22</v>
      </c>
    </row>
    <row r="370" spans="1:15" ht="12.75" hidden="1" x14ac:dyDescent="0.2">
      <c r="A370">
        <v>66980</v>
      </c>
      <c r="B370" t="str">
        <f ca="1">VLOOKUP(A370,Import_SuiviGlobal_MigAppliSate!A:I,2,FALSE)</f>
        <v>GRENOBLE VAILLANT</v>
      </c>
      <c r="C370" t="str">
        <f ca="1">VLOOKUP(A370,Import_SuiviGlobal_MigAppliSate!A:I,3,FALSE)</f>
        <v>Super U</v>
      </c>
      <c r="D370" s="1" t="str">
        <f ca="1">VLOOKUP(A370,Import_SuiviGlobal_MigAppliSate!A:I,4,FALSE)</f>
        <v>Coop U Enseigne Est</v>
      </c>
      <c r="E370">
        <f ca="1">VLOOKUP(A370,Import_SuiviGlobal_MigAppliSate!A:I,5,FALSE)</f>
        <v>38100</v>
      </c>
      <c r="F370" t="str">
        <f ca="1">VLOOKUP(A370,Import_SuiviGlobal_MigAppliSate!A:I,6,FALSE)</f>
        <v>10 RUE EDOUARD VAILLANT</v>
      </c>
      <c r="G370" t="str">
        <f ca="1">VLOOKUP(A370,Import_SuiviGlobal_MigAppliSate!A:I,7,FALSE)</f>
        <v>04.76.43.31.73</v>
      </c>
      <c r="H370" t="str">
        <f ca="1">VLOOKUP(A370,Import_SuiviGlobal_MigAppliSate!A:I,8,FALSE)</f>
        <v>BALAYE David</v>
      </c>
      <c r="I370" t="str">
        <f ca="1">VLOOKUP(A370,Import_SuiviGlobal_MigAppliSate!A:I,9,FALSE)</f>
        <v>david.balaye@systeme-u.fr</v>
      </c>
      <c r="J370" s="24" t="str">
        <f ca="1">VLOOKUP(A370,Import_SuiviGlobal_MigAppliSate!A:K,10,FALSE)</f>
        <v/>
      </c>
      <c r="K370" t="str">
        <f ca="1">VLOOKUP(A370,Import_SuiviGlobal_MigAppliSate!A:K,11,FALSE)</f>
        <v/>
      </c>
      <c r="O370" s="1" t="s">
        <v>22</v>
      </c>
    </row>
    <row r="371" spans="1:15" ht="12.75" x14ac:dyDescent="0.2">
      <c r="A371">
        <v>90667</v>
      </c>
      <c r="B371" t="str">
        <f ca="1">VLOOKUP(A371,Import_SuiviGlobal_MigAppliSate!A:I,2,FALSE)</f>
        <v>GRENOBLE VIZILLE</v>
      </c>
      <c r="C371" t="str">
        <f ca="1">VLOOKUP(A371,Import_SuiviGlobal_MigAppliSate!A:I,3,FALSE)</f>
        <v>U Express</v>
      </c>
      <c r="D371" s="1" t="str">
        <f ca="1">VLOOKUP(A371,Import_SuiviGlobal_MigAppliSate!A:I,4,FALSE)</f>
        <v>Coop MISTRAL</v>
      </c>
      <c r="E371">
        <f ca="1">VLOOKUP(A371,Import_SuiviGlobal_MigAppliSate!A:I,5,FALSE)</f>
        <v>38000</v>
      </c>
      <c r="F371" t="str">
        <f ca="1">VLOOKUP(A371,Import_SuiviGlobal_MigAppliSate!A:I,6,FALSE)</f>
        <v>11 - 13 - 15 AVENUE DE VIZILLE</v>
      </c>
      <c r="G371" t="str">
        <f ca="1">VLOOKUP(A371,Import_SuiviGlobal_MigAppliSate!A:I,7,FALSE)</f>
        <v>04.76.84.67.44</v>
      </c>
      <c r="H371" t="str">
        <f ca="1">VLOOKUP(A371,Import_SuiviGlobal_MigAppliSate!A:I,8,FALSE)</f>
        <v>SEROTINI Yannick</v>
      </c>
      <c r="I371" t="str">
        <f ca="1">VLOOKUP(A371,Import_SuiviGlobal_MigAppliSate!A:I,9,FALSE)</f>
        <v/>
      </c>
      <c r="J371" s="24" t="str">
        <f ca="1">VLOOKUP(A371,Import_SuiviGlobal_MigAppliSate!A:K,10,FALSE)</f>
        <v>Yannick Serotini/ Sylvain Lambinet</v>
      </c>
      <c r="K371" t="str">
        <f ca="1">VLOOKUP(A371,Import_SuiviGlobal_MigAppliSate!A:K,11,FALSE)</f>
        <v>uexpress.grenoblevizille@mistral-u.fr,delphine.damian@lemistral.fr,helene.mina@lemistral.fr</v>
      </c>
      <c r="L371" t="s">
        <v>17</v>
      </c>
      <c r="M371" s="1" t="s">
        <v>0</v>
      </c>
      <c r="O371" s="1" t="s">
        <v>22</v>
      </c>
    </row>
    <row r="372" spans="1:15" ht="12.75" hidden="1" x14ac:dyDescent="0.2">
      <c r="A372">
        <v>60068</v>
      </c>
      <c r="B372" t="str">
        <f ca="1">VLOOKUP(A372,Import_SuiviGlobal_MigAppliSate!A:I,2,FALSE)</f>
        <v>GUEBWILLER</v>
      </c>
      <c r="C372" t="str">
        <f ca="1">VLOOKUP(A372,Import_SuiviGlobal_MigAppliSate!A:I,3,FALSE)</f>
        <v>U Express</v>
      </c>
      <c r="D372" s="1" t="str">
        <f ca="1">VLOOKUP(A372,Import_SuiviGlobal_MigAppliSate!A:I,4,FALSE)</f>
        <v>Coop U Enseigne Est</v>
      </c>
      <c r="E372">
        <f ca="1">VLOOKUP(A372,Import_SuiviGlobal_MigAppliSate!A:I,5,FALSE)</f>
        <v>68500</v>
      </c>
      <c r="F372" t="str">
        <f ca="1">VLOOKUP(A372,Import_SuiviGlobal_MigAppliSate!A:I,6,FALSE)</f>
        <v>12 RUE DU 17 NOVEMBRE</v>
      </c>
      <c r="G372" t="str">
        <f ca="1">VLOOKUP(A372,Import_SuiviGlobal_MigAppliSate!A:I,7,FALSE)</f>
        <v>03.89.74.96.00</v>
      </c>
      <c r="H372" t="str">
        <f ca="1">VLOOKUP(A372,Import_SuiviGlobal_MigAppliSate!A:I,8,FALSE)</f>
        <v>MENDELEWSKI Nadia</v>
      </c>
      <c r="I372" t="str">
        <f ca="1">VLOOKUP(A372,Import_SuiviGlobal_MigAppliSate!A:I,9,FALSE)</f>
        <v>nadia.mendelewski@systeme-u.fr</v>
      </c>
      <c r="J372" s="24" t="str">
        <f ca="1">VLOOKUP(A372,Import_SuiviGlobal_MigAppliSate!A:K,10,FALSE)</f>
        <v/>
      </c>
      <c r="K372" t="str">
        <f ca="1">VLOOKUP(A372,Import_SuiviGlobal_MigAppliSate!A:K,11,FALSE)</f>
        <v/>
      </c>
      <c r="O372" s="1" t="s">
        <v>22</v>
      </c>
    </row>
    <row r="373" spans="1:15" ht="12.75" hidden="1" x14ac:dyDescent="0.2">
      <c r="A373">
        <v>60641</v>
      </c>
      <c r="B373" t="str">
        <f ca="1">VLOOKUP(A373,Import_SuiviGlobal_MigAppliSate!A:I,2,FALSE)</f>
        <v>GUEBWILLER</v>
      </c>
      <c r="C373" t="str">
        <f ca="1">VLOOKUP(A373,Import_SuiviGlobal_MigAppliSate!A:I,3,FALSE)</f>
        <v>Super U</v>
      </c>
      <c r="D373" s="1" t="str">
        <f ca="1">VLOOKUP(A373,Import_SuiviGlobal_MigAppliSate!A:I,4,FALSE)</f>
        <v>Coop U Enseigne Est</v>
      </c>
      <c r="E373">
        <f ca="1">VLOOKUP(A373,Import_SuiviGlobal_MigAppliSate!A:I,5,FALSE)</f>
        <v>68500</v>
      </c>
      <c r="F373" t="str">
        <f ca="1">VLOOKUP(A373,Import_SuiviGlobal_MigAppliSate!A:I,6,FALSE)</f>
        <v>10 RUE THÉODORE DECK</v>
      </c>
      <c r="G373" t="str">
        <f ca="1">VLOOKUP(A373,Import_SuiviGlobal_MigAppliSate!A:I,7,FALSE)</f>
        <v>03.89.62.14.62</v>
      </c>
      <c r="H373" t="str">
        <f ca="1">VLOOKUP(A373,Import_SuiviGlobal_MigAppliSate!A:I,8,FALSE)</f>
        <v>KOHLER RPT SAS FINANCIERE Christian</v>
      </c>
      <c r="I373" t="str">
        <f ca="1">VLOOKUP(A373,Import_SuiviGlobal_MigAppliSate!A:I,9,FALSE)</f>
        <v>christian.kohler@systeme-u.fr</v>
      </c>
      <c r="J373" s="24" t="str">
        <f ca="1">VLOOKUP(A373,Import_SuiviGlobal_MigAppliSate!A:K,10,FALSE)</f>
        <v>Annick KOHLER</v>
      </c>
      <c r="K373" t="str">
        <f ca="1">VLOOKUP(A373,Import_SuiviGlobal_MigAppliSate!A:K,11,FALSE)</f>
        <v>superu.guebwiller@systeme-u.fr</v>
      </c>
      <c r="O373" s="1" t="s">
        <v>22</v>
      </c>
    </row>
    <row r="374" spans="1:15" ht="12.75" hidden="1" x14ac:dyDescent="0.2">
      <c r="A374">
        <v>32690</v>
      </c>
      <c r="B374" t="str">
        <f ca="1">VLOOKUP(A374,Import_SuiviGlobal_MigAppliSate!A:I,2,FALSE)</f>
        <v>GUEMENE PENFAO</v>
      </c>
      <c r="C374" t="str">
        <f ca="1">VLOOKUP(A374,Import_SuiviGlobal_MigAppliSate!A:I,3,FALSE)</f>
        <v>Super U</v>
      </c>
      <c r="D374" s="1" t="str">
        <f ca="1">VLOOKUP(A374,Import_SuiviGlobal_MigAppliSate!A:I,4,FALSE)</f>
        <v>Coop U Enseigne Ouest</v>
      </c>
      <c r="E374">
        <f ca="1">VLOOKUP(A374,Import_SuiviGlobal_MigAppliSate!A:I,5,FALSE)</f>
        <v>44290</v>
      </c>
      <c r="F374" t="str">
        <f ca="1">VLOOKUP(A374,Import_SuiviGlobal_MigAppliSate!A:I,6,FALSE)</f>
        <v>33 ROUTE BESLE</v>
      </c>
      <c r="G374" t="str">
        <f ca="1">VLOOKUP(A374,Import_SuiviGlobal_MigAppliSate!A:I,7,FALSE)</f>
        <v>02.40.79.22.11</v>
      </c>
      <c r="H374" t="str">
        <f ca="1">VLOOKUP(A374,Import_SuiviGlobal_MigAppliSate!A:I,8,FALSE)</f>
        <v>SORIN BENOIT</v>
      </c>
      <c r="I374" t="str">
        <f ca="1">VLOOKUP(A374,Import_SuiviGlobal_MigAppliSate!A:I,9,FALSE)</f>
        <v>benoit.sorin@systeme-u.fr</v>
      </c>
      <c r="J374" s="24" t="str">
        <f ca="1">VLOOKUP(A374,Import_SuiviGlobal_MigAppliSate!A:K,10,FALSE)</f>
        <v>RYO Fabrice</v>
      </c>
      <c r="K374" t="str">
        <f ca="1">VLOOKUP(A374,Import_SuiviGlobal_MigAppliSate!A:K,11,FALSE)</f>
        <v>fabrice.ryo@systeme-u.fr</v>
      </c>
      <c r="O374" s="1" t="s">
        <v>22</v>
      </c>
    </row>
    <row r="375" spans="1:15" ht="12.75" hidden="1" x14ac:dyDescent="0.2">
      <c r="A375">
        <v>35290</v>
      </c>
      <c r="B375" t="str">
        <f ca="1">VLOOKUP(A375,Import_SuiviGlobal_MigAppliSate!A:I,2,FALSE)</f>
        <v>GUICHEN</v>
      </c>
      <c r="C375" t="str">
        <f ca="1">VLOOKUP(A375,Import_SuiviGlobal_MigAppliSate!A:I,3,FALSE)</f>
        <v>Hyper U</v>
      </c>
      <c r="D375" s="1" t="str">
        <f ca="1">VLOOKUP(A375,Import_SuiviGlobal_MigAppliSate!A:I,4,FALSE)</f>
        <v>Coop U Enseigne Ouest</v>
      </c>
      <c r="E375">
        <f ca="1">VLOOKUP(A375,Import_SuiviGlobal_MigAppliSate!A:I,5,FALSE)</f>
        <v>35580</v>
      </c>
      <c r="F375" t="str">
        <f ca="1">VLOOKUP(A375,Import_SuiviGlobal_MigAppliSate!A:I,6,FALSE)</f>
        <v>11, RUE LOUIS AMPÈRE</v>
      </c>
      <c r="G375" t="str">
        <f ca="1">VLOOKUP(A375,Import_SuiviGlobal_MigAppliSate!A:I,7,FALSE)</f>
        <v>02.99.57.07.87</v>
      </c>
      <c r="H375" t="str">
        <f ca="1">VLOOKUP(A375,Import_SuiviGlobal_MigAppliSate!A:I,8,FALSE)</f>
        <v>DUPLAA RPT SAS HARMONIDIS Laetitia</v>
      </c>
      <c r="I375" t="str">
        <f ca="1">VLOOKUP(A375,Import_SuiviGlobal_MigAppliSate!A:I,9,FALSE)</f>
        <v>laetitia.duplaa@systeme-u.fr</v>
      </c>
      <c r="J375" s="24" t="str">
        <f ca="1">VLOOKUP(A375,Import_SuiviGlobal_MigAppliSate!A:K,10,FALSE)</f>
        <v>Mme Attimon
Stéphanie Herviault</v>
      </c>
      <c r="K375" t="str">
        <f ca="1">VLOOKUP(A375,Import_SuiviGlobal_MigAppliSate!A:K,11,FALSE)</f>
        <v>hyperu.guichen@systeme-u.fr, severine.attimon@systeme-u.fr, hyperu.guichen.direction@systeme-u.fr</v>
      </c>
      <c r="O375" s="1" t="s">
        <v>22</v>
      </c>
    </row>
    <row r="376" spans="1:15" ht="12.75" x14ac:dyDescent="0.2">
      <c r="A376">
        <v>37927</v>
      </c>
      <c r="B376" t="str">
        <f ca="1">VLOOKUP(A376,Import_SuiviGlobal_MigAppliSate!A:I,2,FALSE)</f>
        <v>GUIDEL</v>
      </c>
      <c r="C376" t="str">
        <f ca="1">VLOOKUP(A376,Import_SuiviGlobal_MigAppliSate!A:I,3,FALSE)</f>
        <v>Super U</v>
      </c>
      <c r="D376" s="1" t="str">
        <f ca="1">VLOOKUP(A376,Import_SuiviGlobal_MigAppliSate!A:I,4,FALSE)</f>
        <v>Coop U Enseigne Ouest</v>
      </c>
      <c r="E376">
        <f ca="1">VLOOKUP(A376,Import_SuiviGlobal_MigAppliSate!A:I,5,FALSE)</f>
        <v>56520</v>
      </c>
      <c r="F376" t="str">
        <f ca="1">VLOOKUP(A376,Import_SuiviGlobal_MigAppliSate!A:I,6,FALSE)</f>
        <v>ROUTE DES PLAGES</v>
      </c>
      <c r="G376" t="str">
        <f ca="1">VLOOKUP(A376,Import_SuiviGlobal_MigAppliSate!A:I,7,FALSE)</f>
        <v>02.97.02.95.15</v>
      </c>
      <c r="H376" t="str">
        <f ca="1">VLOOKUP(A376,Import_SuiviGlobal_MigAppliSate!A:I,8,FALSE)</f>
        <v>PRODHOMME RPT SARL SOFICRI Christian</v>
      </c>
      <c r="I376" t="str">
        <f ca="1">VLOOKUP(A376,Import_SuiviGlobal_MigAppliSate!A:I,9,FALSE)</f>
        <v>christian.prodhomme@systeme-u.fr</v>
      </c>
      <c r="J376" s="24" t="str">
        <f ca="1">VLOOKUP(A376,Import_SuiviGlobal_MigAppliSate!A:K,10,FALSE)</f>
        <v>M. THORON
Sandrine (UPLV)</v>
      </c>
      <c r="K376" t="str">
        <f ca="1">VLOOKUP(A376,Import_SuiviGlobal_MigAppliSate!A:K,11,FALSE)</f>
        <v>superu.guidel@systeme-u.fr, superu.guidel.accueil@systeme-u.fr</v>
      </c>
      <c r="L376" t="s">
        <v>17</v>
      </c>
      <c r="M376" t="s">
        <v>0</v>
      </c>
      <c r="O376" s="1" t="s">
        <v>22</v>
      </c>
    </row>
    <row r="377" spans="1:15" ht="12.75" hidden="1" x14ac:dyDescent="0.2">
      <c r="A377">
        <v>37492</v>
      </c>
      <c r="B377" t="str">
        <f ca="1">VLOOKUP(A377,Import_SuiviGlobal_MigAppliSate!A:I,2,FALSE)</f>
        <v>GUIPAVAS</v>
      </c>
      <c r="C377" t="str">
        <f ca="1">VLOOKUP(A377,Import_SuiviGlobal_MigAppliSate!A:I,3,FALSE)</f>
        <v>Super U</v>
      </c>
      <c r="D377" s="1" t="str">
        <f ca="1">VLOOKUP(A377,Import_SuiviGlobal_MigAppliSate!A:I,4,FALSE)</f>
        <v>Coop U Enseigne Ouest</v>
      </c>
      <c r="E377">
        <f ca="1">VLOOKUP(A377,Import_SuiviGlobal_MigAppliSate!A:I,5,FALSE)</f>
        <v>29490</v>
      </c>
      <c r="F377" t="str">
        <f ca="1">VLOOKUP(A377,Import_SuiviGlobal_MigAppliSate!A:I,6,FALSE)</f>
        <v>85, RUE ANNE DE BRETAGNE</v>
      </c>
      <c r="G377" t="str">
        <f ca="1">VLOOKUP(A377,Import_SuiviGlobal_MigAppliSate!A:I,7,FALSE)</f>
        <v>02.98.84.62.22</v>
      </c>
      <c r="H377" t="str">
        <f ca="1">VLOOKUP(A377,Import_SuiviGlobal_MigAppliSate!A:I,8,FALSE)</f>
        <v>LE GOFF Gildas</v>
      </c>
      <c r="I377" t="str">
        <f ca="1">VLOOKUP(A377,Import_SuiviGlobal_MigAppliSate!A:I,9,FALSE)</f>
        <v>gildas.le-goff@systeme-u.fr</v>
      </c>
      <c r="J377" s="24" t="str">
        <f ca="1">VLOOKUP(A377,Import_SuiviGlobal_MigAppliSate!A:K,10,FALSE)</f>
        <v>CLAQUIN Franck</v>
      </c>
      <c r="K377" t="str">
        <f ca="1">VLOOKUP(A377,Import_SuiviGlobal_MigAppliSate!A:K,11,FALSE)</f>
        <v>superu.guipavas.sav@systeme-u.fr</v>
      </c>
      <c r="O377" s="1" t="s">
        <v>22</v>
      </c>
    </row>
    <row r="378" spans="1:15" ht="12.75" hidden="1" x14ac:dyDescent="0.2">
      <c r="A378">
        <v>35479</v>
      </c>
      <c r="B378" t="str">
        <f ca="1">VLOOKUP(A378,Import_SuiviGlobal_MigAppliSate!A:I,2,FALSE)</f>
        <v>GUIPRY</v>
      </c>
      <c r="C378" t="str">
        <f ca="1">VLOOKUP(A378,Import_SuiviGlobal_MigAppliSate!A:I,3,FALSE)</f>
        <v>Super U</v>
      </c>
      <c r="D378" s="1" t="str">
        <f ca="1">VLOOKUP(A378,Import_SuiviGlobal_MigAppliSate!A:I,4,FALSE)</f>
        <v>Coop U Enseigne Ouest</v>
      </c>
      <c r="E378">
        <f ca="1">VLOOKUP(A378,Import_SuiviGlobal_MigAppliSate!A:I,5,FALSE)</f>
        <v>35480</v>
      </c>
      <c r="F378" t="str">
        <f ca="1">VLOOKUP(A378,Import_SuiviGlobal_MigAppliSate!A:I,6,FALSE)</f>
        <v>35 AVENUE DU PORT</v>
      </c>
      <c r="G378" t="str">
        <f ca="1">VLOOKUP(A378,Import_SuiviGlobal_MigAppliSate!A:I,7,FALSE)</f>
        <v>02.99.34.71.79</v>
      </c>
      <c r="H378" t="str">
        <f ca="1">VLOOKUP(A378,Import_SuiviGlobal_MigAppliSate!A:I,8,FALSE)</f>
        <v>BRIAND RPT SARL FINANCIERE VAD Mathilde</v>
      </c>
      <c r="I378" t="str">
        <f ca="1">VLOOKUP(A378,Import_SuiviGlobal_MigAppliSate!A:I,9,FALSE)</f>
        <v>mathilde.briand@systeme-u.fr</v>
      </c>
      <c r="J378" s="24" t="str">
        <f ca="1">VLOOKUP(A378,Import_SuiviGlobal_MigAppliSate!A:K,10,FALSE)</f>
        <v>sorel julie</v>
      </c>
      <c r="K378" t="str">
        <f ca="1">VLOOKUP(A378,Import_SuiviGlobal_MigAppliSate!A:K,11,FALSE)</f>
        <v>julie.sorel@systeme-u.fr</v>
      </c>
      <c r="O378" s="1" t="s">
        <v>22</v>
      </c>
    </row>
    <row r="379" spans="1:15" ht="12.75" hidden="1" x14ac:dyDescent="0.2">
      <c r="A379">
        <v>95258</v>
      </c>
      <c r="B379" t="str">
        <f ca="1">VLOOKUP(A379,Import_SuiviGlobal_MigAppliSate!A:I,2,FALSE)</f>
        <v>GUJAN MESTRAS</v>
      </c>
      <c r="C379" t="str">
        <f ca="1">VLOOKUP(A379,Import_SuiviGlobal_MigAppliSate!A:I,3,FALSE)</f>
        <v>Hyper U</v>
      </c>
      <c r="D379" s="1" t="str">
        <f ca="1">VLOOKUP(A379,Import_SuiviGlobal_MigAppliSate!A:I,4,FALSE)</f>
        <v>Coop U Enseigne Sud</v>
      </c>
      <c r="E379">
        <f ca="1">VLOOKUP(A379,Import_SuiviGlobal_MigAppliSate!A:I,5,FALSE)</f>
        <v>33470</v>
      </c>
      <c r="F379" t="str">
        <f ca="1">VLOOKUP(A379,Import_SuiviGlobal_MigAppliSate!A:I,6,FALSE)</f>
        <v>AVENUE DE CESAREE</v>
      </c>
      <c r="G379" t="str">
        <f ca="1">VLOOKUP(A379,Import_SuiviGlobal_MigAppliSate!A:I,7,FALSE)</f>
        <v>05.56.22.36.00</v>
      </c>
      <c r="H379" t="str">
        <f ca="1">VLOOKUP(A379,Import_SuiviGlobal_MigAppliSate!A:I,8,FALSE)</f>
        <v>VALLIER Jerome</v>
      </c>
      <c r="I379" t="str">
        <f ca="1">VLOOKUP(A379,Import_SuiviGlobal_MigAppliSate!A:I,9,FALSE)</f>
        <v>jerome.vallier@systeme-u.fr</v>
      </c>
      <c r="J379" s="24" t="str">
        <f ca="1">VLOOKUP(A379,Import_SuiviGlobal_MigAppliSate!A:K,10,FALSE)</f>
        <v>Mme. Gosselin</v>
      </c>
      <c r="K379" t="str">
        <f ca="1">VLOOKUP(A379,Import_SuiviGlobal_MigAppliSate!A:K,11,FALSE)</f>
        <v>hyperu.gujanmestras.qualite@systeme-u.fr</v>
      </c>
      <c r="O379" s="1" t="s">
        <v>22</v>
      </c>
    </row>
    <row r="380" spans="1:15" ht="12.75" hidden="1" x14ac:dyDescent="0.2">
      <c r="A380">
        <v>68536</v>
      </c>
      <c r="B380" t="str">
        <f ca="1">VLOOKUP(A380,Import_SuiviGlobal_MigAppliSate!A:I,2,FALSE)</f>
        <v>GUNDERSHOFFEN</v>
      </c>
      <c r="C380" t="str">
        <f ca="1">VLOOKUP(A380,Import_SuiviGlobal_MigAppliSate!A:I,3,FALSE)</f>
        <v>Super U</v>
      </c>
      <c r="D380" s="1" t="str">
        <f ca="1">VLOOKUP(A380,Import_SuiviGlobal_MigAppliSate!A:I,4,FALSE)</f>
        <v>Coop U Enseigne Est</v>
      </c>
      <c r="E380">
        <f ca="1">VLOOKUP(A380,Import_SuiviGlobal_MigAppliSate!A:I,5,FALSE)</f>
        <v>67110</v>
      </c>
      <c r="F380" t="str">
        <f ca="1">VLOOKUP(A380,Import_SuiviGlobal_MigAppliSate!A:I,6,FALSE)</f>
        <v>ZA DE LA HARDT</v>
      </c>
      <c r="G380" t="str">
        <f ca="1">VLOOKUP(A380,Import_SuiviGlobal_MigAppliSate!A:I,7,FALSE)</f>
        <v>03.88.07.84.60</v>
      </c>
      <c r="H380" t="str">
        <f ca="1">VLOOKUP(A380,Import_SuiviGlobal_MigAppliSate!A:I,8,FALSE)</f>
        <v>LEROY Emmanuel</v>
      </c>
      <c r="I380" t="str">
        <f ca="1">VLOOKUP(A380,Import_SuiviGlobal_MigAppliSate!A:I,9,FALSE)</f>
        <v>emmanuel.leroy@systeme-u.fr</v>
      </c>
      <c r="J380" s="24" t="str">
        <f ca="1">VLOOKUP(A380,Import_SuiviGlobal_MigAppliSate!A:K,10,FALSE)</f>
        <v/>
      </c>
      <c r="K380" t="str">
        <f ca="1">VLOOKUP(A380,Import_SuiviGlobal_MigAppliSate!A:K,11,FALSE)</f>
        <v/>
      </c>
      <c r="O380" s="1" t="s">
        <v>22</v>
      </c>
    </row>
    <row r="381" spans="1:15" ht="12.75" hidden="1" x14ac:dyDescent="0.2">
      <c r="A381">
        <v>23700</v>
      </c>
      <c r="B381" t="str">
        <f ca="1">VLOOKUP(A381,Import_SuiviGlobal_MigAppliSate!A:I,2,FALSE)</f>
        <v>GUYANCOURT</v>
      </c>
      <c r="C381" t="str">
        <f ca="1">VLOOKUP(A381,Import_SuiviGlobal_MigAppliSate!A:I,3,FALSE)</f>
        <v>U Express</v>
      </c>
      <c r="D381" s="1" t="str">
        <f ca="1">VLOOKUP(A381,Import_SuiviGlobal_MigAppliSate!A:I,4,FALSE)</f>
        <v>Coop U Enseigne NordOuest</v>
      </c>
      <c r="E381">
        <f ca="1">VLOOKUP(A381,Import_SuiviGlobal_MigAppliSate!A:I,5,FALSE)</f>
        <v>78280</v>
      </c>
      <c r="F381" t="str">
        <f ca="1">VLOOKUP(A381,Import_SuiviGlobal_MigAppliSate!A:I,6,FALSE)</f>
        <v>CENTRE COMMERCIAL LOUIS BLÉRIOT</v>
      </c>
      <c r="G381" t="str">
        <f ca="1">VLOOKUP(A381,Import_SuiviGlobal_MigAppliSate!A:I,7,FALSE)</f>
        <v>01.30.48.21.40</v>
      </c>
      <c r="H381" t="str">
        <f ca="1">VLOOKUP(A381,Import_SuiviGlobal_MigAppliSate!A:I,8,FALSE)</f>
        <v>GILLIET Frédéric</v>
      </c>
      <c r="I381" t="str">
        <f ca="1">VLOOKUP(A381,Import_SuiviGlobal_MigAppliSate!A:I,9,FALSE)</f>
        <v>frederic.gilliet@systeme-u.fr</v>
      </c>
      <c r="J381" s="24" t="str">
        <f ca="1">VLOOKUP(A381,Import_SuiviGlobal_MigAppliSate!A:K,10,FALSE)</f>
        <v/>
      </c>
      <c r="K381" t="str">
        <f ca="1">VLOOKUP(A381,Import_SuiviGlobal_MigAppliSate!A:K,11,FALSE)</f>
        <v/>
      </c>
      <c r="O381" s="1" t="s">
        <v>22</v>
      </c>
    </row>
    <row r="382" spans="1:15" ht="12.75" hidden="1" x14ac:dyDescent="0.2">
      <c r="A382">
        <v>21643</v>
      </c>
      <c r="B382" t="str">
        <f ca="1">VLOOKUP(A382,Import_SuiviGlobal_MigAppliSate!A:I,2,FALSE)</f>
        <v>HANCHES</v>
      </c>
      <c r="C382" t="str">
        <f ca="1">VLOOKUP(A382,Import_SuiviGlobal_MigAppliSate!A:I,3,FALSE)</f>
        <v>Hyper U</v>
      </c>
      <c r="D382" s="1" t="str">
        <f ca="1">VLOOKUP(A382,Import_SuiviGlobal_MigAppliSate!A:I,4,FALSE)</f>
        <v>Coop U Enseigne NordOuest</v>
      </c>
      <c r="E382">
        <f ca="1">VLOOKUP(A382,Import_SuiviGlobal_MigAppliSate!A:I,5,FALSE)</f>
        <v>28130</v>
      </c>
      <c r="F382" t="str">
        <f ca="1">VLOOKUP(A382,Import_SuiviGlobal_MigAppliSate!A:I,6,FALSE)</f>
        <v>ROUTE DE GALLARDON</v>
      </c>
      <c r="G382" t="str">
        <f ca="1">VLOOKUP(A382,Import_SuiviGlobal_MigAppliSate!A:I,7,FALSE)</f>
        <v>02.37.18.28.60</v>
      </c>
      <c r="H382" t="str">
        <f ca="1">VLOOKUP(A382,Import_SuiviGlobal_MigAppliSate!A:I,8,FALSE)</f>
        <v>DIERICK Sébastien</v>
      </c>
      <c r="I382" t="str">
        <f ca="1">VLOOKUP(A382,Import_SuiviGlobal_MigAppliSate!A:I,9,FALSE)</f>
        <v>sebastien.dierick@systeme-u.fr</v>
      </c>
      <c r="J382" s="24" t="str">
        <f ca="1">VLOOKUP(A382,Import_SuiviGlobal_MigAppliSate!A:K,10,FALSE)</f>
        <v>Cathy LEHOUX</v>
      </c>
      <c r="K382" t="str">
        <f ca="1">VLOOKUP(A382,Import_SuiviGlobal_MigAppliSate!A:K,11,FALSE)</f>
        <v>hyperu.hanches@systeme-u.fr</v>
      </c>
      <c r="O382" s="1" t="s">
        <v>22</v>
      </c>
    </row>
    <row r="383" spans="1:15" ht="12.75" hidden="1" x14ac:dyDescent="0.2">
      <c r="A383">
        <v>38034</v>
      </c>
      <c r="B383" t="str">
        <f ca="1">VLOOKUP(A383,Import_SuiviGlobal_MigAppliSate!A:I,2,FALSE)</f>
        <v>HAUTE-GOULAINE</v>
      </c>
      <c r="C383" t="str">
        <f ca="1">VLOOKUP(A383,Import_SuiviGlobal_MigAppliSate!A:I,3,FALSE)</f>
        <v>U Express</v>
      </c>
      <c r="D383" s="1" t="str">
        <f ca="1">VLOOKUP(A383,Import_SuiviGlobal_MigAppliSate!A:I,4,FALSE)</f>
        <v>Coop U Enseigne Ouest</v>
      </c>
      <c r="E383">
        <f ca="1">VLOOKUP(A383,Import_SuiviGlobal_MigAppliSate!A:I,5,FALSE)</f>
        <v>44115</v>
      </c>
      <c r="F383" t="str">
        <f ca="1">VLOOKUP(A383,Import_SuiviGlobal_MigAppliSate!A:I,6,FALSE)</f>
        <v>9 PLACE BEAUSOLEIL</v>
      </c>
      <c r="G383" t="str">
        <f ca="1">VLOOKUP(A383,Import_SuiviGlobal_MigAppliSate!A:I,7,FALSE)</f>
        <v>02.40.06.12.69</v>
      </c>
      <c r="H383" t="str">
        <f ca="1">VLOOKUP(A383,Import_SuiviGlobal_MigAppliSate!A:I,8,FALSE)</f>
        <v>LEVRON Jean-Claude</v>
      </c>
      <c r="I383" t="str">
        <f ca="1">VLOOKUP(A383,Import_SuiviGlobal_MigAppliSate!A:I,9,FALSE)</f>
        <v>samuel.levron@systeme-u.fr</v>
      </c>
      <c r="J383" s="24" t="str">
        <f ca="1">VLOOKUP(A383,Import_SuiviGlobal_MigAppliSate!A:K,10,FALSE)</f>
        <v>Mme Grelot</v>
      </c>
      <c r="K383" t="str">
        <f ca="1">VLOOKUP(A383,Import_SuiviGlobal_MigAppliSate!A:K,11,FALSE)</f>
        <v>uexpress.hautegoulaine@systeme-u.fr</v>
      </c>
      <c r="O383" s="1" t="s">
        <v>22</v>
      </c>
    </row>
    <row r="384" spans="1:15" ht="12.75" hidden="1" x14ac:dyDescent="0.2">
      <c r="A384">
        <v>25932</v>
      </c>
      <c r="B384" t="str">
        <f ca="1">VLOOKUP(A384,Import_SuiviGlobal_MigAppliSate!A:I,2,FALSE)</f>
        <v>HAZEBROUCK</v>
      </c>
      <c r="C384" t="str">
        <f ca="1">VLOOKUP(A384,Import_SuiviGlobal_MigAppliSate!A:I,3,FALSE)</f>
        <v>Super U</v>
      </c>
      <c r="D384" s="1" t="str">
        <f ca="1">VLOOKUP(A384,Import_SuiviGlobal_MigAppliSate!A:I,4,FALSE)</f>
        <v>Coop U Enseigne NordOuest</v>
      </c>
      <c r="E384">
        <f ca="1">VLOOKUP(A384,Import_SuiviGlobal_MigAppliSate!A:I,5,FALSE)</f>
        <v>59190</v>
      </c>
      <c r="F384" t="str">
        <f ca="1">VLOOKUP(A384,Import_SuiviGlobal_MigAppliSate!A:I,6,FALSE)</f>
        <v>88 RUE NOTRE DAME</v>
      </c>
      <c r="G384" t="str">
        <f ca="1">VLOOKUP(A384,Import_SuiviGlobal_MigAppliSate!A:I,7,FALSE)</f>
        <v>03.28.41.48.05</v>
      </c>
      <c r="H384" t="str">
        <f ca="1">VLOOKUP(A384,Import_SuiviGlobal_MigAppliSate!A:I,8,FALSE)</f>
        <v>WILLEPOTTE Marius-Christophe</v>
      </c>
      <c r="I384" t="str">
        <f ca="1">VLOOKUP(A384,Import_SuiviGlobal_MigAppliSate!A:I,9,FALSE)</f>
        <v>marius.willepotte@systeme-u.fr</v>
      </c>
      <c r="J384" s="24" t="str">
        <f ca="1">VLOOKUP(A384,Import_SuiviGlobal_MigAppliSate!A:K,10,FALSE)</f>
        <v>GOMBERT CHRISTOPHE</v>
      </c>
      <c r="K384" t="str">
        <f ca="1">VLOOKUP(A384,Import_SuiviGlobal_MigAppliSate!A:K,11,FALSE)</f>
        <v>superu.hazebrouck.direction@systeme-u.fr</v>
      </c>
      <c r="O384" s="1" t="s">
        <v>22</v>
      </c>
    </row>
    <row r="385" spans="1:15" ht="12.75" hidden="1" x14ac:dyDescent="0.2">
      <c r="A385">
        <v>60013</v>
      </c>
      <c r="B385" t="str">
        <f ca="1">VLOOKUP(A385,Import_SuiviGlobal_MigAppliSate!A:I,2,FALSE)</f>
        <v>HERBITZHEIM</v>
      </c>
      <c r="C385" t="str">
        <f ca="1">VLOOKUP(A385,Import_SuiviGlobal_MigAppliSate!A:I,3,FALSE)</f>
        <v>U Express</v>
      </c>
      <c r="D385" s="1" t="str">
        <f ca="1">VLOOKUP(A385,Import_SuiviGlobal_MigAppliSate!A:I,4,FALSE)</f>
        <v>Coop U Enseigne Est</v>
      </c>
      <c r="E385">
        <f ca="1">VLOOKUP(A385,Import_SuiviGlobal_MigAppliSate!A:I,5,FALSE)</f>
        <v>67260</v>
      </c>
      <c r="F385" t="str">
        <f ca="1">VLOOKUP(A385,Import_SuiviGlobal_MigAppliSate!A:I,6,FALSE)</f>
        <v>55 RUE DE KESKASTEL</v>
      </c>
      <c r="G385" t="str">
        <f ca="1">VLOOKUP(A385,Import_SuiviGlobal_MigAppliSate!A:I,7,FALSE)</f>
        <v>03.88.00.52.52</v>
      </c>
      <c r="H385" t="str">
        <f ca="1">VLOOKUP(A385,Import_SuiviGlobal_MigAppliSate!A:I,8,FALSE)</f>
        <v>ZIMMERMANN Jean-Luc</v>
      </c>
      <c r="I385" t="str">
        <f ca="1">VLOOKUP(A385,Import_SuiviGlobal_MigAppliSate!A:I,9,FALSE)</f>
        <v>jean-luc.zimmermann@systeme-u.fr</v>
      </c>
      <c r="J385" s="24" t="str">
        <f ca="1">VLOOKUP(A385,Import_SuiviGlobal_MigAppliSate!A:K,10,FALSE)</f>
        <v/>
      </c>
      <c r="K385" t="str">
        <f ca="1">VLOOKUP(A385,Import_SuiviGlobal_MigAppliSate!A:K,11,FALSE)</f>
        <v/>
      </c>
      <c r="L385" s="1" t="s">
        <v>17</v>
      </c>
      <c r="M385" s="1" t="s">
        <v>24</v>
      </c>
      <c r="N385" s="1" t="s">
        <v>18</v>
      </c>
      <c r="O385" s="1" t="s">
        <v>28</v>
      </c>
    </row>
    <row r="386" spans="1:15" ht="12.75" hidden="1" x14ac:dyDescent="0.2">
      <c r="A386">
        <v>23530</v>
      </c>
      <c r="B386" t="str">
        <f ca="1">VLOOKUP(A386,Import_SuiviGlobal_MigAppliSate!A:I,2,FALSE)</f>
        <v>HERBLAY</v>
      </c>
      <c r="C386" t="str">
        <f ca="1">VLOOKUP(A386,Import_SuiviGlobal_MigAppliSate!A:I,3,FALSE)</f>
        <v>Super U</v>
      </c>
      <c r="D386" s="1" t="str">
        <f ca="1">VLOOKUP(A386,Import_SuiviGlobal_MigAppliSate!A:I,4,FALSE)</f>
        <v>Coop U Enseigne NordOuest</v>
      </c>
      <c r="E386">
        <f ca="1">VLOOKUP(A386,Import_SuiviGlobal_MigAppliSate!A:I,5,FALSE)</f>
        <v>95220</v>
      </c>
      <c r="F386" t="str">
        <f ca="1">VLOOKUP(A386,Import_SuiviGlobal_MigAppliSate!A:I,6,FALSE)</f>
        <v>MAIL JEAN-BAPTISTE POQUELIN</v>
      </c>
      <c r="G386" t="str">
        <f ca="1">VLOOKUP(A386,Import_SuiviGlobal_MigAppliSate!A:I,7,FALSE)</f>
        <v>01.39.97.01.51</v>
      </c>
      <c r="H386" t="str">
        <f ca="1">VLOOKUP(A386,Import_SuiviGlobal_MigAppliSate!A:I,8,FALSE)</f>
        <v>BOINNE Patrick</v>
      </c>
      <c r="I386" t="str">
        <f ca="1">VLOOKUP(A386,Import_SuiviGlobal_MigAppliSate!A:I,9,FALSE)</f>
        <v>patrick.boinne@systeme-u.fr</v>
      </c>
      <c r="J386" s="24" t="str">
        <f ca="1">VLOOKUP(A386,Import_SuiviGlobal_MigAppliSate!A:K,10,FALSE)</f>
        <v>Coubard Yohann</v>
      </c>
      <c r="K386" t="str">
        <f ca="1">VLOOKUP(A386,Import_SuiviGlobal_MigAppliSate!A:K,11,FALSE)</f>
        <v>yohann.superu@gmail.com</v>
      </c>
      <c r="O386" s="1" t="s">
        <v>22</v>
      </c>
    </row>
    <row r="387" spans="1:15" ht="12.75" hidden="1" x14ac:dyDescent="0.2">
      <c r="A387">
        <v>36394</v>
      </c>
      <c r="B387" t="str">
        <f ca="1">VLOOKUP(A387,Import_SuiviGlobal_MigAppliSate!A:I,2,FALSE)</f>
        <v>HERIC</v>
      </c>
      <c r="C387" t="str">
        <f ca="1">VLOOKUP(A387,Import_SuiviGlobal_MigAppliSate!A:I,3,FALSE)</f>
        <v>Super U</v>
      </c>
      <c r="D387" s="1" t="str">
        <f ca="1">VLOOKUP(A387,Import_SuiviGlobal_MigAppliSate!A:I,4,FALSE)</f>
        <v>Coop U Enseigne Ouest</v>
      </c>
      <c r="E387">
        <f ca="1">VLOOKUP(A387,Import_SuiviGlobal_MigAppliSate!A:I,5,FALSE)</f>
        <v>44810</v>
      </c>
      <c r="F387" t="str">
        <f ca="1">VLOOKUP(A387,Import_SuiviGlobal_MigAppliSate!A:I,6,FALSE)</f>
        <v>51 RUE DE L'OCEAN</v>
      </c>
      <c r="G387" t="str">
        <f ca="1">VLOOKUP(A387,Import_SuiviGlobal_MigAppliSate!A:I,7,FALSE)</f>
        <v>02.40.57.60.49</v>
      </c>
      <c r="H387" t="str">
        <f ca="1">VLOOKUP(A387,Import_SuiviGlobal_MigAppliSate!A:I,8,FALSE)</f>
        <v>MASSON Gilles</v>
      </c>
      <c r="I387" t="str">
        <f ca="1">VLOOKUP(A387,Import_SuiviGlobal_MigAppliSate!A:I,9,FALSE)</f>
        <v>gilles.masson@systeme-u.fr</v>
      </c>
      <c r="J387" s="24" t="str">
        <f ca="1">VLOOKUP(A387,Import_SuiviGlobal_MigAppliSate!A:K,10,FALSE)</f>
        <v>Mme Angélique Dagau</v>
      </c>
      <c r="K387" t="str">
        <f ca="1">VLOOKUP(A387,Import_SuiviGlobal_MigAppliSate!A:K,11,FALSE)</f>
        <v>superu.heric.informatique@systeme-u.fr</v>
      </c>
      <c r="O387" s="1" t="s">
        <v>22</v>
      </c>
    </row>
    <row r="388" spans="1:15" ht="12.75" x14ac:dyDescent="0.2">
      <c r="A388">
        <v>69010</v>
      </c>
      <c r="B388" t="str">
        <f ca="1">VLOOKUP(A388,Import_SuiviGlobal_MigAppliSate!A:I,2,FALSE)</f>
        <v>HERICOURT</v>
      </c>
      <c r="C388" t="str">
        <f ca="1">VLOOKUP(A388,Import_SuiviGlobal_MigAppliSate!A:I,3,FALSE)</f>
        <v>Super U</v>
      </c>
      <c r="D388" s="1" t="str">
        <f ca="1">VLOOKUP(A388,Import_SuiviGlobal_MigAppliSate!A:I,4,FALSE)</f>
        <v>Coop U Enseigne Est</v>
      </c>
      <c r="E388">
        <f ca="1">VLOOKUP(A388,Import_SuiviGlobal_MigAppliSate!A:I,5,FALSE)</f>
        <v>70400</v>
      </c>
      <c r="F388" t="str">
        <f ca="1">VLOOKUP(A388,Import_SuiviGlobal_MigAppliSate!A:I,6,FALSE)</f>
        <v>100 FAUBOURG DE MONTBELIARD</v>
      </c>
      <c r="G388" t="str">
        <f ca="1">VLOOKUP(A388,Import_SuiviGlobal_MigAppliSate!A:I,7,FALSE)</f>
        <v>03.84.56.87.73</v>
      </c>
      <c r="H388" t="str">
        <f ca="1">VLOOKUP(A388,Import_SuiviGlobal_MigAppliSate!A:I,8,FALSE)</f>
        <v>QUIRICI Gérôme</v>
      </c>
      <c r="I388" t="str">
        <f ca="1">VLOOKUP(A388,Import_SuiviGlobal_MigAppliSate!A:I,9,FALSE)</f>
        <v>gerome.quirici@systeme-u.fr</v>
      </c>
      <c r="J388" s="24" t="str">
        <f ca="1">VLOOKUP(A388,Import_SuiviGlobal_MigAppliSate!A:K,10,FALSE)</f>
        <v/>
      </c>
      <c r="K388" t="str">
        <f ca="1">VLOOKUP(A388,Import_SuiviGlobal_MigAppliSate!A:K,11,FALSE)</f>
        <v/>
      </c>
      <c r="L388" t="s">
        <v>17</v>
      </c>
      <c r="M388" t="s">
        <v>0</v>
      </c>
      <c r="O388" s="1" t="s">
        <v>22</v>
      </c>
    </row>
    <row r="389" spans="1:15" ht="12.75" x14ac:dyDescent="0.2">
      <c r="A389">
        <v>24294</v>
      </c>
      <c r="B389" t="str">
        <f ca="1">VLOOKUP(A389,Import_SuiviGlobal_MigAppliSate!A:I,2,FALSE)</f>
        <v>HEROUVILLE ST CLAIR</v>
      </c>
      <c r="C389" t="str">
        <f ca="1">VLOOKUP(A389,Import_SuiviGlobal_MigAppliSate!A:I,3,FALSE)</f>
        <v>Super U</v>
      </c>
      <c r="D389" s="1" t="str">
        <f ca="1">VLOOKUP(A389,Import_SuiviGlobal_MigAppliSate!A:I,4,FALSE)</f>
        <v>Coop U Enseigne NordOuest</v>
      </c>
      <c r="E389">
        <f ca="1">VLOOKUP(A389,Import_SuiviGlobal_MigAppliSate!A:I,5,FALSE)</f>
        <v>14200</v>
      </c>
      <c r="F389" t="str">
        <f ca="1">VLOOKUP(A389,Import_SuiviGlobal_MigAppliSate!A:I,6,FALSE)</f>
        <v>31 BOULEVARD DE LA PAIX</v>
      </c>
      <c r="G389" t="str">
        <f ca="1">VLOOKUP(A389,Import_SuiviGlobal_MigAppliSate!A:I,7,FALSE)</f>
        <v>02.31.06.18.40</v>
      </c>
      <c r="H389" t="str">
        <f ca="1">VLOOKUP(A389,Import_SuiviGlobal_MigAppliSate!A:I,8,FALSE)</f>
        <v>DAUSSE Emmanuel</v>
      </c>
      <c r="I389" t="str">
        <f ca="1">VLOOKUP(A389,Import_SuiviGlobal_MigAppliSate!A:I,9,FALSE)</f>
        <v>emmanuel.dausse@systeme-u.fr</v>
      </c>
      <c r="J389" s="24" t="str">
        <f ca="1">VLOOKUP(A389,Import_SuiviGlobal_MigAppliSate!A:K,10,FALSE)</f>
        <v>Fabienne Bichet
Mr Jourdain</v>
      </c>
      <c r="K389" t="str">
        <f ca="1">VLOOKUP(A389,Import_SuiviGlobal_MigAppliSate!A:K,11,FALSE)</f>
        <v>superu.herouvillesaintclair@systeme-u.fr, superu.herouvillesaintclair.direction@systeme-u.fr</v>
      </c>
      <c r="L389" t="s">
        <v>17</v>
      </c>
      <c r="M389" t="s">
        <v>0</v>
      </c>
      <c r="O389" s="1" t="s">
        <v>22</v>
      </c>
    </row>
    <row r="390" spans="1:15" ht="12.75" hidden="1" x14ac:dyDescent="0.2">
      <c r="A390">
        <v>60028</v>
      </c>
      <c r="B390" t="str">
        <f ca="1">VLOOKUP(A390,Import_SuiviGlobal_MigAppliSate!A:I,2,FALSE)</f>
        <v>HOENHEIM</v>
      </c>
      <c r="C390" t="str">
        <f ca="1">VLOOKUP(A390,Import_SuiviGlobal_MigAppliSate!A:I,3,FALSE)</f>
        <v>Super U</v>
      </c>
      <c r="D390" s="1" t="str">
        <f ca="1">VLOOKUP(A390,Import_SuiviGlobal_MigAppliSate!A:I,4,FALSE)</f>
        <v>Coop U Enseigne Est</v>
      </c>
      <c r="E390">
        <f ca="1">VLOOKUP(A390,Import_SuiviGlobal_MigAppliSate!A:I,5,FALSE)</f>
        <v>67800</v>
      </c>
      <c r="F390" t="str">
        <f ca="1">VLOOKUP(A390,Import_SuiviGlobal_MigAppliSate!A:I,6,FALSE)</f>
        <v>13 route de la Wantzenau</v>
      </c>
      <c r="G390" t="str">
        <f ca="1">VLOOKUP(A390,Import_SuiviGlobal_MigAppliSate!A:I,7,FALSE)</f>
        <v>03.88.33.44.88</v>
      </c>
      <c r="H390" t="str">
        <f ca="1">VLOOKUP(A390,Import_SuiviGlobal_MigAppliSate!A:I,8,FALSE)</f>
        <v>ARNOLD Josiane</v>
      </c>
      <c r="I390" t="str">
        <f ca="1">VLOOKUP(A390,Import_SuiviGlobal_MigAppliSate!A:I,9,FALSE)</f>
        <v>josiane.arnold@systeme-u.fr</v>
      </c>
      <c r="J390" s="24" t="str">
        <f ca="1">VLOOKUP(A390,Import_SuiviGlobal_MigAppliSate!A:K,10,FALSE)</f>
        <v>M. ARNOLD</v>
      </c>
      <c r="K390" t="str">
        <f ca="1">VLOOKUP(A390,Import_SuiviGlobal_MigAppliSate!A:K,11,FALSE)</f>
        <v>daniel.arnold@systeme-u.fr</v>
      </c>
      <c r="O390" s="1" t="s">
        <v>22</v>
      </c>
    </row>
    <row r="391" spans="1:15" ht="12.75" hidden="1" x14ac:dyDescent="0.2">
      <c r="A391">
        <v>25924</v>
      </c>
      <c r="B391" t="str">
        <f ca="1">VLOOKUP(A391,Import_SuiviGlobal_MigAppliSate!A:I,2,FALSE)</f>
        <v>HOUPLINES</v>
      </c>
      <c r="C391" t="str">
        <f ca="1">VLOOKUP(A391,Import_SuiviGlobal_MigAppliSate!A:I,3,FALSE)</f>
        <v>Super U</v>
      </c>
      <c r="D391" s="1" t="str">
        <f ca="1">VLOOKUP(A391,Import_SuiviGlobal_MigAppliSate!A:I,4,FALSE)</f>
        <v>Coop U Enseigne NordOuest</v>
      </c>
      <c r="E391">
        <f ca="1">VLOOKUP(A391,Import_SuiviGlobal_MigAppliSate!A:I,5,FALSE)</f>
        <v>59116</v>
      </c>
      <c r="F391" t="str">
        <f ca="1">VLOOKUP(A391,Import_SuiviGlobal_MigAppliSate!A:I,6,FALSE)</f>
        <v>18 PLACE DE LA RÉPUBLIQUE</v>
      </c>
      <c r="G391" t="str">
        <f ca="1">VLOOKUP(A391,Import_SuiviGlobal_MigAppliSate!A:I,7,FALSE)</f>
        <v>03.20.44.09.60</v>
      </c>
      <c r="H391" t="str">
        <f ca="1">VLOOKUP(A391,Import_SuiviGlobal_MigAppliSate!A:I,8,FALSE)</f>
        <v>WILLEPOTTE Marius-Christophe</v>
      </c>
      <c r="I391" t="str">
        <f ca="1">VLOOKUP(A391,Import_SuiviGlobal_MigAppliSate!A:I,9,FALSE)</f>
        <v>marius.willepotte@systeme-u.fr</v>
      </c>
      <c r="J391" s="24" t="str">
        <f ca="1">VLOOKUP(A391,Import_SuiviGlobal_MigAppliSate!A:K,10,FALSE)</f>
        <v>Dehem Nathalie</v>
      </c>
      <c r="K391" t="str">
        <f ca="1">VLOOKUP(A391,Import_SuiviGlobal_MigAppliSate!A:K,11,FALSE)</f>
        <v>superu.houplines@systeme-u.fr</v>
      </c>
      <c r="O391" s="1" t="s">
        <v>22</v>
      </c>
    </row>
    <row r="392" spans="1:15" ht="12.75" hidden="1" x14ac:dyDescent="0.2">
      <c r="A392">
        <v>95166</v>
      </c>
      <c r="B392" t="str">
        <f ca="1">VLOOKUP(A392,Import_SuiviGlobal_MigAppliSate!A:I,2,FALSE)</f>
        <v>IDRON</v>
      </c>
      <c r="C392" t="str">
        <f ca="1">VLOOKUP(A392,Import_SuiviGlobal_MigAppliSate!A:I,3,FALSE)</f>
        <v>Super U</v>
      </c>
      <c r="D392" s="1" t="str">
        <f ca="1">VLOOKUP(A392,Import_SuiviGlobal_MigAppliSate!A:I,4,FALSE)</f>
        <v>Coop U Enseigne Sud</v>
      </c>
      <c r="E392">
        <f ca="1">VLOOKUP(A392,Import_SuiviGlobal_MigAppliSate!A:I,5,FALSE)</f>
        <v>64320</v>
      </c>
      <c r="F392" t="str">
        <f ca="1">VLOOKUP(A392,Import_SuiviGlobal_MigAppliSate!A:I,6,FALSE)</f>
        <v>CHEMIN DE CAM MARTY</v>
      </c>
      <c r="G392" t="str">
        <f ca="1">VLOOKUP(A392,Import_SuiviGlobal_MigAppliSate!A:I,7,FALSE)</f>
        <v>05.59.02.09.97</v>
      </c>
      <c r="H392" t="str">
        <f ca="1">VLOOKUP(A392,Import_SuiviGlobal_MigAppliSate!A:I,8,FALSE)</f>
        <v>LE DOUJET Daniel</v>
      </c>
      <c r="I392" t="str">
        <f ca="1">VLOOKUP(A392,Import_SuiviGlobal_MigAppliSate!A:I,9,FALSE)</f>
        <v>francois.garcia@systeme-u.fr</v>
      </c>
      <c r="J392" s="24" t="str">
        <f ca="1">VLOOKUP(A392,Import_SuiviGlobal_MigAppliSate!A:K,10,FALSE)</f>
        <v>VIGUIER Pascal</v>
      </c>
      <c r="K392" t="str">
        <f ca="1">VLOOKUP(A392,Import_SuiviGlobal_MigAppliSate!A:K,11,FALSE)</f>
        <v>superu.idron.direction@systeme-u.fr</v>
      </c>
      <c r="O392" s="1" t="s">
        <v>22</v>
      </c>
    </row>
    <row r="393" spans="1:15" ht="12.75" hidden="1" x14ac:dyDescent="0.2">
      <c r="A393">
        <v>27439</v>
      </c>
      <c r="B393" t="str">
        <f ca="1">VLOOKUP(A393,Import_SuiviGlobal_MigAppliSate!A:I,2,FALSE)</f>
        <v>IFS</v>
      </c>
      <c r="C393" t="str">
        <f ca="1">VLOOKUP(A393,Import_SuiviGlobal_MigAppliSate!A:I,3,FALSE)</f>
        <v>Super U</v>
      </c>
      <c r="D393" s="1" t="str">
        <f ca="1">VLOOKUP(A393,Import_SuiviGlobal_MigAppliSate!A:I,4,FALSE)</f>
        <v>Coop U Enseigne NordOuest</v>
      </c>
      <c r="E393">
        <f ca="1">VLOOKUP(A393,Import_SuiviGlobal_MigAppliSate!A:I,5,FALSE)</f>
        <v>14123</v>
      </c>
      <c r="F393" t="str">
        <f ca="1">VLOOKUP(A393,Import_SuiviGlobal_MigAppliSate!A:I,6,FALSE)</f>
        <v>ZAC DU HOGUET</v>
      </c>
      <c r="G393" t="str">
        <f ca="1">VLOOKUP(A393,Import_SuiviGlobal_MigAppliSate!A:I,7,FALSE)</f>
        <v>02.31.35.00.50</v>
      </c>
      <c r="H393" t="str">
        <f ca="1">VLOOKUP(A393,Import_SuiviGlobal_MigAppliSate!A:I,8,FALSE)</f>
        <v>BATAILLE Denis</v>
      </c>
      <c r="I393" t="str">
        <f ca="1">VLOOKUP(A393,Import_SuiviGlobal_MigAppliSate!A:I,9,FALSE)</f>
        <v>denis.bataille@systeme-u.fr</v>
      </c>
      <c r="J393" s="24" t="str">
        <f ca="1">VLOOKUP(A393,Import_SuiviGlobal_MigAppliSate!A:K,10,FALSE)</f>
        <v/>
      </c>
      <c r="K393" t="str">
        <f ca="1">VLOOKUP(A393,Import_SuiviGlobal_MigAppliSate!A:K,11,FALSE)</f>
        <v/>
      </c>
      <c r="O393" s="1" t="s">
        <v>22</v>
      </c>
    </row>
    <row r="394" spans="1:15" ht="12.75" hidden="1" x14ac:dyDescent="0.2">
      <c r="A394">
        <v>24707</v>
      </c>
      <c r="B394" t="str">
        <f ca="1">VLOOKUP(A394,Import_SuiviGlobal_MigAppliSate!A:I,2,FALSE)</f>
        <v>IGOVILLE</v>
      </c>
      <c r="C394" t="str">
        <f ca="1">VLOOKUP(A394,Import_SuiviGlobal_MigAppliSate!A:I,3,FALSE)</f>
        <v>Super U</v>
      </c>
      <c r="D394" s="1" t="str">
        <f ca="1">VLOOKUP(A394,Import_SuiviGlobal_MigAppliSate!A:I,4,FALSE)</f>
        <v>Coop U Enseigne NordOuest</v>
      </c>
      <c r="E394">
        <f ca="1">VLOOKUP(A394,Import_SuiviGlobal_MigAppliSate!A:I,5,FALSE)</f>
        <v>27460</v>
      </c>
      <c r="F394" t="str">
        <f ca="1">VLOOKUP(A394,Import_SuiviGlobal_MigAppliSate!A:I,6,FALSE)</f>
        <v>24 ROUTE DE LYONS</v>
      </c>
      <c r="G394" t="str">
        <f ca="1">VLOOKUP(A394,Import_SuiviGlobal_MigAppliSate!A:I,7,FALSE)</f>
        <v>02.35.23.50.92</v>
      </c>
      <c r="H394" t="str">
        <f ca="1">VLOOKUP(A394,Import_SuiviGlobal_MigAppliSate!A:I,8,FALSE)</f>
        <v>CARON Stéphane</v>
      </c>
      <c r="I394" t="str">
        <f ca="1">VLOOKUP(A394,Import_SuiviGlobal_MigAppliSate!A:I,9,FALSE)</f>
        <v>stephane.caron@systeme-u.fr</v>
      </c>
      <c r="J394" s="24" t="str">
        <f ca="1">VLOOKUP(A394,Import_SuiviGlobal_MigAppliSate!A:K,10,FALSE)</f>
        <v>M  HAJIWARA</v>
      </c>
      <c r="K394" t="str">
        <f ca="1">VLOOKUP(A394,Import_SuiviGlobal_MigAppliSate!A:K,11,FALSE)</f>
        <v>superu.igoville.direction@systeme-u.fr</v>
      </c>
      <c r="O394" s="1" t="s">
        <v>22</v>
      </c>
    </row>
    <row r="395" spans="1:15" ht="12.75" hidden="1" x14ac:dyDescent="0.2">
      <c r="A395">
        <v>33018</v>
      </c>
      <c r="B395" t="str">
        <f ca="1">VLOOKUP(A395,Import_SuiviGlobal_MigAppliSate!A:I,2,FALSE)</f>
        <v>ILE D'YEU</v>
      </c>
      <c r="C395" t="str">
        <f ca="1">VLOOKUP(A395,Import_SuiviGlobal_MigAppliSate!A:I,3,FALSE)</f>
        <v>Super U</v>
      </c>
      <c r="D395" s="1" t="str">
        <f ca="1">VLOOKUP(A395,Import_SuiviGlobal_MigAppliSate!A:I,4,FALSE)</f>
        <v>Coop U Enseigne Ouest</v>
      </c>
      <c r="E395">
        <f ca="1">VLOOKUP(A395,Import_SuiviGlobal_MigAppliSate!A:I,5,FALSE)</f>
        <v>85350</v>
      </c>
      <c r="F395" t="str">
        <f ca="1">VLOOKUP(A395,Import_SuiviGlobal_MigAppliSate!A:I,6,FALSE)</f>
        <v>BP 705</v>
      </c>
      <c r="G395" t="str">
        <f ca="1">VLOOKUP(A395,Import_SuiviGlobal_MigAppliSate!A:I,7,FALSE)</f>
        <v>02.51.58.36.35</v>
      </c>
      <c r="H395" t="str">
        <f ca="1">VLOOKUP(A395,Import_SuiviGlobal_MigAppliSate!A:I,8,FALSE)</f>
        <v>SIMON RPT HOLDING FIN. SIMON Xavier</v>
      </c>
      <c r="I395" t="str">
        <f ca="1">VLOOKUP(A395,Import_SuiviGlobal_MigAppliSate!A:I,9,FALSE)</f>
        <v>mireille-xavier.simon@systeme-u.fr</v>
      </c>
      <c r="J395" s="24" t="str">
        <f ca="1">VLOOKUP(A395,Import_SuiviGlobal_MigAppliSate!A:K,10,FALSE)</f>
        <v>BERNARD Emeline</v>
      </c>
      <c r="K395" t="str">
        <f ca="1">VLOOKUP(A395,Import_SuiviGlobal_MigAppliSate!A:K,11,FALSE)</f>
        <v>superu.iledyeu@systeme-u.fr</v>
      </c>
      <c r="O395" s="1" t="s">
        <v>22</v>
      </c>
    </row>
    <row r="396" spans="1:15" ht="12.75" hidden="1" x14ac:dyDescent="0.2">
      <c r="A396">
        <v>90585</v>
      </c>
      <c r="B396" t="str">
        <f ca="1">VLOOKUP(A396,Import_SuiviGlobal_MigAppliSate!A:I,2,FALSE)</f>
        <v>ILLE SUR TET</v>
      </c>
      <c r="C396" t="str">
        <f ca="1">VLOOKUP(A396,Import_SuiviGlobal_MigAppliSate!A:I,3,FALSE)</f>
        <v>Super U</v>
      </c>
      <c r="D396" s="1" t="str">
        <f ca="1">VLOOKUP(A396,Import_SuiviGlobal_MigAppliSate!A:I,4,FALSE)</f>
        <v>Coop U Enseigne Sud</v>
      </c>
      <c r="E396">
        <f ca="1">VLOOKUP(A396,Import_SuiviGlobal_MigAppliSate!A:I,5,FALSE)</f>
        <v>66130</v>
      </c>
      <c r="F396" t="str">
        <f ca="1">VLOOKUP(A396,Import_SuiviGlobal_MigAppliSate!A:I,6,FALSE)</f>
        <v>CENTRE COMMERCIAL LE RIBERAL</v>
      </c>
      <c r="G396" t="str">
        <f ca="1">VLOOKUP(A396,Import_SuiviGlobal_MigAppliSate!A:I,7,FALSE)</f>
        <v>04.68.84.87.70</v>
      </c>
      <c r="H396" t="str">
        <f ca="1">VLOOKUP(A396,Import_SuiviGlobal_MigAppliSate!A:I,8,FALSE)</f>
        <v>GAUBERT Ghislain</v>
      </c>
      <c r="I396" t="str">
        <f ca="1">VLOOKUP(A396,Import_SuiviGlobal_MigAppliSate!A:I,9,FALSE)</f>
        <v>ghislain.gaubert@systeme-u.fr</v>
      </c>
      <c r="J396" s="24" t="str">
        <f ca="1">VLOOKUP(A396,Import_SuiviGlobal_MigAppliSate!A:K,10,FALSE)</f>
        <v/>
      </c>
      <c r="K396" t="str">
        <f ca="1">VLOOKUP(A396,Import_SuiviGlobal_MigAppliSate!A:K,11,FALSE)</f>
        <v/>
      </c>
      <c r="O396" s="1" t="s">
        <v>22</v>
      </c>
    </row>
    <row r="397" spans="1:15" ht="12.75" hidden="1" x14ac:dyDescent="0.2">
      <c r="A397">
        <v>60705</v>
      </c>
      <c r="B397" t="str">
        <f ca="1">VLOOKUP(A397,Import_SuiviGlobal_MigAppliSate!A:I,2,FALSE)</f>
        <v>INGWILLER</v>
      </c>
      <c r="C397" t="str">
        <f ca="1">VLOOKUP(A397,Import_SuiviGlobal_MigAppliSate!A:I,3,FALSE)</f>
        <v>Super U</v>
      </c>
      <c r="D397" s="1" t="str">
        <f ca="1">VLOOKUP(A397,Import_SuiviGlobal_MigAppliSate!A:I,4,FALSE)</f>
        <v>Coop U Enseigne Est</v>
      </c>
      <c r="E397">
        <f ca="1">VLOOKUP(A397,Import_SuiviGlobal_MigAppliSate!A:I,5,FALSE)</f>
        <v>67340</v>
      </c>
      <c r="F397" t="str">
        <f ca="1">VLOOKUP(A397,Import_SuiviGlobal_MigAppliSate!A:I,6,FALSE)</f>
        <v>Z.I.rue du Wittholzweg</v>
      </c>
      <c r="G397" t="str">
        <f ca="1">VLOOKUP(A397,Import_SuiviGlobal_MigAppliSate!A:I,7,FALSE)</f>
        <v>03.88.89.28.89</v>
      </c>
      <c r="H397" t="str">
        <f ca="1">VLOOKUP(A397,Import_SuiviGlobal_MigAppliSate!A:I,8,FALSE)</f>
        <v>MORENO RPT SAS SOFIMO Michel</v>
      </c>
      <c r="I397" t="str">
        <f ca="1">VLOOKUP(A397,Import_SuiviGlobal_MigAppliSate!A:I,9,FALSE)</f>
        <v>michel.moreno@systeme-u.fr</v>
      </c>
      <c r="J397" s="24" t="str">
        <f ca="1">VLOOKUP(A397,Import_SuiviGlobal_MigAppliSate!A:K,10,FALSE)</f>
        <v>Gauthier WILL</v>
      </c>
      <c r="K397" t="str">
        <f ca="1">VLOOKUP(A397,Import_SuiviGlobal_MigAppliSate!A:K,11,FALSE)</f>
        <v>superu.ingwiller.directeur@systeme-u.fr</v>
      </c>
      <c r="O397" s="1" t="s">
        <v>22</v>
      </c>
    </row>
    <row r="398" spans="1:15" ht="12.75" hidden="1" x14ac:dyDescent="0.2">
      <c r="A398">
        <v>34168</v>
      </c>
      <c r="B398" t="str">
        <f ca="1">VLOOKUP(A398,Import_SuiviGlobal_MigAppliSate!A:I,2,FALSE)</f>
        <v>ISLE</v>
      </c>
      <c r="C398" t="str">
        <f ca="1">VLOOKUP(A398,Import_SuiviGlobal_MigAppliSate!A:I,3,FALSE)</f>
        <v>U Express</v>
      </c>
      <c r="D398" s="1" t="str">
        <f ca="1">VLOOKUP(A398,Import_SuiviGlobal_MigAppliSate!A:I,4,FALSE)</f>
        <v>Coop Atlantique</v>
      </c>
      <c r="E398">
        <f ca="1">VLOOKUP(A398,Import_SuiviGlobal_MigAppliSate!A:I,5,FALSE)</f>
        <v>87170</v>
      </c>
      <c r="F398" t="str">
        <f ca="1">VLOOKUP(A398,Import_SuiviGlobal_MigAppliSate!A:I,6,FALSE)</f>
        <v>3, RUE LOUIS ARAGON</v>
      </c>
      <c r="G398" t="str">
        <f ca="1">VLOOKUP(A398,Import_SuiviGlobal_MigAppliSate!A:I,7,FALSE)</f>
        <v>05.55.50.02.43</v>
      </c>
      <c r="H398" t="str">
        <f ca="1">VLOOKUP(A398,Import_SuiviGlobal_MigAppliSate!A:I,8,FALSE)</f>
        <v>FLAMBARD Hervé</v>
      </c>
      <c r="I398" t="str">
        <f ca="1">VLOOKUP(A398,Import_SuiviGlobal_MigAppliSate!A:I,9,FALSE)</f>
        <v>bertrand.defontaine_coop_su_uex@systeme-u.fr</v>
      </c>
      <c r="J398" s="24" t="str">
        <f ca="1">VLOOKUP(A398,Import_SuiviGlobal_MigAppliSate!A:K,10,FALSE)</f>
        <v>Franck BOURDEAU / Gilles DUPUY</v>
      </c>
      <c r="K398" t="str">
        <f ca="1">VLOOKUP(A398,Import_SuiviGlobal_MigAppliSate!A:K,11,FALSE)</f>
        <v>uexpress.isle.direction@systeme-u.fr,nbrigant@coop-atlantique.fr,sjaud@coop-atlantique.fr</v>
      </c>
      <c r="O398" s="1" t="s">
        <v>22</v>
      </c>
    </row>
    <row r="399" spans="1:15" ht="12.75" hidden="1" x14ac:dyDescent="0.2">
      <c r="A399">
        <v>33069</v>
      </c>
      <c r="B399" t="str">
        <f ca="1">VLOOKUP(A399,Import_SuiviGlobal_MigAppliSate!A:I,2,FALSE)</f>
        <v>JANZE</v>
      </c>
      <c r="C399" t="str">
        <f ca="1">VLOOKUP(A399,Import_SuiviGlobal_MigAppliSate!A:I,3,FALSE)</f>
        <v>Super U</v>
      </c>
      <c r="D399" s="1" t="str">
        <f ca="1">VLOOKUP(A399,Import_SuiviGlobal_MigAppliSate!A:I,4,FALSE)</f>
        <v>Coop U Enseigne Ouest</v>
      </c>
      <c r="E399">
        <f ca="1">VLOOKUP(A399,Import_SuiviGlobal_MigAppliSate!A:I,5,FALSE)</f>
        <v>35150</v>
      </c>
      <c r="F399" t="str">
        <f ca="1">VLOOKUP(A399,Import_SuiviGlobal_MigAppliSate!A:I,6,FALSE)</f>
        <v>BOULEVARD CHARCOT</v>
      </c>
      <c r="G399" t="str">
        <f ca="1">VLOOKUP(A399,Import_SuiviGlobal_MigAppliSate!A:I,7,FALSE)</f>
        <v>02.99.47.03.04</v>
      </c>
      <c r="H399" t="str">
        <f ca="1">VLOOKUP(A399,Import_SuiviGlobal_MigAppliSate!A:I,8,FALSE)</f>
        <v>BARBAULT RPT SARL J.U.V.A. Gilles</v>
      </c>
      <c r="I399" t="str">
        <f ca="1">VLOOKUP(A399,Import_SuiviGlobal_MigAppliSate!A:I,9,FALSE)</f>
        <v>gilles.barbault@systeme-u.fr</v>
      </c>
      <c r="J399" s="24" t="str">
        <f ca="1">VLOOKUP(A399,Import_SuiviGlobal_MigAppliSate!A:K,10,FALSE)</f>
        <v>Cécilia ou Grégory</v>
      </c>
      <c r="K399" t="str">
        <f ca="1">VLOOKUP(A399,Import_SuiviGlobal_MigAppliSate!A:K,11,FALSE)</f>
        <v>superu.janze.informatique@systeme-u.fr,gregory.sanson@systeme-u.fr</v>
      </c>
      <c r="O399" s="1" t="s">
        <v>22</v>
      </c>
    </row>
    <row r="400" spans="1:15" ht="12.75" hidden="1" x14ac:dyDescent="0.2">
      <c r="A400">
        <v>30051</v>
      </c>
      <c r="B400" t="str">
        <f ca="1">VLOOKUP(A400,Import_SuiviGlobal_MigAppliSate!A:I,2,FALSE)</f>
        <v>JARD-SUR-MER</v>
      </c>
      <c r="C400" t="str">
        <f ca="1">VLOOKUP(A400,Import_SuiviGlobal_MigAppliSate!A:I,3,FALSE)</f>
        <v>Super U</v>
      </c>
      <c r="D400" s="1" t="str">
        <f ca="1">VLOOKUP(A400,Import_SuiviGlobal_MigAppliSate!A:I,4,FALSE)</f>
        <v>Coop U Enseigne Ouest</v>
      </c>
      <c r="E400">
        <f ca="1">VLOOKUP(A400,Import_SuiviGlobal_MigAppliSate!A:I,5,FALSE)</f>
        <v>85520</v>
      </c>
      <c r="F400" t="str">
        <f ca="1">VLOOKUP(A400,Import_SuiviGlobal_MigAppliSate!A:I,6,FALSE)</f>
        <v>RUE DE LA PERPOISE</v>
      </c>
      <c r="G400" t="str">
        <f ca="1">VLOOKUP(A400,Import_SuiviGlobal_MigAppliSate!A:I,7,FALSE)</f>
        <v>02.51.33.44.96</v>
      </c>
      <c r="H400" t="str">
        <f ca="1">VLOOKUP(A400,Import_SuiviGlobal_MigAppliSate!A:I,8,FALSE)</f>
        <v>MICHON RPT SARL JEMADIS Jean Marc</v>
      </c>
      <c r="I400" t="str">
        <f ca="1">VLOOKUP(A400,Import_SuiviGlobal_MigAppliSate!A:I,9,FALSE)</f>
        <v>jean-marc.michon@systeme-u.fr</v>
      </c>
      <c r="J400" s="24" t="str">
        <f ca="1">VLOOKUP(A400,Import_SuiviGlobal_MigAppliSate!A:K,10,FALSE)</f>
        <v>RICHARD Laurent</v>
      </c>
      <c r="K400" t="str">
        <f ca="1">VLOOKUP(A400,Import_SuiviGlobal_MigAppliSate!A:K,11,FALSE)</f>
        <v>superu.jardsurmer.direction@systeme-u.fr</v>
      </c>
      <c r="O400" s="1" t="s">
        <v>22</v>
      </c>
    </row>
    <row r="401" spans="1:15" ht="12.75" hidden="1" x14ac:dyDescent="0.2">
      <c r="A401">
        <v>32071</v>
      </c>
      <c r="B401" t="str">
        <f ca="1">VLOOKUP(A401,Import_SuiviGlobal_MigAppliSate!A:I,2,FALSE)</f>
        <v>JARNAC</v>
      </c>
      <c r="C401" t="str">
        <f ca="1">VLOOKUP(A401,Import_SuiviGlobal_MigAppliSate!A:I,3,FALSE)</f>
        <v>U Express</v>
      </c>
      <c r="D401" s="1" t="str">
        <f ca="1">VLOOKUP(A401,Import_SuiviGlobal_MigAppliSate!A:I,4,FALSE)</f>
        <v>Coop Atlantique</v>
      </c>
      <c r="E401">
        <f ca="1">VLOOKUP(A401,Import_SuiviGlobal_MigAppliSate!A:I,5,FALSE)</f>
        <v>16200</v>
      </c>
      <c r="F401" t="str">
        <f ca="1">VLOOKUP(A401,Import_SuiviGlobal_MigAppliSate!A:I,6,FALSE)</f>
        <v>AVENUE D'ECOSSE</v>
      </c>
      <c r="G401" t="str">
        <f ca="1">VLOOKUP(A401,Import_SuiviGlobal_MigAppliSate!A:I,7,FALSE)</f>
        <v>05.45.81.19.30</v>
      </c>
      <c r="H401" t="str">
        <f ca="1">VLOOKUP(A401,Import_SuiviGlobal_MigAppliSate!A:I,8,FALSE)</f>
        <v>FLAMBARD Hervé</v>
      </c>
      <c r="I401" t="str">
        <f ca="1">VLOOKUP(A401,Import_SuiviGlobal_MigAppliSate!A:I,9,FALSE)</f>
        <v>bertrand.defontaine_coop_su_uex@systeme-u.fr</v>
      </c>
      <c r="J401" s="24" t="str">
        <f ca="1">VLOOKUP(A401,Import_SuiviGlobal_MigAppliSate!A:K,10,FALSE)</f>
        <v>Mme Barthélémy</v>
      </c>
      <c r="K401" t="str">
        <f ca="1">VLOOKUP(A401,Import_SuiviGlobal_MigAppliSate!A:K,11,FALSE)</f>
        <v>superu.jarnac.direction@systeme-u.fr,nbrigant@coop-atlantique.fr,sjaud@coop-atlantique.fr</v>
      </c>
      <c r="O401" s="1" t="s">
        <v>22</v>
      </c>
    </row>
    <row r="402" spans="1:15" ht="12.75" hidden="1" x14ac:dyDescent="0.2">
      <c r="A402">
        <v>65442</v>
      </c>
      <c r="B402" t="str">
        <f ca="1">VLOOKUP(A402,Import_SuiviGlobal_MigAppliSate!A:I,2,FALSE)</f>
        <v>JOINVILLE</v>
      </c>
      <c r="C402" t="str">
        <f ca="1">VLOOKUP(A402,Import_SuiviGlobal_MigAppliSate!A:I,3,FALSE)</f>
        <v>Super U</v>
      </c>
      <c r="D402" s="1" t="str">
        <f ca="1">VLOOKUP(A402,Import_SuiviGlobal_MigAppliSate!A:I,4,FALSE)</f>
        <v>Coop U Enseigne Est</v>
      </c>
      <c r="E402">
        <f ca="1">VLOOKUP(A402,Import_SuiviGlobal_MigAppliSate!A:I,5,FALSE)</f>
        <v>52300</v>
      </c>
      <c r="F402" t="str">
        <f ca="1">VLOOKUP(A402,Import_SuiviGlobal_MigAppliSate!A:I,6,FALSE)</f>
        <v>Avenue de Lorraine</v>
      </c>
      <c r="G402" t="str">
        <f ca="1">VLOOKUP(A402,Import_SuiviGlobal_MigAppliSate!A:I,7,FALSE)</f>
        <v>03.25.04.25.51</v>
      </c>
      <c r="H402" t="str">
        <f ca="1">VLOOKUP(A402,Import_SuiviGlobal_MigAppliSate!A:I,8,FALSE)</f>
        <v>CARBONI Sébastien</v>
      </c>
      <c r="I402" t="str">
        <f ca="1">VLOOKUP(A402,Import_SuiviGlobal_MigAppliSate!A:I,9,FALSE)</f>
        <v>sebastien.carboni@systeme-u.fr</v>
      </c>
      <c r="J402" s="24" t="str">
        <f ca="1">VLOOKUP(A402,Import_SuiviGlobal_MigAppliSate!A:K,10,FALSE)</f>
        <v>Mr PAYSANT (directeur - UPLV)
Mme Guérinot (comptable - Pilote)</v>
      </c>
      <c r="K402" t="str">
        <f ca="1">VLOOKUP(A402,Import_SuiviGlobal_MigAppliSate!A:K,11,FALSE)</f>
        <v>superu.joinville.direction@systeme-u.fr</v>
      </c>
      <c r="O402" s="1" t="s">
        <v>22</v>
      </c>
    </row>
    <row r="403" spans="1:15" ht="12.75" x14ac:dyDescent="0.2">
      <c r="A403">
        <v>38028</v>
      </c>
      <c r="B403" t="str">
        <f ca="1">VLOOKUP(A403,Import_SuiviGlobal_MigAppliSate!A:I,2,FALSE)</f>
        <v>JOSSELIN</v>
      </c>
      <c r="C403" t="str">
        <f ca="1">VLOOKUP(A403,Import_SuiviGlobal_MigAppliSate!A:I,3,FALSE)</f>
        <v>Super U</v>
      </c>
      <c r="D403" s="1" t="str">
        <f ca="1">VLOOKUP(A403,Import_SuiviGlobal_MigAppliSate!A:I,4,FALSE)</f>
        <v>Coop U Enseigne Ouest</v>
      </c>
      <c r="E403">
        <f ca="1">VLOOKUP(A403,Import_SuiviGlobal_MigAppliSate!A:I,5,FALSE)</f>
        <v>56120</v>
      </c>
      <c r="F403" t="str">
        <f ca="1">VLOOKUP(A403,Import_SuiviGlobal_MigAppliSate!A:I,6,FALSE)</f>
        <v>PARC ACTIVITÉ DE BELLEVUE</v>
      </c>
      <c r="G403" t="str">
        <f ca="1">VLOOKUP(A403,Import_SuiviGlobal_MigAppliSate!A:I,7,FALSE)</f>
        <v>02.97.75.61.23</v>
      </c>
      <c r="H403" t="str">
        <f ca="1">VLOOKUP(A403,Import_SuiviGlobal_MigAppliSate!A:I,8,FALSE)</f>
        <v>KARMAMM RPT SAS LISAK Frederic</v>
      </c>
      <c r="I403" t="str">
        <f ca="1">VLOOKUP(A403,Import_SuiviGlobal_MigAppliSate!A:I,9,FALSE)</f>
        <v>frederic.karmamm@systeme-u.fr</v>
      </c>
      <c r="J403" s="24" t="str">
        <f ca="1">VLOOKUP(A403,Import_SuiviGlobal_MigAppliSate!A:K,10,FALSE)</f>
        <v>GRANVALET Céline</v>
      </c>
      <c r="K403" t="str">
        <f ca="1">VLOOKUP(A403,Import_SuiviGlobal_MigAppliSate!A:K,11,FALSE)</f>
        <v>superu.josselin.administratif@systeme-u.fr</v>
      </c>
      <c r="L403" t="s">
        <v>17</v>
      </c>
      <c r="M403" t="s">
        <v>0</v>
      </c>
      <c r="O403" s="1" t="s">
        <v>22</v>
      </c>
    </row>
    <row r="404" spans="1:15" ht="12.75" hidden="1" x14ac:dyDescent="0.2">
      <c r="A404">
        <v>36726</v>
      </c>
      <c r="B404" t="str">
        <f ca="1">VLOOKUP(A404,Import_SuiviGlobal_MigAppliSate!A:I,2,FALSE)</f>
        <v>JOUE-LES-TOURS</v>
      </c>
      <c r="C404" t="str">
        <f ca="1">VLOOKUP(A404,Import_SuiviGlobal_MigAppliSate!A:I,3,FALSE)</f>
        <v>Super U</v>
      </c>
      <c r="D404" s="1" t="str">
        <f ca="1">VLOOKUP(A404,Import_SuiviGlobal_MigAppliSate!A:I,4,FALSE)</f>
        <v>Coop U Enseigne Ouest</v>
      </c>
      <c r="E404">
        <f ca="1">VLOOKUP(A404,Import_SuiviGlobal_MigAppliSate!A:I,5,FALSE)</f>
        <v>37300</v>
      </c>
      <c r="F404" t="str">
        <f ca="1">VLOOKUP(A404,Import_SuiviGlobal_MigAppliSate!A:I,6,FALSE)</f>
        <v>BOULEVARD DES BRETONNIÈRES</v>
      </c>
      <c r="G404" t="str">
        <f ca="1">VLOOKUP(A404,Import_SuiviGlobal_MigAppliSate!A:I,7,FALSE)</f>
        <v>02.47.67.75.41</v>
      </c>
      <c r="H404" t="str">
        <f ca="1">VLOOKUP(A404,Import_SuiviGlobal_MigAppliSate!A:I,8,FALSE)</f>
        <v>DEVAULX DE CHAMBORD Mathieu</v>
      </c>
      <c r="I404" t="str">
        <f ca="1">VLOOKUP(A404,Import_SuiviGlobal_MigAppliSate!A:I,9,FALSE)</f>
        <v>mathieu.devaulx@systeme-u.fr</v>
      </c>
      <c r="J404" s="24" t="str">
        <f ca="1">VLOOKUP(A404,Import_SuiviGlobal_MigAppliSate!A:K,10,FALSE)</f>
        <v>Mme Fouquet</v>
      </c>
      <c r="K404" t="str">
        <f ca="1">VLOOKUP(A404,Import_SuiviGlobal_MigAppliSate!A:K,11,FALSE)</f>
        <v>SUPERU.JOUELESTOURS.GESCOM@systeme-u.fr</v>
      </c>
      <c r="O404" s="1" t="s">
        <v>22</v>
      </c>
    </row>
    <row r="405" spans="1:15" ht="12.75" hidden="1" x14ac:dyDescent="0.2">
      <c r="A405">
        <v>20493</v>
      </c>
      <c r="B405" t="str">
        <f ca="1">VLOOKUP(A405,Import_SuiviGlobal_MigAppliSate!A:I,2,FALSE)</f>
        <v>JULLOUVILLE LES PINS</v>
      </c>
      <c r="C405" t="str">
        <f ca="1">VLOOKUP(A405,Import_SuiviGlobal_MigAppliSate!A:I,3,FALSE)</f>
        <v>U Express</v>
      </c>
      <c r="D405" s="1" t="str">
        <f ca="1">VLOOKUP(A405,Import_SuiviGlobal_MigAppliSate!A:I,4,FALSE)</f>
        <v>Coop U Enseigne NordOuest</v>
      </c>
      <c r="E405">
        <f ca="1">VLOOKUP(A405,Import_SuiviGlobal_MigAppliSate!A:I,5,FALSE)</f>
        <v>50610</v>
      </c>
      <c r="F405" t="str">
        <f ca="1">VLOOKUP(A405,Import_SuiviGlobal_MigAppliSate!A:I,6,FALSE)</f>
        <v>40 AVENUE DE LA LIBÉRATION</v>
      </c>
      <c r="G405" t="str">
        <f ca="1">VLOOKUP(A405,Import_SuiviGlobal_MigAppliSate!A:I,7,FALSE)</f>
        <v>02.33.61.84.44</v>
      </c>
      <c r="H405" t="str">
        <f ca="1">VLOOKUP(A405,Import_SuiviGlobal_MigAppliSate!A:I,8,FALSE)</f>
        <v>HERVIEU Pascal</v>
      </c>
      <c r="I405" t="str">
        <f ca="1">VLOOKUP(A405,Import_SuiviGlobal_MigAppliSate!A:I,9,FALSE)</f>
        <v>pascal.hervieu@systeme-u.fr</v>
      </c>
      <c r="J405" s="24" t="str">
        <f ca="1">VLOOKUP(A405,Import_SuiviGlobal_MigAppliSate!A:K,10,FALSE)</f>
        <v/>
      </c>
      <c r="K405" t="str">
        <f ca="1">VLOOKUP(A405,Import_SuiviGlobal_MigAppliSate!A:K,11,FALSE)</f>
        <v/>
      </c>
      <c r="O405" s="1" t="s">
        <v>22</v>
      </c>
    </row>
    <row r="406" spans="1:15" ht="12.75" hidden="1" x14ac:dyDescent="0.2">
      <c r="A406">
        <v>23417</v>
      </c>
      <c r="B406" t="str">
        <f ca="1">VLOOKUP(A406,Import_SuiviGlobal_MigAppliSate!A:I,2,FALSE)</f>
        <v>JUZIERS</v>
      </c>
      <c r="C406" t="str">
        <f ca="1">VLOOKUP(A406,Import_SuiviGlobal_MigAppliSate!A:I,3,FALSE)</f>
        <v>Super U</v>
      </c>
      <c r="D406" s="1" t="str">
        <f ca="1">VLOOKUP(A406,Import_SuiviGlobal_MigAppliSate!A:I,4,FALSE)</f>
        <v>Coop U Enseigne NordOuest</v>
      </c>
      <c r="E406">
        <f ca="1">VLOOKUP(A406,Import_SuiviGlobal_MigAppliSate!A:I,5,FALSE)</f>
        <v>78820</v>
      </c>
      <c r="F406" t="str">
        <f ca="1">VLOOKUP(A406,Import_SuiviGlobal_MigAppliSate!A:I,6,FALSE)</f>
        <v>233 AVENUE DE PARIS</v>
      </c>
      <c r="G406" t="str">
        <f ca="1">VLOOKUP(A406,Import_SuiviGlobal_MigAppliSate!A:I,7,FALSE)</f>
        <v>01.34.75.06.50</v>
      </c>
      <c r="H406" t="str">
        <f ca="1">VLOOKUP(A406,Import_SuiviGlobal_MigAppliSate!A:I,8,FALSE)</f>
        <v>AGOSTINI Philippe</v>
      </c>
      <c r="I406" t="str">
        <f ca="1">VLOOKUP(A406,Import_SuiviGlobal_MigAppliSate!A:I,9,FALSE)</f>
        <v>philippe.agostini@systeme-u.fr</v>
      </c>
      <c r="J406" s="24" t="str">
        <f ca="1">VLOOKUP(A406,Import_SuiviGlobal_MigAppliSate!A:K,10,FALSE)</f>
        <v>Rose martine</v>
      </c>
      <c r="K406" t="str">
        <f ca="1">VLOOKUP(A406,Import_SuiviGlobal_MigAppliSate!A:K,11,FALSE)</f>
        <v>superu.juziers.direction@systeme-u.fr</v>
      </c>
      <c r="O406" s="1" t="s">
        <v>22</v>
      </c>
    </row>
    <row r="407" spans="1:15" ht="12.75" hidden="1" x14ac:dyDescent="0.2">
      <c r="A407">
        <v>33430</v>
      </c>
      <c r="B407" t="str">
        <f ca="1">VLOOKUP(A407,Import_SuiviGlobal_MigAppliSate!A:I,2,FALSE)</f>
        <v>KOUROU</v>
      </c>
      <c r="C407" t="str">
        <f ca="1">VLOOKUP(A407,Import_SuiviGlobal_MigAppliSate!A:I,3,FALSE)</f>
        <v>Super U</v>
      </c>
      <c r="D407" s="1" t="str">
        <f ca="1">VLOOKUP(A407,Import_SuiviGlobal_MigAppliSate!A:I,4,FALSE)</f>
        <v>Coop U Enseigne Ouest</v>
      </c>
      <c r="E407">
        <f ca="1">VLOOKUP(A407,Import_SuiviGlobal_MigAppliSate!A:I,5,FALSE)</f>
        <v>97310</v>
      </c>
      <c r="F407" t="str">
        <f ca="1">VLOOKUP(A407,Import_SuiviGlobal_MigAppliSate!A:I,6,FALSE)</f>
        <v>AVENUE GASTON MONNERVILLE</v>
      </c>
      <c r="G407" t="str">
        <f ca="1">VLOOKUP(A407,Import_SuiviGlobal_MigAppliSate!A:I,7,FALSE)</f>
        <v>05.94.32.24.58</v>
      </c>
      <c r="H407" t="str">
        <f ca="1">VLOOKUP(A407,Import_SuiviGlobal_MigAppliSate!A:I,8,FALSE)</f>
        <v>DU Jan</v>
      </c>
      <c r="I407" t="str">
        <f ca="1">VLOOKUP(A407,Import_SuiviGlobal_MigAppliSate!A:I,9,FALSE)</f>
        <v>jan.du@systeme-u.fr</v>
      </c>
      <c r="J407" s="24" t="str">
        <f ca="1">VLOOKUP(A407,Import_SuiviGlobal_MigAppliSate!A:K,10,FALSE)</f>
        <v>Karim FOURNIER</v>
      </c>
      <c r="K407" t="str">
        <f ca="1">VLOOKUP(A407,Import_SuiviGlobal_MigAppliSate!A:K,11,FALSE)</f>
        <v>superu.kourou.direction@systeme-u.fr,geoffray.gauthier@systeme-u.fr</v>
      </c>
      <c r="O407" s="1" t="s">
        <v>22</v>
      </c>
    </row>
    <row r="408" spans="1:15" ht="12.75" hidden="1" x14ac:dyDescent="0.2">
      <c r="A408">
        <v>36181</v>
      </c>
      <c r="B408" t="str">
        <f ca="1">VLOOKUP(A408,Import_SuiviGlobal_MigAppliSate!A:I,2,FALSE)</f>
        <v>L HERMITAGE</v>
      </c>
      <c r="C408" t="str">
        <f ca="1">VLOOKUP(A408,Import_SuiviGlobal_MigAppliSate!A:I,3,FALSE)</f>
        <v>Super U</v>
      </c>
      <c r="D408" s="1" t="str">
        <f ca="1">VLOOKUP(A408,Import_SuiviGlobal_MigAppliSate!A:I,4,FALSE)</f>
        <v>Coop U Enseigne Ouest</v>
      </c>
      <c r="E408">
        <f ca="1">VLOOKUP(A408,Import_SuiviGlobal_MigAppliSate!A:I,5,FALSE)</f>
        <v>35590</v>
      </c>
      <c r="F408" t="str">
        <f ca="1">VLOOKUP(A408,Import_SuiviGlobal_MigAppliSate!A:I,6,FALSE)</f>
        <v>LA MUSSE</v>
      </c>
      <c r="G408" t="str">
        <f ca="1">VLOOKUP(A408,Import_SuiviGlobal_MigAppliSate!A:I,7,FALSE)</f>
        <v>02.99.64.11.61</v>
      </c>
      <c r="H408" t="str">
        <f ca="1">VLOOKUP(A408,Import_SuiviGlobal_MigAppliSate!A:I,8,FALSE)</f>
        <v>FRIN RPT SARL LF FINANCES Loic</v>
      </c>
      <c r="I408" t="str">
        <f ca="1">VLOOKUP(A408,Import_SuiviGlobal_MigAppliSate!A:I,9,FALSE)</f>
        <v>loic.frin@systeme-u.fr</v>
      </c>
      <c r="J408" s="24" t="str">
        <f ca="1">VLOOKUP(A408,Import_SuiviGlobal_MigAppliSate!A:K,10,FALSE)</f>
        <v>Mme Guigourez</v>
      </c>
      <c r="K408" t="str">
        <f ca="1">VLOOKUP(A408,Import_SuiviGlobal_MigAppliSate!A:K,11,FALSE)</f>
        <v>karine.guigourez@systeme-u.fr</v>
      </c>
      <c r="O408" s="1" t="s">
        <v>22</v>
      </c>
    </row>
    <row r="409" spans="1:15" ht="12.75" hidden="1" x14ac:dyDescent="0.2">
      <c r="A409">
        <v>66090</v>
      </c>
      <c r="B409" t="str">
        <f ca="1">VLOOKUP(A409,Import_SuiviGlobal_MigAppliSate!A:I,2,FALSE)</f>
        <v>L HORME</v>
      </c>
      <c r="C409" t="str">
        <f ca="1">VLOOKUP(A409,Import_SuiviGlobal_MigAppliSate!A:I,3,FALSE)</f>
        <v>Super U</v>
      </c>
      <c r="D409" s="1" t="str">
        <f ca="1">VLOOKUP(A409,Import_SuiviGlobal_MigAppliSate!A:I,4,FALSE)</f>
        <v>Coop U Enseigne Est</v>
      </c>
      <c r="E409">
        <f ca="1">VLOOKUP(A409,Import_SuiviGlobal_MigAppliSate!A:I,5,FALSE)</f>
        <v>42152</v>
      </c>
      <c r="F409" t="str">
        <f ca="1">VLOOKUP(A409,Import_SuiviGlobal_MigAppliSate!A:I,6,FALSE)</f>
        <v>38 TER AVENUE PASTEUR</v>
      </c>
      <c r="G409" t="str">
        <f ca="1">VLOOKUP(A409,Import_SuiviGlobal_MigAppliSate!A:I,7,FALSE)</f>
        <v>04.77.22.51.86</v>
      </c>
      <c r="H409" t="str">
        <f ca="1">VLOOKUP(A409,Import_SuiviGlobal_MigAppliSate!A:I,8,FALSE)</f>
        <v>INACIO Rui</v>
      </c>
      <c r="I409" t="str">
        <f ca="1">VLOOKUP(A409,Import_SuiviGlobal_MigAppliSate!A:I,9,FALSE)</f>
        <v>rui.inacio@systeme-u.fr</v>
      </c>
      <c r="J409" s="24" t="str">
        <f ca="1">VLOOKUP(A409,Import_SuiviGlobal_MigAppliSate!A:K,10,FALSE)</f>
        <v>OLIVIER CROS</v>
      </c>
      <c r="K409" t="str">
        <f ca="1">VLOOKUP(A409,Import_SuiviGlobal_MigAppliSate!A:K,11,FALSE)</f>
        <v>superu.lhorme.directeur@systeme-u.fr</v>
      </c>
      <c r="O409" s="1" t="s">
        <v>22</v>
      </c>
    </row>
    <row r="410" spans="1:15" ht="12.75" hidden="1" x14ac:dyDescent="0.2">
      <c r="A410">
        <v>32224</v>
      </c>
      <c r="B410" t="str">
        <f ca="1">VLOOKUP(A410,Import_SuiviGlobal_MigAppliSate!A:I,2,FALSE)</f>
        <v>L'AIGUILLON-SUR-MER</v>
      </c>
      <c r="C410" t="str">
        <f ca="1">VLOOKUP(A410,Import_SuiviGlobal_MigAppliSate!A:I,3,FALSE)</f>
        <v>Super U</v>
      </c>
      <c r="D410" s="1" t="str">
        <f ca="1">VLOOKUP(A410,Import_SuiviGlobal_MigAppliSate!A:I,4,FALSE)</f>
        <v>Coop U Enseigne Ouest</v>
      </c>
      <c r="E410">
        <f ca="1">VLOOKUP(A410,Import_SuiviGlobal_MigAppliSate!A:I,5,FALSE)</f>
        <v>85460</v>
      </c>
      <c r="F410" t="str">
        <f ca="1">VLOOKUP(A410,Import_SuiviGlobal_MigAppliSate!A:I,6,FALSE)</f>
        <v>ROUTE DE SAINT MICHEL</v>
      </c>
      <c r="G410" t="str">
        <f ca="1">VLOOKUP(A410,Import_SuiviGlobal_MigAppliSate!A:I,7,FALSE)</f>
        <v>02.51.56.41.86</v>
      </c>
      <c r="H410" t="str">
        <f ca="1">VLOOKUP(A410,Import_SuiviGlobal_MigAppliSate!A:I,8,FALSE)</f>
        <v>PEIGNET RPT SARL EVOLIA Christophe</v>
      </c>
      <c r="I410" t="str">
        <f ca="1">VLOOKUP(A410,Import_SuiviGlobal_MigAppliSate!A:I,9,FALSE)</f>
        <v>christophe.peignet@systeme-u.fr</v>
      </c>
      <c r="J410" s="24" t="str">
        <f ca="1">VLOOKUP(A410,Import_SuiviGlobal_MigAppliSate!A:K,10,FALSE)</f>
        <v>Malika Reffay
GLUMINEAU Mathieu</v>
      </c>
      <c r="K410" t="str">
        <f ca="1">VLOOKUP(A410,Import_SuiviGlobal_MigAppliSate!A:K,11,FALSE)</f>
        <v>superu.aiguillonsurmer.administratif@systeme-u.fr</v>
      </c>
      <c r="O410" s="1" t="s">
        <v>22</v>
      </c>
    </row>
    <row r="411" spans="1:15" ht="12.75" hidden="1" x14ac:dyDescent="0.2">
      <c r="A411">
        <v>66106</v>
      </c>
      <c r="B411" t="str">
        <f ca="1">VLOOKUP(A411,Import_SuiviGlobal_MigAppliSate!A:I,2,FALSE)</f>
        <v>L'ARBRESLE</v>
      </c>
      <c r="C411" t="str">
        <f ca="1">VLOOKUP(A411,Import_SuiviGlobal_MigAppliSate!A:I,3,FALSE)</f>
        <v>Super U</v>
      </c>
      <c r="D411" s="1" t="str">
        <f ca="1">VLOOKUP(A411,Import_SuiviGlobal_MigAppliSate!A:I,4,FALSE)</f>
        <v>Coop U Enseigne Est</v>
      </c>
      <c r="E411">
        <f ca="1">VLOOKUP(A411,Import_SuiviGlobal_MigAppliSate!A:I,5,FALSE)</f>
        <v>69210</v>
      </c>
      <c r="F411" t="str">
        <f ca="1">VLOOKUP(A411,Import_SuiviGlobal_MigAppliSate!A:I,6,FALSE)</f>
        <v>ZAC DES MARTINETS</v>
      </c>
      <c r="G411" t="str">
        <f ca="1">VLOOKUP(A411,Import_SuiviGlobal_MigAppliSate!A:I,7,FALSE)</f>
        <v>04.74.01.29.37</v>
      </c>
      <c r="H411" t="str">
        <f ca="1">VLOOKUP(A411,Import_SuiviGlobal_MigAppliSate!A:I,8,FALSE)</f>
        <v>ALBOUD RPT SAS FIN L'ABRESLE Jacques</v>
      </c>
      <c r="I411" t="str">
        <f ca="1">VLOOKUP(A411,Import_SuiviGlobal_MigAppliSate!A:I,9,FALSE)</f>
        <v>jacques.alboud@systeme-u.fr</v>
      </c>
      <c r="J411" s="24" t="str">
        <f ca="1">VLOOKUP(A411,Import_SuiviGlobal_MigAppliSate!A:K,10,FALSE)</f>
        <v>COTTAVOZ Romain</v>
      </c>
      <c r="K411" t="str">
        <f ca="1">VLOOKUP(A411,Import_SuiviGlobal_MigAppliSate!A:K,11,FALSE)</f>
        <v>romain.cottavoz@systeme-u.fr,superu.larbresle.administratif@systeme-u.fr</v>
      </c>
      <c r="O411" s="1" t="s">
        <v>22</v>
      </c>
    </row>
    <row r="412" spans="1:15" ht="12.75" hidden="1" x14ac:dyDescent="0.2">
      <c r="A412">
        <v>39903</v>
      </c>
      <c r="B412" t="str">
        <f ca="1">VLOOKUP(A412,Import_SuiviGlobal_MigAppliSate!A:I,2,FALSE)</f>
        <v>L'HUISSERIE</v>
      </c>
      <c r="C412" t="str">
        <f ca="1">VLOOKUP(A412,Import_SuiviGlobal_MigAppliSate!A:I,3,FALSE)</f>
        <v>U Express</v>
      </c>
      <c r="D412" s="1" t="str">
        <f ca="1">VLOOKUP(A412,Import_SuiviGlobal_MigAppliSate!A:I,4,FALSE)</f>
        <v>Coop U Enseigne Ouest</v>
      </c>
      <c r="E412">
        <f ca="1">VLOOKUP(A412,Import_SuiviGlobal_MigAppliSate!A:I,5,FALSE)</f>
        <v>53970</v>
      </c>
      <c r="F412" t="str">
        <f ca="1">VLOOKUP(A412,Import_SuiviGlobal_MigAppliSate!A:I,6,FALSE)</f>
        <v>ZONE ARTISANALE DE L'AUBEPIN</v>
      </c>
      <c r="G412" t="str">
        <f ca="1">VLOOKUP(A412,Import_SuiviGlobal_MigAppliSate!A:I,7,FALSE)</f>
        <v>02.43.69.61.53</v>
      </c>
      <c r="H412" t="str">
        <f ca="1">VLOOKUP(A412,Import_SuiviGlobal_MigAppliSate!A:I,8,FALSE)</f>
        <v>LEROY Yannick</v>
      </c>
      <c r="I412" t="str">
        <f ca="1">VLOOKUP(A412,Import_SuiviGlobal_MigAppliSate!A:I,9,FALSE)</f>
        <v>yannick.leroy@systeme-u.fr</v>
      </c>
      <c r="J412" s="24" t="str">
        <f ca="1">VLOOKUP(A412,Import_SuiviGlobal_MigAppliSate!A:K,10,FALSE)</f>
        <v>Racinais Aurore</v>
      </c>
      <c r="K412" t="str">
        <f ca="1">VLOOKUP(A412,Import_SuiviGlobal_MigAppliSate!A:K,11,FALSE)</f>
        <v>uexpress.lhuisserie@systeme-u.fr</v>
      </c>
      <c r="O412" s="1" t="s">
        <v>22</v>
      </c>
    </row>
    <row r="413" spans="1:15" ht="12.75" hidden="1" x14ac:dyDescent="0.2">
      <c r="A413">
        <v>33492</v>
      </c>
      <c r="B413" t="str">
        <f ca="1">VLOOKUP(A413,Import_SuiviGlobal_MigAppliSate!A:I,2,FALSE)</f>
        <v>L'ILE-BOUCHARD</v>
      </c>
      <c r="C413" t="str">
        <f ca="1">VLOOKUP(A413,Import_SuiviGlobal_MigAppliSate!A:I,3,FALSE)</f>
        <v>Super U</v>
      </c>
      <c r="D413" s="1" t="str">
        <f ca="1">VLOOKUP(A413,Import_SuiviGlobal_MigAppliSate!A:I,4,FALSE)</f>
        <v>Coop U Enseigne Ouest</v>
      </c>
      <c r="E413">
        <f ca="1">VLOOKUP(A413,Import_SuiviGlobal_MigAppliSate!A:I,5,FALSE)</f>
        <v>37220</v>
      </c>
      <c r="F413" t="str">
        <f ca="1">VLOOKUP(A413,Import_SuiviGlobal_MigAppliSate!A:I,6,FALSE)</f>
        <v>CENTRE COMMERCIAL LES QAUTRE VENTS</v>
      </c>
      <c r="G413" t="str">
        <f ca="1">VLOOKUP(A413,Import_SuiviGlobal_MigAppliSate!A:I,7,FALSE)</f>
        <v>02.47.58.61.64</v>
      </c>
      <c r="H413" t="str">
        <f ca="1">VLOOKUP(A413,Import_SuiviGlobal_MigAppliSate!A:I,8,FALSE)</f>
        <v>LE CLEZIO RPT VAL DE VIENNE Olivier</v>
      </c>
      <c r="I413" t="str">
        <f ca="1">VLOOKUP(A413,Import_SuiviGlobal_MigAppliSate!A:I,9,FALSE)</f>
        <v>olivier.le-clezio@systeme-u.fr</v>
      </c>
      <c r="J413" s="24" t="str">
        <f ca="1">VLOOKUP(A413,Import_SuiviGlobal_MigAppliSate!A:K,10,FALSE)</f>
        <v>Séverine Tranchant</v>
      </c>
      <c r="K413" t="str">
        <f ca="1">VLOOKUP(A413,Import_SuiviGlobal_MigAppliSate!A:K,11,FALSE)</f>
        <v>superu.ilebouchard.rh@systeme-u.fr</v>
      </c>
      <c r="O413" s="1" t="s">
        <v>22</v>
      </c>
    </row>
    <row r="414" spans="1:15" ht="12.75" hidden="1" x14ac:dyDescent="0.2">
      <c r="A414">
        <v>90445</v>
      </c>
      <c r="B414" t="str">
        <f ca="1">VLOOKUP(A414,Import_SuiviGlobal_MigAppliSate!A:I,2,FALSE)</f>
        <v>L'ISLE S/SORGUE</v>
      </c>
      <c r="C414" t="str">
        <f ca="1">VLOOKUP(A414,Import_SuiviGlobal_MigAppliSate!A:I,3,FALSE)</f>
        <v>Super U</v>
      </c>
      <c r="D414" s="1" t="str">
        <f ca="1">VLOOKUP(A414,Import_SuiviGlobal_MigAppliSate!A:I,4,FALSE)</f>
        <v>Coop U Enseigne Sud</v>
      </c>
      <c r="E414">
        <f ca="1">VLOOKUP(A414,Import_SuiviGlobal_MigAppliSate!A:I,5,FALSE)</f>
        <v>84800</v>
      </c>
      <c r="F414" t="str">
        <f ca="1">VLOOKUP(A414,Import_SuiviGlobal_MigAppliSate!A:I,6,FALSE)</f>
        <v>ROUTE DE CARPENTRAS</v>
      </c>
      <c r="G414" t="str">
        <f ca="1">VLOOKUP(A414,Import_SuiviGlobal_MigAppliSate!A:I,7,FALSE)</f>
        <v>04.90.21.27.20</v>
      </c>
      <c r="H414" t="str">
        <f ca="1">VLOOKUP(A414,Import_SuiviGlobal_MigAppliSate!A:I,8,FALSE)</f>
        <v>VALL Alain</v>
      </c>
      <c r="I414" t="str">
        <f ca="1">VLOOKUP(A414,Import_SuiviGlobal_MigAppliSate!A:I,9,FALSE)</f>
        <v>benoit.vall@systeme-u.fr</v>
      </c>
      <c r="J414" s="24" t="str">
        <f ca="1">VLOOKUP(A414,Import_SuiviGlobal_MigAppliSate!A:K,10,FALSE)</f>
        <v>Emilie VALL (directrice)</v>
      </c>
      <c r="K414" t="str">
        <f ca="1">VLOOKUP(A414,Import_SuiviGlobal_MigAppliSate!A:K,11,FALSE)</f>
        <v>emilie.vall@systeme-u.fr,superu.islesursorgue@systeme-u.fr</v>
      </c>
      <c r="O414" s="1" t="s">
        <v>22</v>
      </c>
    </row>
    <row r="415" spans="1:15" ht="12.75" hidden="1" x14ac:dyDescent="0.2">
      <c r="A415">
        <v>66507</v>
      </c>
      <c r="B415" t="str">
        <f ca="1">VLOOKUP(A415,Import_SuiviGlobal_MigAppliSate!A:I,2,FALSE)</f>
        <v>LA BATHIE</v>
      </c>
      <c r="C415" t="str">
        <f ca="1">VLOOKUP(A415,Import_SuiviGlobal_MigAppliSate!A:I,3,FALSE)</f>
        <v>Super U</v>
      </c>
      <c r="D415" s="1" t="str">
        <f ca="1">VLOOKUP(A415,Import_SuiviGlobal_MigAppliSate!A:I,4,FALSE)</f>
        <v>Coop U Enseigne Est</v>
      </c>
      <c r="E415">
        <f ca="1">VLOOKUP(A415,Import_SuiviGlobal_MigAppliSate!A:I,5,FALSE)</f>
        <v>73540</v>
      </c>
      <c r="F415" t="str">
        <f ca="1">VLOOKUP(A415,Import_SuiviGlobal_MigAppliSate!A:I,6,FALSE)</f>
        <v>Route de l'Energie</v>
      </c>
      <c r="G415" t="str">
        <f ca="1">VLOOKUP(A415,Import_SuiviGlobal_MigAppliSate!A:I,7,FALSE)</f>
        <v>04.79.31.06.20</v>
      </c>
      <c r="H415" t="str">
        <f ca="1">VLOOKUP(A415,Import_SuiviGlobal_MigAppliSate!A:I,8,FALSE)</f>
        <v>BORNAND Maurice</v>
      </c>
      <c r="I415" t="str">
        <f ca="1">VLOOKUP(A415,Import_SuiviGlobal_MigAppliSate!A:I,9,FALSE)</f>
        <v>maurice.bornand@systeme-u.fr</v>
      </c>
      <c r="J415" s="24" t="str">
        <f ca="1">VLOOKUP(A415,Import_SuiviGlobal_MigAppliSate!A:K,10,FALSE)</f>
        <v/>
      </c>
      <c r="K415" t="str">
        <f ca="1">VLOOKUP(A415,Import_SuiviGlobal_MigAppliSate!A:K,11,FALSE)</f>
        <v/>
      </c>
      <c r="O415" s="1" t="s">
        <v>22</v>
      </c>
    </row>
    <row r="416" spans="1:15" ht="12.75" hidden="1" x14ac:dyDescent="0.2">
      <c r="A416">
        <v>38263</v>
      </c>
      <c r="B416" t="str">
        <f ca="1">VLOOKUP(A416,Import_SuiviGlobal_MigAppliSate!A:I,2,FALSE)</f>
        <v>LA BAZOGE</v>
      </c>
      <c r="C416" t="str">
        <f ca="1">VLOOKUP(A416,Import_SuiviGlobal_MigAppliSate!A:I,3,FALSE)</f>
        <v>U Express</v>
      </c>
      <c r="D416" s="1" t="str">
        <f ca="1">VLOOKUP(A416,Import_SuiviGlobal_MigAppliSate!A:I,4,FALSE)</f>
        <v>Coop U Enseigne Ouest</v>
      </c>
      <c r="E416">
        <f ca="1">VLOOKUP(A416,Import_SuiviGlobal_MigAppliSate!A:I,5,FALSE)</f>
        <v>72650</v>
      </c>
      <c r="F416" t="str">
        <f ca="1">VLOOKUP(A416,Import_SuiviGlobal_MigAppliSate!A:I,6,FALSE)</f>
        <v>11 AVENUE DU MANS</v>
      </c>
      <c r="G416" t="str">
        <f ca="1">VLOOKUP(A416,Import_SuiviGlobal_MigAppliSate!A:I,7,FALSE)</f>
        <v>02.43.88.37.70</v>
      </c>
      <c r="H416" t="str">
        <f ca="1">VLOOKUP(A416,Import_SuiviGlobal_MigAppliSate!A:I,8,FALSE)</f>
        <v>SAMELE Thierry</v>
      </c>
      <c r="I416" t="str">
        <f ca="1">VLOOKUP(A416,Import_SuiviGlobal_MigAppliSate!A:I,9,FALSE)</f>
        <v>thierry.samele@systeme-u.fr</v>
      </c>
      <c r="J416" s="24" t="str">
        <f ca="1">VLOOKUP(A416,Import_SuiviGlobal_MigAppliSate!A:K,10,FALSE)</f>
        <v/>
      </c>
      <c r="K416" t="str">
        <f ca="1">VLOOKUP(A416,Import_SuiviGlobal_MigAppliSate!A:K,11,FALSE)</f>
        <v/>
      </c>
      <c r="O416" s="1" t="s">
        <v>22</v>
      </c>
    </row>
    <row r="417" spans="1:18" ht="12.75" hidden="1" x14ac:dyDescent="0.2">
      <c r="A417">
        <v>60050</v>
      </c>
      <c r="B417" t="str">
        <f ca="1">VLOOKUP(A417,Import_SuiviGlobal_MigAppliSate!A:I,2,FALSE)</f>
        <v>LA BRESSE</v>
      </c>
      <c r="C417" t="str">
        <f ca="1">VLOOKUP(A417,Import_SuiviGlobal_MigAppliSate!A:I,3,FALSE)</f>
        <v>Super U</v>
      </c>
      <c r="D417" s="1" t="str">
        <f ca="1">VLOOKUP(A417,Import_SuiviGlobal_MigAppliSate!A:I,4,FALSE)</f>
        <v>Coop U Enseigne Est</v>
      </c>
      <c r="E417">
        <f ca="1">VLOOKUP(A417,Import_SuiviGlobal_MigAppliSate!A:I,5,FALSE)</f>
        <v>88250</v>
      </c>
      <c r="F417" t="str">
        <f ca="1">VLOOKUP(A417,Import_SuiviGlobal_MigAppliSate!A:I,6,FALSE)</f>
        <v>21 rue Paul Claudel</v>
      </c>
      <c r="G417" t="str">
        <f ca="1">VLOOKUP(A417,Import_SuiviGlobal_MigAppliSate!A:I,7,FALSE)</f>
        <v>03.29.25.40.68</v>
      </c>
      <c r="H417" t="str">
        <f ca="1">VLOOKUP(A417,Import_SuiviGlobal_MigAppliSate!A:I,8,FALSE)</f>
        <v>FUMEY Valéry</v>
      </c>
      <c r="I417" t="str">
        <f ca="1">VLOOKUP(A417,Import_SuiviGlobal_MigAppliSate!A:I,9,FALSE)</f>
        <v>valery.fumey@systeme-u.fr</v>
      </c>
      <c r="J417" s="24" t="str">
        <f ca="1">VLOOKUP(A417,Import_SuiviGlobal_MigAppliSate!A:K,10,FALSE)</f>
        <v>Mme PETITJEAN-MATISSE</v>
      </c>
      <c r="K417" t="str">
        <f ca="1">VLOOKUP(A417,Import_SuiviGlobal_MigAppliSate!A:K,11,FALSE)</f>
        <v>superu.labresse.compta@systeme-u.fr</v>
      </c>
      <c r="L417" t="s">
        <v>20</v>
      </c>
      <c r="M417" s="1" t="s">
        <v>21</v>
      </c>
      <c r="O417" s="1" t="s">
        <v>22</v>
      </c>
    </row>
    <row r="418" spans="1:18" ht="12.75" hidden="1" x14ac:dyDescent="0.2">
      <c r="A418">
        <v>30566</v>
      </c>
      <c r="B418" t="str">
        <f ca="1">VLOOKUP(A418,Import_SuiviGlobal_MigAppliSate!A:I,2,FALSE)</f>
        <v>LA BRUFFIÈRE</v>
      </c>
      <c r="C418" t="str">
        <f ca="1">VLOOKUP(A418,Import_SuiviGlobal_MigAppliSate!A:I,3,FALSE)</f>
        <v>Super U</v>
      </c>
      <c r="D418" s="1" t="str">
        <f ca="1">VLOOKUP(A418,Import_SuiviGlobal_MigAppliSate!A:I,4,FALSE)</f>
        <v>Coop U Enseigne Ouest</v>
      </c>
      <c r="E418">
        <f ca="1">VLOOKUP(A418,Import_SuiviGlobal_MigAppliSate!A:I,5,FALSE)</f>
        <v>85530</v>
      </c>
      <c r="F418" t="str">
        <f ca="1">VLOOKUP(A418,Import_SuiviGlobal_MigAppliSate!A:I,6,FALSE)</f>
        <v>RUE DE LA BRÛLERIE</v>
      </c>
      <c r="G418" t="str">
        <f ca="1">VLOOKUP(A418,Import_SuiviGlobal_MigAppliSate!A:I,7,FALSE)</f>
        <v>02.51.42.58.37</v>
      </c>
      <c r="H418" t="str">
        <f ca="1">VLOOKUP(A418,Import_SuiviGlobal_MigAppliSate!A:I,8,FALSE)</f>
        <v>BROSSET RPT SARL ICB Annie</v>
      </c>
      <c r="I418" t="str">
        <f ca="1">VLOOKUP(A418,Import_SuiviGlobal_MigAppliSate!A:I,9,FALSE)</f>
        <v>annie.brosset@systeme-u.fr</v>
      </c>
      <c r="J418" s="24" t="str">
        <f ca="1">VLOOKUP(A418,Import_SuiviGlobal_MigAppliSate!A:K,10,FALSE)</f>
        <v>M. CARCAUD</v>
      </c>
      <c r="K418" t="str">
        <f ca="1">VLOOKUP(A418,Import_SuiviGlobal_MigAppliSate!A:K,11,FALSE)</f>
        <v>superu.labruffiere.eldph@systeme-u.fr</v>
      </c>
      <c r="O418" s="1" t="s">
        <v>22</v>
      </c>
    </row>
    <row r="419" spans="1:18" ht="12.75" hidden="1" x14ac:dyDescent="0.2">
      <c r="A419">
        <v>99233</v>
      </c>
      <c r="B419" t="str">
        <f ca="1">VLOOKUP(A419,Import_SuiviGlobal_MigAppliSate!A:I,2,FALSE)</f>
        <v>LA-CHALOUPE-ST-LEU-IDR</v>
      </c>
      <c r="C419" t="str">
        <f ca="1">VLOOKUP(A419,Import_SuiviGlobal_MigAppliSate!A:I,3,FALSE)</f>
        <v>U Express</v>
      </c>
      <c r="D419" s="1" t="str">
        <f ca="1">VLOOKUP(A419,Import_SuiviGlobal_MigAppliSate!A:I,4,FALSE)</f>
        <v>Coop U Enseigne Sud</v>
      </c>
      <c r="E419">
        <f ca="1">VLOOKUP(A419,Import_SuiviGlobal_MigAppliSate!A:I,5,FALSE)</f>
        <v>97416</v>
      </c>
      <c r="F419" t="str">
        <f ca="1">VLOOKUP(A419,Import_SuiviGlobal_MigAppliSate!A:I,6,FALSE)</f>
        <v>260 RUE ALEXANDRE BEGUE</v>
      </c>
      <c r="G419" t="str">
        <f ca="1">VLOOKUP(A419,Import_SuiviGlobal_MigAppliSate!A:I,7,FALSE)</f>
        <v>02.62.54.81.85</v>
      </c>
      <c r="H419" t="str">
        <f ca="1">VLOOKUP(A419,Import_SuiviGlobal_MigAppliSate!A:I,8,FALSE)</f>
        <v>FOCK SHO THIEN Bernard</v>
      </c>
      <c r="I419" t="str">
        <f ca="1">VLOOKUP(A419,Import_SuiviGlobal_MigAppliSate!A:I,9,FALSE)</f>
        <v>bernard.fock@systeme-u.fr</v>
      </c>
      <c r="J419" s="24" t="str">
        <f ca="1">VLOOKUP(A419,Import_SuiviGlobal_MigAppliSate!A:K,10,FALSE)</f>
        <v xml:space="preserve">FOCK SHO THIEN Christophe </v>
      </c>
      <c r="K419" t="str">
        <f ca="1">VLOOKUP(A419,Import_SuiviGlobal_MigAppliSate!A:K,11,FALSE)</f>
        <v/>
      </c>
      <c r="O419" s="1" t="s">
        <v>22</v>
      </c>
    </row>
    <row r="420" spans="1:18" ht="12.75" hidden="1" x14ac:dyDescent="0.2">
      <c r="A420">
        <v>32585</v>
      </c>
      <c r="B420" t="str">
        <f ca="1">VLOOKUP(A420,Import_SuiviGlobal_MigAppliSate!A:I,2,FALSE)</f>
        <v>LA CHAPELLE-BASSE-MER</v>
      </c>
      <c r="C420" t="str">
        <f ca="1">VLOOKUP(A420,Import_SuiviGlobal_MigAppliSate!A:I,3,FALSE)</f>
        <v>Super U</v>
      </c>
      <c r="D420" s="1" t="str">
        <f ca="1">VLOOKUP(A420,Import_SuiviGlobal_MigAppliSate!A:I,4,FALSE)</f>
        <v>Coop U Enseigne Ouest</v>
      </c>
      <c r="E420">
        <f ca="1">VLOOKUP(A420,Import_SuiviGlobal_MigAppliSate!A:I,5,FALSE)</f>
        <v>44450</v>
      </c>
      <c r="F420" t="str">
        <f ca="1">VLOOKUP(A420,Import_SuiviGlobal_MigAppliSate!A:I,6,FALSE)</f>
        <v>BOULEVARD PASTEUR</v>
      </c>
      <c r="G420" t="str">
        <f ca="1">VLOOKUP(A420,Import_SuiviGlobal_MigAppliSate!A:I,7,FALSE)</f>
        <v>02.40.06.35.92</v>
      </c>
      <c r="H420" t="str">
        <f ca="1">VLOOKUP(A420,Import_SuiviGlobal_MigAppliSate!A:I,8,FALSE)</f>
        <v>GRENON RPT MS FINANCES Sébastien</v>
      </c>
      <c r="I420" t="str">
        <f ca="1">VLOOKUP(A420,Import_SuiviGlobal_MigAppliSate!A:I,9,FALSE)</f>
        <v>sebastien.grenon@systeme-u.fr</v>
      </c>
      <c r="J420" s="24" t="str">
        <f ca="1">VLOOKUP(A420,Import_SuiviGlobal_MigAppliSate!A:K,10,FALSE)</f>
        <v>Mr Jeanneau</v>
      </c>
      <c r="K420" t="str">
        <f ca="1">VLOOKUP(A420,Import_SuiviGlobal_MigAppliSate!A:K,11,FALSE)</f>
        <v>superu.lachapellebassemer.administratif@systeme-u.fr</v>
      </c>
      <c r="L420" t="s">
        <v>17</v>
      </c>
      <c r="M420" t="s">
        <v>24</v>
      </c>
      <c r="N420" s="1" t="s">
        <v>18</v>
      </c>
      <c r="O420" s="1" t="s">
        <v>19</v>
      </c>
    </row>
    <row r="421" spans="1:18" ht="12.75" hidden="1" x14ac:dyDescent="0.2">
      <c r="A421">
        <v>33212</v>
      </c>
      <c r="B421" t="str">
        <f ca="1">VLOOKUP(A421,Import_SuiviGlobal_MigAppliSate!A:I,2,FALSE)</f>
        <v>LA CHARTRE-SUR-LE-LOIR 72</v>
      </c>
      <c r="C421" t="str">
        <f ca="1">VLOOKUP(A421,Import_SuiviGlobal_MigAppliSate!A:I,3,FALSE)</f>
        <v>Super U</v>
      </c>
      <c r="D421" s="1" t="str">
        <f ca="1">VLOOKUP(A421,Import_SuiviGlobal_MigAppliSate!A:I,4,FALSE)</f>
        <v>Coop U Enseigne Ouest</v>
      </c>
      <c r="E421">
        <f ca="1">VLOOKUP(A421,Import_SuiviGlobal_MigAppliSate!A:I,5,FALSE)</f>
        <v>72340</v>
      </c>
      <c r="F421" t="str">
        <f ca="1">VLOOKUP(A421,Import_SuiviGlobal_MigAppliSate!A:I,6,FALSE)</f>
        <v>LA MALADRERIE</v>
      </c>
      <c r="G421" t="str">
        <f ca="1">VLOOKUP(A421,Import_SuiviGlobal_MigAppliSate!A:I,7,FALSE)</f>
        <v>02.43.79.07.23</v>
      </c>
      <c r="H421" t="str">
        <f ca="1">VLOOKUP(A421,Import_SuiviGlobal_MigAppliSate!A:I,8,FALSE)</f>
        <v>RONDEAU RPT PL RONDEAU INVEST Ludovic</v>
      </c>
      <c r="I421" t="str">
        <f ca="1">VLOOKUP(A421,Import_SuiviGlobal_MigAppliSate!A:I,9,FALSE)</f>
        <v>ludovic.rondeau@systeme-u.fr</v>
      </c>
      <c r="J421" s="24" t="str">
        <f ca="1">VLOOKUP(A421,Import_SuiviGlobal_MigAppliSate!A:K,10,FALSE)</f>
        <v>POTTIER RENAUD</v>
      </c>
      <c r="K421" t="str">
        <f ca="1">VLOOKUP(A421,Import_SuiviGlobal_MigAppliSate!A:K,11,FALSE)</f>
        <v>renaud.pottier@systeme-u.fr</v>
      </c>
      <c r="O421" s="1" t="s">
        <v>22</v>
      </c>
    </row>
    <row r="422" spans="1:18" ht="12.75" hidden="1" x14ac:dyDescent="0.2">
      <c r="A422">
        <v>32801</v>
      </c>
      <c r="B422" t="str">
        <f ca="1">VLOOKUP(A422,Import_SuiviGlobal_MigAppliSate!A:I,2,FALSE)</f>
        <v>LA CHATAIGNERAIE</v>
      </c>
      <c r="C422" t="str">
        <f ca="1">VLOOKUP(A422,Import_SuiviGlobal_MigAppliSate!A:I,3,FALSE)</f>
        <v>Super U</v>
      </c>
      <c r="D422" s="1" t="str">
        <f ca="1">VLOOKUP(A422,Import_SuiviGlobal_MigAppliSate!A:I,4,FALSE)</f>
        <v>Coop U Enseigne Ouest</v>
      </c>
      <c r="E422">
        <f ca="1">VLOOKUP(A422,Import_SuiviGlobal_MigAppliSate!A:I,5,FALSE)</f>
        <v>85120</v>
      </c>
      <c r="F422" t="str">
        <f ca="1">VLOOKUP(A422,Import_SuiviGlobal_MigAppliSate!A:I,6,FALSE)</f>
        <v>52, AVENUE DU GÉNÉRAL DE GAULLE</v>
      </c>
      <c r="G422" t="str">
        <f ca="1">VLOOKUP(A422,Import_SuiviGlobal_MigAppliSate!A:I,7,FALSE)</f>
        <v>02.51.87.87.87</v>
      </c>
      <c r="H422" t="str">
        <f ca="1">VLOOKUP(A422,Import_SuiviGlobal_MigAppliSate!A:I,8,FALSE)</f>
        <v>LAVILLE Lionel</v>
      </c>
      <c r="I422" t="str">
        <f ca="1">VLOOKUP(A422,Import_SuiviGlobal_MigAppliSate!A:I,9,FALSE)</f>
        <v>lionel.laville@systeme-u.fr</v>
      </c>
      <c r="J422" s="24" t="str">
        <f ca="1">VLOOKUP(A422,Import_SuiviGlobal_MigAppliSate!A:K,10,FALSE)</f>
        <v xml:space="preserve">Geay Stéphane </v>
      </c>
      <c r="K422" t="str">
        <f ca="1">VLOOKUP(A422,Import_SuiviGlobal_MigAppliSate!A:K,11,FALSE)</f>
        <v>superu.lachataigneraie.administratif@systeme-u.fr</v>
      </c>
      <c r="O422" s="1" t="s">
        <v>22</v>
      </c>
    </row>
    <row r="423" spans="1:18" ht="12.75" hidden="1" x14ac:dyDescent="0.2">
      <c r="A423">
        <v>36793</v>
      </c>
      <c r="B423" t="str">
        <f ca="1">VLOOKUP(A423,Import_SuiviGlobal_MigAppliSate!A:I,2,FALSE)</f>
        <v>LA CHATRE</v>
      </c>
      <c r="C423" t="str">
        <f ca="1">VLOOKUP(A423,Import_SuiviGlobal_MigAppliSate!A:I,3,FALSE)</f>
        <v>Super U</v>
      </c>
      <c r="D423" s="1" t="str">
        <f ca="1">VLOOKUP(A423,Import_SuiviGlobal_MigAppliSate!A:I,4,FALSE)</f>
        <v>Coop U Enseigne Ouest</v>
      </c>
      <c r="E423">
        <f ca="1">VLOOKUP(A423,Import_SuiviGlobal_MigAppliSate!A:I,5,FALSE)</f>
        <v>36400</v>
      </c>
      <c r="F423" t="str">
        <f ca="1">VLOOKUP(A423,Import_SuiviGlobal_MigAppliSate!A:I,6,FALSE)</f>
        <v>AVENUE D'AUVERGNE</v>
      </c>
      <c r="G423" t="str">
        <f ca="1">VLOOKUP(A423,Import_SuiviGlobal_MigAppliSate!A:I,7,FALSE)</f>
        <v>02.54.62.16.21</v>
      </c>
      <c r="H423" t="str">
        <f ca="1">VLOOKUP(A423,Import_SuiviGlobal_MigAppliSate!A:I,8,FALSE)</f>
        <v>BOURIAUD Corinne</v>
      </c>
      <c r="I423" t="str">
        <f ca="1">VLOOKUP(A423,Import_SuiviGlobal_MigAppliSate!A:I,9,FALSE)</f>
        <v>corinne.bouriaud@systeme-u.fr</v>
      </c>
      <c r="J423" s="24" t="str">
        <f ca="1">VLOOKUP(A423,Import_SuiviGlobal_MigAppliSate!A:K,10,FALSE)</f>
        <v>BRUNAUD Isabelle</v>
      </c>
      <c r="K423" t="str">
        <f ca="1">VLOOKUP(A423,Import_SuiviGlobal_MigAppliSate!A:K,11,FALSE)</f>
        <v>superu.lachatre@systeme-u.fr</v>
      </c>
      <c r="O423" s="1" t="s">
        <v>22</v>
      </c>
    </row>
    <row r="424" spans="1:18" ht="12.75" hidden="1" x14ac:dyDescent="0.2">
      <c r="A424">
        <v>66043</v>
      </c>
      <c r="B424" t="str">
        <f ca="1">VLOOKUP(A424,Import_SuiviGlobal_MigAppliSate!A:I,2,FALSE)</f>
        <v>LA CLUSAZ SOLEMONT</v>
      </c>
      <c r="C424" t="str">
        <f ca="1">VLOOKUP(A424,Import_SuiviGlobal_MigAppliSate!A:I,3,FALSE)</f>
        <v>U Express</v>
      </c>
      <c r="D424" s="1" t="str">
        <f ca="1">VLOOKUP(A424,Import_SuiviGlobal_MigAppliSate!A:I,4,FALSE)</f>
        <v>Coop U Enseigne Est</v>
      </c>
      <c r="E424">
        <f ca="1">VLOOKUP(A424,Import_SuiviGlobal_MigAppliSate!A:I,5,FALSE)</f>
        <v>74220</v>
      </c>
      <c r="F424" t="str">
        <f ca="1">VLOOKUP(A424,Import_SuiviGlobal_MigAppliSate!A:I,6,FALSE)</f>
        <v>538 RTE DES GRANDES ALPES</v>
      </c>
      <c r="G424" t="str">
        <f ca="1">VLOOKUP(A424,Import_SuiviGlobal_MigAppliSate!A:I,7,FALSE)</f>
        <v>04.50.02.48.28</v>
      </c>
      <c r="H424" t="str">
        <f ca="1">VLOOKUP(A424,Import_SuiviGlobal_MigAppliSate!A:I,8,FALSE)</f>
        <v>POLLET VILLARD Antoine</v>
      </c>
      <c r="I424" t="str">
        <f ca="1">VLOOKUP(A424,Import_SuiviGlobal_MigAppliSate!A:I,9,FALSE)</f>
        <v>antoine.pollet-villard@systeme-u.fr</v>
      </c>
      <c r="J424" s="24" t="str">
        <f ca="1">VLOOKUP(A424,Import_SuiviGlobal_MigAppliSate!A:K,10,FALSE)</f>
        <v/>
      </c>
      <c r="K424" t="str">
        <f ca="1">VLOOKUP(A424,Import_SuiviGlobal_MigAppliSate!A:K,11,FALSE)</f>
        <v/>
      </c>
      <c r="O424" s="1" t="s">
        <v>22</v>
      </c>
    </row>
    <row r="425" spans="1:18" ht="12.75" hidden="1" x14ac:dyDescent="0.2">
      <c r="A425">
        <v>90457</v>
      </c>
      <c r="B425" t="str">
        <f ca="1">VLOOKUP(A425,Import_SuiviGlobal_MigAppliSate!A:I,2,FALSE)</f>
        <v>LA COLLE S/LOUP</v>
      </c>
      <c r="C425" t="str">
        <f ca="1">VLOOKUP(A425,Import_SuiviGlobal_MigAppliSate!A:I,3,FALSE)</f>
        <v>U Express</v>
      </c>
      <c r="D425" s="1" t="str">
        <f ca="1">VLOOKUP(A425,Import_SuiviGlobal_MigAppliSate!A:I,4,FALSE)</f>
        <v>Coop U Enseigne Sud</v>
      </c>
      <c r="E425">
        <f ca="1">VLOOKUP(A425,Import_SuiviGlobal_MigAppliSate!A:I,5,FALSE)</f>
        <v>6480</v>
      </c>
      <c r="F425" t="str">
        <f ca="1">VLOOKUP(A425,Import_SuiviGlobal_MigAppliSate!A:I,6,FALSE)</f>
        <v>BD HONORE TEISSEIRE</v>
      </c>
      <c r="G425" t="str">
        <f ca="1">VLOOKUP(A425,Import_SuiviGlobal_MigAppliSate!A:I,7,FALSE)</f>
        <v>04.93.32.67.22</v>
      </c>
      <c r="H425" t="str">
        <f ca="1">VLOOKUP(A425,Import_SuiviGlobal_MigAppliSate!A:I,8,FALSE)</f>
        <v>PANNETIER Francoise</v>
      </c>
      <c r="I425" t="str">
        <f ca="1">VLOOKUP(A425,Import_SuiviGlobal_MigAppliSate!A:I,9,FALSE)</f>
        <v>francoise.pannetier@systeme-u.fr</v>
      </c>
      <c r="J425" s="24" t="str">
        <f ca="1">VLOOKUP(A425,Import_SuiviGlobal_MigAppliSate!A:K,10,FALSE)</f>
        <v/>
      </c>
      <c r="K425" t="str">
        <f ca="1">VLOOKUP(A425,Import_SuiviGlobal_MigAppliSate!A:K,11,FALSE)</f>
        <v/>
      </c>
      <c r="O425" s="1" t="s">
        <v>22</v>
      </c>
    </row>
    <row r="426" spans="1:18" ht="12.75" hidden="1" x14ac:dyDescent="0.2">
      <c r="A426">
        <v>24944</v>
      </c>
      <c r="B426" t="str">
        <f ca="1">VLOOKUP(A426,Import_SuiviGlobal_MigAppliSate!A:I,2,FALSE)</f>
        <v>#N/A</v>
      </c>
      <c r="C426" t="str">
        <f ca="1">VLOOKUP(A426,Import_SuiviGlobal_MigAppliSate!A:I,3,FALSE)</f>
        <v>#N/A</v>
      </c>
      <c r="D426" s="1" t="str">
        <f ca="1">VLOOKUP(A426,Import_SuiviGlobal_MigAppliSate!A:I,4,FALSE)</f>
        <v>#N/A</v>
      </c>
      <c r="E426" t="str">
        <f ca="1">VLOOKUP(A426,Import_SuiviGlobal_MigAppliSate!A:I,5,FALSE)</f>
        <v/>
      </c>
      <c r="F426" t="str">
        <f ca="1">VLOOKUP(A426,Import_SuiviGlobal_MigAppliSate!A:I,6,FALSE)</f>
        <v>#N/A</v>
      </c>
      <c r="G426" t="str">
        <f ca="1">VLOOKUP(A426,Import_SuiviGlobal_MigAppliSate!A:I,7,FALSE)</f>
        <v>#N/A</v>
      </c>
      <c r="H426" t="str">
        <f ca="1">VLOOKUP(A426,Import_SuiviGlobal_MigAppliSate!A:I,8,FALSE)</f>
        <v>#N/A</v>
      </c>
      <c r="I426" t="str">
        <f ca="1">VLOOKUP(A426,Import_SuiviGlobal_MigAppliSate!A:I,9,FALSE)</f>
        <v>#N/A</v>
      </c>
      <c r="J426" s="24" t="str">
        <f ca="1">VLOOKUP(A426,Import_SuiviGlobal_MigAppliSate!A:K,10,FALSE)</f>
        <v>Gilles EVRARD</v>
      </c>
      <c r="K426" t="str">
        <f ca="1">VLOOKUP(A426,Import_SuiviGlobal_MigAppliSate!A:K,11,FALSE)</f>
        <v>gilles.evrard@syrinxpan.fr</v>
      </c>
      <c r="O426" s="1" t="s">
        <v>22</v>
      </c>
    </row>
    <row r="427" spans="1:18" ht="12.75" hidden="1" x14ac:dyDescent="0.2">
      <c r="A427">
        <v>32072</v>
      </c>
      <c r="B427" t="str">
        <f ca="1">VLOOKUP(A427,Import_SuiviGlobal_MigAppliSate!A:I,2,FALSE)</f>
        <v>LA COURONNE</v>
      </c>
      <c r="C427" t="str">
        <f ca="1">VLOOKUP(A427,Import_SuiviGlobal_MigAppliSate!A:I,3,FALSE)</f>
        <v>Super U</v>
      </c>
      <c r="D427" s="1" t="str">
        <f ca="1">VLOOKUP(A427,Import_SuiviGlobal_MigAppliSate!A:I,4,FALSE)</f>
        <v>Coop Atlantique</v>
      </c>
      <c r="E427">
        <f ca="1">VLOOKUP(A427,Import_SuiviGlobal_MigAppliSate!A:I,5,FALSE)</f>
        <v>16400</v>
      </c>
      <c r="F427" t="str">
        <f ca="1">VLOOKUP(A427,Import_SuiviGlobal_MigAppliSate!A:I,6,FALSE)</f>
        <v>96 AVENUE DE LA GARE</v>
      </c>
      <c r="G427" t="str">
        <f ca="1">VLOOKUP(A427,Import_SuiviGlobal_MigAppliSate!A:I,7,FALSE)</f>
        <v>05.45.67.26.94</v>
      </c>
      <c r="H427" t="str">
        <f ca="1">VLOOKUP(A427,Import_SuiviGlobal_MigAppliSate!A:I,8,FALSE)</f>
        <v>FLAMBARD Hervé</v>
      </c>
      <c r="I427" t="str">
        <f ca="1">VLOOKUP(A427,Import_SuiviGlobal_MigAppliSate!A:I,9,FALSE)</f>
        <v>bertrand.defontaine_coop_su_uex@systeme-u.fr</v>
      </c>
      <c r="J427" s="24" t="str">
        <f ca="1">VLOOKUP(A427,Import_SuiviGlobal_MigAppliSate!A:K,10,FALSE)</f>
        <v>Nicolas MARCHESSEAU</v>
      </c>
      <c r="K427" t="str">
        <f ca="1">VLOOKUP(A427,Import_SuiviGlobal_MigAppliSate!A:K,11,FALSE)</f>
        <v>superu.lacouronne.direction@systeme-u.fr,nbrigant@coop-atlantique.fr,sjaud@coop-atlantique.fr,nmarchesseau@coop-atlantique.fr</v>
      </c>
      <c r="O427" s="1" t="s">
        <v>22</v>
      </c>
    </row>
    <row r="428" spans="1:18" ht="12.75" hidden="1" x14ac:dyDescent="0.2">
      <c r="A428">
        <v>90347</v>
      </c>
      <c r="B428" t="str">
        <f ca="1">VLOOKUP(A428,Import_SuiviGlobal_MigAppliSate!A:I,2,FALSE)</f>
        <v>LA FARE LES OLIVIERS</v>
      </c>
      <c r="C428" t="str">
        <f ca="1">VLOOKUP(A428,Import_SuiviGlobal_MigAppliSate!A:I,3,FALSE)</f>
        <v>Super U</v>
      </c>
      <c r="D428" s="1" t="str">
        <f ca="1">VLOOKUP(A428,Import_SuiviGlobal_MigAppliSate!A:I,4,FALSE)</f>
        <v>Coop U Enseigne Sud</v>
      </c>
      <c r="E428">
        <f ca="1">VLOOKUP(A428,Import_SuiviGlobal_MigAppliSate!A:I,5,FALSE)</f>
        <v>13580</v>
      </c>
      <c r="F428" t="str">
        <f ca="1">VLOOKUP(A428,Import_SuiviGlobal_MigAppliSate!A:I,6,FALSE)</f>
        <v>AVENUE DE MONTRICHER</v>
      </c>
      <c r="G428" t="str">
        <f ca="1">VLOOKUP(A428,Import_SuiviGlobal_MigAppliSate!A:I,7,FALSE)</f>
        <v>04.90.42.58.29</v>
      </c>
      <c r="H428" t="str">
        <f ca="1">VLOOKUP(A428,Import_SuiviGlobal_MigAppliSate!A:I,8,FALSE)</f>
        <v>PIERRE Thierry</v>
      </c>
      <c r="I428" t="str">
        <f ca="1">VLOOKUP(A428,Import_SuiviGlobal_MigAppliSate!A:I,9,FALSE)</f>
        <v>thierry.pierre@systeme-u.fr</v>
      </c>
      <c r="J428" s="24" t="str">
        <f ca="1">VLOOKUP(A428,Import_SuiviGlobal_MigAppliSate!A:K,10,FALSE)</f>
        <v>HARDY Céline
Cécilia (UPLV)</v>
      </c>
      <c r="K428" t="str">
        <f ca="1">VLOOKUP(A428,Import_SuiviGlobal_MigAppliSate!A:K,11,FALSE)</f>
        <v>superu.lafarelesoliviers.compta@systeme-u.fr, superu.lafarelesoliviers@systeme-u.fr</v>
      </c>
      <c r="O428" s="1" t="s">
        <v>22</v>
      </c>
    </row>
    <row r="429" spans="1:18" ht="12.75" hidden="1" x14ac:dyDescent="0.2">
      <c r="A429">
        <v>23859</v>
      </c>
      <c r="B429" t="str">
        <f ca="1">VLOOKUP(A429,Import_SuiviGlobal_MigAppliSate!A:I,2,FALSE)</f>
        <v>LA FERTE GAUCHER</v>
      </c>
      <c r="C429" t="str">
        <f ca="1">VLOOKUP(A429,Import_SuiviGlobal_MigAppliSate!A:I,3,FALSE)</f>
        <v>Super U</v>
      </c>
      <c r="D429" s="1" t="str">
        <f ca="1">VLOOKUP(A429,Import_SuiviGlobal_MigAppliSate!A:I,4,FALSE)</f>
        <v>Coop U Enseigne NordOuest</v>
      </c>
      <c r="E429">
        <f ca="1">VLOOKUP(A429,Import_SuiviGlobal_MigAppliSate!A:I,5,FALSE)</f>
        <v>77320</v>
      </c>
      <c r="F429" t="str">
        <f ca="1">VLOOKUP(A429,Import_SuiviGlobal_MigAppliSate!A:I,6,FALSE)</f>
        <v>7 AVENUE DE LA MAISON BLANCHE</v>
      </c>
      <c r="G429" t="str">
        <f ca="1">VLOOKUP(A429,Import_SuiviGlobal_MigAppliSate!A:I,7,FALSE)</f>
        <v>01.64.65.56.50</v>
      </c>
      <c r="H429" t="str">
        <f ca="1">VLOOKUP(A429,Import_SuiviGlobal_MigAppliSate!A:I,8,FALSE)</f>
        <v>AUBE Denis</v>
      </c>
      <c r="I429" t="str">
        <f ca="1">VLOOKUP(A429,Import_SuiviGlobal_MigAppliSate!A:I,9,FALSE)</f>
        <v>denis.aube@systeme-u.fr</v>
      </c>
      <c r="J429" s="24" t="str">
        <f ca="1">VLOOKUP(A429,Import_SuiviGlobal_MigAppliSate!A:K,10,FALSE)</f>
        <v>M. SORIN</v>
      </c>
      <c r="K429" t="str">
        <f ca="1">VLOOKUP(A429,Import_SuiviGlobal_MigAppliSate!A:K,11,FALSE)</f>
        <v/>
      </c>
      <c r="O429" s="1" t="s">
        <v>22</v>
      </c>
    </row>
    <row r="430" spans="1:18" ht="12.75" hidden="1" x14ac:dyDescent="0.2">
      <c r="A430">
        <v>23905</v>
      </c>
      <c r="B430" t="str">
        <f ca="1">VLOOKUP(A430,Import_SuiviGlobal_MigAppliSate!A:I,2,FALSE)</f>
        <v>LA FRETTE SUR SEINE</v>
      </c>
      <c r="C430" t="str">
        <f ca="1">VLOOKUP(A430,Import_SuiviGlobal_MigAppliSate!A:I,3,FALSE)</f>
        <v>U Express</v>
      </c>
      <c r="D430" s="1" t="str">
        <f ca="1">VLOOKUP(A430,Import_SuiviGlobal_MigAppliSate!A:I,4,FALSE)</f>
        <v>Coop U Enseigne NordOuest</v>
      </c>
      <c r="E430">
        <f ca="1">VLOOKUP(A430,Import_SuiviGlobal_MigAppliSate!A:I,5,FALSE)</f>
        <v>95530</v>
      </c>
      <c r="F430" t="str">
        <f ca="1">VLOOKUP(A430,Import_SuiviGlobal_MigAppliSate!A:I,6,FALSE)</f>
        <v>4 PLACE DE LA GARE</v>
      </c>
      <c r="G430" t="str">
        <f ca="1">VLOOKUP(A430,Import_SuiviGlobal_MigAppliSate!A:I,7,FALSE)</f>
        <v>01.30.40.56.00</v>
      </c>
      <c r="H430" t="str">
        <f ca="1">VLOOKUP(A430,Import_SuiviGlobal_MigAppliSate!A:I,8,FALSE)</f>
        <v>BOINNE Patrick</v>
      </c>
      <c r="I430" t="str">
        <f ca="1">VLOOKUP(A430,Import_SuiviGlobal_MigAppliSate!A:I,9,FALSE)</f>
        <v>patrick.boinne@systeme-u.fr</v>
      </c>
      <c r="J430" s="24" t="str">
        <f ca="1">VLOOKUP(A430,Import_SuiviGlobal_MigAppliSate!A:K,10,FALSE)</f>
        <v>Mr Osterero</v>
      </c>
      <c r="K430" t="str">
        <f ca="1">VLOOKUP(A430,Import_SuiviGlobal_MigAppliSate!A:K,11,FALSE)</f>
        <v>uexpress.lafrettesurseine@systeme-u.fr</v>
      </c>
      <c r="L430" t="s">
        <v>20</v>
      </c>
      <c r="M430" t="s">
        <v>0</v>
      </c>
      <c r="O430" s="1" t="s">
        <v>22</v>
      </c>
      <c r="P430" s="1"/>
      <c r="Q430" s="1"/>
      <c r="R430" s="1"/>
    </row>
    <row r="431" spans="1:18" ht="12.75" x14ac:dyDescent="0.2">
      <c r="A431">
        <v>38036</v>
      </c>
      <c r="B431" t="str">
        <f ca="1">VLOOKUP(A431,Import_SuiviGlobal_MigAppliSate!A:I,2,FALSE)</f>
        <v>LA GARNACHE</v>
      </c>
      <c r="C431" t="str">
        <f ca="1">VLOOKUP(A431,Import_SuiviGlobal_MigAppliSate!A:I,3,FALSE)</f>
        <v>U Express</v>
      </c>
      <c r="D431" s="1" t="str">
        <f ca="1">VLOOKUP(A431,Import_SuiviGlobal_MigAppliSate!A:I,4,FALSE)</f>
        <v>Coop U Enseigne Ouest</v>
      </c>
      <c r="E431">
        <f ca="1">VLOOKUP(A431,Import_SuiviGlobal_MigAppliSate!A:I,5,FALSE)</f>
        <v>85710</v>
      </c>
      <c r="F431" t="str">
        <f ca="1">VLOOKUP(A431,Import_SuiviGlobal_MigAppliSate!A:I,6,FALSE)</f>
        <v>CENTRE COMMERCIAL</v>
      </c>
      <c r="G431" t="str">
        <f ca="1">VLOOKUP(A431,Import_SuiviGlobal_MigAppliSate!A:I,7,FALSE)</f>
        <v>02.51.35.34.98</v>
      </c>
      <c r="H431" t="str">
        <f ca="1">VLOOKUP(A431,Import_SuiviGlobal_MigAppliSate!A:I,8,FALSE)</f>
        <v>MICHAUD Nicolas</v>
      </c>
      <c r="I431" t="str">
        <f ca="1">VLOOKUP(A431,Import_SuiviGlobal_MigAppliSate!A:I,9,FALSE)</f>
        <v>nicolas.michaud@systeme-u.fr</v>
      </c>
      <c r="J431" s="24" t="str">
        <f ca="1">VLOOKUP(A431,Import_SuiviGlobal_MigAppliSate!A:K,10,FALSE)</f>
        <v>Mme Michaud</v>
      </c>
      <c r="K431" t="str">
        <f ca="1">VLOOKUP(A431,Import_SuiviGlobal_MigAppliSate!A:K,11,FALSE)</f>
        <v>utile.lagarnache.compta@systeme-u.fr</v>
      </c>
      <c r="L431" t="s">
        <v>17</v>
      </c>
      <c r="M431" t="s">
        <v>0</v>
      </c>
      <c r="O431" s="1" t="s">
        <v>22</v>
      </c>
    </row>
    <row r="432" spans="1:18" ht="12.75" hidden="1" x14ac:dyDescent="0.2">
      <c r="A432">
        <v>90008</v>
      </c>
      <c r="B432" t="str">
        <f ca="1">VLOOKUP(A432,Import_SuiviGlobal_MigAppliSate!A:I,2,FALSE)</f>
        <v>LA GRANDE MOTTE</v>
      </c>
      <c r="C432" t="str">
        <f ca="1">VLOOKUP(A432,Import_SuiviGlobal_MigAppliSate!A:I,3,FALSE)</f>
        <v>Super U</v>
      </c>
      <c r="D432" s="1" t="str">
        <f ca="1">VLOOKUP(A432,Import_SuiviGlobal_MigAppliSate!A:I,4,FALSE)</f>
        <v>Coop U Enseigne Sud</v>
      </c>
      <c r="E432">
        <f ca="1">VLOOKUP(A432,Import_SuiviGlobal_MigAppliSate!A:I,5,FALSE)</f>
        <v>34280</v>
      </c>
      <c r="F432" t="str">
        <f ca="1">VLOOKUP(A432,Import_SuiviGlobal_MigAppliSate!A:I,6,FALSE)</f>
        <v>205 RUE DES ARTISANS</v>
      </c>
      <c r="G432" t="str">
        <f ca="1">VLOOKUP(A432,Import_SuiviGlobal_MigAppliSate!A:I,7,FALSE)</f>
        <v>04.67.29.89.15</v>
      </c>
      <c r="H432" t="str">
        <f ca="1">VLOOKUP(A432,Import_SuiviGlobal_MigAppliSate!A:I,8,FALSE)</f>
        <v/>
      </c>
      <c r="I432" t="str">
        <f ca="1">VLOOKUP(A432,Import_SuiviGlobal_MigAppliSate!A:I,9,FALSE)</f>
        <v>alexandre.allahham@systeme-u.fr</v>
      </c>
      <c r="J432" s="24" t="str">
        <f ca="1">VLOOKUP(A432,Import_SuiviGlobal_MigAppliSate!A:K,10,FALSE)</f>
        <v/>
      </c>
      <c r="K432" t="str">
        <f ca="1">VLOOKUP(A432,Import_SuiviGlobal_MigAppliSate!A:K,11,FALSE)</f>
        <v>superu.lagrandemotte.direction@systeme-u.fr</v>
      </c>
      <c r="O432" s="1" t="s">
        <v>22</v>
      </c>
    </row>
    <row r="433" spans="1:15" ht="12.75" hidden="1" x14ac:dyDescent="0.2">
      <c r="A433">
        <v>35754</v>
      </c>
      <c r="B433" t="str">
        <f ca="1">VLOOKUP(A433,Import_SuiviGlobal_MigAppliSate!A:I,2,FALSE)</f>
        <v>LA GUERCHE-DE-BRETAGNE</v>
      </c>
      <c r="C433" t="str">
        <f ca="1">VLOOKUP(A433,Import_SuiviGlobal_MigAppliSate!A:I,3,FALSE)</f>
        <v>Super U</v>
      </c>
      <c r="D433" s="1" t="str">
        <f ca="1">VLOOKUP(A433,Import_SuiviGlobal_MigAppliSate!A:I,4,FALSE)</f>
        <v>Coop U Enseigne Ouest</v>
      </c>
      <c r="E433">
        <f ca="1">VLOOKUP(A433,Import_SuiviGlobal_MigAppliSate!A:I,5,FALSE)</f>
        <v>35130</v>
      </c>
      <c r="F433" t="str">
        <f ca="1">VLOOKUP(A433,Import_SuiviGlobal_MigAppliSate!A:I,6,FALSE)</f>
        <v>ROUTE DE NANTES</v>
      </c>
      <c r="G433" t="str">
        <f ca="1">VLOOKUP(A433,Import_SuiviGlobal_MigAppliSate!A:I,7,FALSE)</f>
        <v>02.99.96.36.69</v>
      </c>
      <c r="H433" t="str">
        <f ca="1">VLOOKUP(A433,Import_SuiviGlobal_MigAppliSate!A:I,8,FALSE)</f>
        <v>ROUSSEAU RPT SARL VALERO Emmanuelle</v>
      </c>
      <c r="I433" t="str">
        <f ca="1">VLOOKUP(A433,Import_SuiviGlobal_MigAppliSate!A:I,9,FALSE)</f>
        <v>emmanuelle.rousseau-vallee@systeme-u.fr</v>
      </c>
      <c r="J433" s="24" t="str">
        <f ca="1">VLOOKUP(A433,Import_SuiviGlobal_MigAppliSate!A:K,10,FALSE)</f>
        <v>TROVALET Sophie</v>
      </c>
      <c r="K433" t="str">
        <f ca="1">VLOOKUP(A433,Import_SuiviGlobal_MigAppliSate!A:K,11,FALSE)</f>
        <v/>
      </c>
      <c r="O433" s="1" t="s">
        <v>22</v>
      </c>
    </row>
    <row r="434" spans="1:15" ht="12.75" hidden="1" x14ac:dyDescent="0.2">
      <c r="A434">
        <v>22348</v>
      </c>
      <c r="B434" t="str">
        <f ca="1">VLOOKUP(A434,Import_SuiviGlobal_MigAppliSate!A:I,2,FALSE)</f>
        <v>LA HAYE PESNEL</v>
      </c>
      <c r="C434" t="str">
        <f ca="1">VLOOKUP(A434,Import_SuiviGlobal_MigAppliSate!A:I,3,FALSE)</f>
        <v>U Express</v>
      </c>
      <c r="D434" s="1" t="str">
        <f ca="1">VLOOKUP(A434,Import_SuiviGlobal_MigAppliSate!A:I,4,FALSE)</f>
        <v>Coop U Enseigne NordOuest</v>
      </c>
      <c r="E434">
        <f ca="1">VLOOKUP(A434,Import_SuiviGlobal_MigAppliSate!A:I,5,FALSE)</f>
        <v>50320</v>
      </c>
      <c r="F434" t="str">
        <f ca="1">VLOOKUP(A434,Import_SuiviGlobal_MigAppliSate!A:I,6,FALSE)</f>
        <v>20 RUE DE LA LIBERATION</v>
      </c>
      <c r="G434" t="str">
        <f ca="1">VLOOKUP(A434,Import_SuiviGlobal_MigAppliSate!A:I,7,FALSE)</f>
        <v>02.33.61.55.34</v>
      </c>
      <c r="H434" t="str">
        <f ca="1">VLOOKUP(A434,Import_SuiviGlobal_MigAppliSate!A:I,8,FALSE)</f>
        <v>LEMOINE Patrick</v>
      </c>
      <c r="I434" t="str">
        <f ca="1">VLOOKUP(A434,Import_SuiviGlobal_MigAppliSate!A:I,9,FALSE)</f>
        <v>patrick.lemoine@systeme-u.fr</v>
      </c>
      <c r="J434" s="24" t="str">
        <f ca="1">VLOOKUP(A434,Import_SuiviGlobal_MigAppliSate!A:K,10,FALSE)</f>
        <v>SEBIRE Michael</v>
      </c>
      <c r="K434" t="str">
        <f ca="1">VLOOKUP(A434,Import_SuiviGlobal_MigAppliSate!A:K,11,FALSE)</f>
        <v>superu.lahayepesnel@systeme-u.fr</v>
      </c>
      <c r="O434" s="1" t="s">
        <v>22</v>
      </c>
    </row>
    <row r="435" spans="1:15" ht="12.75" hidden="1" x14ac:dyDescent="0.2">
      <c r="A435">
        <v>32372</v>
      </c>
      <c r="B435" t="str">
        <f ca="1">VLOOKUP(A435,Import_SuiviGlobal_MigAppliSate!A:I,2,FALSE)</f>
        <v>LA MONTAGNE</v>
      </c>
      <c r="C435" t="str">
        <f ca="1">VLOOKUP(A435,Import_SuiviGlobal_MigAppliSate!A:I,3,FALSE)</f>
        <v>Hyper U</v>
      </c>
      <c r="D435" s="1" t="str">
        <f ca="1">VLOOKUP(A435,Import_SuiviGlobal_MigAppliSate!A:I,4,FALSE)</f>
        <v>Coop U Enseigne Ouest</v>
      </c>
      <c r="E435">
        <f ca="1">VLOOKUP(A435,Import_SuiviGlobal_MigAppliSate!A:I,5,FALSE)</f>
        <v>44620</v>
      </c>
      <c r="F435" t="str">
        <f ca="1">VLOOKUP(A435,Import_SuiviGlobal_MigAppliSate!A:I,6,FALSE)</f>
        <v>8 AVENUE DE LA LIBERATION</v>
      </c>
      <c r="G435" t="str">
        <f ca="1">VLOOKUP(A435,Import_SuiviGlobal_MigAppliSate!A:I,7,FALSE)</f>
        <v>02.40.65.95.15</v>
      </c>
      <c r="H435" t="str">
        <f ca="1">VLOOKUP(A435,Import_SuiviGlobal_MigAppliSate!A:I,8,FALSE)</f>
        <v>DURIEUX Philippe</v>
      </c>
      <c r="I435" t="str">
        <f ca="1">VLOOKUP(A435,Import_SuiviGlobal_MigAppliSate!A:I,9,FALSE)</f>
        <v>philippe.durieux@systeme-u.fr</v>
      </c>
      <c r="J435" s="24" t="str">
        <f ca="1">VLOOKUP(A435,Import_SuiviGlobal_MigAppliSate!A:K,10,FALSE)</f>
        <v>Mr Grazini (directeur)
Mme Lambourg (Ulis - UPLV)</v>
      </c>
      <c r="K435" t="str">
        <f ca="1">VLOOKUP(A435,Import_SuiviGlobal_MigAppliSate!A:K,11,FALSE)</f>
        <v>hyperu.lamontagne.gescom@systeme-u.fr, hyperu.lamontagne.direction@systeme-u.fr</v>
      </c>
      <c r="O435" s="1" t="s">
        <v>22</v>
      </c>
    </row>
    <row r="436" spans="1:15" ht="12.75" hidden="1" x14ac:dyDescent="0.2">
      <c r="A436">
        <v>39393</v>
      </c>
      <c r="B436" t="str">
        <f ca="1">VLOOKUP(A436,Import_SuiviGlobal_MigAppliSate!A:I,2,FALSE)</f>
        <v>LA MOTHE-ACHARD</v>
      </c>
      <c r="C436" t="str">
        <f ca="1">VLOOKUP(A436,Import_SuiviGlobal_MigAppliSate!A:I,3,FALSE)</f>
        <v>Super U</v>
      </c>
      <c r="D436" s="1" t="str">
        <f ca="1">VLOOKUP(A436,Import_SuiviGlobal_MigAppliSate!A:I,4,FALSE)</f>
        <v>Coop U Enseigne Ouest</v>
      </c>
      <c r="E436">
        <f ca="1">VLOOKUP(A436,Import_SuiviGlobal_MigAppliSate!A:I,5,FALSE)</f>
        <v>85150</v>
      </c>
      <c r="F436" t="str">
        <f ca="1">VLOOKUP(A436,Import_SuiviGlobal_MigAppliSate!A:I,6,FALSE)</f>
        <v>1 RUE DES BLES</v>
      </c>
      <c r="G436" t="str">
        <f ca="1">VLOOKUP(A436,Import_SuiviGlobal_MigAppliSate!A:I,7,FALSE)</f>
        <v>02.51.38.61.20</v>
      </c>
      <c r="H436" t="str">
        <f ca="1">VLOOKUP(A436,Import_SuiviGlobal_MigAppliSate!A:I,8,FALSE)</f>
        <v>BRETAUDEAU Olivier</v>
      </c>
      <c r="I436" t="str">
        <f ca="1">VLOOKUP(A436,Import_SuiviGlobal_MigAppliSate!A:I,9,FALSE)</f>
        <v>olivier.bretaudeau@systeme-u.fr</v>
      </c>
      <c r="J436" s="24" t="str">
        <f ca="1">VLOOKUP(A436,Import_SuiviGlobal_MigAppliSate!A:K,10,FALSE)</f>
        <v/>
      </c>
      <c r="K436" t="str">
        <f ca="1">VLOOKUP(A436,Import_SuiviGlobal_MigAppliSate!A:K,11,FALSE)</f>
        <v/>
      </c>
      <c r="O436" s="1" t="s">
        <v>22</v>
      </c>
    </row>
    <row r="437" spans="1:15" ht="12.75" hidden="1" x14ac:dyDescent="0.2">
      <c r="A437">
        <v>66075</v>
      </c>
      <c r="B437" t="str">
        <f ca="1">VLOOKUP(A437,Import_SuiviGlobal_MigAppliSate!A:I,2,FALSE)</f>
        <v>LA MOTTE SERVOLEX</v>
      </c>
      <c r="C437" t="str">
        <f ca="1">VLOOKUP(A437,Import_SuiviGlobal_MigAppliSate!A:I,3,FALSE)</f>
        <v>Super U</v>
      </c>
      <c r="D437" s="1" t="str">
        <f ca="1">VLOOKUP(A437,Import_SuiviGlobal_MigAppliSate!A:I,4,FALSE)</f>
        <v>Coop U Enseigne Est</v>
      </c>
      <c r="E437">
        <f ca="1">VLOOKUP(A437,Import_SuiviGlobal_MigAppliSate!A:I,5,FALSE)</f>
        <v>73290</v>
      </c>
      <c r="F437" t="str">
        <f ca="1">VLOOKUP(A437,Import_SuiviGlobal_MigAppliSate!A:I,6,FALSE)</f>
        <v>75 rue Lavoisier</v>
      </c>
      <c r="G437" t="str">
        <f ca="1">VLOOKUP(A437,Import_SuiviGlobal_MigAppliSate!A:I,7,FALSE)</f>
        <v>04.79.25.64.22</v>
      </c>
      <c r="H437" t="str">
        <f ca="1">VLOOKUP(A437,Import_SuiviGlobal_MigAppliSate!A:I,8,FALSE)</f>
        <v>MOLLARD Xavier</v>
      </c>
      <c r="I437" t="str">
        <f ca="1">VLOOKUP(A437,Import_SuiviGlobal_MigAppliSate!A:I,9,FALSE)</f>
        <v>xavier.mollard@systeme-u.fr</v>
      </c>
      <c r="J437" s="24" t="str">
        <f ca="1">VLOOKUP(A437,Import_SuiviGlobal_MigAppliSate!A:K,10,FALSE)</f>
        <v>Balmefrezol Thierry</v>
      </c>
      <c r="K437" t="str">
        <f ca="1">VLOOKUP(A437,Import_SuiviGlobal_MigAppliSate!A:K,11,FALSE)</f>
        <v>superu.lamotteservolex@systeme-u.fr</v>
      </c>
      <c r="O437" s="1" t="s">
        <v>22</v>
      </c>
    </row>
    <row r="438" spans="1:15" ht="12.75" hidden="1" x14ac:dyDescent="0.2">
      <c r="A438">
        <v>66156</v>
      </c>
      <c r="B438" t="str">
        <f ca="1">VLOOKUP(A438,Import_SuiviGlobal_MigAppliSate!A:I,2,FALSE)</f>
        <v>LA MURE</v>
      </c>
      <c r="C438" t="str">
        <f ca="1">VLOOKUP(A438,Import_SuiviGlobal_MigAppliSate!A:I,3,FALSE)</f>
        <v>Super U</v>
      </c>
      <c r="D438" s="1" t="str">
        <f ca="1">VLOOKUP(A438,Import_SuiviGlobal_MigAppliSate!A:I,4,FALSE)</f>
        <v>Coop U Enseigne Est</v>
      </c>
      <c r="E438">
        <f ca="1">VLOOKUP(A438,Import_SuiviGlobal_MigAppliSate!A:I,5,FALSE)</f>
        <v>38350</v>
      </c>
      <c r="F438" t="str">
        <f ca="1">VLOOKUP(A438,Import_SuiviGlobal_MigAppliSate!A:I,6,FALSE)</f>
        <v>26 Avenue du Docteur Tagnard</v>
      </c>
      <c r="G438" t="str">
        <f ca="1">VLOOKUP(A438,Import_SuiviGlobal_MigAppliSate!A:I,7,FALSE)</f>
        <v>04.76.81.30.75</v>
      </c>
      <c r="H438" t="str">
        <f ca="1">VLOOKUP(A438,Import_SuiviGlobal_MigAppliSate!A:I,8,FALSE)</f>
        <v>RABILLER Jean françois</v>
      </c>
      <c r="I438" t="str">
        <f ca="1">VLOOKUP(A438,Import_SuiviGlobal_MigAppliSate!A:I,9,FALSE)</f>
        <v>jean-francois.rabiller@systeme-u.fr</v>
      </c>
      <c r="J438" s="24" t="str">
        <f ca="1">VLOOKUP(A438,Import_SuiviGlobal_MigAppliSate!A:K,10,FALSE)</f>
        <v>Mme. DUPUICH</v>
      </c>
      <c r="K438" t="str">
        <f ca="1">VLOOKUP(A438,Import_SuiviGlobal_MigAppliSate!A:K,11,FALSE)</f>
        <v>superu.lamure@systeme-u.fr</v>
      </c>
      <c r="O438" s="1" t="s">
        <v>22</v>
      </c>
    </row>
    <row r="439" spans="1:15" ht="12.75" hidden="1" x14ac:dyDescent="0.2">
      <c r="A439">
        <v>38524</v>
      </c>
      <c r="B439" t="str">
        <f ca="1">VLOOKUP(A439,Import_SuiviGlobal_MigAppliSate!A:I,2,FALSE)</f>
        <v>LA POMMERAYE</v>
      </c>
      <c r="C439" t="str">
        <f ca="1">VLOOKUP(A439,Import_SuiviGlobal_MigAppliSate!A:I,3,FALSE)</f>
        <v>Super U</v>
      </c>
      <c r="D439" s="1" t="str">
        <f ca="1">VLOOKUP(A439,Import_SuiviGlobal_MigAppliSate!A:I,4,FALSE)</f>
        <v>Coop U Enseigne Ouest</v>
      </c>
      <c r="E439">
        <f ca="1">VLOOKUP(A439,Import_SuiviGlobal_MigAppliSate!A:I,5,FALSE)</f>
        <v>49620</v>
      </c>
      <c r="F439" t="str">
        <f ca="1">VLOOKUP(A439,Import_SuiviGlobal_MigAppliSate!A:I,6,FALSE)</f>
        <v>ROUTE DE BOURGNEUF</v>
      </c>
      <c r="G439" t="str">
        <f ca="1">VLOOKUP(A439,Import_SuiviGlobal_MigAppliSate!A:I,7,FALSE)</f>
        <v>02.41.72.17.20</v>
      </c>
      <c r="H439" t="str">
        <f ca="1">VLOOKUP(A439,Import_SuiviGlobal_MigAppliSate!A:I,8,FALSE)</f>
        <v>LOISEAU RPT SARL J.P.F. Jacky</v>
      </c>
      <c r="I439" t="str">
        <f ca="1">VLOOKUP(A439,Import_SuiviGlobal_MigAppliSate!A:I,9,FALSE)</f>
        <v>jacky.loiseau@systeme-u.fr</v>
      </c>
      <c r="J439" s="24" t="str">
        <f ca="1">VLOOKUP(A439,Import_SuiviGlobal_MigAppliSate!A:K,10,FALSE)</f>
        <v>TRIGANE Manuel</v>
      </c>
      <c r="K439" t="str">
        <f ca="1">VLOOKUP(A439,Import_SuiviGlobal_MigAppliSate!A:K,11,FALSE)</f>
        <v>superu.lapommeraye@systeme-u.fr</v>
      </c>
      <c r="O439" s="1" t="s">
        <v>22</v>
      </c>
    </row>
    <row r="440" spans="1:15" ht="12.75" hidden="1" x14ac:dyDescent="0.2">
      <c r="A440">
        <v>66072</v>
      </c>
      <c r="B440" t="str">
        <f ca="1">VLOOKUP(A440,Import_SuiviGlobal_MigAppliSate!A:I,2,FALSE)</f>
        <v>LA RAVOIRE</v>
      </c>
      <c r="C440" t="str">
        <f ca="1">VLOOKUP(A440,Import_SuiviGlobal_MigAppliSate!A:I,3,FALSE)</f>
        <v>Super U</v>
      </c>
      <c r="D440" s="1" t="str">
        <f ca="1">VLOOKUP(A440,Import_SuiviGlobal_MigAppliSate!A:I,4,FALSE)</f>
        <v>Coop U Enseigne Est</v>
      </c>
      <c r="E440">
        <f ca="1">VLOOKUP(A440,Import_SuiviGlobal_MigAppliSate!A:I,5,FALSE)</f>
        <v>73490</v>
      </c>
      <c r="F440" t="str">
        <f ca="1">VLOOKUP(A440,Import_SuiviGlobal_MigAppliSate!A:I,6,FALSE)</f>
        <v>Rue du pré Renaud</v>
      </c>
      <c r="G440" t="str">
        <f ca="1">VLOOKUP(A440,Import_SuiviGlobal_MigAppliSate!A:I,7,FALSE)</f>
        <v>04.79.72.84.99</v>
      </c>
      <c r="H440" t="str">
        <f ca="1">VLOOKUP(A440,Import_SuiviGlobal_MigAppliSate!A:I,8,FALSE)</f>
        <v>GEOFFROY Eric</v>
      </c>
      <c r="I440" t="str">
        <f ca="1">VLOOKUP(A440,Import_SuiviGlobal_MigAppliSate!A:I,9,FALSE)</f>
        <v>eric.geoffroy@systeme-u.fr</v>
      </c>
      <c r="J440" s="24" t="str">
        <f ca="1">VLOOKUP(A440,Import_SuiviGlobal_MigAppliSate!A:K,10,FALSE)</f>
        <v>VACHER Jean-Luc</v>
      </c>
      <c r="K440" t="str">
        <f ca="1">VLOOKUP(A440,Import_SuiviGlobal_MigAppliSate!A:K,11,FALSE)</f>
        <v>superu.laravoire.direction@systeme-u.fr</v>
      </c>
      <c r="O440" s="1" t="s">
        <v>22</v>
      </c>
    </row>
    <row r="441" spans="1:15" ht="12.75" hidden="1" x14ac:dyDescent="0.2">
      <c r="A441">
        <v>37005</v>
      </c>
      <c r="B441" t="str">
        <f ca="1">VLOOKUP(A441,Import_SuiviGlobal_MigAppliSate!A:I,2,FALSE)</f>
        <v>LA RICHE</v>
      </c>
      <c r="C441" t="str">
        <f ca="1">VLOOKUP(A441,Import_SuiviGlobal_MigAppliSate!A:I,3,FALSE)</f>
        <v>Super U</v>
      </c>
      <c r="D441" s="1" t="str">
        <f ca="1">VLOOKUP(A441,Import_SuiviGlobal_MigAppliSate!A:I,4,FALSE)</f>
        <v>Coop U Enseigne Ouest</v>
      </c>
      <c r="E441">
        <f ca="1">VLOOKUP(A441,Import_SuiviGlobal_MigAppliSate!A:I,5,FALSE)</f>
        <v>37520</v>
      </c>
      <c r="F441" t="str">
        <f ca="1">VLOOKUP(A441,Import_SuiviGlobal_MigAppliSate!A:I,6,FALSE)</f>
        <v>42 RUE DES HAUTES MARCHES</v>
      </c>
      <c r="G441" t="str">
        <f ca="1">VLOOKUP(A441,Import_SuiviGlobal_MigAppliSate!A:I,7,FALSE)</f>
        <v>02.47.37.49.69</v>
      </c>
      <c r="H441" t="str">
        <f ca="1">VLOOKUP(A441,Import_SuiviGlobal_MigAppliSate!A:I,8,FALSE)</f>
        <v>DEVAULX DE CHAMBORD RPT MARTHU Hugues</v>
      </c>
      <c r="I441" t="str">
        <f ca="1">VLOOKUP(A441,Import_SuiviGlobal_MigAppliSate!A:I,9,FALSE)</f>
        <v>hugues.devaulx@systeme-u.fr</v>
      </c>
      <c r="J441" s="24" t="str">
        <f ca="1">VLOOKUP(A441,Import_SuiviGlobal_MigAppliSate!A:K,10,FALSE)</f>
        <v>DUVERGER Frank
Mme Leclerc (UPLV)</v>
      </c>
      <c r="K441" t="str">
        <f ca="1">VLOOKUP(A441,Import_SuiviGlobal_MigAppliSate!A:K,11,FALSE)</f>
        <v>superu.lariche.direction@systeme-u.fr</v>
      </c>
      <c r="O441" s="1" t="s">
        <v>22</v>
      </c>
    </row>
    <row r="442" spans="1:15" ht="12.75" hidden="1" x14ac:dyDescent="0.2">
      <c r="A442">
        <v>34944</v>
      </c>
      <c r="B442" t="str">
        <f ca="1">VLOOKUP(A442,Import_SuiviGlobal_MigAppliSate!A:I,2,FALSE)</f>
        <v>LA ROCHE-POSAY</v>
      </c>
      <c r="C442" t="str">
        <f ca="1">VLOOKUP(A442,Import_SuiviGlobal_MigAppliSate!A:I,3,FALSE)</f>
        <v>Super U</v>
      </c>
      <c r="D442" s="1" t="str">
        <f ca="1">VLOOKUP(A442,Import_SuiviGlobal_MigAppliSate!A:I,4,FALSE)</f>
        <v>Coop U Enseigne Ouest</v>
      </c>
      <c r="E442">
        <f ca="1">VLOOKUP(A442,Import_SuiviGlobal_MigAppliSate!A:I,5,FALSE)</f>
        <v>86270</v>
      </c>
      <c r="F442" t="str">
        <f ca="1">VLOOKUP(A442,Import_SuiviGlobal_MigAppliSate!A:I,6,FALSE)</f>
        <v>ZONE ARTISANALE LES CHAUMETTES</v>
      </c>
      <c r="G442" t="str">
        <f ca="1">VLOOKUP(A442,Import_SuiviGlobal_MigAppliSate!A:I,7,FALSE)</f>
        <v>05.49.90.30.67</v>
      </c>
      <c r="H442" t="str">
        <f ca="1">VLOOKUP(A442,Import_SuiviGlobal_MigAppliSate!A:I,8,FALSE)</f>
        <v>PAILLARD RPT SARM AMP Alain</v>
      </c>
      <c r="I442" t="str">
        <f ca="1">VLOOKUP(A442,Import_SuiviGlobal_MigAppliSate!A:I,9,FALSE)</f>
        <v>alain.paillard@systeme-u.fr</v>
      </c>
      <c r="J442" s="24" t="str">
        <f ca="1">VLOOKUP(A442,Import_SuiviGlobal_MigAppliSate!A:K,10,FALSE)</f>
        <v/>
      </c>
      <c r="K442" t="str">
        <f ca="1">VLOOKUP(A442,Import_SuiviGlobal_MigAppliSate!A:K,11,FALSE)</f>
        <v/>
      </c>
      <c r="O442" s="1" t="s">
        <v>22</v>
      </c>
    </row>
    <row r="443" spans="1:15" ht="12.75" hidden="1" x14ac:dyDescent="0.2">
      <c r="A443">
        <v>31431</v>
      </c>
      <c r="B443" t="str">
        <f ca="1">VLOOKUP(A443,Import_SuiviGlobal_MigAppliSate!A:I,2,FALSE)</f>
        <v>LA ROCHE/YON</v>
      </c>
      <c r="C443" t="str">
        <f ca="1">VLOOKUP(A443,Import_SuiviGlobal_MigAppliSate!A:I,3,FALSE)</f>
        <v>Hyper U</v>
      </c>
      <c r="D443" s="1" t="str">
        <f ca="1">VLOOKUP(A443,Import_SuiviGlobal_MigAppliSate!A:I,4,FALSE)</f>
        <v>Coop Atlantique</v>
      </c>
      <c r="E443">
        <f ca="1">VLOOKUP(A443,Import_SuiviGlobal_MigAppliSate!A:I,5,FALSE)</f>
        <v>85000</v>
      </c>
      <c r="F443" t="str">
        <f ca="1">VLOOKUP(A443,Import_SuiviGlobal_MigAppliSate!A:I,6,FALSE)</f>
        <v>ROUTE DE NANTES</v>
      </c>
      <c r="G443" t="str">
        <f ca="1">VLOOKUP(A443,Import_SuiviGlobal_MigAppliSate!A:I,7,FALSE)</f>
        <v>02.51.44.51.60</v>
      </c>
      <c r="H443" t="str">
        <f ca="1">VLOOKUP(A443,Import_SuiviGlobal_MigAppliSate!A:I,8,FALSE)</f>
        <v>FLAMBARD Hervé</v>
      </c>
      <c r="I443" t="str">
        <f ca="1">VLOOKUP(A443,Import_SuiviGlobal_MigAppliSate!A:I,9,FALSE)</f>
        <v>laurent.fleury_coop_hu@systeme-u.fr</v>
      </c>
      <c r="J443" s="24" t="str">
        <f ca="1">VLOOKUP(A443,Import_SuiviGlobal_MigAppliSate!A:K,10,FALSE)</f>
        <v>Karl ARNAUD</v>
      </c>
      <c r="K443" t="str">
        <f ca="1">VLOOKUP(A443,Import_SuiviGlobal_MigAppliSate!A:K,11,FALSE)</f>
        <v>hyperu.larochesuryon.direction@systeme-u.fr,nbrigant@coop-atlantique.fr,sjaud@coop-atlantique.fr</v>
      </c>
      <c r="L443" s="1" t="s">
        <v>17</v>
      </c>
      <c r="M443" t="s">
        <v>23</v>
      </c>
      <c r="O443" s="1" t="s">
        <v>22</v>
      </c>
    </row>
    <row r="444" spans="1:15" ht="12.75" hidden="1" x14ac:dyDescent="0.2">
      <c r="A444">
        <v>32240</v>
      </c>
      <c r="B444" t="str">
        <f ca="1">VLOOKUP(A444,Import_SuiviGlobal_MigAppliSate!A:I,2,FALSE)</f>
        <v>LA ROCHE/YON</v>
      </c>
      <c r="C444" t="str">
        <f ca="1">VLOOKUP(A444,Import_SuiviGlobal_MigAppliSate!A:I,3,FALSE)</f>
        <v>Super U</v>
      </c>
      <c r="D444" s="1" t="str">
        <f ca="1">VLOOKUP(A444,Import_SuiviGlobal_MigAppliSate!A:I,4,FALSE)</f>
        <v>Coop U Enseigne Ouest</v>
      </c>
      <c r="E444">
        <f ca="1">VLOOKUP(A444,Import_SuiviGlobal_MigAppliSate!A:I,5,FALSE)</f>
        <v>85000</v>
      </c>
      <c r="F444" t="str">
        <f ca="1">VLOOKUP(A444,Import_SuiviGlobal_MigAppliSate!A:I,6,FALSE)</f>
        <v>BOULEVARD MOREAU</v>
      </c>
      <c r="G444" t="str">
        <f ca="1">VLOOKUP(A444,Import_SuiviGlobal_MigAppliSate!A:I,7,FALSE)</f>
        <v>02.51.37.61.31</v>
      </c>
      <c r="H444" t="str">
        <f ca="1">VLOOKUP(A444,Import_SuiviGlobal_MigAppliSate!A:I,8,FALSE)</f>
        <v>BODIN RPT SAS LOUHARVY Hervé</v>
      </c>
      <c r="I444" t="str">
        <f ca="1">VLOOKUP(A444,Import_SuiviGlobal_MigAppliSate!A:I,9,FALSE)</f>
        <v>herve.bodin@systeme-u.fr</v>
      </c>
      <c r="J444" s="24" t="str">
        <f ca="1">VLOOKUP(A444,Import_SuiviGlobal_MigAppliSate!A:K,10,FALSE)</f>
        <v>FOURNIER JEAN-MICHEL</v>
      </c>
      <c r="K444" t="str">
        <f ca="1">VLOOKUP(A444,Import_SuiviGlobal_MigAppliSate!A:K,11,FALSE)</f>
        <v>superu.larochesuryon.coursesu@systeme-u.fr</v>
      </c>
      <c r="O444" s="1" t="s">
        <v>22</v>
      </c>
    </row>
    <row r="445" spans="1:15" ht="12.75" hidden="1" x14ac:dyDescent="0.2">
      <c r="A445">
        <v>37806</v>
      </c>
      <c r="B445" t="str">
        <f ca="1">VLOOKUP(A445,Import_SuiviGlobal_MigAppliSate!A:I,2,FALSE)</f>
        <v>LA ROCHE/YON HALLES</v>
      </c>
      <c r="C445" t="str">
        <f ca="1">VLOOKUP(A445,Import_SuiviGlobal_MigAppliSate!A:I,3,FALSE)</f>
        <v>U Express</v>
      </c>
      <c r="D445" s="1" t="str">
        <f ca="1">VLOOKUP(A445,Import_SuiviGlobal_MigAppliSate!A:I,4,FALSE)</f>
        <v>Coop U Enseigne Ouest</v>
      </c>
      <c r="E445">
        <f ca="1">VLOOKUP(A445,Import_SuiviGlobal_MigAppliSate!A:I,5,FALSE)</f>
        <v>85000</v>
      </c>
      <c r="F445" t="str">
        <f ca="1">VLOOKUP(A445,Import_SuiviGlobal_MigAppliSate!A:I,6,FALSE)</f>
        <v>PLACE DES HALLES</v>
      </c>
      <c r="G445" t="str">
        <f ca="1">VLOOKUP(A445,Import_SuiviGlobal_MigAppliSate!A:I,7,FALSE)</f>
        <v>02.51.37.27.39</v>
      </c>
      <c r="H445" t="str">
        <f ca="1">VLOOKUP(A445,Import_SuiviGlobal_MigAppliSate!A:I,8,FALSE)</f>
        <v>RAIMBAULT Florent</v>
      </c>
      <c r="I445" t="str">
        <f ca="1">VLOOKUP(A445,Import_SuiviGlobal_MigAppliSate!A:I,9,FALSE)</f>
        <v>florent.raimbault@systeme-u.fr</v>
      </c>
      <c r="J445" s="24" t="str">
        <f ca="1">VLOOKUP(A445,Import_SuiviGlobal_MigAppliSate!A:K,10,FALSE)</f>
        <v>VACCA Dorina</v>
      </c>
      <c r="K445" t="str">
        <f ca="1">VLOOKUP(A445,Import_SuiviGlobal_MigAppliSate!A:K,11,FALSE)</f>
        <v>uexpress.larochesuryonleshalles.compta@systeme-u.fr</v>
      </c>
      <c r="O445" s="1" t="s">
        <v>22</v>
      </c>
    </row>
    <row r="446" spans="1:15" ht="12.75" hidden="1" x14ac:dyDescent="0.2">
      <c r="A446">
        <v>33476</v>
      </c>
      <c r="B446" t="str">
        <f ca="1">VLOOKUP(A446,Import_SuiviGlobal_MigAppliSate!A:I,2,FALSE)</f>
        <v>LA ROCHE/YON IENA</v>
      </c>
      <c r="C446" t="str">
        <f ca="1">VLOOKUP(A446,Import_SuiviGlobal_MigAppliSate!A:I,3,FALSE)</f>
        <v>U Express</v>
      </c>
      <c r="D446" s="1" t="str">
        <f ca="1">VLOOKUP(A446,Import_SuiviGlobal_MigAppliSate!A:I,4,FALSE)</f>
        <v>Coop U Enseigne Ouest</v>
      </c>
      <c r="E446">
        <f ca="1">VLOOKUP(A446,Import_SuiviGlobal_MigAppliSate!A:I,5,FALSE)</f>
        <v>85000</v>
      </c>
      <c r="F446" t="str">
        <f ca="1">VLOOKUP(A446,Import_SuiviGlobal_MigAppliSate!A:I,6,FALSE)</f>
        <v>RUE IÉNA</v>
      </c>
      <c r="G446" t="str">
        <f ca="1">VLOOKUP(A446,Import_SuiviGlobal_MigAppliSate!A:I,7,FALSE)</f>
        <v>02.51.37.16.97</v>
      </c>
      <c r="H446" t="str">
        <f ca="1">VLOOKUP(A446,Import_SuiviGlobal_MigAppliSate!A:I,8,FALSE)</f>
        <v>MICHAUD Nicolas</v>
      </c>
      <c r="I446" t="str">
        <f ca="1">VLOOKUP(A446,Import_SuiviGlobal_MigAppliSate!A:I,9,FALSE)</f>
        <v>nicolas.michaud@systeme-u.fr</v>
      </c>
      <c r="J446" s="24" t="str">
        <f ca="1">VLOOKUP(A446,Import_SuiviGlobal_MigAppliSate!A:K,10,FALSE)</f>
        <v>STEPHANE LOMERS</v>
      </c>
      <c r="K446" t="str">
        <f ca="1">VLOOKUP(A446,Import_SuiviGlobal_MigAppliSate!A:K,11,FALSE)</f>
        <v>uexpress.larochesuryoniena.direction@systeme-u.fr</v>
      </c>
      <c r="O446" s="1" t="s">
        <v>22</v>
      </c>
    </row>
    <row r="447" spans="1:15" ht="12.75" hidden="1" x14ac:dyDescent="0.2">
      <c r="A447">
        <v>31433</v>
      </c>
      <c r="B447" t="str">
        <f ca="1">VLOOKUP(A447,Import_SuiviGlobal_MigAppliSate!A:I,2,FALSE)</f>
        <v>LA ROCHELLE</v>
      </c>
      <c r="C447" t="str">
        <f ca="1">VLOOKUP(A447,Import_SuiviGlobal_MigAppliSate!A:I,3,FALSE)</f>
        <v>Hyper U</v>
      </c>
      <c r="D447" s="1" t="str">
        <f ca="1">VLOOKUP(A447,Import_SuiviGlobal_MigAppliSate!A:I,4,FALSE)</f>
        <v>Coop Atlantique</v>
      </c>
      <c r="E447">
        <f ca="1">VLOOKUP(A447,Import_SuiviGlobal_MigAppliSate!A:I,5,FALSE)</f>
        <v>17138</v>
      </c>
      <c r="F447" t="str">
        <f ca="1">VLOOKUP(A447,Import_SuiviGlobal_MigAppliSate!A:I,6,FALSE)</f>
        <v>ROUTE DE NANTES</v>
      </c>
      <c r="G447" t="str">
        <f ca="1">VLOOKUP(A447,Import_SuiviGlobal_MigAppliSate!A:I,7,FALSE)</f>
        <v>05.46.68.03.22</v>
      </c>
      <c r="H447" t="str">
        <f ca="1">VLOOKUP(A447,Import_SuiviGlobal_MigAppliSate!A:I,8,FALSE)</f>
        <v>FLAMBARD Hervé</v>
      </c>
      <c r="I447" t="str">
        <f ca="1">VLOOKUP(A447,Import_SuiviGlobal_MigAppliSate!A:I,9,FALSE)</f>
        <v>laurent.fleury_coop_hu@systeme-u.fr</v>
      </c>
      <c r="J447" s="24" t="str">
        <f ca="1">VLOOKUP(A447,Import_SuiviGlobal_MigAppliSate!A:K,10,FALSE)</f>
        <v>BURES Mathias
MAURY Sandrine</v>
      </c>
      <c r="K447" t="str">
        <f ca="1">VLOOKUP(A447,Import_SuiviGlobal_MigAppliSate!A:K,11,FALSE)</f>
        <v>nbrigant@coop-atlantique.fr,sjaud@coop-atlantique.fr,smaury@coop-atlantique.fr,mbures@coop-atlantique.fr</v>
      </c>
      <c r="L447" s="1" t="s">
        <v>17</v>
      </c>
      <c r="M447" t="s">
        <v>23</v>
      </c>
      <c r="O447" s="1" t="s">
        <v>22</v>
      </c>
    </row>
    <row r="448" spans="1:15" ht="12.75" hidden="1" x14ac:dyDescent="0.2">
      <c r="A448">
        <v>31988</v>
      </c>
      <c r="B448" t="str">
        <f ca="1">VLOOKUP(A448,Import_SuiviGlobal_MigAppliSate!A:I,2,FALSE)</f>
        <v>LA ROCHELLE MIREUIL</v>
      </c>
      <c r="C448" t="str">
        <f ca="1">VLOOKUP(A448,Import_SuiviGlobal_MigAppliSate!A:I,3,FALSE)</f>
        <v>U Express</v>
      </c>
      <c r="D448" s="1" t="str">
        <f ca="1">VLOOKUP(A448,Import_SuiviGlobal_MigAppliSate!A:I,4,FALSE)</f>
        <v>Coop U Enseigne Ouest</v>
      </c>
      <c r="E448">
        <f ca="1">VLOOKUP(A448,Import_SuiviGlobal_MigAppliSate!A:I,5,FALSE)</f>
        <v>17000</v>
      </c>
      <c r="F448" t="str">
        <f ca="1">VLOOKUP(A448,Import_SuiviGlobal_MigAppliSate!A:I,6,FALSE)</f>
        <v>AVENUE DU PRÉSIDENT JF KENNEDY</v>
      </c>
      <c r="G448" t="str">
        <f ca="1">VLOOKUP(A448,Import_SuiviGlobal_MigAppliSate!A:I,7,FALSE)</f>
        <v>05.46.43.77.78</v>
      </c>
      <c r="H448" t="str">
        <f ca="1">VLOOKUP(A448,Import_SuiviGlobal_MigAppliSate!A:I,8,FALSE)</f>
        <v>DESOUCHES Vincent</v>
      </c>
      <c r="I448" t="str">
        <f ca="1">VLOOKUP(A448,Import_SuiviGlobal_MigAppliSate!A:I,9,FALSE)</f>
        <v>vincent.desouches@systeme-u.fr</v>
      </c>
      <c r="J448" s="24" t="str">
        <f ca="1">VLOOKUP(A448,Import_SuiviGlobal_MigAppliSate!A:K,10,FALSE)</f>
        <v>Madame Desouches</v>
      </c>
      <c r="K448" t="str">
        <f ca="1">VLOOKUP(A448,Import_SuiviGlobal_MigAppliSate!A:K,11,FALSE)</f>
        <v>stephanie.desouches@systeme-u.fr</v>
      </c>
      <c r="O448" s="1" t="s">
        <v>22</v>
      </c>
    </row>
    <row r="449" spans="1:15" ht="12.75" hidden="1" x14ac:dyDescent="0.2">
      <c r="A449">
        <v>34206</v>
      </c>
      <c r="B449" t="str">
        <f ca="1">VLOOKUP(A449,Import_SuiviGlobal_MigAppliSate!A:I,2,FALSE)</f>
        <v>LA ROCHELLE PORT NEUF</v>
      </c>
      <c r="C449" t="str">
        <f ca="1">VLOOKUP(A449,Import_SuiviGlobal_MigAppliSate!A:I,3,FALSE)</f>
        <v>Utile</v>
      </c>
      <c r="D449" s="1" t="str">
        <f ca="1">VLOOKUP(A449,Import_SuiviGlobal_MigAppliSate!A:I,4,FALSE)</f>
        <v>Coop Atlantique</v>
      </c>
      <c r="E449">
        <f ca="1">VLOOKUP(A449,Import_SuiviGlobal_MigAppliSate!A:I,5,FALSE)</f>
        <v>17000</v>
      </c>
      <c r="F449" t="str">
        <f ca="1">VLOOKUP(A449,Import_SuiviGlobal_MigAppliSate!A:I,6,FALSE)</f>
        <v>PLACE PETROZOVODSK</v>
      </c>
      <c r="G449" t="str">
        <f ca="1">VLOOKUP(A449,Import_SuiviGlobal_MigAppliSate!A:I,7,FALSE)</f>
        <v>05.46.43.77.65</v>
      </c>
      <c r="H449" t="str">
        <f ca="1">VLOOKUP(A449,Import_SuiviGlobal_MigAppliSate!A:I,8,FALSE)</f>
        <v>FLAMBARD Hervé</v>
      </c>
      <c r="I449" t="str">
        <f ca="1">VLOOKUP(A449,Import_SuiviGlobal_MigAppliSate!A:I,9,FALSE)</f>
        <v>bertrand.defontaine_coop_su_uex@systeme-u.fr</v>
      </c>
      <c r="J449" s="24" t="str">
        <f ca="1">VLOOKUP(A449,Import_SuiviGlobal_MigAppliSate!A:K,10,FALSE)</f>
        <v>JEZEQUEL Bruno</v>
      </c>
      <c r="K449" t="str">
        <f ca="1">VLOOKUP(A449,Import_SuiviGlobal_MigAppliSate!A:K,11,FALSE)</f>
        <v>uexpress.larochelle.direction@systeme-u.fr,nbrigant@coop-atlantique.fr,sjaud@coop-atlantique.fr,bjezequel@coop-atlantique.fr</v>
      </c>
      <c r="O449" s="1" t="s">
        <v>22</v>
      </c>
    </row>
    <row r="450" spans="1:15" ht="12.75" x14ac:dyDescent="0.2">
      <c r="A450">
        <v>37420</v>
      </c>
      <c r="B450" t="str">
        <f ca="1">VLOOKUP(A450,Import_SuiviGlobal_MigAppliSate!A:I,2,FALSE)</f>
        <v>LA SUZE-SUR-SARTHE</v>
      </c>
      <c r="C450" t="str">
        <f ca="1">VLOOKUP(A450,Import_SuiviGlobal_MigAppliSate!A:I,3,FALSE)</f>
        <v>Super U</v>
      </c>
      <c r="D450" s="1" t="str">
        <f ca="1">VLOOKUP(A450,Import_SuiviGlobal_MigAppliSate!A:I,4,FALSE)</f>
        <v>Coop U Enseigne Ouest</v>
      </c>
      <c r="E450">
        <f ca="1">VLOOKUP(A450,Import_SuiviGlobal_MigAppliSate!A:I,5,FALSE)</f>
        <v>72210</v>
      </c>
      <c r="F450" t="str">
        <f ca="1">VLOOKUP(A450,Import_SuiviGlobal_MigAppliSate!A:I,6,FALSE)</f>
        <v>LES TRUNETIÈRES</v>
      </c>
      <c r="G450" t="str">
        <f ca="1">VLOOKUP(A450,Import_SuiviGlobal_MigAppliSate!A:I,7,FALSE)</f>
        <v>02.43.39.02.50</v>
      </c>
      <c r="H450" t="str">
        <f ca="1">VLOOKUP(A450,Import_SuiviGlobal_MigAppliSate!A:I,8,FALSE)</f>
        <v>BUSSON Jean-bernard</v>
      </c>
      <c r="I450" t="str">
        <f ca="1">VLOOKUP(A450,Import_SuiviGlobal_MigAppliSate!A:I,9,FALSE)</f>
        <v>jean-bernard.busson@systeme-u.fr</v>
      </c>
      <c r="J450" s="24" t="str">
        <f ca="1">VLOOKUP(A450,Import_SuiviGlobal_MigAppliSate!A:K,10,FALSE)</f>
        <v/>
      </c>
      <c r="K450" t="str">
        <f ca="1">VLOOKUP(A450,Import_SuiviGlobal_MigAppliSate!A:K,11,FALSE)</f>
        <v>superu.lasuzesursarthe.compta@systeme-u.fr</v>
      </c>
      <c r="L450" t="s">
        <v>17</v>
      </c>
      <c r="M450" t="s">
        <v>0</v>
      </c>
      <c r="O450" s="1" t="s">
        <v>22</v>
      </c>
    </row>
    <row r="451" spans="1:15" ht="12.75" hidden="1" x14ac:dyDescent="0.2">
      <c r="A451">
        <v>66183</v>
      </c>
      <c r="B451" t="str">
        <f ca="1">VLOOKUP(A451,Import_SuiviGlobal_MigAppliSate!A:I,2,FALSE)</f>
        <v>LA TOURETTE</v>
      </c>
      <c r="C451" t="str">
        <f ca="1">VLOOKUP(A451,Import_SuiviGlobal_MigAppliSate!A:I,3,FALSE)</f>
        <v>Super U</v>
      </c>
      <c r="D451" s="1" t="str">
        <f ca="1">VLOOKUP(A451,Import_SuiviGlobal_MigAppliSate!A:I,4,FALSE)</f>
        <v>Coop U Enseigne Est</v>
      </c>
      <c r="E451">
        <f ca="1">VLOOKUP(A451,Import_SuiviGlobal_MigAppliSate!A:I,5,FALSE)</f>
        <v>42380</v>
      </c>
      <c r="F451" t="str">
        <f ca="1">VLOOKUP(A451,Import_SuiviGlobal_MigAppliSate!A:I,6,FALSE)</f>
        <v>Le Grand Guéret</v>
      </c>
      <c r="G451" t="str">
        <f ca="1">VLOOKUP(A451,Import_SuiviGlobal_MigAppliSate!A:I,7,FALSE)</f>
        <v>04.77.50.02.17</v>
      </c>
      <c r="H451" t="str">
        <f ca="1">VLOOKUP(A451,Import_SuiviGlobal_MigAppliSate!A:I,8,FALSE)</f>
        <v>GUIGNARD Fabrice</v>
      </c>
      <c r="I451" t="str">
        <f ca="1">VLOOKUP(A451,Import_SuiviGlobal_MigAppliSate!A:I,9,FALSE)</f>
        <v>fabrice.guignard@systeme-u.fr</v>
      </c>
      <c r="J451" s="24" t="str">
        <f ca="1">VLOOKUP(A451,Import_SuiviGlobal_MigAppliSate!A:K,10,FALSE)</f>
        <v/>
      </c>
      <c r="K451" t="str">
        <f ca="1">VLOOKUP(A451,Import_SuiviGlobal_MigAppliSate!A:K,11,FALSE)</f>
        <v>superu.latourette@systeme-u.fr</v>
      </c>
      <c r="O451" s="1" t="s">
        <v>22</v>
      </c>
    </row>
    <row r="452" spans="1:15" ht="12.75" hidden="1" x14ac:dyDescent="0.2">
      <c r="A452">
        <v>37722</v>
      </c>
      <c r="B452" t="str">
        <f ca="1">VLOOKUP(A452,Import_SuiviGlobal_MigAppliSate!A:I,2,FALSE)</f>
        <v>LA TRANCHE-SUR-MER</v>
      </c>
      <c r="C452" t="str">
        <f ca="1">VLOOKUP(A452,Import_SuiviGlobal_MigAppliSate!A:I,3,FALSE)</f>
        <v>Super U</v>
      </c>
      <c r="D452" s="1" t="str">
        <f ca="1">VLOOKUP(A452,Import_SuiviGlobal_MigAppliSate!A:I,4,FALSE)</f>
        <v>Coop U Enseigne Ouest</v>
      </c>
      <c r="E452">
        <f ca="1">VLOOKUP(A452,Import_SuiviGlobal_MigAppliSate!A:I,5,FALSE)</f>
        <v>85360</v>
      </c>
      <c r="F452" t="str">
        <f ca="1">VLOOKUP(A452,Import_SuiviGlobal_MigAppliSate!A:I,6,FALSE)</f>
        <v>CHEMIN DU VASAIS DE MILLET</v>
      </c>
      <c r="G452" t="str">
        <f ca="1">VLOOKUP(A452,Import_SuiviGlobal_MigAppliSate!A:I,7,FALSE)</f>
        <v>02.51.30.49.49</v>
      </c>
      <c r="H452" t="str">
        <f ca="1">VLOOKUP(A452,Import_SuiviGlobal_MigAppliSate!A:I,8,FALSE)</f>
        <v>BREGEON RPT SAS AUREFI Gérard</v>
      </c>
      <c r="I452" t="str">
        <f ca="1">VLOOKUP(A452,Import_SuiviGlobal_MigAppliSate!A:I,9,FALSE)</f>
        <v>gerard.bregeon@systeme-u.fr</v>
      </c>
      <c r="J452" s="24" t="str">
        <f ca="1">VLOOKUP(A452,Import_SuiviGlobal_MigAppliSate!A:K,10,FALSE)</f>
        <v>Mr GUIBERT</v>
      </c>
      <c r="K452" t="str">
        <f ca="1">VLOOKUP(A452,Import_SuiviGlobal_MigAppliSate!A:K,11,FALSE)</f>
        <v>superu.latranchesurmer.administratif@systeme-u.fr</v>
      </c>
      <c r="O452" s="1" t="s">
        <v>22</v>
      </c>
    </row>
    <row r="453" spans="1:15" ht="12.75" hidden="1" x14ac:dyDescent="0.2">
      <c r="A453">
        <v>34171</v>
      </c>
      <c r="B453" t="str">
        <f ca="1">VLOOKUP(A453,Import_SuiviGlobal_MigAppliSate!A:I,2,FALSE)</f>
        <v>LA TREMBLADE</v>
      </c>
      <c r="C453" t="str">
        <f ca="1">VLOOKUP(A453,Import_SuiviGlobal_MigAppliSate!A:I,3,FALSE)</f>
        <v>U Express</v>
      </c>
      <c r="D453" s="1" t="str">
        <f ca="1">VLOOKUP(A453,Import_SuiviGlobal_MigAppliSate!A:I,4,FALSE)</f>
        <v>Coop Atlantique</v>
      </c>
      <c r="E453">
        <f ca="1">VLOOKUP(A453,Import_SuiviGlobal_MigAppliSate!A:I,5,FALSE)</f>
        <v>17390</v>
      </c>
      <c r="F453" t="str">
        <f ca="1">VLOOKUP(A453,Import_SuiviGlobal_MigAppliSate!A:I,6,FALSE)</f>
        <v>BOULEVARD PASTEUR</v>
      </c>
      <c r="G453" t="str">
        <f ca="1">VLOOKUP(A453,Import_SuiviGlobal_MigAppliSate!A:I,7,FALSE)</f>
        <v>05.46.36.20.07</v>
      </c>
      <c r="H453" t="str">
        <f ca="1">VLOOKUP(A453,Import_SuiviGlobal_MigAppliSate!A:I,8,FALSE)</f>
        <v>FLAMBARD Hervé</v>
      </c>
      <c r="I453" t="str">
        <f ca="1">VLOOKUP(A453,Import_SuiviGlobal_MigAppliSate!A:I,9,FALSE)</f>
        <v>bertrand.defontaine_coop_su_uex@systeme-u.fr</v>
      </c>
      <c r="J453" s="24" t="str">
        <f ca="1">VLOOKUP(A453,Import_SuiviGlobal_MigAppliSate!A:K,10,FALSE)</f>
        <v>Sylvie BOUTET</v>
      </c>
      <c r="K453" t="str">
        <f ca="1">VLOOKUP(A453,Import_SuiviGlobal_MigAppliSate!A:K,11,FALSE)</f>
        <v>uexpress.latremblade.direction@systeme-u.fr,nbrigant@coop-atlantique.fr,sjaud@coop-atlantique.fr,uexpress.latremblade@systeme-u.fr, pportier@coop-atlantique.fr</v>
      </c>
      <c r="L453" s="1" t="s">
        <v>17</v>
      </c>
      <c r="M453" t="s">
        <v>23</v>
      </c>
      <c r="O453" s="1" t="s">
        <v>22</v>
      </c>
    </row>
    <row r="454" spans="1:15" ht="12.75" x14ac:dyDescent="0.2">
      <c r="A454">
        <v>90576</v>
      </c>
      <c r="B454" t="str">
        <f ca="1">VLOOKUP(A454,Import_SuiviGlobal_MigAppliSate!A:I,2,FALSE)</f>
        <v>LA TRINITE PORTO VECCHIO</v>
      </c>
      <c r="C454" t="str">
        <f ca="1">VLOOKUP(A454,Import_SuiviGlobal_MigAppliSate!A:I,3,FALSE)</f>
        <v>Super U</v>
      </c>
      <c r="D454" s="1" t="str">
        <f ca="1">VLOOKUP(A454,Import_SuiviGlobal_MigAppliSate!A:I,4,FALSE)</f>
        <v>Coop U Enseigne Sud</v>
      </c>
      <c r="E454">
        <f ca="1">VLOOKUP(A454,Import_SuiviGlobal_MigAppliSate!A:I,5,FALSE)</f>
        <v>20137</v>
      </c>
      <c r="F454" t="str">
        <f ca="1">VLOOKUP(A454,Import_SuiviGlobal_MigAppliSate!A:I,6,FALSE)</f>
        <v>RT10 (EX RN 198)</v>
      </c>
      <c r="G454" t="str">
        <f ca="1">VLOOKUP(A454,Import_SuiviGlobal_MigAppliSate!A:I,7,FALSE)</f>
        <v>04.95.72.07.21</v>
      </c>
      <c r="H454" t="str">
        <f ca="1">VLOOKUP(A454,Import_SuiviGlobal_MigAppliSate!A:I,8,FALSE)</f>
        <v>ANTOGNETTI PHILIPPE</v>
      </c>
      <c r="I454" t="str">
        <f ca="1">VLOOKUP(A454,Import_SuiviGlobal_MigAppliSate!A:I,9,FALSE)</f>
        <v>philippe.antognetti@systeme-u.fr</v>
      </c>
      <c r="J454" s="24" t="str">
        <f ca="1">VLOOKUP(A454,Import_SuiviGlobal_MigAppliSate!A:K,10,FALSE)</f>
        <v>M. THEREAU</v>
      </c>
      <c r="K454" t="str">
        <f ca="1">VLOOKUP(A454,Import_SuiviGlobal_MigAppliSate!A:K,11,FALSE)</f>
        <v>superu.latrinite.direction@systeme-u.fr</v>
      </c>
      <c r="L454" s="1" t="s">
        <v>17</v>
      </c>
      <c r="M454" s="1" t="s">
        <v>0</v>
      </c>
      <c r="O454" s="1" t="s">
        <v>22</v>
      </c>
    </row>
    <row r="455" spans="1:15" ht="12.75" hidden="1" x14ac:dyDescent="0.2">
      <c r="A455">
        <v>35101</v>
      </c>
      <c r="B455" t="str">
        <f ca="1">VLOOKUP(A455,Import_SuiviGlobal_MigAppliSate!A:I,2,FALSE)</f>
        <v>LA TURBALLE</v>
      </c>
      <c r="C455" t="str">
        <f ca="1">VLOOKUP(A455,Import_SuiviGlobal_MigAppliSate!A:I,3,FALSE)</f>
        <v>Super U</v>
      </c>
      <c r="D455" s="1" t="str">
        <f ca="1">VLOOKUP(A455,Import_SuiviGlobal_MigAppliSate!A:I,4,FALSE)</f>
        <v>Coop U Enseigne Ouest</v>
      </c>
      <c r="E455">
        <f ca="1">VLOOKUP(A455,Import_SuiviGlobal_MigAppliSate!A:I,5,FALSE)</f>
        <v>44420</v>
      </c>
      <c r="F455" t="str">
        <f ca="1">VLOOKUP(A455,Import_SuiviGlobal_MigAppliSate!A:I,6,FALSE)</f>
        <v>2 RUE DES PINS</v>
      </c>
      <c r="G455" t="str">
        <f ca="1">VLOOKUP(A455,Import_SuiviGlobal_MigAppliSate!A:I,7,FALSE)</f>
        <v>02.40.11.88.44</v>
      </c>
      <c r="H455" t="str">
        <f ca="1">VLOOKUP(A455,Import_SuiviGlobal_MigAppliSate!A:I,8,FALSE)</f>
        <v>MARSAC Jean Baptiste</v>
      </c>
      <c r="I455" t="str">
        <f ca="1">VLOOKUP(A455,Import_SuiviGlobal_MigAppliSate!A:I,9,FALSE)</f>
        <v>jean-baptiste.marsac@systeme-u.fr</v>
      </c>
      <c r="J455" s="24" t="str">
        <f ca="1">VLOOKUP(A455,Import_SuiviGlobal_MigAppliSate!A:K,10,FALSE)</f>
        <v>MACE  Steven
Florence (UPLV)</v>
      </c>
      <c r="K455" t="str">
        <f ca="1">VLOOKUP(A455,Import_SuiviGlobal_MigAppliSate!A:K,11,FALSE)</f>
        <v>superu.laturballe.direction@systeme-u.fr, superu.laturballe@systeme-u.fr</v>
      </c>
      <c r="L455" s="1" t="s">
        <v>17</v>
      </c>
      <c r="M455" s="1" t="s">
        <v>24</v>
      </c>
      <c r="N455" s="1" t="s">
        <v>18</v>
      </c>
      <c r="O455" s="1" t="s">
        <v>25</v>
      </c>
    </row>
    <row r="456" spans="1:15" ht="12.75" hidden="1" x14ac:dyDescent="0.2">
      <c r="A456">
        <v>68541</v>
      </c>
      <c r="B456" t="str">
        <f ca="1">VLOOKUP(A456,Import_SuiviGlobal_MigAppliSate!A:I,2,FALSE)</f>
        <v>LA VERPILLIERE</v>
      </c>
      <c r="C456" t="str">
        <f ca="1">VLOOKUP(A456,Import_SuiviGlobal_MigAppliSate!A:I,3,FALSE)</f>
        <v>Super U</v>
      </c>
      <c r="D456" s="1" t="str">
        <f ca="1">VLOOKUP(A456,Import_SuiviGlobal_MigAppliSate!A:I,4,FALSE)</f>
        <v>Coop U Enseigne Est</v>
      </c>
      <c r="E456">
        <f ca="1">VLOOKUP(A456,Import_SuiviGlobal_MigAppliSate!A:I,5,FALSE)</f>
        <v>38290</v>
      </c>
      <c r="F456" t="str">
        <f ca="1">VLOOKUP(A456,Import_SuiviGlobal_MigAppliSate!A:I,6,FALSE)</f>
        <v>RUE DE PICARDIE.</v>
      </c>
      <c r="G456" t="str">
        <f ca="1">VLOOKUP(A456,Import_SuiviGlobal_MigAppliSate!A:I,7,FALSE)</f>
        <v>04.74.95.28.70</v>
      </c>
      <c r="H456" t="str">
        <f ca="1">VLOOKUP(A456,Import_SuiviGlobal_MigAppliSate!A:I,8,FALSE)</f>
        <v>FLANC Noémie</v>
      </c>
      <c r="I456" t="str">
        <f ca="1">VLOOKUP(A456,Import_SuiviGlobal_MigAppliSate!A:I,9,FALSE)</f>
        <v>noemie.flanc@systeme-u.fr</v>
      </c>
      <c r="J456" s="24" t="str">
        <f ca="1">VLOOKUP(A456,Import_SuiviGlobal_MigAppliSate!A:K,10,FALSE)</f>
        <v>Mr Decamp</v>
      </c>
      <c r="K456" t="str">
        <f ca="1">VLOOKUP(A456,Import_SuiviGlobal_MigAppliSate!A:K,11,FALSE)</f>
        <v>superu.laverpilliere.directeur@systeme-u.fr</v>
      </c>
      <c r="O456" s="1" t="s">
        <v>22</v>
      </c>
    </row>
    <row r="457" spans="1:15" ht="12.75" hidden="1" x14ac:dyDescent="0.2">
      <c r="A457">
        <v>99217</v>
      </c>
      <c r="B457" t="str">
        <f ca="1">VLOOKUP(A457,Import_SuiviGlobal_MigAppliSate!A:I,2,FALSE)</f>
        <v>LA-RIVIERE-IDR</v>
      </c>
      <c r="C457" t="str">
        <f ca="1">VLOOKUP(A457,Import_SuiviGlobal_MigAppliSate!A:I,3,FALSE)</f>
        <v>Super U</v>
      </c>
      <c r="D457" s="1" t="str">
        <f ca="1">VLOOKUP(A457,Import_SuiviGlobal_MigAppliSate!A:I,4,FALSE)</f>
        <v>Coop U Enseigne Sud</v>
      </c>
      <c r="E457">
        <f ca="1">VLOOKUP(A457,Import_SuiviGlobal_MigAppliSate!A:I,5,FALSE)</f>
        <v>97421</v>
      </c>
      <c r="F457" t="str">
        <f ca="1">VLOOKUP(A457,Import_SuiviGlobal_MigAppliSate!A:I,6,FALSE)</f>
        <v>22 RUE PERE LAPORTE</v>
      </c>
      <c r="G457" t="str">
        <f ca="1">VLOOKUP(A457,Import_SuiviGlobal_MigAppliSate!A:I,7,FALSE)</f>
        <v>06.92.61.37.37</v>
      </c>
      <c r="H457" t="str">
        <f ca="1">VLOOKUP(A457,Import_SuiviGlobal_MigAppliSate!A:I,8,FALSE)</f>
        <v>AH-KOUEN Pierrette</v>
      </c>
      <c r="I457" t="str">
        <f ca="1">VLOOKUP(A457,Import_SuiviGlobal_MigAppliSate!A:I,9,FALSE)</f>
        <v>pierrette.ahkouen@systeme-u.fr</v>
      </c>
      <c r="J457" s="24" t="str">
        <f ca="1">VLOOKUP(A457,Import_SuiviGlobal_MigAppliSate!A:K,10,FALSE)</f>
        <v>Mr Ricquebourg (directeur)</v>
      </c>
      <c r="K457" t="str">
        <f ca="1">VLOOKUP(A457,Import_SuiviGlobal_MigAppliSate!A:K,11,FALSE)</f>
        <v>superu.lariviere.direction@systeme-u.fr</v>
      </c>
      <c r="O457" s="1" t="s">
        <v>22</v>
      </c>
    </row>
    <row r="458" spans="1:15" ht="12.75" hidden="1" x14ac:dyDescent="0.2">
      <c r="A458">
        <v>95624</v>
      </c>
      <c r="B458" t="str">
        <f ca="1">VLOOKUP(A458,Import_SuiviGlobal_MigAppliSate!A:I,2,FALSE)</f>
        <v>LABASTIDE ST PIERRE</v>
      </c>
      <c r="C458" t="str">
        <f ca="1">VLOOKUP(A458,Import_SuiviGlobal_MigAppliSate!A:I,3,FALSE)</f>
        <v>Super U</v>
      </c>
      <c r="D458" s="1" t="str">
        <f ca="1">VLOOKUP(A458,Import_SuiviGlobal_MigAppliSate!A:I,4,FALSE)</f>
        <v>Coop U Enseigne Sud</v>
      </c>
      <c r="E458">
        <f ca="1">VLOOKUP(A458,Import_SuiviGlobal_MigAppliSate!A:I,5,FALSE)</f>
        <v>82370</v>
      </c>
      <c r="F458" t="str">
        <f ca="1">VLOOKUP(A458,Import_SuiviGlobal_MigAppliSate!A:I,6,FALSE)</f>
        <v>AVENUE JEAN JAURES</v>
      </c>
      <c r="G458" t="str">
        <f ca="1">VLOOKUP(A458,Import_SuiviGlobal_MigAppliSate!A:I,7,FALSE)</f>
        <v>05.63.64.02.71</v>
      </c>
      <c r="H458" t="str">
        <f ca="1">VLOOKUP(A458,Import_SuiviGlobal_MigAppliSate!A:I,8,FALSE)</f>
        <v>MARCHI Patrice</v>
      </c>
      <c r="I458" t="str">
        <f ca="1">VLOOKUP(A458,Import_SuiviGlobal_MigAppliSate!A:I,9,FALSE)</f>
        <v>patrice.marchi@systeme-u.fr</v>
      </c>
      <c r="J458" s="24" t="str">
        <f ca="1">VLOOKUP(A458,Import_SuiviGlobal_MigAppliSate!A:K,10,FALSE)</f>
        <v/>
      </c>
      <c r="K458" t="str">
        <f ca="1">VLOOKUP(A458,Import_SuiviGlobal_MigAppliSate!A:K,11,FALSE)</f>
        <v/>
      </c>
      <c r="O458" s="1" t="s">
        <v>22</v>
      </c>
    </row>
    <row r="459" spans="1:15" ht="12.75" x14ac:dyDescent="0.2">
      <c r="A459">
        <v>95165</v>
      </c>
      <c r="B459" t="str">
        <f ca="1">VLOOKUP(A459,Import_SuiviGlobal_MigAppliSate!A:I,2,FALSE)</f>
        <v>LACANAU</v>
      </c>
      <c r="C459" t="str">
        <f ca="1">VLOOKUP(A459,Import_SuiviGlobal_MigAppliSate!A:I,3,FALSE)</f>
        <v>Super U</v>
      </c>
      <c r="D459" s="1" t="str">
        <f ca="1">VLOOKUP(A459,Import_SuiviGlobal_MigAppliSate!A:I,4,FALSE)</f>
        <v>Coop U Enseigne Sud</v>
      </c>
      <c r="E459">
        <f ca="1">VLOOKUP(A459,Import_SuiviGlobal_MigAppliSate!A:I,5,FALSE)</f>
        <v>33680</v>
      </c>
      <c r="F459" t="str">
        <f ca="1">VLOOKUP(A459,Import_SuiviGlobal_MigAppliSate!A:I,6,FALSE)</f>
        <v>LIEU DIT 'LE BASTA'</v>
      </c>
      <c r="G459" t="str">
        <f ca="1">VLOOKUP(A459,Import_SuiviGlobal_MigAppliSate!A:I,7,FALSE)</f>
        <v>05.57.70.78.70</v>
      </c>
      <c r="H459" t="str">
        <f ca="1">VLOOKUP(A459,Import_SuiviGlobal_MigAppliSate!A:I,8,FALSE)</f>
        <v>ET PIERRE FEUGIER NICOLAS MANNEVILLE</v>
      </c>
      <c r="I459" t="str">
        <f ca="1">VLOOKUP(A459,Import_SuiviGlobal_MigAppliSate!A:I,9,FALSE)</f>
        <v>nicolas.manneville@systeme-u.fr</v>
      </c>
      <c r="J459" s="24" t="str">
        <f ca="1">VLOOKUP(A459,Import_SuiviGlobal_MigAppliSate!A:K,10,FALSE)</f>
        <v>Mme Laurence Berthier</v>
      </c>
      <c r="K459" t="str">
        <f ca="1">VLOOKUP(A459,Import_SuiviGlobal_MigAppliSate!A:K,11,FALSE)</f>
        <v>groupe.sofaldis.daf@systeme-u.fr</v>
      </c>
      <c r="L459" t="s">
        <v>17</v>
      </c>
      <c r="M459" t="s">
        <v>0</v>
      </c>
      <c r="O459" s="1" t="s">
        <v>22</v>
      </c>
    </row>
    <row r="460" spans="1:15" ht="12.75" x14ac:dyDescent="0.2">
      <c r="A460">
        <v>95191</v>
      </c>
      <c r="B460" t="str">
        <f ca="1">VLOOKUP(A460,Import_SuiviGlobal_MigAppliSate!A:I,2,FALSE)</f>
        <v>LACANAU OCEAN</v>
      </c>
      <c r="C460" t="str">
        <f ca="1">VLOOKUP(A460,Import_SuiviGlobal_MigAppliSate!A:I,3,FALSE)</f>
        <v>U Express</v>
      </c>
      <c r="D460" s="1" t="str">
        <f ca="1">VLOOKUP(A460,Import_SuiviGlobal_MigAppliSate!A:I,4,FALSE)</f>
        <v>Coop U Enseigne Sud</v>
      </c>
      <c r="E460">
        <f ca="1">VLOOKUP(A460,Import_SuiviGlobal_MigAppliSate!A:I,5,FALSE)</f>
        <v>33680</v>
      </c>
      <c r="F460" t="str">
        <f ca="1">VLOOKUP(A460,Import_SuiviGlobal_MigAppliSate!A:I,6,FALSE)</f>
        <v>RUE ALEXANDRE DUMAS</v>
      </c>
      <c r="G460" t="str">
        <f ca="1">VLOOKUP(A460,Import_SuiviGlobal_MigAppliSate!A:I,7,FALSE)</f>
        <v>05.56.03.95.24</v>
      </c>
      <c r="H460" t="str">
        <f ca="1">VLOOKUP(A460,Import_SuiviGlobal_MigAppliSate!A:I,8,FALSE)</f>
        <v>GUERIN Francois-Xavier</v>
      </c>
      <c r="I460" t="str">
        <f ca="1">VLOOKUP(A460,Import_SuiviGlobal_MigAppliSate!A:I,9,FALSE)</f>
        <v>francois-xavier.guerin@systeme-u.fr</v>
      </c>
      <c r="J460" s="24" t="str">
        <f ca="1">VLOOKUP(A460,Import_SuiviGlobal_MigAppliSate!A:K,10,FALSE)</f>
        <v/>
      </c>
      <c r="K460" t="str">
        <f ca="1">VLOOKUP(A460,Import_SuiviGlobal_MigAppliSate!A:K,11,FALSE)</f>
        <v>uexpress.lacanau.compta@systeme-u.fr</v>
      </c>
      <c r="L460" t="s">
        <v>17</v>
      </c>
      <c r="M460" t="s">
        <v>0</v>
      </c>
      <c r="O460" s="1" t="s">
        <v>22</v>
      </c>
    </row>
    <row r="461" spans="1:15" ht="12.75" hidden="1" x14ac:dyDescent="0.2">
      <c r="A461">
        <v>95185</v>
      </c>
      <c r="B461" t="str">
        <f ca="1">VLOOKUP(A461,Import_SuiviGlobal_MigAppliSate!A:I,2,FALSE)</f>
        <v>LAGUENNE</v>
      </c>
      <c r="C461" t="str">
        <f ca="1">VLOOKUP(A461,Import_SuiviGlobal_MigAppliSate!A:I,3,FALSE)</f>
        <v>Super U</v>
      </c>
      <c r="D461" s="1" t="str">
        <f ca="1">VLOOKUP(A461,Import_SuiviGlobal_MigAppliSate!A:I,4,FALSE)</f>
        <v>Coop U Enseigne Sud</v>
      </c>
      <c r="E461">
        <f ca="1">VLOOKUP(A461,Import_SuiviGlobal_MigAppliSate!A:I,5,FALSE)</f>
        <v>19150</v>
      </c>
      <c r="F461" t="str">
        <f ca="1">VLOOKUP(A461,Import_SuiviGlobal_MigAppliSate!A:I,6,FALSE)</f>
        <v>1 AVENUE DE COULAUD</v>
      </c>
      <c r="G461" t="str">
        <f ca="1">VLOOKUP(A461,Import_SuiviGlobal_MigAppliSate!A:I,7,FALSE)</f>
        <v>05.55.20.49.00</v>
      </c>
      <c r="H461" t="str">
        <f ca="1">VLOOKUP(A461,Import_SuiviGlobal_MigAppliSate!A:I,8,FALSE)</f>
        <v>MILLET Jean-Yves</v>
      </c>
      <c r="I461" t="str">
        <f ca="1">VLOOKUP(A461,Import_SuiviGlobal_MigAppliSate!A:I,9,FALSE)</f>
        <v>jean-yves.millet@systeme-u.fr</v>
      </c>
      <c r="J461" s="24" t="str">
        <f ca="1">VLOOKUP(A461,Import_SuiviGlobal_MigAppliSate!A:K,10,FALSE)</f>
        <v>Caroline POUGET</v>
      </c>
      <c r="K461" t="str">
        <f ca="1">VLOOKUP(A461,Import_SuiviGlobal_MigAppliSate!A:K,11,FALSE)</f>
        <v>superu.laguenne.informatique@systeme-u.fr</v>
      </c>
      <c r="O461" s="1" t="s">
        <v>22</v>
      </c>
    </row>
    <row r="462" spans="1:15" ht="12.75" hidden="1" x14ac:dyDescent="0.2">
      <c r="A462">
        <v>66103</v>
      </c>
      <c r="B462" t="str">
        <f ca="1">VLOOKUP(A462,Import_SuiviGlobal_MigAppliSate!A:I,2,FALSE)</f>
        <v>LAIZ</v>
      </c>
      <c r="C462" t="str">
        <f ca="1">VLOOKUP(A462,Import_SuiviGlobal_MigAppliSate!A:I,3,FALSE)</f>
        <v>Super U</v>
      </c>
      <c r="D462" s="1" t="str">
        <f ca="1">VLOOKUP(A462,Import_SuiviGlobal_MigAppliSate!A:I,4,FALSE)</f>
        <v>Coop U Enseigne Est</v>
      </c>
      <c r="E462">
        <f ca="1">VLOOKUP(A462,Import_SuiviGlobal_MigAppliSate!A:I,5,FALSE)</f>
        <v>1290</v>
      </c>
      <c r="F462" t="str">
        <f ca="1">VLOOKUP(A462,Import_SuiviGlobal_MigAppliSate!A:I,6,FALSE)</f>
        <v>254 ROUTE DE CHÂTILLON</v>
      </c>
      <c r="G462" t="str">
        <f ca="1">VLOOKUP(A462,Import_SuiviGlobal_MigAppliSate!A:I,7,FALSE)</f>
        <v>03.85.23.91.10</v>
      </c>
      <c r="H462" t="str">
        <f ca="1">VLOOKUP(A462,Import_SuiviGlobal_MigAppliSate!A:I,8,FALSE)</f>
        <v>FREYDIER Jean-Marc</v>
      </c>
      <c r="I462" t="str">
        <f ca="1">VLOOKUP(A462,Import_SuiviGlobal_MigAppliSate!A:I,9,FALSE)</f>
        <v>jean-marc.freydier@systeme-u.fr</v>
      </c>
      <c r="J462" s="24" t="str">
        <f ca="1">VLOOKUP(A462,Import_SuiviGlobal_MigAppliSate!A:K,10,FALSE)</f>
        <v>Me Lisa LEDUC (UPLV)</v>
      </c>
      <c r="K462" t="str">
        <f ca="1">VLOOKUP(A462,Import_SuiviGlobal_MigAppliSate!A:K,11,FALSE)</f>
        <v>superu.laiz.accueil1@systeme-u.fr</v>
      </c>
      <c r="L462" t="s">
        <v>20</v>
      </c>
      <c r="M462" s="1" t="s">
        <v>21</v>
      </c>
      <c r="O462" s="1" t="s">
        <v>22</v>
      </c>
    </row>
    <row r="463" spans="1:15" ht="12.75" hidden="1" x14ac:dyDescent="0.2">
      <c r="A463">
        <v>90320</v>
      </c>
      <c r="B463" t="str">
        <f ca="1">VLOOKUP(A463,Import_SuiviGlobal_MigAppliSate!A:I,2,FALSE)</f>
        <v>LAMASTRE</v>
      </c>
      <c r="C463" t="str">
        <f ca="1">VLOOKUP(A463,Import_SuiviGlobal_MigAppliSate!A:I,3,FALSE)</f>
        <v>Super U</v>
      </c>
      <c r="D463" s="1" t="str">
        <f ca="1">VLOOKUP(A463,Import_SuiviGlobal_MigAppliSate!A:I,4,FALSE)</f>
        <v>Coop U Enseigne Sud</v>
      </c>
      <c r="E463">
        <f ca="1">VLOOKUP(A463,Import_SuiviGlobal_MigAppliSate!A:I,5,FALSE)</f>
        <v>7270</v>
      </c>
      <c r="F463" t="str">
        <f ca="1">VLOOKUP(A463,Import_SuiviGlobal_MigAppliSate!A:I,6,FALSE)</f>
        <v>ZI DE LA SUMENE</v>
      </c>
      <c r="G463" t="str">
        <f ca="1">VLOOKUP(A463,Import_SuiviGlobal_MigAppliSate!A:I,7,FALSE)</f>
        <v>04.75.06.59.59</v>
      </c>
      <c r="H463" t="str">
        <f ca="1">VLOOKUP(A463,Import_SuiviGlobal_MigAppliSate!A:I,8,FALSE)</f>
        <v>ISABEY Franck</v>
      </c>
      <c r="I463" t="str">
        <f ca="1">VLOOKUP(A463,Import_SuiviGlobal_MigAppliSate!A:I,9,FALSE)</f>
        <v>franck.isabey@systeme-u.fr</v>
      </c>
      <c r="J463" s="24" t="str">
        <f ca="1">VLOOKUP(A463,Import_SuiviGlobal_MigAppliSate!A:K,10,FALSE)</f>
        <v>ROUVEURE Myriam
Benjamin DESJAMES (UPLV)</v>
      </c>
      <c r="K463" t="str">
        <f ca="1">VLOOKUP(A463,Import_SuiviGlobal_MigAppliSate!A:K,11,FALSE)</f>
        <v>superu.lamastre.compta@systeme-u.fr, superu.lamastre.eldph@systeme-u.fr</v>
      </c>
      <c r="L463" s="1" t="s">
        <v>20</v>
      </c>
      <c r="M463" s="1" t="s">
        <v>27</v>
      </c>
      <c r="O463" s="1" t="s">
        <v>22</v>
      </c>
    </row>
    <row r="464" spans="1:15" ht="12.75" hidden="1" x14ac:dyDescent="0.2">
      <c r="A464">
        <v>33964</v>
      </c>
      <c r="B464" t="str">
        <f ca="1">VLOOKUP(A464,Import_SuiviGlobal_MigAppliSate!A:I,2,FALSE)</f>
        <v>LANDIVISIAU</v>
      </c>
      <c r="C464" t="str">
        <f ca="1">VLOOKUP(A464,Import_SuiviGlobal_MigAppliSate!A:I,3,FALSE)</f>
        <v>Super U</v>
      </c>
      <c r="D464" s="1" t="str">
        <f ca="1">VLOOKUP(A464,Import_SuiviGlobal_MigAppliSate!A:I,4,FALSE)</f>
        <v>Coop U Enseigne Ouest</v>
      </c>
      <c r="E464">
        <f ca="1">VLOOKUP(A464,Import_SuiviGlobal_MigAppliSate!A:I,5,FALSE)</f>
        <v>29400</v>
      </c>
      <c r="F464" t="str">
        <f ca="1">VLOOKUP(A464,Import_SuiviGlobal_MigAppliSate!A:I,6,FALSE)</f>
        <v>63, RUE DU GÉNÉRAL DE GAULLE</v>
      </c>
      <c r="G464" t="str">
        <f ca="1">VLOOKUP(A464,Import_SuiviGlobal_MigAppliSate!A:I,7,FALSE)</f>
        <v>02.98.68.33.91</v>
      </c>
      <c r="H464" t="str">
        <f ca="1">VLOOKUP(A464,Import_SuiviGlobal_MigAppliSate!A:I,8,FALSE)</f>
        <v>GUIGNARD Bertrand</v>
      </c>
      <c r="I464" t="str">
        <f ca="1">VLOOKUP(A464,Import_SuiviGlobal_MigAppliSate!A:I,9,FALSE)</f>
        <v>bertrand.guignard@systeme-u.fr</v>
      </c>
      <c r="J464" s="24" t="str">
        <f ca="1">VLOOKUP(A464,Import_SuiviGlobal_MigAppliSate!A:K,10,FALSE)</f>
        <v>DENIEL ELODIE</v>
      </c>
      <c r="K464" t="str">
        <f ca="1">VLOOKUP(A464,Import_SuiviGlobal_MigAppliSate!A:K,11,FALSE)</f>
        <v>superu.landivisiau@systeme-u.fr</v>
      </c>
      <c r="O464" s="1" t="s">
        <v>22</v>
      </c>
    </row>
    <row r="465" spans="1:15" ht="12.75" hidden="1" x14ac:dyDescent="0.2">
      <c r="A465">
        <v>31217</v>
      </c>
      <c r="B465" t="str">
        <f ca="1">VLOOKUP(A465,Import_SuiviGlobal_MigAppliSate!A:I,2,FALSE)</f>
        <v>LANDUDEC</v>
      </c>
      <c r="C465" t="str">
        <f ca="1">VLOOKUP(A465,Import_SuiviGlobal_MigAppliSate!A:I,3,FALSE)</f>
        <v>Super U</v>
      </c>
      <c r="D465" s="1" t="str">
        <f ca="1">VLOOKUP(A465,Import_SuiviGlobal_MigAppliSate!A:I,4,FALSE)</f>
        <v>Coop U Enseigne Ouest</v>
      </c>
      <c r="E465">
        <f ca="1">VLOOKUP(A465,Import_SuiviGlobal_MigAppliSate!A:I,5,FALSE)</f>
        <v>29710</v>
      </c>
      <c r="F465" t="str">
        <f ca="1">VLOOKUP(A465,Import_SuiviGlobal_MigAppliSate!A:I,6,FALSE)</f>
        <v>RUE DES ECOLES</v>
      </c>
      <c r="G465" t="str">
        <f ca="1">VLOOKUP(A465,Import_SuiviGlobal_MigAppliSate!A:I,7,FALSE)</f>
        <v>02.98.91.80.70</v>
      </c>
      <c r="H465" t="str">
        <f ca="1">VLOOKUP(A465,Import_SuiviGlobal_MigAppliSate!A:I,8,FALSE)</f>
        <v>FENICE David</v>
      </c>
      <c r="I465" t="str">
        <f ca="1">VLOOKUP(A465,Import_SuiviGlobal_MigAppliSate!A:I,9,FALSE)</f>
        <v>david.fenice@systeme-u.fr</v>
      </c>
      <c r="J465" s="24" t="str">
        <f ca="1">VLOOKUP(A465,Import_SuiviGlobal_MigAppliSate!A:K,10,FALSE)</f>
        <v/>
      </c>
      <c r="K465" t="str">
        <f ca="1">VLOOKUP(A465,Import_SuiviGlobal_MigAppliSate!A:K,11,FALSE)</f>
        <v/>
      </c>
      <c r="O465" s="1" t="s">
        <v>22</v>
      </c>
    </row>
    <row r="466" spans="1:15" ht="12.75" hidden="1" x14ac:dyDescent="0.2">
      <c r="A466">
        <v>66069</v>
      </c>
      <c r="B466" t="str">
        <f ca="1">VLOOKUP(A466,Import_SuiviGlobal_MigAppliSate!A:I,2,FALSE)</f>
        <v>LANGEAC</v>
      </c>
      <c r="C466" t="str">
        <f ca="1">VLOOKUP(A466,Import_SuiviGlobal_MigAppliSate!A:I,3,FALSE)</f>
        <v>Super U</v>
      </c>
      <c r="D466" s="1" t="str">
        <f ca="1">VLOOKUP(A466,Import_SuiviGlobal_MigAppliSate!A:I,4,FALSE)</f>
        <v>Coop U Enseigne Est</v>
      </c>
      <c r="E466">
        <f ca="1">VLOOKUP(A466,Import_SuiviGlobal_MigAppliSate!A:I,5,FALSE)</f>
        <v>43300</v>
      </c>
      <c r="F466" t="str">
        <f ca="1">VLOOKUP(A466,Import_SuiviGlobal_MigAppliSate!A:I,6,FALSE)</f>
        <v>Route d'Auvergne</v>
      </c>
      <c r="G466" t="str">
        <f ca="1">VLOOKUP(A466,Import_SuiviGlobal_MigAppliSate!A:I,7,FALSE)</f>
        <v>04.71.77.04.66</v>
      </c>
      <c r="H466" t="str">
        <f ca="1">VLOOKUP(A466,Import_SuiviGlobal_MigAppliSate!A:I,8,FALSE)</f>
        <v>BOUTREUX RPT SAS CABAJUFI Philippe</v>
      </c>
      <c r="I466" t="str">
        <f ca="1">VLOOKUP(A466,Import_SuiviGlobal_MigAppliSate!A:I,9,FALSE)</f>
        <v>philippe.boutreux@systeme-u.fr</v>
      </c>
      <c r="J466" s="24" t="str">
        <f ca="1">VLOOKUP(A466,Import_SuiviGlobal_MigAppliSate!A:K,10,FALSE)</f>
        <v>Ronze Jonathan</v>
      </c>
      <c r="K466" t="str">
        <f ca="1">VLOOKUP(A466,Import_SuiviGlobal_MigAppliSate!A:K,11,FALSE)</f>
        <v>superu.langeac.directeur@systeme-u.fr</v>
      </c>
      <c r="O466" s="1" t="s">
        <v>22</v>
      </c>
    </row>
    <row r="467" spans="1:15" ht="12.75" hidden="1" x14ac:dyDescent="0.2">
      <c r="A467">
        <v>95178</v>
      </c>
      <c r="B467" t="str">
        <f ca="1">VLOOKUP(A467,Import_SuiviGlobal_MigAppliSate!A:I,2,FALSE)</f>
        <v>LANGON MAG</v>
      </c>
      <c r="C467" t="str">
        <f ca="1">VLOOKUP(A467,Import_SuiviGlobal_MigAppliSate!A:I,3,FALSE)</f>
        <v>U Express</v>
      </c>
      <c r="D467" s="1" t="str">
        <f ca="1">VLOOKUP(A467,Import_SuiviGlobal_MigAppliSate!A:I,4,FALSE)</f>
        <v>Coop U Enseigne Sud</v>
      </c>
      <c r="E467">
        <f ca="1">VLOOKUP(A467,Import_SuiviGlobal_MigAppliSate!A:I,5,FALSE)</f>
        <v>33210</v>
      </c>
      <c r="F467" t="str">
        <f ca="1">VLOOKUP(A467,Import_SuiviGlobal_MigAppliSate!A:I,6,FALSE)</f>
        <v>12 COURS GAMBETTA</v>
      </c>
      <c r="G467" t="str">
        <f ca="1">VLOOKUP(A467,Import_SuiviGlobal_MigAppliSate!A:I,7,FALSE)</f>
        <v>05.57.31.10.90</v>
      </c>
      <c r="H467" t="str">
        <f ca="1">VLOOKUP(A467,Import_SuiviGlobal_MigAppliSate!A:I,8,FALSE)</f>
        <v>GARNIER Sebastien</v>
      </c>
      <c r="I467" t="str">
        <f ca="1">VLOOKUP(A467,Import_SuiviGlobal_MigAppliSate!A:I,9,FALSE)</f>
        <v>sebastien.garnier@systeme-u.fr</v>
      </c>
      <c r="J467" s="24" t="str">
        <f ca="1">VLOOKUP(A467,Import_SuiviGlobal_MigAppliSate!A:K,10,FALSE)</f>
        <v/>
      </c>
      <c r="K467" t="str">
        <f ca="1">VLOOKUP(A467,Import_SuiviGlobal_MigAppliSate!A:K,11,FALSE)</f>
        <v/>
      </c>
      <c r="O467" s="1" t="s">
        <v>22</v>
      </c>
    </row>
    <row r="468" spans="1:15" ht="12.75" hidden="1" x14ac:dyDescent="0.2">
      <c r="A468">
        <v>37285</v>
      </c>
      <c r="B468" t="str">
        <f ca="1">VLOOKUP(A468,Import_SuiviGlobal_MigAppliSate!A:I,2,FALSE)</f>
        <v>LANMEUR</v>
      </c>
      <c r="C468" t="str">
        <f ca="1">VLOOKUP(A468,Import_SuiviGlobal_MigAppliSate!A:I,3,FALSE)</f>
        <v>Super U</v>
      </c>
      <c r="D468" s="1" t="str">
        <f ca="1">VLOOKUP(A468,Import_SuiviGlobal_MigAppliSate!A:I,4,FALSE)</f>
        <v>Coop U Enseigne Ouest</v>
      </c>
      <c r="E468">
        <f ca="1">VLOOKUP(A468,Import_SuiviGlobal_MigAppliSate!A:I,5,FALSE)</f>
        <v>29620</v>
      </c>
      <c r="F468" t="str">
        <f ca="1">VLOOKUP(A468,Import_SuiviGlobal_MigAppliSate!A:I,6,FALSE)</f>
        <v>33 RUE DES QUATRE VENTS</v>
      </c>
      <c r="G468" t="str">
        <f ca="1">VLOOKUP(A468,Import_SuiviGlobal_MigAppliSate!A:I,7,FALSE)</f>
        <v>02.98.67.57.88</v>
      </c>
      <c r="H468" t="str">
        <f ca="1">VLOOKUP(A468,Import_SuiviGlobal_MigAppliSate!A:I,8,FALSE)</f>
        <v>POSIER RPT SARL CLEMALYS Jean Michel</v>
      </c>
      <c r="I468" t="str">
        <f ca="1">VLOOKUP(A468,Import_SuiviGlobal_MigAppliSate!A:I,9,FALSE)</f>
        <v>jean-michel.posier@systeme-u.fr</v>
      </c>
      <c r="J468" s="24" t="str">
        <f ca="1">VLOOKUP(A468,Import_SuiviGlobal_MigAppliSate!A:K,10,FALSE)</f>
        <v>Mme AUFFRET Gwenaelle (si associé absent)</v>
      </c>
      <c r="K468" t="str">
        <f ca="1">VLOOKUP(A468,Import_SuiviGlobal_MigAppliSate!A:K,11,FALSE)</f>
        <v/>
      </c>
      <c r="O468" s="1" t="s">
        <v>22</v>
      </c>
    </row>
    <row r="469" spans="1:15" ht="12.75" hidden="1" x14ac:dyDescent="0.2">
      <c r="A469">
        <v>33935</v>
      </c>
      <c r="B469" t="str">
        <f ca="1">VLOOKUP(A469,Import_SuiviGlobal_MigAppliSate!A:I,2,FALSE)</f>
        <v>LANVALLAY</v>
      </c>
      <c r="C469" t="str">
        <f ca="1">VLOOKUP(A469,Import_SuiviGlobal_MigAppliSate!A:I,3,FALSE)</f>
        <v>Super U</v>
      </c>
      <c r="D469" s="1" t="str">
        <f ca="1">VLOOKUP(A469,Import_SuiviGlobal_MigAppliSate!A:I,4,FALSE)</f>
        <v>Coop U Enseigne Ouest</v>
      </c>
      <c r="E469">
        <f ca="1">VLOOKUP(A469,Import_SuiviGlobal_MigAppliSate!A:I,5,FALSE)</f>
        <v>22100</v>
      </c>
      <c r="F469" t="str">
        <f ca="1">VLOOKUP(A469,Import_SuiviGlobal_MigAppliSate!A:I,6,FALSE)</f>
        <v>RUE CHARLES DE GAULLE</v>
      </c>
      <c r="G469" t="str">
        <f ca="1">VLOOKUP(A469,Import_SuiviGlobal_MigAppliSate!A:I,7,FALSE)</f>
        <v>02.96.85.56.56</v>
      </c>
      <c r="H469" t="str">
        <f ca="1">VLOOKUP(A469,Import_SuiviGlobal_MigAppliSate!A:I,8,FALSE)</f>
        <v>LE BOURHIS RPT SA SOFINABER Philippe</v>
      </c>
      <c r="I469" t="str">
        <f ca="1">VLOOKUP(A469,Import_SuiviGlobal_MigAppliSate!A:I,9,FALSE)</f>
        <v>philippe.le-bourhis@systeme-u.fr</v>
      </c>
      <c r="J469" s="24" t="str">
        <f ca="1">VLOOKUP(A469,Import_SuiviGlobal_MigAppliSate!A:K,10,FALSE)</f>
        <v>nadege le porcher</v>
      </c>
      <c r="K469" t="str">
        <f ca="1">VLOOKUP(A469,Import_SuiviGlobal_MigAppliSate!A:K,11,FALSE)</f>
        <v>superu.lanvallay@systeme-u.fr</v>
      </c>
      <c r="O469" s="1" t="s">
        <v>22</v>
      </c>
    </row>
    <row r="470" spans="1:15" ht="12.75" hidden="1" x14ac:dyDescent="0.2">
      <c r="A470">
        <v>37226</v>
      </c>
      <c r="B470" t="str">
        <f ca="1">VLOOKUP(A470,Import_SuiviGlobal_MigAppliSate!A:I,2,FALSE)</f>
        <v>LANVOLLON</v>
      </c>
      <c r="C470" t="str">
        <f ca="1">VLOOKUP(A470,Import_SuiviGlobal_MigAppliSate!A:I,3,FALSE)</f>
        <v>Super U</v>
      </c>
      <c r="D470" s="1" t="str">
        <f ca="1">VLOOKUP(A470,Import_SuiviGlobal_MigAppliSate!A:I,4,FALSE)</f>
        <v>Coop U Enseigne Ouest</v>
      </c>
      <c r="E470">
        <f ca="1">VLOOKUP(A470,Import_SuiviGlobal_MigAppliSate!A:I,5,FALSE)</f>
        <v>22290</v>
      </c>
      <c r="F470" t="str">
        <f ca="1">VLOOKUP(A470,Import_SuiviGlobal_MigAppliSate!A:I,6,FALSE)</f>
        <v>35 RUE DES FONTAINES</v>
      </c>
      <c r="G470" t="str">
        <f ca="1">VLOOKUP(A470,Import_SuiviGlobal_MigAppliSate!A:I,7,FALSE)</f>
        <v>02.96.70.24.83</v>
      </c>
      <c r="H470" t="str">
        <f ca="1">VLOOKUP(A470,Import_SuiviGlobal_MigAppliSate!A:I,8,FALSE)</f>
        <v>PRODHOMME RPT SARL SOFIPA Pascal</v>
      </c>
      <c r="I470" t="str">
        <f ca="1">VLOOKUP(A470,Import_SuiviGlobal_MigAppliSate!A:I,9,FALSE)</f>
        <v>pascal.prodhomme@systeme-u.fr</v>
      </c>
      <c r="J470" s="24" t="str">
        <f ca="1">VLOOKUP(A470,Import_SuiviGlobal_MigAppliSate!A:K,10,FALSE)</f>
        <v>Ramis Paule</v>
      </c>
      <c r="K470" t="str">
        <f ca="1">VLOOKUP(A470,Import_SuiviGlobal_MigAppliSate!A:K,11,FALSE)</f>
        <v>superu.lanvollon.gescom@systeme-u.fr</v>
      </c>
      <c r="O470" s="1" t="s">
        <v>22</v>
      </c>
    </row>
    <row r="471" spans="1:15" ht="12.75" hidden="1" x14ac:dyDescent="0.2">
      <c r="A471">
        <v>95472</v>
      </c>
      <c r="B471" t="str">
        <f ca="1">VLOOKUP(A471,Import_SuiviGlobal_MigAppliSate!A:I,2,FALSE)</f>
        <v>LAROQUEBROU</v>
      </c>
      <c r="C471" t="str">
        <f ca="1">VLOOKUP(A471,Import_SuiviGlobal_MigAppliSate!A:I,3,FALSE)</f>
        <v>U Express</v>
      </c>
      <c r="D471" s="1" t="str">
        <f ca="1">VLOOKUP(A471,Import_SuiviGlobal_MigAppliSate!A:I,4,FALSE)</f>
        <v>Coop UPSO</v>
      </c>
      <c r="E471">
        <f ca="1">VLOOKUP(A471,Import_SuiviGlobal_MigAppliSate!A:I,5,FALSE)</f>
        <v>15150</v>
      </c>
      <c r="F471" t="str">
        <f ca="1">VLOOKUP(A471,Import_SuiviGlobal_MigAppliSate!A:I,6,FALSE)</f>
        <v>AVENUE DES PLATANES</v>
      </c>
      <c r="G471" t="str">
        <f ca="1">VLOOKUP(A471,Import_SuiviGlobal_MigAppliSate!A:I,7,FALSE)</f>
        <v>04.71.46.07.56</v>
      </c>
      <c r="H471" t="str">
        <f ca="1">VLOOKUP(A471,Import_SuiviGlobal_MigAppliSate!A:I,8,FALSE)</f>
        <v>THEMINES Jean Luc</v>
      </c>
      <c r="I471" t="str">
        <f ca="1">VLOOKUP(A471,Import_SuiviGlobal_MigAppliSate!A:I,9,FALSE)</f>
        <v>emmanuel.verniol@systeme-u.fr</v>
      </c>
      <c r="J471" s="24" t="str">
        <f ca="1">VLOOKUP(A471,Import_SuiviGlobal_MigAppliSate!A:K,10,FALSE)</f>
        <v>M. Emmanuel Verniol</v>
      </c>
      <c r="K471" t="str">
        <f ca="1">VLOOKUP(A471,Import_SuiviGlobal_MigAppliSate!A:K,11,FALSE)</f>
        <v>emmanuel.verniol@systeme-u.fr</v>
      </c>
      <c r="O471" s="1" t="s">
        <v>22</v>
      </c>
    </row>
    <row r="472" spans="1:15" ht="12.75" hidden="1" x14ac:dyDescent="0.2">
      <c r="A472">
        <v>90432</v>
      </c>
      <c r="B472" t="str">
        <f ca="1">VLOOKUP(A472,Import_SuiviGlobal_MigAppliSate!A:I,2,FALSE)</f>
        <v>LAUDUN</v>
      </c>
      <c r="C472" t="str">
        <f ca="1">VLOOKUP(A472,Import_SuiviGlobal_MigAppliSate!A:I,3,FALSE)</f>
        <v>U Express</v>
      </c>
      <c r="D472" s="1" t="str">
        <f ca="1">VLOOKUP(A472,Import_SuiviGlobal_MigAppliSate!A:I,4,FALSE)</f>
        <v>Coop U Enseigne Sud</v>
      </c>
      <c r="E472">
        <f ca="1">VLOOKUP(A472,Import_SuiviGlobal_MigAppliSate!A:I,5,FALSE)</f>
        <v>30290</v>
      </c>
      <c r="F472" t="str">
        <f ca="1">VLOOKUP(A472,Import_SuiviGlobal_MigAppliSate!A:I,6,FALSE)</f>
        <v>RUE VICTOR HUGO.</v>
      </c>
      <c r="G472" t="str">
        <f ca="1">VLOOKUP(A472,Import_SuiviGlobal_MigAppliSate!A:I,7,FALSE)</f>
        <v>04.66.79.37.16</v>
      </c>
      <c r="H472" t="str">
        <f ca="1">VLOOKUP(A472,Import_SuiviGlobal_MigAppliSate!A:I,8,FALSE)</f>
        <v>DURET Yannick</v>
      </c>
      <c r="I472" t="str">
        <f ca="1">VLOOKUP(A472,Import_SuiviGlobal_MigAppliSate!A:I,9,FALSE)</f>
        <v>yannick.duret@systeme-u.fr</v>
      </c>
      <c r="J472" s="24" t="str">
        <f ca="1">VLOOKUP(A472,Import_SuiviGlobal_MigAppliSate!A:K,10,FALSE)</f>
        <v/>
      </c>
      <c r="K472" t="str">
        <f ca="1">VLOOKUP(A472,Import_SuiviGlobal_MigAppliSate!A:K,11,FALSE)</f>
        <v/>
      </c>
      <c r="O472" s="1" t="s">
        <v>22</v>
      </c>
    </row>
    <row r="473" spans="1:15" ht="12.75" hidden="1" x14ac:dyDescent="0.2">
      <c r="A473">
        <v>95130</v>
      </c>
      <c r="B473" t="str">
        <f ca="1">VLOOKUP(A473,Import_SuiviGlobal_MigAppliSate!A:I,2,FALSE)</f>
        <v>LAVARDAC</v>
      </c>
      <c r="C473" t="str">
        <f ca="1">VLOOKUP(A473,Import_SuiviGlobal_MigAppliSate!A:I,3,FALSE)</f>
        <v>Super U</v>
      </c>
      <c r="D473" s="1" t="str">
        <f ca="1">VLOOKUP(A473,Import_SuiviGlobal_MigAppliSate!A:I,4,FALSE)</f>
        <v>Coop U Enseigne Sud</v>
      </c>
      <c r="E473">
        <f ca="1">VLOOKUP(A473,Import_SuiviGlobal_MigAppliSate!A:I,5,FALSE)</f>
        <v>47230</v>
      </c>
      <c r="F473" t="str">
        <f ca="1">VLOOKUP(A473,Import_SuiviGlobal_MigAppliSate!A:I,6,FALSE)</f>
        <v>ROUTE DE MEZIN</v>
      </c>
      <c r="G473" t="str">
        <f ca="1">VLOOKUP(A473,Import_SuiviGlobal_MigAppliSate!A:I,7,FALSE)</f>
        <v>05.53.65.55.12</v>
      </c>
      <c r="H473" t="str">
        <f ca="1">VLOOKUP(A473,Import_SuiviGlobal_MigAppliSate!A:I,8,FALSE)</f>
        <v>GUILHEMJOUAN Pierre</v>
      </c>
      <c r="I473" t="str">
        <f ca="1">VLOOKUP(A473,Import_SuiviGlobal_MigAppliSate!A:I,9,FALSE)</f>
        <v>pierre.guilhemjouan@systeme-u.fr</v>
      </c>
      <c r="J473" s="24" t="str">
        <f ca="1">VLOOKUP(A473,Import_SuiviGlobal_MigAppliSate!A:K,10,FALSE)</f>
        <v/>
      </c>
      <c r="K473" t="str">
        <f ca="1">VLOOKUP(A473,Import_SuiviGlobal_MigAppliSate!A:K,11,FALSE)</f>
        <v>superu.lavardac@systeme-u.fr</v>
      </c>
      <c r="O473" s="1" t="s">
        <v>22</v>
      </c>
    </row>
    <row r="474" spans="1:15" ht="12.75" hidden="1" x14ac:dyDescent="0.2">
      <c r="A474">
        <v>95152</v>
      </c>
      <c r="B474" t="str">
        <f ca="1">VLOOKUP(A474,Import_SuiviGlobal_MigAppliSate!A:I,2,FALSE)</f>
        <v>LAVAUR</v>
      </c>
      <c r="C474" t="str">
        <f ca="1">VLOOKUP(A474,Import_SuiviGlobal_MigAppliSate!A:I,3,FALSE)</f>
        <v>Super U</v>
      </c>
      <c r="D474" s="1" t="str">
        <f ca="1">VLOOKUP(A474,Import_SuiviGlobal_MigAppliSate!A:I,4,FALSE)</f>
        <v>Coop U Enseigne Sud</v>
      </c>
      <c r="E474">
        <f ca="1">VLOOKUP(A474,Import_SuiviGlobal_MigAppliSate!A:I,5,FALSE)</f>
        <v>81500</v>
      </c>
      <c r="F474" t="str">
        <f ca="1">VLOOKUP(A474,Import_SuiviGlobal_MigAppliSate!A:I,6,FALSE)</f>
        <v>SU LIEU DIT LE ROUCH</v>
      </c>
      <c r="G474" t="str">
        <f ca="1">VLOOKUP(A474,Import_SuiviGlobal_MigAppliSate!A:I,7,FALSE)</f>
        <v>05.63.83.63.63</v>
      </c>
      <c r="H474" t="str">
        <f ca="1">VLOOKUP(A474,Import_SuiviGlobal_MigAppliSate!A:I,8,FALSE)</f>
        <v>MUNOZ MANZANERA Yolanda</v>
      </c>
      <c r="I474" t="str">
        <f ca="1">VLOOKUP(A474,Import_SuiviGlobal_MigAppliSate!A:I,9,FALSE)</f>
        <v>yolanda.munoz-manzanera@systeme-u.fr</v>
      </c>
      <c r="J474" s="24" t="str">
        <f ca="1">VLOOKUP(A474,Import_SuiviGlobal_MigAppliSate!A:K,10,FALSE)</f>
        <v>Xavier DAVID</v>
      </c>
      <c r="K474" t="str">
        <f ca="1">VLOOKUP(A474,Import_SuiviGlobal_MigAppliSate!A:K,11,FALSE)</f>
        <v>xavier.david@systeme-u.fr</v>
      </c>
      <c r="O474" s="1" t="s">
        <v>22</v>
      </c>
    </row>
    <row r="475" spans="1:15" ht="12.75" hidden="1" x14ac:dyDescent="0.2">
      <c r="A475">
        <v>90403</v>
      </c>
      <c r="B475" t="str">
        <f ca="1">VLOOKUP(A475,Import_SuiviGlobal_MigAppliSate!A:I,2,FALSE)</f>
        <v>LAVELANET</v>
      </c>
      <c r="C475" t="str">
        <f ca="1">VLOOKUP(A475,Import_SuiviGlobal_MigAppliSate!A:I,3,FALSE)</f>
        <v>Super U</v>
      </c>
      <c r="D475" s="1" t="str">
        <f ca="1">VLOOKUP(A475,Import_SuiviGlobal_MigAppliSate!A:I,4,FALSE)</f>
        <v>Coop U Enseigne Sud</v>
      </c>
      <c r="E475">
        <f ca="1">VLOOKUP(A475,Import_SuiviGlobal_MigAppliSate!A:I,5,FALSE)</f>
        <v>9300</v>
      </c>
      <c r="F475" t="str">
        <f ca="1">VLOOKUP(A475,Import_SuiviGlobal_MigAppliSate!A:I,6,FALSE)</f>
        <v>RUE DES PYRENEES</v>
      </c>
      <c r="G475" t="str">
        <f ca="1">VLOOKUP(A475,Import_SuiviGlobal_MigAppliSate!A:I,7,FALSE)</f>
        <v>05.61.05.05.90</v>
      </c>
      <c r="H475" t="str">
        <f ca="1">VLOOKUP(A475,Import_SuiviGlobal_MigAppliSate!A:I,8,FALSE)</f>
        <v>ROUSSILLE Thomas</v>
      </c>
      <c r="I475" t="str">
        <f ca="1">VLOOKUP(A475,Import_SuiviGlobal_MigAppliSate!A:I,9,FALSE)</f>
        <v>thomas.roussille@systeme-u.fr</v>
      </c>
      <c r="J475" s="24" t="str">
        <f ca="1">VLOOKUP(A475,Import_SuiviGlobal_MigAppliSate!A:K,10,FALSE)</f>
        <v/>
      </c>
      <c r="K475" t="str">
        <f ca="1">VLOOKUP(A475,Import_SuiviGlobal_MigAppliSate!A:K,11,FALSE)</f>
        <v/>
      </c>
      <c r="L475" s="1" t="s">
        <v>20</v>
      </c>
      <c r="M475" s="1" t="s">
        <v>27</v>
      </c>
      <c r="O475" s="1" t="s">
        <v>22</v>
      </c>
    </row>
    <row r="476" spans="1:15" ht="12.75" hidden="1" x14ac:dyDescent="0.2">
      <c r="A476">
        <v>90492</v>
      </c>
      <c r="B476" t="str">
        <f ca="1">VLOOKUP(A476,Import_SuiviGlobal_MigAppliSate!A:I,2,FALSE)</f>
        <v>LE BARCARES</v>
      </c>
      <c r="C476" t="str">
        <f ca="1">VLOOKUP(A476,Import_SuiviGlobal_MigAppliSate!A:I,3,FALSE)</f>
        <v>Super U</v>
      </c>
      <c r="D476" s="1" t="str">
        <f ca="1">VLOOKUP(A476,Import_SuiviGlobal_MigAppliSate!A:I,4,FALSE)</f>
        <v>Coop U Enseigne Sud</v>
      </c>
      <c r="E476">
        <f ca="1">VLOOKUP(A476,Import_SuiviGlobal_MigAppliSate!A:I,5,FALSE)</f>
        <v>66420</v>
      </c>
      <c r="F476" t="str">
        <f ca="1">VLOOKUP(A476,Import_SuiviGlobal_MigAppliSate!A:I,6,FALSE)</f>
        <v>BOULEVARD DU 14 JUILLET</v>
      </c>
      <c r="G476" t="str">
        <f ca="1">VLOOKUP(A476,Import_SuiviGlobal_MigAppliSate!A:I,7,FALSE)</f>
        <v>04.68.86.25.61</v>
      </c>
      <c r="H476" t="str">
        <f ca="1">VLOOKUP(A476,Import_SuiviGlobal_MigAppliSate!A:I,8,FALSE)</f>
        <v>BAZIL STEPHANE</v>
      </c>
      <c r="I476" t="str">
        <f ca="1">VLOOKUP(A476,Import_SuiviGlobal_MigAppliSate!A:I,9,FALSE)</f>
        <v>stephane.bazil@systeme-u.fr</v>
      </c>
      <c r="J476" s="24" t="str">
        <f ca="1">VLOOKUP(A476,Import_SuiviGlobal_MigAppliSate!A:K,10,FALSE)</f>
        <v>BAZIL et Martin</v>
      </c>
      <c r="K476" t="str">
        <f ca="1">VLOOKUP(A476,Import_SuiviGlobal_MigAppliSate!A:K,11,FALSE)</f>
        <v>stephane.bazil@systeme-u.fr</v>
      </c>
      <c r="O476" s="1" t="s">
        <v>22</v>
      </c>
    </row>
    <row r="477" spans="1:15" ht="12.75" hidden="1" x14ac:dyDescent="0.2">
      <c r="A477">
        <v>95765</v>
      </c>
      <c r="B477" t="str">
        <f ca="1">VLOOKUP(A477,Import_SuiviGlobal_MigAppliSate!A:I,2,FALSE)</f>
        <v>LE BARP</v>
      </c>
      <c r="C477" t="str">
        <f ca="1">VLOOKUP(A477,Import_SuiviGlobal_MigAppliSate!A:I,3,FALSE)</f>
        <v>Super U</v>
      </c>
      <c r="D477" s="1" t="str">
        <f ca="1">VLOOKUP(A477,Import_SuiviGlobal_MigAppliSate!A:I,4,FALSE)</f>
        <v>Coop U Enseigne Sud</v>
      </c>
      <c r="E477">
        <f ca="1">VLOOKUP(A477,Import_SuiviGlobal_MigAppliSate!A:I,5,FALSE)</f>
        <v>33114</v>
      </c>
      <c r="F477" t="str">
        <f ca="1">VLOOKUP(A477,Import_SuiviGlobal_MigAppliSate!A:I,6,FALSE)</f>
        <v>ZAC EYRIALIS AV.DU MEDOC</v>
      </c>
      <c r="G477" t="str">
        <f ca="1">VLOOKUP(A477,Import_SuiviGlobal_MigAppliSate!A:I,7,FALSE)</f>
        <v>05.56.88.60.02</v>
      </c>
      <c r="H477" t="str">
        <f ca="1">VLOOKUP(A477,Import_SuiviGlobal_MigAppliSate!A:I,8,FALSE)</f>
        <v>WERNERT Stephane</v>
      </c>
      <c r="I477" t="str">
        <f ca="1">VLOOKUP(A477,Import_SuiviGlobal_MigAppliSate!A:I,9,FALSE)</f>
        <v>stephane.wernert@systeme-u.fr</v>
      </c>
      <c r="J477" s="24" t="str">
        <f ca="1">VLOOKUP(A477,Import_SuiviGlobal_MigAppliSate!A:K,10,FALSE)</f>
        <v xml:space="preserve">
Boyé Jean</v>
      </c>
      <c r="K477" t="str">
        <f ca="1">VLOOKUP(A477,Import_SuiviGlobal_MigAppliSate!A:K,11,FALSE)</f>
        <v>superu.lebarp.directeur@systeme-u.fr,superu.lebarp@systeme-u.fr</v>
      </c>
      <c r="O477" s="1" t="s">
        <v>22</v>
      </c>
    </row>
    <row r="478" spans="1:15" ht="12.75" hidden="1" x14ac:dyDescent="0.2">
      <c r="A478">
        <v>32073</v>
      </c>
      <c r="B478" t="str">
        <f ca="1">VLOOKUP(A478,Import_SuiviGlobal_MigAppliSate!A:I,2,FALSE)</f>
        <v>LE BLANC</v>
      </c>
      <c r="C478" t="str">
        <f ca="1">VLOOKUP(A478,Import_SuiviGlobal_MigAppliSate!A:I,3,FALSE)</f>
        <v>U Express</v>
      </c>
      <c r="D478" s="1" t="str">
        <f ca="1">VLOOKUP(A478,Import_SuiviGlobal_MigAppliSate!A:I,4,FALSE)</f>
        <v>Coop U Enseigne Ouest</v>
      </c>
      <c r="E478">
        <f ca="1">VLOOKUP(A478,Import_SuiviGlobal_MigAppliSate!A:I,5,FALSE)</f>
        <v>36300</v>
      </c>
      <c r="F478" t="str">
        <f ca="1">VLOOKUP(A478,Import_SuiviGlobal_MigAppliSate!A:I,6,FALSE)</f>
        <v>14 AVENUE PIERRE MENDÈS FRANCE</v>
      </c>
      <c r="G478" t="str">
        <f ca="1">VLOOKUP(A478,Import_SuiviGlobal_MigAppliSate!A:I,7,FALSE)</f>
        <v>02.54.37.12.63</v>
      </c>
      <c r="H478" t="str">
        <f ca="1">VLOOKUP(A478,Import_SuiviGlobal_MigAppliSate!A:I,8,FALSE)</f>
        <v>MOCZULSKI Maxime</v>
      </c>
      <c r="I478" t="str">
        <f ca="1">VLOOKUP(A478,Import_SuiviGlobal_MigAppliSate!A:I,9,FALSE)</f>
        <v>maxime.moczulski@systeme-u.fr</v>
      </c>
      <c r="J478" s="24" t="str">
        <f ca="1">VLOOKUP(A478,Import_SuiviGlobal_MigAppliSate!A:K,10,FALSE)</f>
        <v>M. MERCIER</v>
      </c>
      <c r="K478" t="str">
        <f ca="1">VLOOKUP(A478,Import_SuiviGlobal_MigAppliSate!A:K,11,FALSE)</f>
        <v>superu.leblanc.direction@systeme-u.fr</v>
      </c>
      <c r="O478" s="1" t="s">
        <v>22</v>
      </c>
    </row>
    <row r="479" spans="1:15" ht="12.75" hidden="1" x14ac:dyDescent="0.2">
      <c r="A479">
        <v>23336</v>
      </c>
      <c r="B479" t="str">
        <f ca="1">VLOOKUP(A479,Import_SuiviGlobal_MigAppliSate!A:I,2,FALSE)</f>
        <v>LE BOURGET</v>
      </c>
      <c r="C479" t="str">
        <f ca="1">VLOOKUP(A479,Import_SuiviGlobal_MigAppliSate!A:I,3,FALSE)</f>
        <v>U Express</v>
      </c>
      <c r="D479" s="1" t="str">
        <f ca="1">VLOOKUP(A479,Import_SuiviGlobal_MigAppliSate!A:I,4,FALSE)</f>
        <v>Coop U Enseigne NordOuest</v>
      </c>
      <c r="E479">
        <f ca="1">VLOOKUP(A479,Import_SuiviGlobal_MigAppliSate!A:I,5,FALSE)</f>
        <v>93350</v>
      </c>
      <c r="F479" t="str">
        <f ca="1">VLOOKUP(A479,Import_SuiviGlobal_MigAppliSate!A:I,6,FALSE)</f>
        <v>89 AVENUE DE LA DIVISION LECLERC</v>
      </c>
      <c r="G479" t="str">
        <f ca="1">VLOOKUP(A479,Import_SuiviGlobal_MigAppliSate!A:I,7,FALSE)</f>
        <v>01.48.37.76.76</v>
      </c>
      <c r="H479" t="str">
        <f ca="1">VLOOKUP(A479,Import_SuiviGlobal_MigAppliSate!A:I,8,FALSE)</f>
        <v>BOISSIER Florence</v>
      </c>
      <c r="I479" t="str">
        <f ca="1">VLOOKUP(A479,Import_SuiviGlobal_MigAppliSate!A:I,9,FALSE)</f>
        <v>florence.boissier@systeme-u.fr</v>
      </c>
      <c r="J479" s="24" t="str">
        <f ca="1">VLOOKUP(A479,Import_SuiviGlobal_MigAppliSate!A:K,10,FALSE)</f>
        <v>ATTENTION ASSOCIE DECEDE nov 2018</v>
      </c>
      <c r="K479" t="str">
        <f ca="1">VLOOKUP(A479,Import_SuiviGlobal_MigAppliSate!A:K,11,FALSE)</f>
        <v/>
      </c>
      <c r="O479" s="1" t="s">
        <v>22</v>
      </c>
    </row>
    <row r="480" spans="1:15" ht="12.75" hidden="1" x14ac:dyDescent="0.2">
      <c r="A480">
        <v>32771</v>
      </c>
      <c r="B480" t="str">
        <f ca="1">VLOOKUP(A480,Import_SuiviGlobal_MigAppliSate!A:I,2,FALSE)</f>
        <v>LE BOURGNEUF-LA FORET</v>
      </c>
      <c r="C480" t="str">
        <f ca="1">VLOOKUP(A480,Import_SuiviGlobal_MigAppliSate!A:I,3,FALSE)</f>
        <v>Super U</v>
      </c>
      <c r="D480" s="1" t="str">
        <f ca="1">VLOOKUP(A480,Import_SuiviGlobal_MigAppliSate!A:I,4,FALSE)</f>
        <v>Coop U Enseigne Ouest</v>
      </c>
      <c r="E480">
        <f ca="1">VLOOKUP(A480,Import_SuiviGlobal_MigAppliSate!A:I,5,FALSE)</f>
        <v>53410</v>
      </c>
      <c r="F480" t="str">
        <f ca="1">VLOOKUP(A480,Import_SuiviGlobal_MigAppliSate!A:I,6,FALSE)</f>
        <v>ROUTE DE LAVAL</v>
      </c>
      <c r="G480" t="str">
        <f ca="1">VLOOKUP(A480,Import_SuiviGlobal_MigAppliSate!A:I,7,FALSE)</f>
        <v>02.43.37.17.92</v>
      </c>
      <c r="H480" t="str">
        <f ca="1">VLOOKUP(A480,Import_SuiviGlobal_MigAppliSate!A:I,8,FALSE)</f>
        <v>CHAUVIERE RPT SAS UBERIC Eric</v>
      </c>
      <c r="I480" t="str">
        <f ca="1">VLOOKUP(A480,Import_SuiviGlobal_MigAppliSate!A:I,9,FALSE)</f>
        <v>eric.chauviere@systeme-u.fr</v>
      </c>
      <c r="J480" s="24" t="str">
        <f ca="1">VLOOKUP(A480,Import_SuiviGlobal_MigAppliSate!A:K,10,FALSE)</f>
        <v>Marjorie</v>
      </c>
      <c r="K480" t="str">
        <f ca="1">VLOOKUP(A480,Import_SuiviGlobal_MigAppliSate!A:K,11,FALSE)</f>
        <v>superu.lebourgneuflaforet.gescom@systeme-u.fr</v>
      </c>
      <c r="O480" s="1" t="s">
        <v>22</v>
      </c>
    </row>
    <row r="481" spans="1:15" ht="12.75" hidden="1" x14ac:dyDescent="0.2">
      <c r="A481">
        <v>37137</v>
      </c>
      <c r="B481" t="str">
        <f ca="1">VLOOKUP(A481,Import_SuiviGlobal_MigAppliSate!A:I,2,FALSE)</f>
        <v>LE CHATEAU-D'OLERON</v>
      </c>
      <c r="C481" t="str">
        <f ca="1">VLOOKUP(A481,Import_SuiviGlobal_MigAppliSate!A:I,3,FALSE)</f>
        <v>Super U</v>
      </c>
      <c r="D481" s="1" t="str">
        <f ca="1">VLOOKUP(A481,Import_SuiviGlobal_MigAppliSate!A:I,4,FALSE)</f>
        <v>Coop U Enseigne Ouest</v>
      </c>
      <c r="E481">
        <f ca="1">VLOOKUP(A481,Import_SuiviGlobal_MigAppliSate!A:I,5,FALSE)</f>
        <v>17480</v>
      </c>
      <c r="F481" t="str">
        <f ca="1">VLOOKUP(A481,Import_SuiviGlobal_MigAppliSate!A:I,6,FALSE)</f>
        <v>15 AVENUE D'ANTIOCHE</v>
      </c>
      <c r="G481" t="str">
        <f ca="1">VLOOKUP(A481,Import_SuiviGlobal_MigAppliSate!A:I,7,FALSE)</f>
        <v>05.46.47.70.22</v>
      </c>
      <c r="H481" t="str">
        <f ca="1">VLOOKUP(A481,Import_SuiviGlobal_MigAppliSate!A:I,8,FALSE)</f>
        <v>LEFEBVRE RPT SAS MATIGANE Rodolphe</v>
      </c>
      <c r="I481" t="str">
        <f ca="1">VLOOKUP(A481,Import_SuiviGlobal_MigAppliSate!A:I,9,FALSE)</f>
        <v>rodolphe.lefebvre@systeme-u.fr</v>
      </c>
      <c r="J481" s="24" t="str">
        <f ca="1">VLOOKUP(A481,Import_SuiviGlobal_MigAppliSate!A:K,10,FALSE)</f>
        <v>LEFEBVRE CELINE</v>
      </c>
      <c r="K481" t="str">
        <f ca="1">VLOOKUP(A481,Import_SuiviGlobal_MigAppliSate!A:K,11,FALSE)</f>
        <v>celine.lefebvre@systeme-u.fr</v>
      </c>
      <c r="O481" s="1" t="s">
        <v>22</v>
      </c>
    </row>
    <row r="482" spans="1:15" ht="12.75" hidden="1" x14ac:dyDescent="0.2">
      <c r="A482">
        <v>24898</v>
      </c>
      <c r="B482" t="str">
        <f ca="1">VLOOKUP(A482,Import_SuiviGlobal_MigAppliSate!A:I,2,FALSE)</f>
        <v>LE CHESNAY</v>
      </c>
      <c r="C482" t="str">
        <f ca="1">VLOOKUP(A482,Import_SuiviGlobal_MigAppliSate!A:I,3,FALSE)</f>
        <v>Super U</v>
      </c>
      <c r="D482" s="1" t="str">
        <f ca="1">VLOOKUP(A482,Import_SuiviGlobal_MigAppliSate!A:I,4,FALSE)</f>
        <v>Coop U Enseigne NordOuest</v>
      </c>
      <c r="E482">
        <f ca="1">VLOOKUP(A482,Import_SuiviGlobal_MigAppliSate!A:I,5,FALSE)</f>
        <v>78150</v>
      </c>
      <c r="F482" t="str">
        <f ca="1">VLOOKUP(A482,Import_SuiviGlobal_MigAppliSate!A:I,6,FALSE)</f>
        <v>54 RUE POTTIER</v>
      </c>
      <c r="G482" t="str">
        <f ca="1">VLOOKUP(A482,Import_SuiviGlobal_MigAppliSate!A:I,7,FALSE)</f>
        <v>01.39.54.87.60</v>
      </c>
      <c r="H482" t="str">
        <f ca="1">VLOOKUP(A482,Import_SuiviGlobal_MigAppliSate!A:I,8,FALSE)</f>
        <v>SAGEAU Maxime</v>
      </c>
      <c r="I482" t="str">
        <f ca="1">VLOOKUP(A482,Import_SuiviGlobal_MigAppliSate!A:I,9,FALSE)</f>
        <v>maxime.sageau@systeme-u.fr</v>
      </c>
      <c r="J482" s="24" t="str">
        <f ca="1">VLOOKUP(A482,Import_SuiviGlobal_MigAppliSate!A:K,10,FALSE)</f>
        <v>Sylvie BERNARDINO</v>
      </c>
      <c r="K482" t="str">
        <f ca="1">VLOOKUP(A482,Import_SuiviGlobal_MigAppliSate!A:K,11,FALSE)</f>
        <v xml:space="preserve"> superu.lechesnay@systeme-u.fr</v>
      </c>
      <c r="O482" s="1" t="s">
        <v>22</v>
      </c>
    </row>
    <row r="483" spans="1:15" ht="12.75" hidden="1" x14ac:dyDescent="0.2">
      <c r="A483">
        <v>24871</v>
      </c>
      <c r="B483" t="str">
        <f ca="1">VLOOKUP(A483,Import_SuiviGlobal_MigAppliSate!A:I,2,FALSE)</f>
        <v>LE CHESNAY LOUVECIENNES</v>
      </c>
      <c r="C483" t="str">
        <f ca="1">VLOOKUP(A483,Import_SuiviGlobal_MigAppliSate!A:I,3,FALSE)</f>
        <v>U Express</v>
      </c>
      <c r="D483" s="1" t="str">
        <f ca="1">VLOOKUP(A483,Import_SuiviGlobal_MigAppliSate!A:I,4,FALSE)</f>
        <v>Coop U Enseigne NordOuest</v>
      </c>
      <c r="E483">
        <f ca="1">VLOOKUP(A483,Import_SuiviGlobal_MigAppliSate!A:I,5,FALSE)</f>
        <v>78150</v>
      </c>
      <c r="F483" t="str">
        <f ca="1">VLOOKUP(A483,Import_SuiviGlobal_MigAppliSate!A:I,6,FALSE)</f>
        <v>RUE DE LOUVECIENNES</v>
      </c>
      <c r="G483" t="str">
        <f ca="1">VLOOKUP(A483,Import_SuiviGlobal_MigAppliSate!A:I,7,FALSE)</f>
        <v>01.39.55.42.43</v>
      </c>
      <c r="H483" t="str">
        <f ca="1">VLOOKUP(A483,Import_SuiviGlobal_MigAppliSate!A:I,8,FALSE)</f>
        <v>SAGEAU Maxime</v>
      </c>
      <c r="I483" t="str">
        <f ca="1">VLOOKUP(A483,Import_SuiviGlobal_MigAppliSate!A:I,9,FALSE)</f>
        <v>maxime.sageau@systeme-u.fr</v>
      </c>
      <c r="J483" s="24" t="str">
        <f ca="1">VLOOKUP(A483,Import_SuiviGlobal_MigAppliSate!A:K,10,FALSE)</f>
        <v>Quentin BODET</v>
      </c>
      <c r="K483" t="str">
        <f ca="1">VLOOKUP(A483,Import_SuiviGlobal_MigAppliSate!A:K,11,FALSE)</f>
        <v>uexpress.lechesnay@systeme-u.fr</v>
      </c>
      <c r="O483" s="1" t="s">
        <v>22</v>
      </c>
    </row>
    <row r="484" spans="1:15" ht="12.75" hidden="1" x14ac:dyDescent="0.2">
      <c r="A484">
        <v>90063</v>
      </c>
      <c r="B484" t="str">
        <f ca="1">VLOOKUP(A484,Import_SuiviGlobal_MigAppliSate!A:I,2,FALSE)</f>
        <v>LE CHEYLARD</v>
      </c>
      <c r="C484" t="str">
        <f ca="1">VLOOKUP(A484,Import_SuiviGlobal_MigAppliSate!A:I,3,FALSE)</f>
        <v>Super U</v>
      </c>
      <c r="D484" s="1" t="str">
        <f ca="1">VLOOKUP(A484,Import_SuiviGlobal_MigAppliSate!A:I,4,FALSE)</f>
        <v>Coop U Enseigne Sud</v>
      </c>
      <c r="E484">
        <f ca="1">VLOOKUP(A484,Import_SuiviGlobal_MigAppliSate!A:I,5,FALSE)</f>
        <v>7160</v>
      </c>
      <c r="F484" t="str">
        <f ca="1">VLOOKUP(A484,Import_SuiviGlobal_MigAppliSate!A:I,6,FALSE)</f>
        <v>LOTIS.INDUST.DE LA PALISSE</v>
      </c>
      <c r="G484" t="str">
        <f ca="1">VLOOKUP(A484,Import_SuiviGlobal_MigAppliSate!A:I,7,FALSE)</f>
        <v>04.75.29.74.44</v>
      </c>
      <c r="H484" t="str">
        <f ca="1">VLOOKUP(A484,Import_SuiviGlobal_MigAppliSate!A:I,8,FALSE)</f>
        <v>RAMOS Christian</v>
      </c>
      <c r="I484" t="str">
        <f ca="1">VLOOKUP(A484,Import_SuiviGlobal_MigAppliSate!A:I,9,FALSE)</f>
        <v>christian.ramos@systeme-u.fr</v>
      </c>
      <c r="J484" s="24" t="str">
        <f ca="1">VLOOKUP(A484,Import_SuiviGlobal_MigAppliSate!A:K,10,FALSE)</f>
        <v/>
      </c>
      <c r="K484" t="str">
        <f ca="1">VLOOKUP(A484,Import_SuiviGlobal_MigAppliSate!A:K,11,FALSE)</f>
        <v/>
      </c>
      <c r="O484" s="1" t="s">
        <v>22</v>
      </c>
    </row>
    <row r="485" spans="1:15" ht="12.75" hidden="1" x14ac:dyDescent="0.2">
      <c r="A485">
        <v>37374</v>
      </c>
      <c r="B485" t="str">
        <f ca="1">VLOOKUP(A485,Import_SuiviGlobal_MigAppliSate!A:I,2,FALSE)</f>
        <v>LE FAOU</v>
      </c>
      <c r="C485" t="str">
        <f ca="1">VLOOKUP(A485,Import_SuiviGlobal_MigAppliSate!A:I,3,FALSE)</f>
        <v>Super U</v>
      </c>
      <c r="D485" s="1" t="str">
        <f ca="1">VLOOKUP(A485,Import_SuiviGlobal_MigAppliSate!A:I,4,FALSE)</f>
        <v>Coop U Enseigne Ouest</v>
      </c>
      <c r="E485">
        <f ca="1">VLOOKUP(A485,Import_SuiviGlobal_MigAppliSate!A:I,5,FALSE)</f>
        <v>29590</v>
      </c>
      <c r="F485" t="str">
        <f ca="1">VLOOKUP(A485,Import_SuiviGlobal_MigAppliSate!A:I,6,FALSE)</f>
        <v>ZONE DE QUIELLA</v>
      </c>
      <c r="G485" t="str">
        <f ca="1">VLOOKUP(A485,Import_SuiviGlobal_MigAppliSate!A:I,7,FALSE)</f>
        <v>02.98.81.06.30</v>
      </c>
      <c r="H485" t="str">
        <f ca="1">VLOOKUP(A485,Import_SuiviGlobal_MigAppliSate!A:I,8,FALSE)</f>
        <v>RAMONET RPT FINANCIERE RAMONET Thierry</v>
      </c>
      <c r="I485" t="str">
        <f ca="1">VLOOKUP(A485,Import_SuiviGlobal_MigAppliSate!A:I,9,FALSE)</f>
        <v>thierry.ramonet@systeme-u.fr</v>
      </c>
      <c r="J485" s="24" t="str">
        <f ca="1">VLOOKUP(A485,Import_SuiviGlobal_MigAppliSate!A:K,10,FALSE)</f>
        <v>Mme Leguirriec</v>
      </c>
      <c r="K485" t="str">
        <f ca="1">VLOOKUP(A485,Import_SuiviGlobal_MigAppliSate!A:K,11,FALSE)</f>
        <v>brigitte.leguirriec@systeme-u.fr</v>
      </c>
      <c r="O485" s="1" t="s">
        <v>22</v>
      </c>
    </row>
    <row r="486" spans="1:15" ht="12.75" hidden="1" x14ac:dyDescent="0.2">
      <c r="A486">
        <v>25622</v>
      </c>
      <c r="B486" t="str">
        <f ca="1">VLOOKUP(A486,Import_SuiviGlobal_MigAppliSate!A:I,2,FALSE)</f>
        <v>LE GD QUEVILLY</v>
      </c>
      <c r="C486" t="str">
        <f ca="1">VLOOKUP(A486,Import_SuiviGlobal_MigAppliSate!A:I,3,FALSE)</f>
        <v>U Express</v>
      </c>
      <c r="D486" s="1" t="str">
        <f ca="1">VLOOKUP(A486,Import_SuiviGlobal_MigAppliSate!A:I,4,FALSE)</f>
        <v>Coop U Enseigne NordOuest</v>
      </c>
      <c r="E486">
        <f ca="1">VLOOKUP(A486,Import_SuiviGlobal_MigAppliSate!A:I,5,FALSE)</f>
        <v>76120</v>
      </c>
      <c r="F486" t="str">
        <f ca="1">VLOOKUP(A486,Import_SuiviGlobal_MigAppliSate!A:I,6,FALSE)</f>
        <v>65 AVENUE DES PROVINCES</v>
      </c>
      <c r="G486" t="str">
        <f ca="1">VLOOKUP(A486,Import_SuiviGlobal_MigAppliSate!A:I,7,FALSE)</f>
        <v>02.35.69.47.40</v>
      </c>
      <c r="H486" t="str">
        <f ca="1">VLOOKUP(A486,Import_SuiviGlobal_MigAppliSate!A:I,8,FALSE)</f>
        <v>BARRE Stéphane</v>
      </c>
      <c r="I486" t="str">
        <f ca="1">VLOOKUP(A486,Import_SuiviGlobal_MigAppliSate!A:I,9,FALSE)</f>
        <v/>
      </c>
      <c r="J486" s="24" t="str">
        <f ca="1">VLOOKUP(A486,Import_SuiviGlobal_MigAppliSate!A:K,10,FALSE)</f>
        <v>Mme DELAFOSSE (UPLV)</v>
      </c>
      <c r="K486" t="str">
        <f ca="1">VLOOKUP(A486,Import_SuiviGlobal_MigAppliSate!A:K,11,FALSE)</f>
        <v>superu.grandquevilly.direction@systeme-u.fr,philippe.cappe@coop-cnp.coop</v>
      </c>
      <c r="L486" t="s">
        <v>20</v>
      </c>
      <c r="M486" t="s">
        <v>21</v>
      </c>
      <c r="O486" s="1" t="s">
        <v>22</v>
      </c>
    </row>
    <row r="487" spans="1:15" ht="12.75" hidden="1" x14ac:dyDescent="0.2">
      <c r="A487">
        <v>25665</v>
      </c>
      <c r="B487" t="str">
        <f ca="1">VLOOKUP(A487,Import_SuiviGlobal_MigAppliSate!A:I,2,FALSE)</f>
        <v>LE GRAND QUEVILLY</v>
      </c>
      <c r="C487" t="str">
        <f ca="1">VLOOKUP(A487,Import_SuiviGlobal_MigAppliSate!A:I,3,FALSE)</f>
        <v>Hyper U</v>
      </c>
      <c r="D487" s="1" t="str">
        <f ca="1">VLOOKUP(A487,Import_SuiviGlobal_MigAppliSate!A:I,4,FALSE)</f>
        <v>Coop U Enseigne NordOuest</v>
      </c>
      <c r="E487">
        <f ca="1">VLOOKUP(A487,Import_SuiviGlobal_MigAppliSate!A:I,5,FALSE)</f>
        <v>76120</v>
      </c>
      <c r="F487" t="str">
        <f ca="1">VLOOKUP(A487,Import_SuiviGlobal_MigAppliSate!A:I,6,FALSE)</f>
        <v>RUE DU BOIS CANY</v>
      </c>
      <c r="G487" t="str">
        <f ca="1">VLOOKUP(A487,Import_SuiviGlobal_MigAppliSate!A:I,7,FALSE)</f>
        <v>02.35.18.34.34</v>
      </c>
      <c r="H487" t="str">
        <f ca="1">VLOOKUP(A487,Import_SuiviGlobal_MigAppliSate!A:I,8,FALSE)</f>
        <v>BARRE Stéphane</v>
      </c>
      <c r="I487" t="str">
        <f ca="1">VLOOKUP(A487,Import_SuiviGlobal_MigAppliSate!A:I,9,FALSE)</f>
        <v>stephane.barre@systeme-u.fr</v>
      </c>
      <c r="J487" s="24" t="str">
        <f ca="1">VLOOKUP(A487,Import_SuiviGlobal_MigAppliSate!A:K,10,FALSE)</f>
        <v>LESTROHAN Olivier</v>
      </c>
      <c r="K487" t="str">
        <f ca="1">VLOOKUP(A487,Import_SuiviGlobal_MigAppliSate!A:K,11,FALSE)</f>
        <v xml:space="preserve">hyperu.grandquevilly.direction@systeme-u.fr,olivier.lestrohan@coop-cnp.coop,philippe.cappe@coop-cnp.coop, xavier.castanheira@coop-cnp.coop                                                                                                                                                                                                                                                                                                                              
</v>
      </c>
      <c r="L487" t="s">
        <v>20</v>
      </c>
      <c r="M487" t="s">
        <v>0</v>
      </c>
      <c r="O487" s="1" t="s">
        <v>22</v>
      </c>
    </row>
    <row r="488" spans="1:15" ht="12.75" hidden="1" x14ac:dyDescent="0.2">
      <c r="A488">
        <v>90485</v>
      </c>
      <c r="B488" t="str">
        <f ca="1">VLOOKUP(A488,Import_SuiviGlobal_MigAppliSate!A:I,2,FALSE)</f>
        <v>GRAU ROI ESPIGUETTE</v>
      </c>
      <c r="C488" t="str">
        <f ca="1">VLOOKUP(A488,Import_SuiviGlobal_MigAppliSate!A:I,3,FALSE)</f>
        <v>U Express</v>
      </c>
      <c r="D488" s="1" t="str">
        <f ca="1">VLOOKUP(A488,Import_SuiviGlobal_MigAppliSate!A:I,4,FALSE)</f>
        <v>Coop U Enseigne Sud</v>
      </c>
      <c r="E488">
        <f ca="1">VLOOKUP(A488,Import_SuiviGlobal_MigAppliSate!A:I,5,FALSE)</f>
        <v>30240</v>
      </c>
      <c r="F488" t="str">
        <f ca="1">VLOOKUP(A488,Import_SuiviGlobal_MigAppliSate!A:I,6,FALSE)</f>
        <v>ROUTE DE L'ESPIGUETTE</v>
      </c>
      <c r="G488" t="str">
        <f ca="1">VLOOKUP(A488,Import_SuiviGlobal_MigAppliSate!A:I,7,FALSE)</f>
        <v>04.66.53.02.33</v>
      </c>
      <c r="H488" t="str">
        <f ca="1">VLOOKUP(A488,Import_SuiviGlobal_MigAppliSate!A:I,8,FALSE)</f>
        <v>LEBEAU Alain</v>
      </c>
      <c r="I488" t="str">
        <f ca="1">VLOOKUP(A488,Import_SuiviGlobal_MigAppliSate!A:I,9,FALSE)</f>
        <v>alain.lebeau@systeme-u.fr</v>
      </c>
      <c r="J488" s="24" t="str">
        <f ca="1">VLOOKUP(A488,Import_SuiviGlobal_MigAppliSate!A:K,10,FALSE)</f>
        <v>Mme BARTOLI Santa</v>
      </c>
      <c r="K488" t="str">
        <f ca="1">VLOOKUP(A488,Import_SuiviGlobal_MigAppliSate!A:K,11,FALSE)</f>
        <v>superu.legrauduroiespiguette@systeme-u.fr</v>
      </c>
      <c r="O488" s="1" t="s">
        <v>22</v>
      </c>
    </row>
    <row r="489" spans="1:15" ht="12.75" hidden="1" x14ac:dyDescent="0.2">
      <c r="A489">
        <v>90053</v>
      </c>
      <c r="B489" t="str">
        <f ca="1">VLOOKUP(A489,Import_SuiviGlobal_MigAppliSate!A:I,2,FALSE)</f>
        <v>GRAU ROI PORT PECHE</v>
      </c>
      <c r="C489" t="str">
        <f ca="1">VLOOKUP(A489,Import_SuiviGlobal_MigAppliSate!A:I,3,FALSE)</f>
        <v>Super U</v>
      </c>
      <c r="D489" s="1" t="str">
        <f ca="1">VLOOKUP(A489,Import_SuiviGlobal_MigAppliSate!A:I,4,FALSE)</f>
        <v>Coop U Enseigne Sud</v>
      </c>
      <c r="E489">
        <f ca="1">VLOOKUP(A489,Import_SuiviGlobal_MigAppliSate!A:I,5,FALSE)</f>
        <v>30240</v>
      </c>
      <c r="F489" t="str">
        <f ca="1">VLOOKUP(A489,Import_SuiviGlobal_MigAppliSate!A:I,6,FALSE)</f>
        <v>QUAI GOZIOSO</v>
      </c>
      <c r="G489" t="str">
        <f ca="1">VLOOKUP(A489,Import_SuiviGlobal_MigAppliSate!A:I,7,FALSE)</f>
        <v>04.66.53.03.80</v>
      </c>
      <c r="H489" t="str">
        <f ca="1">VLOOKUP(A489,Import_SuiviGlobal_MigAppliSate!A:I,8,FALSE)</f>
        <v>LEBEAU Alain</v>
      </c>
      <c r="I489" t="str">
        <f ca="1">VLOOKUP(A489,Import_SuiviGlobal_MigAppliSate!A:I,9,FALSE)</f>
        <v>alain.lebeau@systeme-u.fr</v>
      </c>
      <c r="J489" s="24" t="str">
        <f ca="1">VLOOKUP(A489,Import_SuiviGlobal_MigAppliSate!A:K,10,FALSE)</f>
        <v>Mme BRUNEL
Mr Izart (UPLV)</v>
      </c>
      <c r="K489" t="str">
        <f ca="1">VLOOKUP(A489,Import_SuiviGlobal_MigAppliSate!A:K,11,FALSE)</f>
        <v>superu.legrauduroi.compta1@systeme-u.fr, superu.legrauduroi.pf@systeme-u.fr</v>
      </c>
      <c r="O489" s="1" t="s">
        <v>22</v>
      </c>
    </row>
    <row r="490" spans="1:15" ht="12.75" hidden="1" x14ac:dyDescent="0.2">
      <c r="A490">
        <v>90052</v>
      </c>
      <c r="B490" t="str">
        <f ca="1">VLOOKUP(A490,Import_SuiviGlobal_MigAppliSate!A:I,2,FALSE)</f>
        <v>GRAU ROI PORT ROYAL</v>
      </c>
      <c r="C490" t="str">
        <f ca="1">VLOOKUP(A490,Import_SuiviGlobal_MigAppliSate!A:I,3,FALSE)</f>
        <v>U Express</v>
      </c>
      <c r="D490" s="1" t="str">
        <f ca="1">VLOOKUP(A490,Import_SuiviGlobal_MigAppliSate!A:I,4,FALSE)</f>
        <v>Coop U Enseigne Sud</v>
      </c>
      <c r="E490">
        <f ca="1">VLOOKUP(A490,Import_SuiviGlobal_MigAppliSate!A:I,5,FALSE)</f>
        <v>30240</v>
      </c>
      <c r="F490" t="str">
        <f ca="1">VLOOKUP(A490,Import_SuiviGlobal_MigAppliSate!A:I,6,FALSE)</f>
        <v>CENTRE COMMERCIAL PORT ROYAL</v>
      </c>
      <c r="G490" t="str">
        <f ca="1">VLOOKUP(A490,Import_SuiviGlobal_MigAppliSate!A:I,7,FALSE)</f>
        <v>04.66.51.88.08</v>
      </c>
      <c r="H490" t="str">
        <f ca="1">VLOOKUP(A490,Import_SuiviGlobal_MigAppliSate!A:I,8,FALSE)</f>
        <v>CAILLETON Gael</v>
      </c>
      <c r="I490" t="str">
        <f ca="1">VLOOKUP(A490,Import_SuiviGlobal_MigAppliSate!A:I,9,FALSE)</f>
        <v>gael.cailleton@systeme-u.fr</v>
      </c>
      <c r="J490" s="24" t="str">
        <f ca="1">VLOOKUP(A490,Import_SuiviGlobal_MigAppliSate!A:K,10,FALSE)</f>
        <v>Mme Belgourari</v>
      </c>
      <c r="K490" t="str">
        <f ca="1">VLOOKUP(A490,Import_SuiviGlobal_MigAppliSate!A:K,11,FALSE)</f>
        <v>uexpress.legrauduroi@systeme-u.fr</v>
      </c>
      <c r="O490" s="1" t="s">
        <v>22</v>
      </c>
    </row>
    <row r="491" spans="1:15" ht="12.75" hidden="1" x14ac:dyDescent="0.2">
      <c r="A491">
        <v>23433</v>
      </c>
      <c r="B491" t="str">
        <f ca="1">VLOOKUP(A491,Import_SuiviGlobal_MigAppliSate!A:I,2,FALSE)</f>
        <v>LE HAVRE OCEANE</v>
      </c>
      <c r="C491" t="str">
        <f ca="1">VLOOKUP(A491,Import_SuiviGlobal_MigAppliSate!A:I,3,FALSE)</f>
        <v>Super U</v>
      </c>
      <c r="D491" s="1" t="str">
        <f ca="1">VLOOKUP(A491,Import_SuiviGlobal_MigAppliSate!A:I,4,FALSE)</f>
        <v>Coop U Enseigne NordOuest</v>
      </c>
      <c r="E491">
        <f ca="1">VLOOKUP(A491,Import_SuiviGlobal_MigAppliSate!A:I,5,FALSE)</f>
        <v>76600</v>
      </c>
      <c r="F491" t="str">
        <f ca="1">VLOOKUP(A491,Import_SuiviGlobal_MigAppliSate!A:I,6,FALSE)</f>
        <v>5 RUE DE L'ABBÉ PÉRIER</v>
      </c>
      <c r="G491" t="str">
        <f ca="1">VLOOKUP(A491,Import_SuiviGlobal_MigAppliSate!A:I,7,FALSE)</f>
        <v>02.35.21.21.35</v>
      </c>
      <c r="H491" t="str">
        <f ca="1">VLOOKUP(A491,Import_SuiviGlobal_MigAppliSate!A:I,8,FALSE)</f>
        <v>PARSY Mélanie</v>
      </c>
      <c r="I491" t="str">
        <f ca="1">VLOOKUP(A491,Import_SuiviGlobal_MigAppliSate!A:I,9,FALSE)</f>
        <v>melanie.parsy@systeme-u.fr</v>
      </c>
      <c r="J491" s="24" t="str">
        <f ca="1">VLOOKUP(A491,Import_SuiviGlobal_MigAppliSate!A:K,10,FALSE)</f>
        <v>L'OFFICIAL NICOLAS
Mme Lancestre (UPLV)</v>
      </c>
      <c r="K491" t="str">
        <f ca="1">VLOOKUP(A491,Import_SuiviGlobal_MigAppliSate!A:K,11,FALSE)</f>
        <v>superu.lehavre.gestionco@systeme-u.fr</v>
      </c>
      <c r="O491" s="1" t="s">
        <v>22</v>
      </c>
    </row>
    <row r="492" spans="1:15" ht="12.75" hidden="1" x14ac:dyDescent="0.2">
      <c r="A492">
        <v>24227</v>
      </c>
      <c r="B492" t="str">
        <f ca="1">VLOOKUP(A492,Import_SuiviGlobal_MigAppliSate!A:I,2,FALSE)</f>
        <v>LE HAVRE HALLES CENTRALES</v>
      </c>
      <c r="C492" t="str">
        <f ca="1">VLOOKUP(A492,Import_SuiviGlobal_MigAppliSate!A:I,3,FALSE)</f>
        <v>U Express</v>
      </c>
      <c r="D492" s="1" t="str">
        <f ca="1">VLOOKUP(A492,Import_SuiviGlobal_MigAppliSate!A:I,4,FALSE)</f>
        <v>Coop U Enseigne NordOuest</v>
      </c>
      <c r="E492">
        <f ca="1">VLOOKUP(A492,Import_SuiviGlobal_MigAppliSate!A:I,5,FALSE)</f>
        <v>76600</v>
      </c>
      <c r="F492" t="str">
        <f ca="1">VLOOKUP(A492,Import_SuiviGlobal_MigAppliSate!A:I,6,FALSE)</f>
        <v>PLACE DES HALLES CENTRALES</v>
      </c>
      <c r="G492" t="str">
        <f ca="1">VLOOKUP(A492,Import_SuiviGlobal_MigAppliSate!A:I,7,FALSE)</f>
        <v>02.35.41.72.44</v>
      </c>
      <c r="H492" t="str">
        <f ca="1">VLOOKUP(A492,Import_SuiviGlobal_MigAppliSate!A:I,8,FALSE)</f>
        <v>PARSY Mélanie</v>
      </c>
      <c r="I492" t="str">
        <f ca="1">VLOOKUP(A492,Import_SuiviGlobal_MigAppliSate!A:I,9,FALSE)</f>
        <v>melanie.parsy@systeme-u.fr</v>
      </c>
      <c r="J492" s="24" t="str">
        <f ca="1">VLOOKUP(A492,Import_SuiviGlobal_MigAppliSate!A:K,10,FALSE)</f>
        <v/>
      </c>
      <c r="K492" t="str">
        <f ca="1">VLOOKUP(A492,Import_SuiviGlobal_MigAppliSate!A:K,11,FALSE)</f>
        <v/>
      </c>
      <c r="O492" s="1" t="s">
        <v>22</v>
      </c>
    </row>
    <row r="493" spans="1:15" ht="12.75" hidden="1" x14ac:dyDescent="0.2">
      <c r="A493">
        <v>24464</v>
      </c>
      <c r="B493" t="str">
        <f ca="1">VLOOKUP(A493,Import_SuiviGlobal_MigAppliSate!A:I,2,FALSE)</f>
        <v>LE HAVRE VERLAINE</v>
      </c>
      <c r="C493" t="str">
        <f ca="1">VLOOKUP(A493,Import_SuiviGlobal_MigAppliSate!A:I,3,FALSE)</f>
        <v>Super U</v>
      </c>
      <c r="D493" s="1" t="str">
        <f ca="1">VLOOKUP(A493,Import_SuiviGlobal_MigAppliSate!A:I,4,FALSE)</f>
        <v>Coop U Enseigne NordOuest</v>
      </c>
      <c r="E493">
        <f ca="1">VLOOKUP(A493,Import_SuiviGlobal_MigAppliSate!A:I,5,FALSE)</f>
        <v>76600</v>
      </c>
      <c r="F493" t="str">
        <f ca="1">VLOOKUP(A493,Import_SuiviGlobal_MigAppliSate!A:I,6,FALSE)</f>
        <v>AVENUE PAUL VERLAINE</v>
      </c>
      <c r="G493" t="str">
        <f ca="1">VLOOKUP(A493,Import_SuiviGlobal_MigAppliSate!A:I,7,FALSE)</f>
        <v>02.35.13.04.34</v>
      </c>
      <c r="H493" t="str">
        <f ca="1">VLOOKUP(A493,Import_SuiviGlobal_MigAppliSate!A:I,8,FALSE)</f>
        <v>PINCET Christophe</v>
      </c>
      <c r="I493" t="str">
        <f ca="1">VLOOKUP(A493,Import_SuiviGlobal_MigAppliSate!A:I,9,FALSE)</f>
        <v>christophe.pincet@systeme-u.fr</v>
      </c>
      <c r="J493" s="24" t="str">
        <f ca="1">VLOOKUP(A493,Import_SuiviGlobal_MigAppliSate!A:K,10,FALSE)</f>
        <v>COULIBEUF Corinne</v>
      </c>
      <c r="K493" t="str">
        <f ca="1">VLOOKUP(A493,Import_SuiviGlobal_MigAppliSate!A:K,11,FALSE)</f>
        <v>superu.lehavre.verlaine.administratif@systeme-u.fr</v>
      </c>
      <c r="O493" s="1" t="s">
        <v>22</v>
      </c>
    </row>
    <row r="494" spans="1:15" ht="12.75" hidden="1" x14ac:dyDescent="0.2">
      <c r="A494">
        <v>22259</v>
      </c>
      <c r="B494" t="str">
        <f ca="1">VLOOKUP(A494,Import_SuiviGlobal_MigAppliSate!A:I,2,FALSE)</f>
        <v>LE HOM (THURY)</v>
      </c>
      <c r="C494" t="str">
        <f ca="1">VLOOKUP(A494,Import_SuiviGlobal_MigAppliSate!A:I,3,FALSE)</f>
        <v>Super U</v>
      </c>
      <c r="D494" s="1" t="str">
        <f ca="1">VLOOKUP(A494,Import_SuiviGlobal_MigAppliSate!A:I,4,FALSE)</f>
        <v>Coop U Enseigne NordOuest</v>
      </c>
      <c r="E494">
        <f ca="1">VLOOKUP(A494,Import_SuiviGlobal_MigAppliSate!A:I,5,FALSE)</f>
        <v>14220</v>
      </c>
      <c r="F494" t="str">
        <f ca="1">VLOOKUP(A494,Import_SuiviGlobal_MigAppliSate!A:I,6,FALSE)</f>
        <v>IMPASSE LES CHÊNES VERTS</v>
      </c>
      <c r="G494" t="str">
        <f ca="1">VLOOKUP(A494,Import_SuiviGlobal_MigAppliSate!A:I,7,FALSE)</f>
        <v>02.31.15.28.40</v>
      </c>
      <c r="H494" t="str">
        <f ca="1">VLOOKUP(A494,Import_SuiviGlobal_MigAppliSate!A:I,8,FALSE)</f>
        <v>DURVILLE Frédéric</v>
      </c>
      <c r="I494" t="str">
        <f ca="1">VLOOKUP(A494,Import_SuiviGlobal_MigAppliSate!A:I,9,FALSE)</f>
        <v>frederic.durville@systeme-u.fr</v>
      </c>
      <c r="J494" s="24" t="str">
        <f ca="1">VLOOKUP(A494,Import_SuiviGlobal_MigAppliSate!A:K,10,FALSE)</f>
        <v>Mme Audrey Bouguon</v>
      </c>
      <c r="K494" t="str">
        <f ca="1">VLOOKUP(A494,Import_SuiviGlobal_MigAppliSate!A:K,11,FALSE)</f>
        <v>superu.lehom@systeme-u.fr</v>
      </c>
      <c r="O494" s="1" t="s">
        <v>22</v>
      </c>
    </row>
    <row r="495" spans="1:15" ht="12.75" x14ac:dyDescent="0.2">
      <c r="A495">
        <v>38958</v>
      </c>
      <c r="B495" t="str">
        <f ca="1">VLOOKUP(A495,Import_SuiviGlobal_MigAppliSate!A:I,2,FALSE)</f>
        <v>LE LAMENTIN</v>
      </c>
      <c r="C495" t="str">
        <f ca="1">VLOOKUP(A495,Import_SuiviGlobal_MigAppliSate!A:I,3,FALSE)</f>
        <v>Hyper U</v>
      </c>
      <c r="D495" s="1" t="str">
        <f ca="1">VLOOKUP(A495,Import_SuiviGlobal_MigAppliSate!A:I,4,FALSE)</f>
        <v>Coop U Enseigne Ouest</v>
      </c>
      <c r="E495">
        <f ca="1">VLOOKUP(A495,Import_SuiviGlobal_MigAppliSate!A:I,5,FALSE)</f>
        <v>97232</v>
      </c>
      <c r="F495" t="str">
        <f ca="1">VLOOKUP(A495,Import_SuiviGlobal_MigAppliSate!A:I,6,FALSE)</f>
        <v>CENTRE COMMERCIAL LA GALLERIA</v>
      </c>
      <c r="G495" t="str">
        <f ca="1">VLOOKUP(A495,Import_SuiviGlobal_MigAppliSate!A:I,7,FALSE)</f>
        <v>05.96.50.66.33</v>
      </c>
      <c r="H495" t="str">
        <f ca="1">VLOOKUP(A495,Import_SuiviGlobal_MigAppliSate!A:I,8,FALSE)</f>
        <v>PARFAIT Robert</v>
      </c>
      <c r="I495" t="str">
        <f ca="1">VLOOKUP(A495,Import_SuiviGlobal_MigAppliSate!A:I,9,FALSE)</f>
        <v>robert.parfait@systeme-u.fr</v>
      </c>
      <c r="J495" s="24" t="str">
        <f ca="1">VLOOKUP(A495,Import_SuiviGlobal_MigAppliSate!A:K,10,FALSE)</f>
        <v>Alex Domoison (IT)</v>
      </c>
      <c r="K495" t="str">
        <f ca="1">VLOOKUP(A495,Import_SuiviGlobal_MigAppliSate!A:K,11,FALSE)</f>
        <v>alex.domoison@uantilles.com,martine.crevecoeur@systeme-u.fr</v>
      </c>
      <c r="L495" t="s">
        <v>17</v>
      </c>
      <c r="M495" t="s">
        <v>0</v>
      </c>
      <c r="O495" s="1" t="s">
        <v>22</v>
      </c>
    </row>
    <row r="496" spans="1:15" ht="12.75" hidden="1" x14ac:dyDescent="0.2">
      <c r="A496">
        <v>38370</v>
      </c>
      <c r="B496" t="str">
        <f ca="1">VLOOKUP(A496,Import_SuiviGlobal_MigAppliSate!A:I,2,FALSE)</f>
        <v>LE LION-D'ANGERS GREZ-NEUV</v>
      </c>
      <c r="C496" t="str">
        <f ca="1">VLOOKUP(A496,Import_SuiviGlobal_MigAppliSate!A:I,3,FALSE)</f>
        <v>Super U</v>
      </c>
      <c r="D496" s="1" t="str">
        <f ca="1">VLOOKUP(A496,Import_SuiviGlobal_MigAppliSate!A:I,4,FALSE)</f>
        <v>Coop U Enseigne Ouest</v>
      </c>
      <c r="E496">
        <f ca="1">VLOOKUP(A496,Import_SuiviGlobal_MigAppliSate!A:I,5,FALSE)</f>
        <v>49220</v>
      </c>
      <c r="F496" t="str">
        <f ca="1">VLOOKUP(A496,Import_SuiviGlobal_MigAppliSate!A:I,6,FALSE)</f>
        <v>ZAC DE LA GRÉE</v>
      </c>
      <c r="G496" t="str">
        <f ca="1">VLOOKUP(A496,Import_SuiviGlobal_MigAppliSate!A:I,7,FALSE)</f>
        <v>02.41.95.62.55</v>
      </c>
      <c r="H496" t="str">
        <f ca="1">VLOOKUP(A496,Import_SuiviGlobal_MigAppliSate!A:I,8,FALSE)</f>
        <v>LE BEAUDOUR Isabelle</v>
      </c>
      <c r="I496" t="str">
        <f ca="1">VLOOKUP(A496,Import_SuiviGlobal_MigAppliSate!A:I,9,FALSE)</f>
        <v>isabelle.lebeaudour@systeme-u.fr</v>
      </c>
      <c r="J496" s="24" t="str">
        <f ca="1">VLOOKUP(A496,Import_SuiviGlobal_MigAppliSate!A:K,10,FALSE)</f>
        <v>AUFFRAY Jessie
Elisabeth Lebeaudour (UPLV)</v>
      </c>
      <c r="K496" t="str">
        <f ca="1">VLOOKUP(A496,Import_SuiviGlobal_MigAppliSate!A:K,11,FALSE)</f>
        <v>superu.leliondangers.gescom@systeme-u.fr, elisabeth.lebeaudour@systeme-u.fr</v>
      </c>
      <c r="O496" s="1" t="s">
        <v>22</v>
      </c>
    </row>
    <row r="497" spans="1:15" ht="12.75" hidden="1" x14ac:dyDescent="0.2">
      <c r="A497">
        <v>36785</v>
      </c>
      <c r="B497" t="str">
        <f ca="1">VLOOKUP(A497,Import_SuiviGlobal_MigAppliSate!A:I,2,FALSE)</f>
        <v>LE MANS BOLLEE</v>
      </c>
      <c r="C497" t="str">
        <f ca="1">VLOOKUP(A497,Import_SuiviGlobal_MigAppliSate!A:I,3,FALSE)</f>
        <v>U Express</v>
      </c>
      <c r="D497" s="1" t="str">
        <f ca="1">VLOOKUP(A497,Import_SuiviGlobal_MigAppliSate!A:I,4,FALSE)</f>
        <v>Coop U Enseigne Ouest</v>
      </c>
      <c r="E497">
        <f ca="1">VLOOKUP(A497,Import_SuiviGlobal_MigAppliSate!A:I,5,FALSE)</f>
        <v>72000</v>
      </c>
      <c r="F497" t="str">
        <f ca="1">VLOOKUP(A497,Import_SuiviGlobal_MigAppliSate!A:I,6,FALSE)</f>
        <v>154,156 AVENUE BOLLÉE</v>
      </c>
      <c r="G497" t="str">
        <f ca="1">VLOOKUP(A497,Import_SuiviGlobal_MigAppliSate!A:I,7,FALSE)</f>
        <v>02.43.84.57.61</v>
      </c>
      <c r="H497" t="str">
        <f ca="1">VLOOKUP(A497,Import_SuiviGlobal_MigAppliSate!A:I,8,FALSE)</f>
        <v>RONDEAU RPT SARL R.R. INVEST. Romain</v>
      </c>
      <c r="I497" t="str">
        <f ca="1">VLOOKUP(A497,Import_SuiviGlobal_MigAppliSate!A:I,9,FALSE)</f>
        <v>romain.rondeau@systeme-u.fr</v>
      </c>
      <c r="J497" s="24" t="str">
        <f ca="1">VLOOKUP(A497,Import_SuiviGlobal_MigAppliSate!A:K,10,FALSE)</f>
        <v/>
      </c>
      <c r="K497" t="str">
        <f ca="1">VLOOKUP(A497,Import_SuiviGlobal_MigAppliSate!A:K,11,FALSE)</f>
        <v/>
      </c>
      <c r="O497" s="1" t="s">
        <v>22</v>
      </c>
    </row>
    <row r="498" spans="1:15" ht="12.75" hidden="1" x14ac:dyDescent="0.2">
      <c r="A498">
        <v>34030</v>
      </c>
      <c r="B498" t="str">
        <f ca="1">VLOOKUP(A498,Import_SuiviGlobal_MigAppliSate!A:I,2,FALSE)</f>
        <v>LE MANS DE GAULLE</v>
      </c>
      <c r="C498" t="str">
        <f ca="1">VLOOKUP(A498,Import_SuiviGlobal_MigAppliSate!A:I,3,FALSE)</f>
        <v>U Express</v>
      </c>
      <c r="D498" s="1" t="str">
        <f ca="1">VLOOKUP(A498,Import_SuiviGlobal_MigAppliSate!A:I,4,FALSE)</f>
        <v>Coop U Enseigne Ouest</v>
      </c>
      <c r="E498">
        <f ca="1">VLOOKUP(A498,Import_SuiviGlobal_MigAppliSate!A:I,5,FALSE)</f>
        <v>72000</v>
      </c>
      <c r="F498" t="str">
        <f ca="1">VLOOKUP(A498,Import_SuiviGlobal_MigAppliSate!A:I,6,FALSE)</f>
        <v>37, 41 RUE DU GAL DE GAULLE</v>
      </c>
      <c r="G498" t="str">
        <f ca="1">VLOOKUP(A498,Import_SuiviGlobal_MigAppliSate!A:I,7,FALSE)</f>
        <v>02.43.80.88.10</v>
      </c>
      <c r="H498" t="str">
        <f ca="1">VLOOKUP(A498,Import_SuiviGlobal_MigAppliSate!A:I,8,FALSE)</f>
        <v>DEMARET RPT DP 66 INVESTISSEM Damien</v>
      </c>
      <c r="I498" t="str">
        <f ca="1">VLOOKUP(A498,Import_SuiviGlobal_MigAppliSate!A:I,9,FALSE)</f>
        <v>damien.demaret@systeme-u.fr</v>
      </c>
      <c r="J498" s="24" t="str">
        <f ca="1">VLOOKUP(A498,Import_SuiviGlobal_MigAppliSate!A:K,10,FALSE)</f>
        <v>M. BUCHERON Manuel</v>
      </c>
      <c r="K498" t="str">
        <f ca="1">VLOOKUP(A498,Import_SuiviGlobal_MigAppliSate!A:K,11,FALSE)</f>
        <v>manuel.bucheron@systeme-u.fr</v>
      </c>
      <c r="O498" s="1" t="s">
        <v>22</v>
      </c>
    </row>
    <row r="499" spans="1:15" ht="12.75" hidden="1" x14ac:dyDescent="0.2">
      <c r="A499">
        <v>35266</v>
      </c>
      <c r="B499" t="str">
        <f ca="1">VLOOKUP(A499,Import_SuiviGlobal_MigAppliSate!A:I,2,FALSE)</f>
        <v>LE MANS LIBERATION</v>
      </c>
      <c r="C499" t="str">
        <f ca="1">VLOOKUP(A499,Import_SuiviGlobal_MigAppliSate!A:I,3,FALSE)</f>
        <v>Super U</v>
      </c>
      <c r="D499" s="1" t="str">
        <f ca="1">VLOOKUP(A499,Import_SuiviGlobal_MigAppliSate!A:I,4,FALSE)</f>
        <v>Coop U Enseigne Ouest</v>
      </c>
      <c r="E499">
        <f ca="1">VLOOKUP(A499,Import_SuiviGlobal_MigAppliSate!A:I,5,FALSE)</f>
        <v>72000</v>
      </c>
      <c r="F499" t="str">
        <f ca="1">VLOOKUP(A499,Import_SuiviGlobal_MigAppliSate!A:I,6,FALSE)</f>
        <v>186, AVENUE DE LA LIBÉRATION</v>
      </c>
      <c r="G499" t="str">
        <f ca="1">VLOOKUP(A499,Import_SuiviGlobal_MigAppliSate!A:I,7,FALSE)</f>
        <v>02.43.23.74.60</v>
      </c>
      <c r="H499" t="str">
        <f ca="1">VLOOKUP(A499,Import_SuiviGlobal_MigAppliSate!A:I,8,FALSE)</f>
        <v>LANDEMAINE RPT JFCL INVEST Jean-François</v>
      </c>
      <c r="I499" t="str">
        <f ca="1">VLOOKUP(A499,Import_SuiviGlobal_MigAppliSate!A:I,9,FALSE)</f>
        <v>jean-francois.landemaine@systeme-u.fr</v>
      </c>
      <c r="J499" s="24" t="str">
        <f ca="1">VLOOKUP(A499,Import_SuiviGlobal_MigAppliSate!A:K,10,FALSE)</f>
        <v>LANDEMAINE Marie line</v>
      </c>
      <c r="K499" t="str">
        <f ca="1">VLOOKUP(A499,Import_SuiviGlobal_MigAppliSate!A:K,11,FALSE)</f>
        <v>superu.lemansliberation.direction@systeme-u.fr</v>
      </c>
      <c r="O499" s="1" t="s">
        <v>22</v>
      </c>
    </row>
    <row r="500" spans="1:15" ht="12.75" hidden="1" x14ac:dyDescent="0.2">
      <c r="A500">
        <v>38196</v>
      </c>
      <c r="B500" t="str">
        <f ca="1">VLOOKUP(A500,Import_SuiviGlobal_MigAppliSate!A:I,2,FALSE)</f>
        <v>LE MANS REPUBLIQUE</v>
      </c>
      <c r="C500" t="str">
        <f ca="1">VLOOKUP(A500,Import_SuiviGlobal_MigAppliSate!A:I,3,FALSE)</f>
        <v>U Express</v>
      </c>
      <c r="D500" s="1" t="str">
        <f ca="1">VLOOKUP(A500,Import_SuiviGlobal_MigAppliSate!A:I,4,FALSE)</f>
        <v>Coop U Enseigne Ouest</v>
      </c>
      <c r="E500">
        <f ca="1">VLOOKUP(A500,Import_SuiviGlobal_MigAppliSate!A:I,5,FALSE)</f>
        <v>72000</v>
      </c>
      <c r="F500" t="str">
        <f ca="1">VLOOKUP(A500,Import_SuiviGlobal_MigAppliSate!A:I,6,FALSE)</f>
        <v>PLACE DE LA RÉPUBLIQUE</v>
      </c>
      <c r="G500" t="str">
        <f ca="1">VLOOKUP(A500,Import_SuiviGlobal_MigAppliSate!A:I,7,FALSE)</f>
        <v>02.43.14.31.10</v>
      </c>
      <c r="H500" t="str">
        <f ca="1">VLOOKUP(A500,Import_SuiviGlobal_MigAppliSate!A:I,8,FALSE)</f>
        <v>DEMARET Damien</v>
      </c>
      <c r="I500" t="str">
        <f ca="1">VLOOKUP(A500,Import_SuiviGlobal_MigAppliSate!A:I,9,FALSE)</f>
        <v>damien.demaret@systeme-u.fr</v>
      </c>
      <c r="J500" s="24" t="str">
        <f ca="1">VLOOKUP(A500,Import_SuiviGlobal_MigAppliSate!A:K,10,FALSE)</f>
        <v>M. MENESTRIER</v>
      </c>
      <c r="K500" t="str">
        <f ca="1">VLOOKUP(A500,Import_SuiviGlobal_MigAppliSate!A:K,11,FALSE)</f>
        <v/>
      </c>
      <c r="O500" s="1" t="s">
        <v>22</v>
      </c>
    </row>
    <row r="501" spans="1:15" ht="12.75" hidden="1" x14ac:dyDescent="0.2">
      <c r="A501">
        <v>24103</v>
      </c>
      <c r="B501" t="str">
        <f ca="1">VLOOKUP(A501,Import_SuiviGlobal_MigAppliSate!A:I,2,FALSE)</f>
        <v>LE MESNIL LE ROI</v>
      </c>
      <c r="C501" t="str">
        <f ca="1">VLOOKUP(A501,Import_SuiviGlobal_MigAppliSate!A:I,3,FALSE)</f>
        <v>U Express</v>
      </c>
      <c r="D501" s="1" t="str">
        <f ca="1">VLOOKUP(A501,Import_SuiviGlobal_MigAppliSate!A:I,4,FALSE)</f>
        <v>Coop U Enseigne NordOuest</v>
      </c>
      <c r="E501">
        <f ca="1">VLOOKUP(A501,Import_SuiviGlobal_MigAppliSate!A:I,5,FALSE)</f>
        <v>78600</v>
      </c>
      <c r="F501" t="str">
        <f ca="1">VLOOKUP(A501,Import_SuiviGlobal_MigAppliSate!A:I,6,FALSE)</f>
        <v>1 RUE DU HAUT DE LA GIROUETTE</v>
      </c>
      <c r="G501" t="str">
        <f ca="1">VLOOKUP(A501,Import_SuiviGlobal_MigAppliSate!A:I,7,FALSE)</f>
        <v>01.34.93.00.39</v>
      </c>
      <c r="H501" t="str">
        <f ca="1">VLOOKUP(A501,Import_SuiviGlobal_MigAppliSate!A:I,8,FALSE)</f>
        <v>BOINNE Patrick</v>
      </c>
      <c r="I501" t="str">
        <f ca="1">VLOOKUP(A501,Import_SuiviGlobal_MigAppliSate!A:I,9,FALSE)</f>
        <v>patrick.boinne@systeme-u.fr</v>
      </c>
      <c r="J501" s="24" t="str">
        <f ca="1">VLOOKUP(A501,Import_SuiviGlobal_MigAppliSate!A:K,10,FALSE)</f>
        <v>BOINNE Nathalie</v>
      </c>
      <c r="K501" t="str">
        <f ca="1">VLOOKUP(A501,Import_SuiviGlobal_MigAppliSate!A:K,11,FALSE)</f>
        <v>nathalie.boinne@gmail.com</v>
      </c>
      <c r="O501" s="1" t="s">
        <v>22</v>
      </c>
    </row>
    <row r="502" spans="1:15" ht="12.75" hidden="1" x14ac:dyDescent="0.2">
      <c r="A502">
        <v>21325</v>
      </c>
      <c r="B502" t="str">
        <f ca="1">VLOOKUP(A502,Import_SuiviGlobal_MigAppliSate!A:I,2,FALSE)</f>
        <v>LE MOLAY LITTRY</v>
      </c>
      <c r="C502" t="str">
        <f ca="1">VLOOKUP(A502,Import_SuiviGlobal_MigAppliSate!A:I,3,FALSE)</f>
        <v>Super U</v>
      </c>
      <c r="D502" s="1" t="str">
        <f ca="1">VLOOKUP(A502,Import_SuiviGlobal_MigAppliSate!A:I,4,FALSE)</f>
        <v>Coop U Enseigne NordOuest</v>
      </c>
      <c r="E502">
        <f ca="1">VLOOKUP(A502,Import_SuiviGlobal_MigAppliSate!A:I,5,FALSE)</f>
        <v>14330</v>
      </c>
      <c r="F502" t="str">
        <f ca="1">VLOOKUP(A502,Import_SuiviGlobal_MigAppliSate!A:I,6,FALSE)</f>
        <v>RUE DE LA GARE</v>
      </c>
      <c r="G502" t="str">
        <f ca="1">VLOOKUP(A502,Import_SuiviGlobal_MigAppliSate!A:I,7,FALSE)</f>
        <v>02.31.22.87.87</v>
      </c>
      <c r="H502" t="str">
        <f ca="1">VLOOKUP(A502,Import_SuiviGlobal_MigAppliSate!A:I,8,FALSE)</f>
        <v>RIVIERE Mathieu</v>
      </c>
      <c r="I502" t="str">
        <f ca="1">VLOOKUP(A502,Import_SuiviGlobal_MigAppliSate!A:I,9,FALSE)</f>
        <v>mathieu.riviere@systeme-u.fr</v>
      </c>
      <c r="J502" s="24" t="str">
        <f ca="1">VLOOKUP(A502,Import_SuiviGlobal_MigAppliSate!A:K,10,FALSE)</f>
        <v>Mireille LOREL</v>
      </c>
      <c r="K502" t="str">
        <f ca="1">VLOOKUP(A502,Import_SuiviGlobal_MigAppliSate!A:K,11,FALSE)</f>
        <v>superu.lemolaylittry.direction@systeme-u.fr</v>
      </c>
      <c r="O502" s="1" t="s">
        <v>22</v>
      </c>
    </row>
    <row r="503" spans="1:15" ht="12.75" hidden="1" x14ac:dyDescent="0.2">
      <c r="A503">
        <v>37964</v>
      </c>
      <c r="B503" t="str">
        <f ca="1">VLOOKUP(A503,Import_SuiviGlobal_MigAppliSate!A:I,2,FALSE)</f>
        <v>LE MOULE</v>
      </c>
      <c r="C503" t="str">
        <f ca="1">VLOOKUP(A503,Import_SuiviGlobal_MigAppliSate!A:I,3,FALSE)</f>
        <v>U Express</v>
      </c>
      <c r="D503" s="1" t="str">
        <f ca="1">VLOOKUP(A503,Import_SuiviGlobal_MigAppliSate!A:I,4,FALSE)</f>
        <v>Coop U Enseigne Ouest</v>
      </c>
      <c r="E503">
        <f ca="1">VLOOKUP(A503,Import_SuiviGlobal_MigAppliSate!A:I,5,FALSE)</f>
        <v>97160</v>
      </c>
      <c r="F503" t="str">
        <f ca="1">VLOOKUP(A503,Import_SuiviGlobal_MigAppliSate!A:I,6,FALSE)</f>
        <v>ANGLE BD ROUGÉ ET RUE DUCHASSAING</v>
      </c>
      <c r="G503" t="str">
        <f ca="1">VLOOKUP(A503,Import_SuiviGlobal_MigAppliSate!A:I,7,FALSE)</f>
        <v>05.90.89.25.85</v>
      </c>
      <c r="H503" t="str">
        <f ca="1">VLOOKUP(A503,Import_SuiviGlobal_MigAppliSate!A:I,8,FALSE)</f>
        <v>LUCE Raymond</v>
      </c>
      <c r="I503" t="str">
        <f ca="1">VLOOKUP(A503,Import_SuiviGlobal_MigAppliSate!A:I,9,FALSE)</f>
        <v>yohann.luce@systeme-u.fr</v>
      </c>
      <c r="J503" s="24" t="str">
        <f ca="1">VLOOKUP(A503,Import_SuiviGlobal_MigAppliSate!A:K,10,FALSE)</f>
        <v>Raymonde Luce</v>
      </c>
      <c r="K503" t="str">
        <f ca="1">VLOOKUP(A503,Import_SuiviGlobal_MigAppliSate!A:K,11,FALSE)</f>
        <v>kerlory@hotmail.fr ,martine.crevecoeur@systeme-u.fr</v>
      </c>
      <c r="O503" s="1" t="s">
        <v>22</v>
      </c>
    </row>
    <row r="504" spans="1:15" ht="12.75" hidden="1" x14ac:dyDescent="0.2">
      <c r="A504">
        <v>38198</v>
      </c>
      <c r="B504" t="str">
        <f ca="1">VLOOKUP(A504,Import_SuiviGlobal_MigAppliSate!A:I,2,FALSE)</f>
        <v>LE PALAIS-SUR-VIENNE</v>
      </c>
      <c r="C504" t="str">
        <f ca="1">VLOOKUP(A504,Import_SuiviGlobal_MigAppliSate!A:I,3,FALSE)</f>
        <v>Super U</v>
      </c>
      <c r="D504" s="1" t="str">
        <f ca="1">VLOOKUP(A504,Import_SuiviGlobal_MigAppliSate!A:I,4,FALSE)</f>
        <v>Coop U Enseigne Ouest</v>
      </c>
      <c r="E504">
        <f ca="1">VLOOKUP(A504,Import_SuiviGlobal_MigAppliSate!A:I,5,FALSE)</f>
        <v>87410</v>
      </c>
      <c r="F504" t="str">
        <f ca="1">VLOOKUP(A504,Import_SuiviGlobal_MigAppliSate!A:I,6,FALSE)</f>
        <v>AVENUE DE LIMOGES</v>
      </c>
      <c r="G504" t="str">
        <f ca="1">VLOOKUP(A504,Import_SuiviGlobal_MigAppliSate!A:I,7,FALSE)</f>
        <v>05.55.02.58.78</v>
      </c>
      <c r="H504" t="str">
        <f ca="1">VLOOKUP(A504,Import_SuiviGlobal_MigAppliSate!A:I,8,FALSE)</f>
        <v>CRONIER Stéphane</v>
      </c>
      <c r="I504" t="str">
        <f ca="1">VLOOKUP(A504,Import_SuiviGlobal_MigAppliSate!A:I,9,FALSE)</f>
        <v>stephane.cronier@systeme-u.fr</v>
      </c>
      <c r="J504" s="24" t="str">
        <f ca="1">VLOOKUP(A504,Import_SuiviGlobal_MigAppliSate!A:K,10,FALSE)</f>
        <v/>
      </c>
      <c r="K504" t="str">
        <f ca="1">VLOOKUP(A504,Import_SuiviGlobal_MigAppliSate!A:K,11,FALSE)</f>
        <v/>
      </c>
      <c r="O504" s="1" t="s">
        <v>22</v>
      </c>
    </row>
    <row r="505" spans="1:15" ht="12.75" hidden="1" x14ac:dyDescent="0.2">
      <c r="A505">
        <v>26173</v>
      </c>
      <c r="B505" t="str">
        <f ca="1">VLOOKUP(A505,Import_SuiviGlobal_MigAppliSate!A:I,2,FALSE)</f>
        <v>LE PLESSIS TREVISE</v>
      </c>
      <c r="C505" t="str">
        <f ca="1">VLOOKUP(A505,Import_SuiviGlobal_MigAppliSate!A:I,3,FALSE)</f>
        <v>Super U</v>
      </c>
      <c r="D505" s="1" t="str">
        <f ca="1">VLOOKUP(A505,Import_SuiviGlobal_MigAppliSate!A:I,4,FALSE)</f>
        <v>Coop U Enseigne NordOuest</v>
      </c>
      <c r="E505">
        <f ca="1">VLOOKUP(A505,Import_SuiviGlobal_MigAppliSate!A:I,5,FALSE)</f>
        <v>94420</v>
      </c>
      <c r="F505" t="str">
        <f ca="1">VLOOKUP(A505,Import_SuiviGlobal_MigAppliSate!A:I,6,FALSE)</f>
        <v>8 AVENUE ARDOIN</v>
      </c>
      <c r="G505" t="str">
        <f ca="1">VLOOKUP(A505,Import_SuiviGlobal_MigAppliSate!A:I,7,FALSE)</f>
        <v>01.45.76.66.61</v>
      </c>
      <c r="H505" t="str">
        <f ca="1">VLOOKUP(A505,Import_SuiviGlobal_MigAppliSate!A:I,8,FALSE)</f>
        <v>BUR Gérard+Marie-Chantal</v>
      </c>
      <c r="I505" t="str">
        <f ca="1">VLOOKUP(A505,Import_SuiviGlobal_MigAppliSate!A:I,9,FALSE)</f>
        <v>gerard.bur@systeme-u.fr</v>
      </c>
      <c r="J505" s="24" t="str">
        <f ca="1">VLOOKUP(A505,Import_SuiviGlobal_MigAppliSate!A:K,10,FALSE)</f>
        <v>M. Philippe</v>
      </c>
      <c r="K505" t="str">
        <f ca="1">VLOOKUP(A505,Import_SuiviGlobal_MigAppliSate!A:K,11,FALSE)</f>
        <v>superu.leplessistrevise.direction@systeme-u.fr</v>
      </c>
      <c r="L505" t="s">
        <v>17</v>
      </c>
      <c r="M505" t="s">
        <v>24</v>
      </c>
      <c r="N505" s="1" t="s">
        <v>18</v>
      </c>
      <c r="O505" s="1" t="s">
        <v>19</v>
      </c>
    </row>
    <row r="506" spans="1:15" ht="12.75" hidden="1" x14ac:dyDescent="0.2">
      <c r="A506">
        <v>91132</v>
      </c>
      <c r="B506" t="str">
        <f ca="1">VLOOKUP(A506,Import_SuiviGlobal_MigAppliSate!A:I,2,FALSE)</f>
        <v>LE PONTET</v>
      </c>
      <c r="C506" t="str">
        <f ca="1">VLOOKUP(A506,Import_SuiviGlobal_MigAppliSate!A:I,3,FALSE)</f>
        <v>U Express</v>
      </c>
      <c r="D506" s="1" t="str">
        <f ca="1">VLOOKUP(A506,Import_SuiviGlobal_MigAppliSate!A:I,4,FALSE)</f>
        <v>Coop MISTRAL</v>
      </c>
      <c r="E506">
        <f ca="1">VLOOKUP(A506,Import_SuiviGlobal_MigAppliSate!A:I,5,FALSE)</f>
        <v>84134</v>
      </c>
      <c r="F506" t="str">
        <f ca="1">VLOOKUP(A506,Import_SuiviGlobal_MigAppliSate!A:I,6,FALSE)</f>
        <v>36 BIS AV CHARLES DE GAULLE</v>
      </c>
      <c r="G506" t="str">
        <f ca="1">VLOOKUP(A506,Import_SuiviGlobal_MigAppliSate!A:I,7,FALSE)</f>
        <v>06.20.90.25.72</v>
      </c>
      <c r="H506" t="str">
        <f ca="1">VLOOKUP(A506,Import_SuiviGlobal_MigAppliSate!A:I,8,FALSE)</f>
        <v>DELATTRE Benoit</v>
      </c>
      <c r="I506" t="str">
        <f ca="1">VLOOKUP(A506,Import_SuiviGlobal_MigAppliSate!A:I,9,FALSE)</f>
        <v>uexpress.lepontet@mistral-u.fr</v>
      </c>
      <c r="J506" s="24" t="str">
        <f ca="1">VLOOKUP(A506,Import_SuiviGlobal_MigAppliSate!A:K,10,FALSE)</f>
        <v/>
      </c>
      <c r="K506" t="str">
        <f ca="1">VLOOKUP(A506,Import_SuiviGlobal_MigAppliSate!A:K,11,FALSE)</f>
        <v>delphine.damian@lemistral.fr,helene.mina@lemistral.fr</v>
      </c>
      <c r="O506" s="1" t="s">
        <v>22</v>
      </c>
    </row>
    <row r="507" spans="1:15" ht="12.75" hidden="1" x14ac:dyDescent="0.2">
      <c r="A507">
        <v>23891</v>
      </c>
      <c r="B507" t="str">
        <f ca="1">VLOOKUP(A507,Import_SuiviGlobal_MigAppliSate!A:I,2,FALSE)</f>
        <v>LE PORT MARLY</v>
      </c>
      <c r="C507" t="str">
        <f ca="1">VLOOKUP(A507,Import_SuiviGlobal_MigAppliSate!A:I,3,FALSE)</f>
        <v>Super U</v>
      </c>
      <c r="D507" s="1" t="str">
        <f ca="1">VLOOKUP(A507,Import_SuiviGlobal_MigAppliSate!A:I,4,FALSE)</f>
        <v>Coop U Enseigne NordOuest</v>
      </c>
      <c r="E507">
        <f ca="1">VLOOKUP(A507,Import_SuiviGlobal_MigAppliSate!A:I,5,FALSE)</f>
        <v>78560</v>
      </c>
      <c r="F507" t="str">
        <f ca="1">VLOOKUP(A507,Import_SuiviGlobal_MigAppliSate!A:I,6,FALSE)</f>
        <v>14 BIS AVENUE ST GERMAIN</v>
      </c>
      <c r="G507" t="str">
        <f ca="1">VLOOKUP(A507,Import_SuiviGlobal_MigAppliSate!A:I,7,FALSE)</f>
        <v>01.39.16.00.78</v>
      </c>
      <c r="H507" t="str">
        <f ca="1">VLOOKUP(A507,Import_SuiviGlobal_MigAppliSate!A:I,8,FALSE)</f>
        <v>PRUNET Jérôme</v>
      </c>
      <c r="I507" t="str">
        <f ca="1">VLOOKUP(A507,Import_SuiviGlobal_MigAppliSate!A:I,9,FALSE)</f>
        <v>jerome.prunet@systeme-u.fr</v>
      </c>
      <c r="J507" s="24" t="str">
        <f ca="1">VLOOKUP(A507,Import_SuiviGlobal_MigAppliSate!A:K,10,FALSE)</f>
        <v>Drouet Stéphane</v>
      </c>
      <c r="K507" t="str">
        <f ca="1">VLOOKUP(A507,Import_SuiviGlobal_MigAppliSate!A:K,11,FALSE)</f>
        <v>superu.portmarly@systeme-u.fr</v>
      </c>
      <c r="O507" s="1" t="s">
        <v>22</v>
      </c>
    </row>
    <row r="508" spans="1:15" ht="12.75" hidden="1" x14ac:dyDescent="0.2">
      <c r="A508">
        <v>32817</v>
      </c>
      <c r="B508" t="str">
        <f ca="1">VLOOKUP(A508,Import_SuiviGlobal_MigAppliSate!A:I,2,FALSE)</f>
        <v>LE RHEU</v>
      </c>
      <c r="C508" t="str">
        <f ca="1">VLOOKUP(A508,Import_SuiviGlobal_MigAppliSate!A:I,3,FALSE)</f>
        <v>U Express</v>
      </c>
      <c r="D508" s="1" t="str">
        <f ca="1">VLOOKUP(A508,Import_SuiviGlobal_MigAppliSate!A:I,4,FALSE)</f>
        <v>Coop U Enseigne Ouest</v>
      </c>
      <c r="E508">
        <f ca="1">VLOOKUP(A508,Import_SuiviGlobal_MigAppliSate!A:I,5,FALSE)</f>
        <v>35650</v>
      </c>
      <c r="F508" t="str">
        <f ca="1">VLOOKUP(A508,Import_SuiviGlobal_MigAppliSate!A:I,6,FALSE)</f>
        <v>LE BOURG</v>
      </c>
      <c r="G508" t="str">
        <f ca="1">VLOOKUP(A508,Import_SuiviGlobal_MigAppliSate!A:I,7,FALSE)</f>
        <v>02.99.60.73.78</v>
      </c>
      <c r="H508" t="str">
        <f ca="1">VLOOKUP(A508,Import_SuiviGlobal_MigAppliSate!A:I,8,FALSE)</f>
        <v>BOUVET Jérôme</v>
      </c>
      <c r="I508" t="str">
        <f ca="1">VLOOKUP(A508,Import_SuiviGlobal_MigAppliSate!A:I,9,FALSE)</f>
        <v>jerome.bouvet@systeme-u.fr</v>
      </c>
      <c r="J508" s="24" t="str">
        <f ca="1">VLOOKUP(A508,Import_SuiviGlobal_MigAppliSate!A:K,10,FALSE)</f>
        <v/>
      </c>
      <c r="K508" t="str">
        <f ca="1">VLOOKUP(A508,Import_SuiviGlobal_MigAppliSate!A:K,11,FALSE)</f>
        <v/>
      </c>
      <c r="O508" s="1" t="s">
        <v>22</v>
      </c>
    </row>
    <row r="509" spans="1:15" ht="12.75" hidden="1" x14ac:dyDescent="0.2">
      <c r="A509">
        <v>64147</v>
      </c>
      <c r="B509" t="str">
        <f ca="1">VLOOKUP(A509,Import_SuiviGlobal_MigAppliSate!A:I,2,FALSE)</f>
        <v>LE RUSSEY</v>
      </c>
      <c r="C509" t="str">
        <f ca="1">VLOOKUP(A509,Import_SuiviGlobal_MigAppliSate!A:I,3,FALSE)</f>
        <v>Super U</v>
      </c>
      <c r="D509" s="1" t="str">
        <f ca="1">VLOOKUP(A509,Import_SuiviGlobal_MigAppliSate!A:I,4,FALSE)</f>
        <v>Coop U Enseigne Est</v>
      </c>
      <c r="E509">
        <f ca="1">VLOOKUP(A509,Import_SuiviGlobal_MigAppliSate!A:I,5,FALSE)</f>
        <v>25210</v>
      </c>
      <c r="F509" t="str">
        <f ca="1">VLOOKUP(A509,Import_SuiviGlobal_MigAppliSate!A:I,6,FALSE)</f>
        <v>Rue de Lattre de Tassigny</v>
      </c>
      <c r="G509" t="str">
        <f ca="1">VLOOKUP(A509,Import_SuiviGlobal_MigAppliSate!A:I,7,FALSE)</f>
        <v>03.81.43.85.85</v>
      </c>
      <c r="H509" t="str">
        <f ca="1">VLOOKUP(A509,Import_SuiviGlobal_MigAppliSate!A:I,8,FALSE)</f>
        <v>FESSELET Pierre Alain</v>
      </c>
      <c r="I509" t="str">
        <f ca="1">VLOOKUP(A509,Import_SuiviGlobal_MigAppliSate!A:I,9,FALSE)</f>
        <v>pierre-alain.fesselet@systeme-u.fr</v>
      </c>
      <c r="J509" s="24" t="str">
        <f ca="1">VLOOKUP(A509,Import_SuiviGlobal_MigAppliSate!A:K,10,FALSE)</f>
        <v xml:space="preserve">VERMOT des ROCHES Rolland </v>
      </c>
      <c r="K509" t="str">
        <f ca="1">VLOOKUP(A509,Import_SuiviGlobal_MigAppliSate!A:K,11,FALSE)</f>
        <v>superu.lerussey.services@systeme-u.fr</v>
      </c>
      <c r="O509" s="1" t="s">
        <v>22</v>
      </c>
    </row>
    <row r="510" spans="1:15" ht="12.75" hidden="1" x14ac:dyDescent="0.2">
      <c r="A510">
        <v>96927</v>
      </c>
      <c r="B510" t="str">
        <f ca="1">VLOOKUP(A510,Import_SuiviGlobal_MigAppliSate!A:I,2,FALSE)</f>
        <v>LE TEICH</v>
      </c>
      <c r="C510" t="str">
        <f ca="1">VLOOKUP(A510,Import_SuiviGlobal_MigAppliSate!A:I,3,FALSE)</f>
        <v>Super U</v>
      </c>
      <c r="D510" s="1" t="str">
        <f ca="1">VLOOKUP(A510,Import_SuiviGlobal_MigAppliSate!A:I,4,FALSE)</f>
        <v>Coop U Enseigne Sud</v>
      </c>
      <c r="E510">
        <f ca="1">VLOOKUP(A510,Import_SuiviGlobal_MigAppliSate!A:I,5,FALSE)</f>
        <v>33470</v>
      </c>
      <c r="F510" t="str">
        <f ca="1">VLOOKUP(A510,Import_SuiviGlobal_MigAppliSate!A:I,6,FALSE)</f>
        <v>AVENUE DE BORDEAUX</v>
      </c>
      <c r="G510" t="str">
        <f ca="1">VLOOKUP(A510,Import_SuiviGlobal_MigAppliSate!A:I,7,FALSE)</f>
        <v>05.56.22.88.21</v>
      </c>
      <c r="H510" t="str">
        <f ca="1">VLOOKUP(A510,Import_SuiviGlobal_MigAppliSate!A:I,8,FALSE)</f>
        <v>WERNERT Stephane</v>
      </c>
      <c r="I510" t="str">
        <f ca="1">VLOOKUP(A510,Import_SuiviGlobal_MigAppliSate!A:I,9,FALSE)</f>
        <v>stephane.wernert@systeme-u.fr</v>
      </c>
      <c r="J510" s="24" t="str">
        <f ca="1">VLOOKUP(A510,Import_SuiviGlobal_MigAppliSate!A:K,10,FALSE)</f>
        <v>Brigitte Delestre</v>
      </c>
      <c r="K510" t="str">
        <f ca="1">VLOOKUP(A510,Import_SuiviGlobal_MigAppliSate!A:K,11,FALSE)</f>
        <v>superu.leteich.compta@systeme-u.fr</v>
      </c>
      <c r="O510" s="1" t="s">
        <v>22</v>
      </c>
    </row>
    <row r="511" spans="1:15" ht="12.75" hidden="1" x14ac:dyDescent="0.2">
      <c r="A511">
        <v>27943</v>
      </c>
      <c r="B511" t="str">
        <f ca="1">VLOOKUP(A511,Import_SuiviGlobal_MigAppliSate!A:I,2,FALSE)</f>
        <v>LE THILLAY</v>
      </c>
      <c r="C511" t="str">
        <f ca="1">VLOOKUP(A511,Import_SuiviGlobal_MigAppliSate!A:I,3,FALSE)</f>
        <v>#N/A</v>
      </c>
      <c r="D511" s="1" t="str">
        <f ca="1">VLOOKUP(A511,Import_SuiviGlobal_MigAppliSate!A:I,4,FALSE)</f>
        <v>#N/A</v>
      </c>
      <c r="E511" t="str">
        <f ca="1">VLOOKUP(A511,Import_SuiviGlobal_MigAppliSate!A:I,5,FALSE)</f>
        <v/>
      </c>
      <c r="F511" t="str">
        <f ca="1">VLOOKUP(A511,Import_SuiviGlobal_MigAppliSate!A:I,6,FALSE)</f>
        <v>#N/A</v>
      </c>
      <c r="G511" t="str">
        <f ca="1">VLOOKUP(A511,Import_SuiviGlobal_MigAppliSate!A:I,7,FALSE)</f>
        <v>#N/A</v>
      </c>
      <c r="H511" t="str">
        <f ca="1">VLOOKUP(A511,Import_SuiviGlobal_MigAppliSate!A:I,8,FALSE)</f>
        <v>#N/A</v>
      </c>
      <c r="I511" t="str">
        <f ca="1">VLOOKUP(A511,Import_SuiviGlobal_MigAppliSate!A:I,9,FALSE)</f>
        <v>#N/A</v>
      </c>
      <c r="J511" s="24" t="str">
        <f ca="1">VLOOKUP(A511,Import_SuiviGlobal_MigAppliSate!A:K,10,FALSE)</f>
        <v/>
      </c>
      <c r="K511" t="str">
        <f ca="1">VLOOKUP(A511,Import_SuiviGlobal_MigAppliSate!A:K,11,FALSE)</f>
        <v/>
      </c>
      <c r="O511" s="1" t="s">
        <v>22</v>
      </c>
    </row>
    <row r="512" spans="1:15" ht="12.75" hidden="1" x14ac:dyDescent="0.2">
      <c r="A512">
        <v>65448</v>
      </c>
      <c r="B512" t="str">
        <f ca="1">VLOOKUP(A512,Import_SuiviGlobal_MigAppliSate!A:I,2,FALSE)</f>
        <v>LE VAL D'AJOL</v>
      </c>
      <c r="C512" t="str">
        <f ca="1">VLOOKUP(A512,Import_SuiviGlobal_MigAppliSate!A:I,3,FALSE)</f>
        <v>U Express</v>
      </c>
      <c r="D512" s="1" t="str">
        <f ca="1">VLOOKUP(A512,Import_SuiviGlobal_MigAppliSate!A:I,4,FALSE)</f>
        <v>Coop U Enseigne Est</v>
      </c>
      <c r="E512">
        <f ca="1">VLOOKUP(A512,Import_SuiviGlobal_MigAppliSate!A:I,5,FALSE)</f>
        <v>88340</v>
      </c>
      <c r="F512" t="str">
        <f ca="1">VLOOKUP(A512,Import_SuiviGlobal_MigAppliSate!A:I,6,FALSE)</f>
        <v>2 RUE DES HALLES</v>
      </c>
      <c r="G512" t="str">
        <f ca="1">VLOOKUP(A512,Import_SuiviGlobal_MigAppliSate!A:I,7,FALSE)</f>
        <v>03.29.30.66.51</v>
      </c>
      <c r="H512" t="str">
        <f ca="1">VLOOKUP(A512,Import_SuiviGlobal_MigAppliSate!A:I,8,FALSE)</f>
        <v>COLNOT Jean</v>
      </c>
      <c r="I512" t="str">
        <f ca="1">VLOOKUP(A512,Import_SuiviGlobal_MigAppliSate!A:I,9,FALSE)</f>
        <v>jean.colnot@systeme-u.fr</v>
      </c>
      <c r="J512" s="24" t="str">
        <f ca="1">VLOOKUP(A512,Import_SuiviGlobal_MigAppliSate!A:K,10,FALSE)</f>
        <v>mr bucher jannick</v>
      </c>
      <c r="K512" t="str">
        <f ca="1">VLOOKUP(A512,Import_SuiviGlobal_MigAppliSate!A:K,11,FALSE)</f>
        <v>jean.colnot@systeme-u.fr</v>
      </c>
      <c r="O512" s="1" t="s">
        <v>22</v>
      </c>
    </row>
    <row r="513" spans="1:15" ht="12.75" hidden="1" x14ac:dyDescent="0.2">
      <c r="A513">
        <v>90358</v>
      </c>
      <c r="B513" t="str">
        <f ca="1">VLOOKUP(A513,Import_SuiviGlobal_MigAppliSate!A:I,2,FALSE)</f>
        <v>LE VIGAN</v>
      </c>
      <c r="C513" t="str">
        <f ca="1">VLOOKUP(A513,Import_SuiviGlobal_MigAppliSate!A:I,3,FALSE)</f>
        <v>Super U</v>
      </c>
      <c r="D513" s="1" t="str">
        <f ca="1">VLOOKUP(A513,Import_SuiviGlobal_MigAppliSate!A:I,4,FALSE)</f>
        <v>Coop U Enseigne Sud</v>
      </c>
      <c r="E513">
        <f ca="1">VLOOKUP(A513,Import_SuiviGlobal_MigAppliSate!A:I,5,FALSE)</f>
        <v>30120</v>
      </c>
      <c r="F513" t="str">
        <f ca="1">VLOOKUP(A513,Import_SuiviGlobal_MigAppliSate!A:I,6,FALSE)</f>
        <v>PLACE DU MARECHAL JUIN</v>
      </c>
      <c r="G513" t="str">
        <f ca="1">VLOOKUP(A513,Import_SuiviGlobal_MigAppliSate!A:I,7,FALSE)</f>
        <v>04.67.81.25.23</v>
      </c>
      <c r="H513" t="str">
        <f ca="1">VLOOKUP(A513,Import_SuiviGlobal_MigAppliSate!A:I,8,FALSE)</f>
        <v>PUTTEMANS Gerald</v>
      </c>
      <c r="I513" t="str">
        <f ca="1">VLOOKUP(A513,Import_SuiviGlobal_MigAppliSate!A:I,9,FALSE)</f>
        <v>gerald.puttemans@systeme-u.fr</v>
      </c>
      <c r="J513" s="24" t="str">
        <f ca="1">VLOOKUP(A513,Import_SuiviGlobal_MigAppliSate!A:K,10,FALSE)</f>
        <v>Mme Fabre</v>
      </c>
      <c r="K513" t="str">
        <f ca="1">VLOOKUP(A513,Import_SuiviGlobal_MigAppliSate!A:K,11,FALSE)</f>
        <v>superu.levigan@systeme-u.fr</v>
      </c>
      <c r="O513" s="1" t="s">
        <v>22</v>
      </c>
    </row>
    <row r="514" spans="1:15" ht="12.75" hidden="1" x14ac:dyDescent="0.2">
      <c r="A514">
        <v>39563</v>
      </c>
      <c r="B514" t="str">
        <f ca="1">VLOOKUP(A514,Import_SuiviGlobal_MigAppliSate!A:I,2,FALSE)</f>
        <v>LE-CHATELET-EN-BERRY</v>
      </c>
      <c r="C514" t="str">
        <f ca="1">VLOOKUP(A514,Import_SuiviGlobal_MigAppliSate!A:I,3,FALSE)</f>
        <v>U Express</v>
      </c>
      <c r="D514" s="1" t="str">
        <f ca="1">VLOOKUP(A514,Import_SuiviGlobal_MigAppliSate!A:I,4,FALSE)</f>
        <v>Coop U Enseigne Ouest</v>
      </c>
      <c r="E514">
        <f ca="1">VLOOKUP(A514,Import_SuiviGlobal_MigAppliSate!A:I,5,FALSE)</f>
        <v>18170</v>
      </c>
      <c r="F514" t="str">
        <f ca="1">VLOOKUP(A514,Import_SuiviGlobal_MigAppliSate!A:I,6,FALSE)</f>
        <v>AVENUE DE L' EUROPE</v>
      </c>
      <c r="G514" t="str">
        <f ca="1">VLOOKUP(A514,Import_SuiviGlobal_MigAppliSate!A:I,7,FALSE)</f>
        <v>02.48.56.60.30</v>
      </c>
      <c r="H514" t="str">
        <f ca="1">VLOOKUP(A514,Import_SuiviGlobal_MigAppliSate!A:I,8,FALSE)</f>
        <v>BEGAUD Christophe</v>
      </c>
      <c r="I514" t="str">
        <f ca="1">VLOOKUP(A514,Import_SuiviGlobal_MigAppliSate!A:I,9,FALSE)</f>
        <v>christophe.begaud@systeme-u.fr</v>
      </c>
      <c r="J514" s="24" t="str">
        <f ca="1">VLOOKUP(A514,Import_SuiviGlobal_MigAppliSate!A:K,10,FALSE)</f>
        <v>MR BEGAUD ou MME FROIDEFOND</v>
      </c>
      <c r="K514" t="str">
        <f ca="1">VLOOKUP(A514,Import_SuiviGlobal_MigAppliSate!A:K,11,FALSE)</f>
        <v>uexpress.lechatelet.compta@systeme-u.fr</v>
      </c>
      <c r="O514" s="1" t="s">
        <v>22</v>
      </c>
    </row>
    <row r="515" spans="1:15" ht="12.75" hidden="1" x14ac:dyDescent="0.2">
      <c r="A515">
        <v>99105</v>
      </c>
      <c r="B515" t="str">
        <f ca="1">VLOOKUP(A515,Import_SuiviGlobal_MigAppliSate!A:I,2,FALSE)</f>
        <v>LE-PORT-IDR</v>
      </c>
      <c r="C515" t="str">
        <f ca="1">VLOOKUP(A515,Import_SuiviGlobal_MigAppliSate!A:I,3,FALSE)</f>
        <v>U Express</v>
      </c>
      <c r="D515" s="1" t="str">
        <f ca="1">VLOOKUP(A515,Import_SuiviGlobal_MigAppliSate!A:I,4,FALSE)</f>
        <v>Coop U Enseigne Sud</v>
      </c>
      <c r="E515">
        <f ca="1">VLOOKUP(A515,Import_SuiviGlobal_MigAppliSate!A:I,5,FALSE)</f>
        <v>97420</v>
      </c>
      <c r="F515" t="str">
        <f ca="1">VLOOKUP(A515,Import_SuiviGlobal_MigAppliSate!A:I,6,FALSE)</f>
        <v>31 RUE DE CANNES</v>
      </c>
      <c r="G515" t="str">
        <f ca="1">VLOOKUP(A515,Import_SuiviGlobal_MigAppliSate!A:I,7,FALSE)</f>
        <v>02.62.42.07.26</v>
      </c>
      <c r="H515" t="str">
        <f ca="1">VLOOKUP(A515,Import_SuiviGlobal_MigAppliSate!A:I,8,FALSE)</f>
        <v>FOCK YING Guy</v>
      </c>
      <c r="I515" t="str">
        <f ca="1">VLOOKUP(A515,Import_SuiviGlobal_MigAppliSate!A:I,9,FALSE)</f>
        <v>johan.fock@systeme-u.fr</v>
      </c>
      <c r="J515" s="24" t="str">
        <f ca="1">VLOOKUP(A515,Import_SuiviGlobal_MigAppliSate!A:K,10,FALSE)</f>
        <v/>
      </c>
      <c r="K515" t="str">
        <f ca="1">VLOOKUP(A515,Import_SuiviGlobal_MigAppliSate!A:K,11,FALSE)</f>
        <v/>
      </c>
      <c r="O515" s="1" t="s">
        <v>22</v>
      </c>
    </row>
    <row r="516" spans="1:15" ht="12.75" hidden="1" x14ac:dyDescent="0.2">
      <c r="A516">
        <v>99106</v>
      </c>
      <c r="B516" t="str">
        <f ca="1">VLOOKUP(A516,Import_SuiviGlobal_MigAppliSate!A:I,2,FALSE)</f>
        <v>LE-PORT-V-HUGO-IDR</v>
      </c>
      <c r="C516" t="str">
        <f ca="1">VLOOKUP(A516,Import_SuiviGlobal_MigAppliSate!A:I,3,FALSE)</f>
        <v>U Express</v>
      </c>
      <c r="D516" s="1" t="str">
        <f ca="1">VLOOKUP(A516,Import_SuiviGlobal_MigAppliSate!A:I,4,FALSE)</f>
        <v>Coop U Enseigne Sud</v>
      </c>
      <c r="E516">
        <f ca="1">VLOOKUP(A516,Import_SuiviGlobal_MigAppliSate!A:I,5,FALSE)</f>
        <v>97420</v>
      </c>
      <c r="F516" t="str">
        <f ca="1">VLOOKUP(A516,Import_SuiviGlobal_MigAppliSate!A:I,6,FALSE)</f>
        <v>ZUP II RUE VICTOR HUGO</v>
      </c>
      <c r="G516" t="str">
        <f ca="1">VLOOKUP(A516,Import_SuiviGlobal_MigAppliSate!A:I,7,FALSE)</f>
        <v>02.62.42.16.71</v>
      </c>
      <c r="H516" t="str">
        <f ca="1">VLOOKUP(A516,Import_SuiviGlobal_MigAppliSate!A:I,8,FALSE)</f>
        <v>FOCK YING CHEUNG Guy</v>
      </c>
      <c r="I516" t="str">
        <f ca="1">VLOOKUP(A516,Import_SuiviGlobal_MigAppliSate!A:I,9,FALSE)</f>
        <v>guy.fockyingcheung@systeme-u.fr</v>
      </c>
      <c r="J516" s="24" t="str">
        <f ca="1">VLOOKUP(A516,Import_SuiviGlobal_MigAppliSate!A:K,10,FALSE)</f>
        <v/>
      </c>
      <c r="K516" t="str">
        <f ca="1">VLOOKUP(A516,Import_SuiviGlobal_MigAppliSate!A:K,11,FALSE)</f>
        <v/>
      </c>
      <c r="O516" s="1" t="s">
        <v>22</v>
      </c>
    </row>
    <row r="517" spans="1:15" ht="12.75" hidden="1" x14ac:dyDescent="0.2">
      <c r="A517">
        <v>32704</v>
      </c>
      <c r="B517" t="str">
        <f ca="1">VLOOKUP(A517,Import_SuiviGlobal_MigAppliSate!A:I,2,FALSE)</f>
        <v>LEGE</v>
      </c>
      <c r="C517" t="str">
        <f ca="1">VLOOKUP(A517,Import_SuiviGlobal_MigAppliSate!A:I,3,FALSE)</f>
        <v>Super U</v>
      </c>
      <c r="D517" s="1" t="str">
        <f ca="1">VLOOKUP(A517,Import_SuiviGlobal_MigAppliSate!A:I,4,FALSE)</f>
        <v>Coop U Enseigne Ouest</v>
      </c>
      <c r="E517">
        <f ca="1">VLOOKUP(A517,Import_SuiviGlobal_MigAppliSate!A:I,5,FALSE)</f>
        <v>44650</v>
      </c>
      <c r="F517" t="str">
        <f ca="1">VLOOKUP(A517,Import_SuiviGlobal_MigAppliSate!A:I,6,FALSE)</f>
        <v>RUE DES VISITANDINES</v>
      </c>
      <c r="G517" t="str">
        <f ca="1">VLOOKUP(A517,Import_SuiviGlobal_MigAppliSate!A:I,7,FALSE)</f>
        <v>02.40.26.33.44</v>
      </c>
      <c r="H517" t="str">
        <f ca="1">VLOOKUP(A517,Import_SuiviGlobal_MigAppliSate!A:I,8,FALSE)</f>
        <v>PASQUIER RPT SARL S.N.D.P. Bertrand</v>
      </c>
      <c r="I517" t="str">
        <f ca="1">VLOOKUP(A517,Import_SuiviGlobal_MigAppliSate!A:I,9,FALSE)</f>
        <v>bertrand.pasquier@systeme-u.fr</v>
      </c>
      <c r="J517" s="24" t="str">
        <f ca="1">VLOOKUP(A517,Import_SuiviGlobal_MigAppliSate!A:K,10,FALSE)</f>
        <v xml:space="preserve">Madame Hervot </v>
      </c>
      <c r="K517" t="str">
        <f ca="1">VLOOKUP(A517,Import_SuiviGlobal_MigAppliSate!A:K,11,FALSE)</f>
        <v>superu.lege.gescom@systeme-u.fr</v>
      </c>
      <c r="O517" s="1" t="s">
        <v>22</v>
      </c>
    </row>
    <row r="518" spans="1:15" ht="12.75" hidden="1" x14ac:dyDescent="0.2">
      <c r="A518">
        <v>96989</v>
      </c>
      <c r="B518" t="str">
        <f ca="1">VLOOKUP(A518,Import_SuiviGlobal_MigAppliSate!A:I,2,FALSE)</f>
        <v>LEGUEVIN</v>
      </c>
      <c r="C518" t="str">
        <f ca="1">VLOOKUP(A518,Import_SuiviGlobal_MigAppliSate!A:I,3,FALSE)</f>
        <v>Super U</v>
      </c>
      <c r="D518" s="1" t="str">
        <f ca="1">VLOOKUP(A518,Import_SuiviGlobal_MigAppliSate!A:I,4,FALSE)</f>
        <v>Coop U Enseigne Sud</v>
      </c>
      <c r="E518">
        <f ca="1">VLOOKUP(A518,Import_SuiviGlobal_MigAppliSate!A:I,5,FALSE)</f>
        <v>31490</v>
      </c>
      <c r="F518" t="str">
        <f ca="1">VLOOKUP(A518,Import_SuiviGlobal_MigAppliSate!A:I,6,FALSE)</f>
        <v>AVENUE DE LENGEL</v>
      </c>
      <c r="G518" t="str">
        <f ca="1">VLOOKUP(A518,Import_SuiviGlobal_MigAppliSate!A:I,7,FALSE)</f>
        <v>05.61.86.51.64</v>
      </c>
      <c r="H518" t="str">
        <f ca="1">VLOOKUP(A518,Import_SuiviGlobal_MigAppliSate!A:I,8,FALSE)</f>
        <v>ET PATRICK AUGE SYLVIE COURET</v>
      </c>
      <c r="I518" t="str">
        <f ca="1">VLOOKUP(A518,Import_SuiviGlobal_MigAppliSate!A:I,9,FALSE)</f>
        <v>patrick.auge@systeme-u.fr</v>
      </c>
      <c r="J518" s="24" t="str">
        <f ca="1">VLOOKUP(A518,Import_SuiviGlobal_MigAppliSate!A:K,10,FALSE)</f>
        <v/>
      </c>
      <c r="K518" t="str">
        <f ca="1">VLOOKUP(A518,Import_SuiviGlobal_MigAppliSate!A:K,11,FALSE)</f>
        <v/>
      </c>
      <c r="O518" s="1" t="s">
        <v>22</v>
      </c>
    </row>
    <row r="519" spans="1:15" ht="12.75" hidden="1" x14ac:dyDescent="0.2">
      <c r="A519">
        <v>65278</v>
      </c>
      <c r="B519" t="str">
        <f ca="1">VLOOKUP(A519,Import_SuiviGlobal_MigAppliSate!A:I,2,FALSE)</f>
        <v>LEMUD</v>
      </c>
      <c r="C519" t="str">
        <f ca="1">VLOOKUP(A519,Import_SuiviGlobal_MigAppliSate!A:I,3,FALSE)</f>
        <v>Super U</v>
      </c>
      <c r="D519" s="1" t="str">
        <f ca="1">VLOOKUP(A519,Import_SuiviGlobal_MigAppliSate!A:I,4,FALSE)</f>
        <v>Coop U Enseigne Est</v>
      </c>
      <c r="E519">
        <f ca="1">VLOOKUP(A519,Import_SuiviGlobal_MigAppliSate!A:I,5,FALSE)</f>
        <v>57580</v>
      </c>
      <c r="F519" t="str">
        <f ca="1">VLOOKUP(A519,Import_SuiviGlobal_MigAppliSate!A:I,6,FALSE)</f>
        <v>ROUTE DE METZ</v>
      </c>
      <c r="G519" t="str">
        <f ca="1">VLOOKUP(A519,Import_SuiviGlobal_MigAppliSate!A:I,7,FALSE)</f>
        <v>03.87.64.62.63</v>
      </c>
      <c r="H519" t="str">
        <f ca="1">VLOOKUP(A519,Import_SuiviGlobal_MigAppliSate!A:I,8,FALSE)</f>
        <v>GRANDJEAN Bernard</v>
      </c>
      <c r="I519" t="str">
        <f ca="1">VLOOKUP(A519,Import_SuiviGlobal_MigAppliSate!A:I,9,FALSE)</f>
        <v>bernard.grandjean@systeme-u.fr</v>
      </c>
      <c r="J519" s="24" t="str">
        <f ca="1">VLOOKUP(A519,Import_SuiviGlobal_MigAppliSate!A:K,10,FALSE)</f>
        <v>Madame MABIRE Sylvie
Madame Medeni Olivia (planexa)</v>
      </c>
      <c r="K519" t="str">
        <f ca="1">VLOOKUP(A519,Import_SuiviGlobal_MigAppliSate!A:K,11,FALSE)</f>
        <v xml:space="preserve">superu.lemud.caisse@systeme-u.fr
superu.lemud.administratif@systeme-u.fr
</v>
      </c>
      <c r="O519" s="1" t="s">
        <v>22</v>
      </c>
    </row>
    <row r="520" spans="1:15" ht="12.75" hidden="1" x14ac:dyDescent="0.2">
      <c r="A520">
        <v>34208</v>
      </c>
      <c r="B520" t="str">
        <f ca="1">VLOOKUP(A520,Import_SuiviGlobal_MigAppliSate!A:I,2,FALSE)</f>
        <v>LENCLOITRE</v>
      </c>
      <c r="C520" t="str">
        <f ca="1">VLOOKUP(A520,Import_SuiviGlobal_MigAppliSate!A:I,3,FALSE)</f>
        <v>U Express</v>
      </c>
      <c r="D520" s="1" t="str">
        <f ca="1">VLOOKUP(A520,Import_SuiviGlobal_MigAppliSate!A:I,4,FALSE)</f>
        <v>Coop Atlantique</v>
      </c>
      <c r="E520">
        <f ca="1">VLOOKUP(A520,Import_SuiviGlobal_MigAppliSate!A:I,5,FALSE)</f>
        <v>86140</v>
      </c>
      <c r="F520" t="str">
        <f ca="1">VLOOKUP(A520,Import_SuiviGlobal_MigAppliSate!A:I,6,FALSE)</f>
        <v>3 PLACE DU CHAMP DE FOIRE</v>
      </c>
      <c r="G520" t="str">
        <f ca="1">VLOOKUP(A520,Import_SuiviGlobal_MigAppliSate!A:I,7,FALSE)</f>
        <v>05.49.90.74.89</v>
      </c>
      <c r="H520" t="str">
        <f ca="1">VLOOKUP(A520,Import_SuiviGlobal_MigAppliSate!A:I,8,FALSE)</f>
        <v>FLAMBARD Hervé</v>
      </c>
      <c r="I520" t="str">
        <f ca="1">VLOOKUP(A520,Import_SuiviGlobal_MigAppliSate!A:I,9,FALSE)</f>
        <v>bertrand.defontaine_coop_su_uex@systeme-u.fr</v>
      </c>
      <c r="J520" s="24" t="str">
        <f ca="1">VLOOKUP(A520,Import_SuiviGlobal_MigAppliSate!A:K,10,FALSE)</f>
        <v>M. VACHER / SOUCHET Yoann / Gaborit Aline</v>
      </c>
      <c r="K520" t="str">
        <f ca="1">VLOOKUP(A520,Import_SuiviGlobal_MigAppliSate!A:K,11,FALSE)</f>
        <v>uexpress.lencloitre.direction@systeme-u.fr,nbrigant@coop-atlantique.fr,sjaud@coop-atlantique.fr,ysouchet@coop-atlantique.fr,gaborit.aline@hotmail.fr</v>
      </c>
      <c r="O520" s="1" t="s">
        <v>22</v>
      </c>
    </row>
    <row r="521" spans="1:15" ht="12.75" hidden="1" x14ac:dyDescent="0.2">
      <c r="A521">
        <v>96951</v>
      </c>
      <c r="B521" t="str">
        <f ca="1">VLOOKUP(A521,Import_SuiviGlobal_MigAppliSate!A:I,2,FALSE)</f>
        <v>LEOGNAN</v>
      </c>
      <c r="C521" t="str">
        <f ca="1">VLOOKUP(A521,Import_SuiviGlobal_MigAppliSate!A:I,3,FALSE)</f>
        <v>U Express</v>
      </c>
      <c r="D521" s="1" t="str">
        <f ca="1">VLOOKUP(A521,Import_SuiviGlobal_MigAppliSate!A:I,4,FALSE)</f>
        <v>Coop U Enseigne Sud</v>
      </c>
      <c r="E521">
        <f ca="1">VLOOKUP(A521,Import_SuiviGlobal_MigAppliSate!A:I,5,FALSE)</f>
        <v>33850</v>
      </c>
      <c r="F521" t="str">
        <f ca="1">VLOOKUP(A521,Import_SuiviGlobal_MigAppliSate!A:I,6,FALSE)</f>
        <v>2 AVENUE DE BORDEAUX</v>
      </c>
      <c r="G521" t="str">
        <f ca="1">VLOOKUP(A521,Import_SuiviGlobal_MigAppliSate!A:I,7,FALSE)</f>
        <v>05.56.64.78.25</v>
      </c>
      <c r="H521" t="str">
        <f ca="1">VLOOKUP(A521,Import_SuiviGlobal_MigAppliSate!A:I,8,FALSE)</f>
        <v>SANGNIER Bertrand</v>
      </c>
      <c r="I521" t="str">
        <f ca="1">VLOOKUP(A521,Import_SuiviGlobal_MigAppliSate!A:I,9,FALSE)</f>
        <v>bertrand.sangnier@systeme-u.fr</v>
      </c>
      <c r="J521" s="24" t="str">
        <f ca="1">VLOOKUP(A521,Import_SuiviGlobal_MigAppliSate!A:K,10,FALSE)</f>
        <v/>
      </c>
      <c r="K521" t="str">
        <f ca="1">VLOOKUP(A521,Import_SuiviGlobal_MigAppliSate!A:K,11,FALSE)</f>
        <v/>
      </c>
      <c r="O521" s="1" t="s">
        <v>22</v>
      </c>
    </row>
    <row r="522" spans="1:15" ht="12.75" hidden="1" x14ac:dyDescent="0.2">
      <c r="A522">
        <v>35371</v>
      </c>
      <c r="B522" t="str">
        <f ca="1">VLOOKUP(A522,Import_SuiviGlobal_MigAppliSate!A:I,2,FALSE)</f>
        <v>LES ABYMES ROCADE</v>
      </c>
      <c r="C522" t="str">
        <f ca="1">VLOOKUP(A522,Import_SuiviGlobal_MigAppliSate!A:I,3,FALSE)</f>
        <v>Super U</v>
      </c>
      <c r="D522" s="1" t="str">
        <f ca="1">VLOOKUP(A522,Import_SuiviGlobal_MigAppliSate!A:I,4,FALSE)</f>
        <v>Coop U Enseigne Ouest</v>
      </c>
      <c r="E522">
        <f ca="1">VLOOKUP(A522,Import_SuiviGlobal_MigAppliSate!A:I,5,FALSE)</f>
        <v>97139</v>
      </c>
      <c r="F522" t="str">
        <f ca="1">VLOOKUP(A522,Import_SuiviGlobal_MigAppliSate!A:I,6,FALSE)</f>
        <v>CENTRE COMMERCIAL LA ROCADE</v>
      </c>
      <c r="G522" t="str">
        <f ca="1">VLOOKUP(A522,Import_SuiviGlobal_MigAppliSate!A:I,7,FALSE)</f>
        <v>05.90.90.36.81</v>
      </c>
      <c r="H522" t="str">
        <f ca="1">VLOOKUP(A522,Import_SuiviGlobal_MigAppliSate!A:I,8,FALSE)</f>
        <v>BAPTISTE Evelyne</v>
      </c>
      <c r="I522" t="str">
        <f ca="1">VLOOKUP(A522,Import_SuiviGlobal_MigAppliSate!A:I,9,FALSE)</f>
        <v>evelyne.baptiste@systeme-u.fr</v>
      </c>
      <c r="J522" s="24" t="str">
        <f ca="1">VLOOKUP(A522,Import_SuiviGlobal_MigAppliSate!A:K,10,FALSE)</f>
        <v/>
      </c>
      <c r="K522" t="str">
        <f ca="1">VLOOKUP(A522,Import_SuiviGlobal_MigAppliSate!A:K,11,FALSE)</f>
        <v>martine.crevecoeur@systeme-u.fr</v>
      </c>
      <c r="O522" s="1" t="s">
        <v>22</v>
      </c>
    </row>
    <row r="523" spans="1:15" ht="12.75" x14ac:dyDescent="0.2">
      <c r="A523">
        <v>90501</v>
      </c>
      <c r="B523" t="str">
        <f ca="1">VLOOKUP(A523,Import_SuiviGlobal_MigAppliSate!A:I,2,FALSE)</f>
        <v>LES ARCS</v>
      </c>
      <c r="C523" t="str">
        <f ca="1">VLOOKUP(A523,Import_SuiviGlobal_MigAppliSate!A:I,3,FALSE)</f>
        <v>Hyper U</v>
      </c>
      <c r="D523" s="1" t="str">
        <f ca="1">VLOOKUP(A523,Import_SuiviGlobal_MigAppliSate!A:I,4,FALSE)</f>
        <v>Coop U Enseigne Sud</v>
      </c>
      <c r="E523">
        <f ca="1">VLOOKUP(A523,Import_SuiviGlobal_MigAppliSate!A:I,5,FALSE)</f>
        <v>83460</v>
      </c>
      <c r="F523" t="str">
        <f ca="1">VLOOKUP(A523,Import_SuiviGlobal_MigAppliSate!A:I,6,FALSE)</f>
        <v>Voie Jacques PREVERT</v>
      </c>
      <c r="G523" t="str">
        <f ca="1">VLOOKUP(A523,Import_SuiviGlobal_MigAppliSate!A:I,7,FALSE)</f>
        <v>04.98.10.00.60</v>
      </c>
      <c r="H523" t="str">
        <f ca="1">VLOOKUP(A523,Import_SuiviGlobal_MigAppliSate!A:I,8,FALSE)</f>
        <v>BENHAMOU Stephane</v>
      </c>
      <c r="I523" t="str">
        <f ca="1">VLOOKUP(A523,Import_SuiviGlobal_MigAppliSate!A:I,9,FALSE)</f>
        <v>stephane.benhamou@systeme-u.fr</v>
      </c>
      <c r="J523" s="24" t="str">
        <f ca="1">VLOOKUP(A523,Import_SuiviGlobal_MigAppliSate!A:K,10,FALSE)</f>
        <v>Mr Licata</v>
      </c>
      <c r="K523" t="str">
        <f ca="1">VLOOKUP(A523,Import_SuiviGlobal_MigAppliSate!A:K,11,FALSE)</f>
        <v>a.licata@pacapart.fr</v>
      </c>
      <c r="L523" t="s">
        <v>17</v>
      </c>
      <c r="M523" t="s">
        <v>0</v>
      </c>
      <c r="O523" s="1" t="s">
        <v>22</v>
      </c>
    </row>
    <row r="524" spans="1:15" ht="12.75" hidden="1" x14ac:dyDescent="0.2">
      <c r="A524">
        <v>66163</v>
      </c>
      <c r="B524" t="str">
        <f ca="1">VLOOKUP(A524,Import_SuiviGlobal_MigAppliSate!A:I,2,FALSE)</f>
        <v>LES DEUX ALPES</v>
      </c>
      <c r="C524" t="str">
        <f ca="1">VLOOKUP(A524,Import_SuiviGlobal_MigAppliSate!A:I,3,FALSE)</f>
        <v>U Express</v>
      </c>
      <c r="D524" s="1" t="str">
        <f ca="1">VLOOKUP(A524,Import_SuiviGlobal_MigAppliSate!A:I,4,FALSE)</f>
        <v>Coop U Enseigne Est</v>
      </c>
      <c r="E524">
        <f ca="1">VLOOKUP(A524,Import_SuiviGlobal_MigAppliSate!A:I,5,FALSE)</f>
        <v>38860</v>
      </c>
      <c r="F524" t="str">
        <f ca="1">VLOOKUP(A524,Import_SuiviGlobal_MigAppliSate!A:I,6,FALSE)</f>
        <v>57 avenue de la Muzelle</v>
      </c>
      <c r="G524" t="str">
        <f ca="1">VLOOKUP(A524,Import_SuiviGlobal_MigAppliSate!A:I,7,FALSE)</f>
        <v>04.76.79.58.63</v>
      </c>
      <c r="H524" t="str">
        <f ca="1">VLOOKUP(A524,Import_SuiviGlobal_MigAppliSate!A:I,8,FALSE)</f>
        <v>DESQUAIRES Arnaud</v>
      </c>
      <c r="I524" t="str">
        <f ca="1">VLOOKUP(A524,Import_SuiviGlobal_MigAppliSate!A:I,9,FALSE)</f>
        <v>arnaud.desquaires@systeme-u.fr</v>
      </c>
      <c r="J524" s="24" t="str">
        <f ca="1">VLOOKUP(A524,Import_SuiviGlobal_MigAppliSate!A:K,10,FALSE)</f>
        <v/>
      </c>
      <c r="K524" t="str">
        <f ca="1">VLOOKUP(A524,Import_SuiviGlobal_MigAppliSate!A:K,11,FALSE)</f>
        <v/>
      </c>
      <c r="O524" s="1" t="s">
        <v>22</v>
      </c>
    </row>
    <row r="525" spans="1:15" ht="12.75" hidden="1" x14ac:dyDescent="0.2">
      <c r="A525">
        <v>30205</v>
      </c>
      <c r="B525" t="str">
        <f ca="1">VLOOKUP(A525,Import_SuiviGlobal_MigAppliSate!A:I,2,FALSE)</f>
        <v>LES ESSARTS</v>
      </c>
      <c r="C525" t="str">
        <f ca="1">VLOOKUP(A525,Import_SuiviGlobal_MigAppliSate!A:I,3,FALSE)</f>
        <v>Super U</v>
      </c>
      <c r="D525" s="1" t="str">
        <f ca="1">VLOOKUP(A525,Import_SuiviGlobal_MigAppliSate!A:I,4,FALSE)</f>
        <v>Coop U Enseigne Ouest</v>
      </c>
      <c r="E525">
        <f ca="1">VLOOKUP(A525,Import_SuiviGlobal_MigAppliSate!A:I,5,FALSE)</f>
        <v>85140</v>
      </c>
      <c r="F525" t="str">
        <f ca="1">VLOOKUP(A525,Import_SuiviGlobal_MigAppliSate!A:I,6,FALSE)</f>
        <v>ROUTE DE LA ROCHE SUR YON</v>
      </c>
      <c r="G525" t="str">
        <f ca="1">VLOOKUP(A525,Import_SuiviGlobal_MigAppliSate!A:I,7,FALSE)</f>
        <v>02.51.48.43.43</v>
      </c>
      <c r="H525" t="str">
        <f ca="1">VLOOKUP(A525,Import_SuiviGlobal_MigAppliSate!A:I,8,FALSE)</f>
        <v>LAIGLE Daniel</v>
      </c>
      <c r="I525" t="str">
        <f ca="1">VLOOKUP(A525,Import_SuiviGlobal_MigAppliSate!A:I,9,FALSE)</f>
        <v>daniel.laigle@systeme-u.fr</v>
      </c>
      <c r="J525" s="24" t="str">
        <f ca="1">VLOOKUP(A525,Import_SuiviGlobal_MigAppliSate!A:K,10,FALSE)</f>
        <v>Mme. CHAPLEAU
Mr ANGIBEAU (directeur)</v>
      </c>
      <c r="K525" t="str">
        <f ca="1">VLOOKUP(A525,Import_SuiviGlobal_MigAppliSate!A:K,11,FALSE)</f>
        <v>superu.lesessarts.compta@systeme-u.fr, superu.lesessarts@systeme-u.fr</v>
      </c>
      <c r="O525" s="1" t="s">
        <v>22</v>
      </c>
    </row>
    <row r="526" spans="1:15" ht="12.75" hidden="1" x14ac:dyDescent="0.2">
      <c r="A526">
        <v>24413</v>
      </c>
      <c r="B526" t="str">
        <f ca="1">VLOOKUP(A526,Import_SuiviGlobal_MigAppliSate!A:I,2,FALSE)</f>
        <v>LES ESSARTS LR</v>
      </c>
      <c r="C526" t="str">
        <f ca="1">VLOOKUP(A526,Import_SuiviGlobal_MigAppliSate!A:I,3,FALSE)</f>
        <v>U Express</v>
      </c>
      <c r="D526" s="1" t="str">
        <f ca="1">VLOOKUP(A526,Import_SuiviGlobal_MigAppliSate!A:I,4,FALSE)</f>
        <v>Coop U Enseigne NordOuest</v>
      </c>
      <c r="E526">
        <f ca="1">VLOOKUP(A526,Import_SuiviGlobal_MigAppliSate!A:I,5,FALSE)</f>
        <v>78690</v>
      </c>
      <c r="F526" t="str">
        <f ca="1">VLOOKUP(A526,Import_SuiviGlobal_MigAppliSate!A:I,6,FALSE)</f>
        <v>20 RUE MAUBERT</v>
      </c>
      <c r="G526" t="str">
        <f ca="1">VLOOKUP(A526,Import_SuiviGlobal_MigAppliSate!A:I,7,FALSE)</f>
        <v>01.30.41.68.60</v>
      </c>
      <c r="H526" t="str">
        <f ca="1">VLOOKUP(A526,Import_SuiviGlobal_MigAppliSate!A:I,8,FALSE)</f>
        <v>DELOMMEZ Stéphane</v>
      </c>
      <c r="I526" t="str">
        <f ca="1">VLOOKUP(A526,Import_SuiviGlobal_MigAppliSate!A:I,9,FALSE)</f>
        <v>stephane.delommez@systeme-u.fr</v>
      </c>
      <c r="J526" s="24" t="str">
        <f ca="1">VLOOKUP(A526,Import_SuiviGlobal_MigAppliSate!A:K,10,FALSE)</f>
        <v>M. Dupuis</v>
      </c>
      <c r="K526" t="str">
        <f ca="1">VLOOKUP(A526,Import_SuiviGlobal_MigAppliSate!A:K,11,FALSE)</f>
        <v>uexpress.lesessartsleroi@systeme-u.fr</v>
      </c>
      <c r="O526" s="1" t="s">
        <v>22</v>
      </c>
    </row>
    <row r="527" spans="1:15" ht="12.75" hidden="1" x14ac:dyDescent="0.2">
      <c r="A527">
        <v>32178</v>
      </c>
      <c r="B527" t="str">
        <f ca="1">VLOOKUP(A527,Import_SuiviGlobal_MigAppliSate!A:I,2,FALSE)</f>
        <v>LES HERBIERS</v>
      </c>
      <c r="C527" t="str">
        <f ca="1">VLOOKUP(A527,Import_SuiviGlobal_MigAppliSate!A:I,3,FALSE)</f>
        <v>Hyper U</v>
      </c>
      <c r="D527" s="1" t="str">
        <f ca="1">VLOOKUP(A527,Import_SuiviGlobal_MigAppliSate!A:I,4,FALSE)</f>
        <v>Coop U Enseigne Ouest</v>
      </c>
      <c r="E527">
        <f ca="1">VLOOKUP(A527,Import_SuiviGlobal_MigAppliSate!A:I,5,FALSE)</f>
        <v>85500</v>
      </c>
      <c r="F527" t="str">
        <f ca="1">VLOOKUP(A527,Import_SuiviGlobal_MigAppliSate!A:I,6,FALSE)</f>
        <v>AVENUE DE LA MAINE</v>
      </c>
      <c r="G527" t="str">
        <f ca="1">VLOOKUP(A527,Import_SuiviGlobal_MigAppliSate!A:I,7,FALSE)</f>
        <v>02.51.91.02.97</v>
      </c>
      <c r="H527" t="str">
        <f ca="1">VLOOKUP(A527,Import_SuiviGlobal_MigAppliSate!A:I,8,FALSE)</f>
        <v>MORIN Dominique</v>
      </c>
      <c r="I527" t="str">
        <f ca="1">VLOOKUP(A527,Import_SuiviGlobal_MigAppliSate!A:I,9,FALSE)</f>
        <v>dominique.morin@systeme-u.fr</v>
      </c>
      <c r="J527" s="24" t="str">
        <f ca="1">VLOOKUP(A527,Import_SuiviGlobal_MigAppliSate!A:K,10,FALSE)</f>
        <v>Mr Murzeau</v>
      </c>
      <c r="K527" t="str">
        <f ca="1">VLOOKUP(A527,Import_SuiviGlobal_MigAppliSate!A:K,11,FALSE)</f>
        <v>hyperu.lesherbiers@systeme-u.fr</v>
      </c>
      <c r="L527" t="s">
        <v>17</v>
      </c>
      <c r="M527" t="s">
        <v>24</v>
      </c>
      <c r="N527" s="1" t="s">
        <v>18</v>
      </c>
      <c r="O527" s="1" t="s">
        <v>19</v>
      </c>
    </row>
    <row r="528" spans="1:15" ht="12.75" hidden="1" x14ac:dyDescent="0.2">
      <c r="A528">
        <v>66121</v>
      </c>
      <c r="B528" t="str">
        <f ca="1">VLOOKUP(A528,Import_SuiviGlobal_MigAppliSate!A:I,2,FALSE)</f>
        <v>LES HOUCHES</v>
      </c>
      <c r="C528" t="str">
        <f ca="1">VLOOKUP(A528,Import_SuiviGlobal_MigAppliSate!A:I,3,FALSE)</f>
        <v>Super U</v>
      </c>
      <c r="D528" s="1" t="str">
        <f ca="1">VLOOKUP(A528,Import_SuiviGlobal_MigAppliSate!A:I,4,FALSE)</f>
        <v>Coop U Enseigne Est</v>
      </c>
      <c r="E528">
        <f ca="1">VLOOKUP(A528,Import_SuiviGlobal_MigAppliSate!A:I,5,FALSE)</f>
        <v>74310</v>
      </c>
      <c r="F528" t="str">
        <f ca="1">VLOOKUP(A528,Import_SuiviGlobal_MigAppliSate!A:I,6,FALSE)</f>
        <v>Le Borgeat</v>
      </c>
      <c r="G528" t="str">
        <f ca="1">VLOOKUP(A528,Import_SuiviGlobal_MigAppliSate!A:I,7,FALSE)</f>
        <v>04.50.55.51.70</v>
      </c>
      <c r="H528" t="str">
        <f ca="1">VLOOKUP(A528,Import_SuiviGlobal_MigAppliSate!A:I,8,FALSE)</f>
        <v>PAYOT PERTIN Henri</v>
      </c>
      <c r="I528" t="str">
        <f ca="1">VLOOKUP(A528,Import_SuiviGlobal_MigAppliSate!A:I,9,FALSE)</f>
        <v>henri.payot-pertin@systeme-u.fr</v>
      </c>
      <c r="J528" s="24" t="str">
        <f ca="1">VLOOKUP(A528,Import_SuiviGlobal_MigAppliSate!A:K,10,FALSE)</f>
        <v>Karine Chamel</v>
      </c>
      <c r="K528" t="str">
        <f ca="1">VLOOKUP(A528,Import_SuiviGlobal_MigAppliSate!A:K,11,FALSE)</f>
        <v>superu.leshouches.direction@systeme-u.fr</v>
      </c>
      <c r="O528" s="1" t="s">
        <v>22</v>
      </c>
    </row>
    <row r="529" spans="1:15" ht="12.75" hidden="1" x14ac:dyDescent="0.2">
      <c r="A529">
        <v>31163</v>
      </c>
      <c r="B529" t="str">
        <f ca="1">VLOOKUP(A529,Import_SuiviGlobal_MigAppliSate!A:I,2,FALSE)</f>
        <v>LES MARINES-ST-HILAIRE</v>
      </c>
      <c r="C529" t="str">
        <f ca="1">VLOOKUP(A529,Import_SuiviGlobal_MigAppliSate!A:I,3,FALSE)</f>
        <v>U Express</v>
      </c>
      <c r="D529" s="1" t="str">
        <f ca="1">VLOOKUP(A529,Import_SuiviGlobal_MigAppliSate!A:I,4,FALSE)</f>
        <v>Coop U Enseigne Ouest</v>
      </c>
      <c r="E529">
        <f ca="1">VLOOKUP(A529,Import_SuiviGlobal_MigAppliSate!A:I,5,FALSE)</f>
        <v>85270</v>
      </c>
      <c r="F529" t="str">
        <f ca="1">VLOOKUP(A529,Import_SuiviGlobal_MigAppliSate!A:I,6,FALSE)</f>
        <v>150 RUE DE LA PEGE</v>
      </c>
      <c r="G529" t="str">
        <f ca="1">VLOOKUP(A529,Import_SuiviGlobal_MigAppliSate!A:I,7,FALSE)</f>
        <v>02.51.58.48.45</v>
      </c>
      <c r="H529" t="str">
        <f ca="1">VLOOKUP(A529,Import_SuiviGlobal_MigAppliSate!A:I,8,FALSE)</f>
        <v>STEPHAN Loic</v>
      </c>
      <c r="I529" t="str">
        <f ca="1">VLOOKUP(A529,Import_SuiviGlobal_MigAppliSate!A:I,9,FALSE)</f>
        <v>loic.stephan@systeme-u.fr</v>
      </c>
      <c r="J529" s="24" t="str">
        <f ca="1">VLOOKUP(A529,Import_SuiviGlobal_MigAppliSate!A:K,10,FALSE)</f>
        <v>RABILLE Nicolas</v>
      </c>
      <c r="K529" t="str">
        <f ca="1">VLOOKUP(A529,Import_SuiviGlobal_MigAppliSate!A:K,11,FALSE)</f>
        <v>superu.saintgillescroixdevie.gescom@systeme-u.fr</v>
      </c>
      <c r="O529" s="1" t="s">
        <v>22</v>
      </c>
    </row>
    <row r="530" spans="1:15" ht="12.75" hidden="1" x14ac:dyDescent="0.2">
      <c r="A530">
        <v>20450</v>
      </c>
      <c r="B530" t="str">
        <f ca="1">VLOOKUP(A530,Import_SuiviGlobal_MigAppliSate!A:I,2,FALSE)</f>
        <v>LES PIEUX</v>
      </c>
      <c r="C530" t="str">
        <f ca="1">VLOOKUP(A530,Import_SuiviGlobal_MigAppliSate!A:I,3,FALSE)</f>
        <v>Super U</v>
      </c>
      <c r="D530" s="1" t="str">
        <f ca="1">VLOOKUP(A530,Import_SuiviGlobal_MigAppliSate!A:I,4,FALSE)</f>
        <v>Coop U Enseigne NordOuest</v>
      </c>
      <c r="E530">
        <f ca="1">VLOOKUP(A530,Import_SuiviGlobal_MigAppliSate!A:I,5,FALSE)</f>
        <v>50340</v>
      </c>
      <c r="F530" t="str">
        <f ca="1">VLOOKUP(A530,Import_SuiviGlobal_MigAppliSate!A:I,6,FALSE)</f>
        <v>2 ROUTE DE FLAMANVILLE</v>
      </c>
      <c r="G530" t="str">
        <f ca="1">VLOOKUP(A530,Import_SuiviGlobal_MigAppliSate!A:I,7,FALSE)</f>
        <v>02.33.52.91.69</v>
      </c>
      <c r="H530" t="str">
        <f ca="1">VLOOKUP(A530,Import_SuiviGlobal_MigAppliSate!A:I,8,FALSE)</f>
        <v>GAIGNARD Christian</v>
      </c>
      <c r="I530" t="str">
        <f ca="1">VLOOKUP(A530,Import_SuiviGlobal_MigAppliSate!A:I,9,FALSE)</f>
        <v>christian.gaignard@systeme-u.fr</v>
      </c>
      <c r="J530" s="24" t="str">
        <f ca="1">VLOOKUP(A530,Import_SuiviGlobal_MigAppliSate!A:K,10,FALSE)</f>
        <v>M Olivier Hervé</v>
      </c>
      <c r="K530" t="str">
        <f ca="1">VLOOKUP(A530,Import_SuiviGlobal_MigAppliSate!A:K,11,FALSE)</f>
        <v>herve.olivier@systeme-u.fr</v>
      </c>
      <c r="O530" s="1" t="s">
        <v>22</v>
      </c>
    </row>
    <row r="531" spans="1:15" ht="12.75" hidden="1" x14ac:dyDescent="0.2">
      <c r="A531">
        <v>32992</v>
      </c>
      <c r="B531" t="str">
        <f ca="1">VLOOKUP(A531,Import_SuiviGlobal_MigAppliSate!A:I,2,FALSE)</f>
        <v>LES SABLES LA CHAUME</v>
      </c>
      <c r="C531" t="str">
        <f ca="1">VLOOKUP(A531,Import_SuiviGlobal_MigAppliSate!A:I,3,FALSE)</f>
        <v>Super U</v>
      </c>
      <c r="D531" s="1" t="str">
        <f ca="1">VLOOKUP(A531,Import_SuiviGlobal_MigAppliSate!A:I,4,FALSE)</f>
        <v>Coop U Enseigne Ouest</v>
      </c>
      <c r="E531">
        <f ca="1">VLOOKUP(A531,Import_SuiviGlobal_MigAppliSate!A:I,5,FALSE)</f>
        <v>85100</v>
      </c>
      <c r="F531" t="str">
        <f ca="1">VLOOKUP(A531,Import_SuiviGlobal_MigAppliSate!A:I,6,FALSE)</f>
        <v>68 RUE JOSEPH BENATIER</v>
      </c>
      <c r="G531" t="str">
        <f ca="1">VLOOKUP(A531,Import_SuiviGlobal_MigAppliSate!A:I,7,FALSE)</f>
        <v>02.51.32.46.51</v>
      </c>
      <c r="H531" t="str">
        <f ca="1">VLOOKUP(A531,Import_SuiviGlobal_MigAppliSate!A:I,8,FALSE)</f>
        <v>THOUZEAU RPT SAS SO LI FI T Lionel</v>
      </c>
      <c r="I531" t="str">
        <f ca="1">VLOOKUP(A531,Import_SuiviGlobal_MigAppliSate!A:I,9,FALSE)</f>
        <v>lionel.thouzeau@systeme-u.fr</v>
      </c>
      <c r="J531" s="24" t="str">
        <f ca="1">VLOOKUP(A531,Import_SuiviGlobal_MigAppliSate!A:K,10,FALSE)</f>
        <v>Patrick BERNARD
Charles Henry THOUZEAU (fils de l'associé, futur associé, destinataire de mail mais pas référent)
Mme Mallorie (UPLV)</v>
      </c>
      <c r="K531" t="str">
        <f ca="1">VLOOKUP(A531,Import_SuiviGlobal_MigAppliSate!A:K,11,FALSE)</f>
        <v>superu.lachaume.administratif@systeme-u.fr,charles-henri.thouzeau@systeme-u.fr, superu.lachaume.affichage@systeme-u.fr</v>
      </c>
      <c r="O531" s="1" t="s">
        <v>22</v>
      </c>
    </row>
    <row r="532" spans="1:15" ht="12.75" hidden="1" x14ac:dyDescent="0.2">
      <c r="A532">
        <v>90190</v>
      </c>
      <c r="B532" t="str">
        <f ca="1">VLOOKUP(A532,Import_SuiviGlobal_MigAppliSate!A:I,2,FALSE)</f>
        <v>LES VANS</v>
      </c>
      <c r="C532" t="str">
        <f ca="1">VLOOKUP(A532,Import_SuiviGlobal_MigAppliSate!A:I,3,FALSE)</f>
        <v>Super U</v>
      </c>
      <c r="D532" s="1" t="str">
        <f ca="1">VLOOKUP(A532,Import_SuiviGlobal_MigAppliSate!A:I,4,FALSE)</f>
        <v>Coop U Enseigne Sud</v>
      </c>
      <c r="E532">
        <f ca="1">VLOOKUP(A532,Import_SuiviGlobal_MigAppliSate!A:I,5,FALSE)</f>
        <v>7140</v>
      </c>
      <c r="F532" t="str">
        <f ca="1">VLOOKUP(A532,Import_SuiviGlobal_MigAppliSate!A:I,6,FALSE)</f>
        <v>LE COUSSILLON</v>
      </c>
      <c r="G532" t="str">
        <f ca="1">VLOOKUP(A532,Import_SuiviGlobal_MigAppliSate!A:I,7,FALSE)</f>
        <v>04.75.37.23.03</v>
      </c>
      <c r="H532" t="str">
        <f ca="1">VLOOKUP(A532,Import_SuiviGlobal_MigAppliSate!A:I,8,FALSE)</f>
        <v>BOUVY Renee</v>
      </c>
      <c r="I532" t="str">
        <f ca="1">VLOOKUP(A532,Import_SuiviGlobal_MigAppliSate!A:I,9,FALSE)</f>
        <v>robert.bouvy@systeme-u.fr</v>
      </c>
      <c r="J532" s="24" t="str">
        <f ca="1">VLOOKUP(A532,Import_SuiviGlobal_MigAppliSate!A:K,10,FALSE)</f>
        <v/>
      </c>
      <c r="K532" t="str">
        <f ca="1">VLOOKUP(A532,Import_SuiviGlobal_MigAppliSate!A:K,11,FALSE)</f>
        <v>mathilde.bouvy@systeme-u.fr</v>
      </c>
      <c r="O532" s="1" t="s">
        <v>22</v>
      </c>
    </row>
    <row r="533" spans="1:15" ht="12.75" hidden="1" x14ac:dyDescent="0.2">
      <c r="A533">
        <v>23581</v>
      </c>
      <c r="B533" t="str">
        <f ca="1">VLOOKUP(A533,Import_SuiviGlobal_MigAppliSate!A:I,2,FALSE)</f>
        <v>LEVALLOIS PERRET</v>
      </c>
      <c r="C533" t="str">
        <f ca="1">VLOOKUP(A533,Import_SuiviGlobal_MigAppliSate!A:I,3,FALSE)</f>
        <v>U Express</v>
      </c>
      <c r="D533" s="1" t="str">
        <f ca="1">VLOOKUP(A533,Import_SuiviGlobal_MigAppliSate!A:I,4,FALSE)</f>
        <v>Coop U Enseigne NordOuest</v>
      </c>
      <c r="E533">
        <f ca="1">VLOOKUP(A533,Import_SuiviGlobal_MigAppliSate!A:I,5,FALSE)</f>
        <v>92300</v>
      </c>
      <c r="F533" t="str">
        <f ca="1">VLOOKUP(A533,Import_SuiviGlobal_MigAppliSate!A:I,6,FALSE)</f>
        <v>90 RUE ANATOLE FRANCE</v>
      </c>
      <c r="G533" t="str">
        <f ca="1">VLOOKUP(A533,Import_SuiviGlobal_MigAppliSate!A:I,7,FALSE)</f>
        <v>01.56.76.60.32</v>
      </c>
      <c r="H533" t="str">
        <f ca="1">VLOOKUP(A533,Import_SuiviGlobal_MigAppliSate!A:I,8,FALSE)</f>
        <v>OUAKNINE Salomon</v>
      </c>
      <c r="I533" t="str">
        <f ca="1">VLOOKUP(A533,Import_SuiviGlobal_MigAppliSate!A:I,9,FALSE)</f>
        <v>nathalie.ouaknine@systeme-u.fr</v>
      </c>
      <c r="J533" s="24" t="str">
        <f ca="1">VLOOKUP(A533,Import_SuiviGlobal_MigAppliSate!A:K,10,FALSE)</f>
        <v>Lepinay Benedicte</v>
      </c>
      <c r="K533" t="str">
        <f ca="1">VLOOKUP(A533,Import_SuiviGlobal_MigAppliSate!A:K,11,FALSE)</f>
        <v>uexpress.levallois@systeme-u.fr</v>
      </c>
      <c r="L533" t="s">
        <v>20</v>
      </c>
      <c r="M533" s="1" t="s">
        <v>23</v>
      </c>
      <c r="O533" s="1" t="s">
        <v>22</v>
      </c>
    </row>
    <row r="534" spans="1:15" ht="12.75" hidden="1" x14ac:dyDescent="0.2">
      <c r="A534">
        <v>32074</v>
      </c>
      <c r="B534" t="str">
        <f ca="1">VLOOKUP(A534,Import_SuiviGlobal_MigAppliSate!A:I,2,FALSE)</f>
        <v>LEVROUX</v>
      </c>
      <c r="C534" t="str">
        <f ca="1">VLOOKUP(A534,Import_SuiviGlobal_MigAppliSate!A:I,3,FALSE)</f>
        <v>Super U</v>
      </c>
      <c r="D534" s="1" t="str">
        <f ca="1">VLOOKUP(A534,Import_SuiviGlobal_MigAppliSate!A:I,4,FALSE)</f>
        <v>Coop Atlantique</v>
      </c>
      <c r="E534">
        <f ca="1">VLOOKUP(A534,Import_SuiviGlobal_MigAppliSate!A:I,5,FALSE)</f>
        <v>36110</v>
      </c>
      <c r="F534" t="str">
        <f ca="1">VLOOKUP(A534,Import_SuiviGlobal_MigAppliSate!A:I,6,FALSE)</f>
        <v>ROUTE DE VILLEGONGIS</v>
      </c>
      <c r="G534" t="str">
        <f ca="1">VLOOKUP(A534,Import_SuiviGlobal_MigAppliSate!A:I,7,FALSE)</f>
        <v>02.54.35.72.35</v>
      </c>
      <c r="H534" t="str">
        <f ca="1">VLOOKUP(A534,Import_SuiviGlobal_MigAppliSate!A:I,8,FALSE)</f>
        <v>FLAMBARD Hervé</v>
      </c>
      <c r="I534" t="str">
        <f ca="1">VLOOKUP(A534,Import_SuiviGlobal_MigAppliSate!A:I,9,FALSE)</f>
        <v>bertrand.defontaine_coop_su_uex@systeme-u.fr</v>
      </c>
      <c r="J534" s="24" t="str">
        <f ca="1">VLOOKUP(A534,Import_SuiviGlobal_MigAppliSate!A:K,10,FALSE)</f>
        <v/>
      </c>
      <c r="K534" t="str">
        <f ca="1">VLOOKUP(A534,Import_SuiviGlobal_MigAppliSate!A:K,11,FALSE)</f>
        <v>superu.levroux.direction@systeme-u.fr,nbrigant@coop-atlantique.fr,sjaud@coop-atlantique.fr,mlieby@coop-atlantique.fr</v>
      </c>
      <c r="L534" s="1" t="s">
        <v>17</v>
      </c>
      <c r="M534" t="s">
        <v>23</v>
      </c>
      <c r="O534" s="1" t="s">
        <v>22</v>
      </c>
    </row>
    <row r="535" spans="1:15" ht="12.75" hidden="1" x14ac:dyDescent="0.2">
      <c r="A535">
        <v>95189</v>
      </c>
      <c r="B535" t="str">
        <f ca="1">VLOOKUP(A535,Import_SuiviGlobal_MigAppliSate!A:I,2,FALSE)</f>
        <v>LIBOURNE</v>
      </c>
      <c r="C535" t="str">
        <f ca="1">VLOOKUP(A535,Import_SuiviGlobal_MigAppliSate!A:I,3,FALSE)</f>
        <v>U Express</v>
      </c>
      <c r="D535" s="1" t="str">
        <f ca="1">VLOOKUP(A535,Import_SuiviGlobal_MigAppliSate!A:I,4,FALSE)</f>
        <v>Coop U Enseigne Sud</v>
      </c>
      <c r="E535">
        <f ca="1">VLOOKUP(A535,Import_SuiviGlobal_MigAppliSate!A:I,5,FALSE)</f>
        <v>33500</v>
      </c>
      <c r="F535" t="str">
        <f ca="1">VLOOKUP(A535,Import_SuiviGlobal_MigAppliSate!A:I,6,FALSE)</f>
        <v>27 29 ALLEE ROBERT BOULIN</v>
      </c>
      <c r="G535" t="str">
        <f ca="1">VLOOKUP(A535,Import_SuiviGlobal_MigAppliSate!A:I,7,FALSE)</f>
        <v>05.57.55.00.20</v>
      </c>
      <c r="H535" t="str">
        <f ca="1">VLOOKUP(A535,Import_SuiviGlobal_MigAppliSate!A:I,8,FALSE)</f>
        <v>ROUX Jean-Christophe</v>
      </c>
      <c r="I535" t="str">
        <f ca="1">VLOOKUP(A535,Import_SuiviGlobal_MigAppliSate!A:I,9,FALSE)</f>
        <v>jean-christophe.roux@systeme-u.fr</v>
      </c>
      <c r="J535" s="24" t="str">
        <f ca="1">VLOOKUP(A535,Import_SuiviGlobal_MigAppliSate!A:K,10,FALSE)</f>
        <v>Marie-Claire ROUX</v>
      </c>
      <c r="K535" t="str">
        <f ca="1">VLOOKUP(A535,Import_SuiviGlobal_MigAppliSate!A:K,11,FALSE)</f>
        <v>uexpress.libourne@systeme-u.fr</v>
      </c>
      <c r="O535" s="1" t="s">
        <v>22</v>
      </c>
    </row>
    <row r="536" spans="1:15" ht="12.75" hidden="1" x14ac:dyDescent="0.2">
      <c r="A536">
        <v>65226</v>
      </c>
      <c r="B536" t="str">
        <f ca="1">VLOOKUP(A536,Import_SuiviGlobal_MigAppliSate!A:I,2,FALSE)</f>
        <v>LIFFOL LE GRAND</v>
      </c>
      <c r="C536" t="str">
        <f ca="1">VLOOKUP(A536,Import_SuiviGlobal_MigAppliSate!A:I,3,FALSE)</f>
        <v>U Express</v>
      </c>
      <c r="D536" s="1" t="str">
        <f ca="1">VLOOKUP(A536,Import_SuiviGlobal_MigAppliSate!A:I,4,FALSE)</f>
        <v>Coop U Enseigne Est</v>
      </c>
      <c r="E536">
        <f ca="1">VLOOKUP(A536,Import_SuiviGlobal_MigAppliSate!A:I,5,FALSE)</f>
        <v>88350</v>
      </c>
      <c r="F536" t="str">
        <f ca="1">VLOOKUP(A536,Import_SuiviGlobal_MigAppliSate!A:I,6,FALSE)</f>
        <v>ROUTE DE JOINVILLE</v>
      </c>
      <c r="G536" t="str">
        <f ca="1">VLOOKUP(A536,Import_SuiviGlobal_MigAppliSate!A:I,7,FALSE)</f>
        <v>03.29.06.61.57</v>
      </c>
      <c r="H536" t="str">
        <f ca="1">VLOOKUP(A536,Import_SuiviGlobal_MigAppliSate!A:I,8,FALSE)</f>
        <v>TOUSSAINT Virgile</v>
      </c>
      <c r="I536" t="str">
        <f ca="1">VLOOKUP(A536,Import_SuiviGlobal_MigAppliSate!A:I,9,FALSE)</f>
        <v>virgile.toussaint@systeme-u.fr</v>
      </c>
      <c r="J536" s="24" t="str">
        <f ca="1">VLOOKUP(A536,Import_SuiviGlobal_MigAppliSate!A:K,10,FALSE)</f>
        <v/>
      </c>
      <c r="K536" t="str">
        <f ca="1">VLOOKUP(A536,Import_SuiviGlobal_MigAppliSate!A:K,11,FALSE)</f>
        <v/>
      </c>
      <c r="O536" s="1" t="s">
        <v>22</v>
      </c>
    </row>
    <row r="537" spans="1:15" ht="12.75" hidden="1" x14ac:dyDescent="0.2">
      <c r="A537">
        <v>35525</v>
      </c>
      <c r="B537" t="str">
        <f ca="1">VLOOKUP(A537,Import_SuiviGlobal_MigAppliSate!A:I,2,FALSE)</f>
        <v>LIFFRE</v>
      </c>
      <c r="C537" t="str">
        <f ca="1">VLOOKUP(A537,Import_SuiviGlobal_MigAppliSate!A:I,3,FALSE)</f>
        <v>Super U</v>
      </c>
      <c r="D537" s="1" t="str">
        <f ca="1">VLOOKUP(A537,Import_SuiviGlobal_MigAppliSate!A:I,4,FALSE)</f>
        <v>Coop U Enseigne Ouest</v>
      </c>
      <c r="E537">
        <f ca="1">VLOOKUP(A537,Import_SuiviGlobal_MigAppliSate!A:I,5,FALSE)</f>
        <v>35340</v>
      </c>
      <c r="F537" t="str">
        <f ca="1">VLOOKUP(A537,Import_SuiviGlobal_MigAppliSate!A:I,6,FALSE)</f>
        <v>98, RUE DE RENNES</v>
      </c>
      <c r="G537" t="str">
        <f ca="1">VLOOKUP(A537,Import_SuiviGlobal_MigAppliSate!A:I,7,FALSE)</f>
        <v>02.99.23.53.70</v>
      </c>
      <c r="H537" t="str">
        <f ca="1">VLOOKUP(A537,Import_SuiviGlobal_MigAppliSate!A:I,8,FALSE)</f>
        <v>LASSAIGNE RPT SAS KERLADIS Kristèle</v>
      </c>
      <c r="I537" t="str">
        <f ca="1">VLOOKUP(A537,Import_SuiviGlobal_MigAppliSate!A:I,9,FALSE)</f>
        <v>anthony.lassaigne@systeme-u.fr</v>
      </c>
      <c r="J537" s="24" t="str">
        <f ca="1">VLOOKUP(A537,Import_SuiviGlobal_MigAppliSate!A:K,10,FALSE)</f>
        <v>AINS Valérie</v>
      </c>
      <c r="K537" t="str">
        <f ca="1">VLOOKUP(A537,Import_SuiviGlobal_MigAppliSate!A:K,11,FALSE)</f>
        <v>superu.liffre.administratif@systeme-u.fr</v>
      </c>
      <c r="O537" s="1" t="s">
        <v>22</v>
      </c>
    </row>
    <row r="538" spans="1:15" ht="12.75" hidden="1" x14ac:dyDescent="0.2">
      <c r="A538">
        <v>30981</v>
      </c>
      <c r="B538" t="str">
        <f ca="1">VLOOKUP(A538,Import_SuiviGlobal_MigAppliSate!A:I,2,FALSE)</f>
        <v>LIGNE</v>
      </c>
      <c r="C538" t="str">
        <f ca="1">VLOOKUP(A538,Import_SuiviGlobal_MigAppliSate!A:I,3,FALSE)</f>
        <v>Super U</v>
      </c>
      <c r="D538" s="1" t="str">
        <f ca="1">VLOOKUP(A538,Import_SuiviGlobal_MigAppliSate!A:I,4,FALSE)</f>
        <v>Coop U Enseigne Ouest</v>
      </c>
      <c r="E538">
        <f ca="1">VLOOKUP(A538,Import_SuiviGlobal_MigAppliSate!A:I,5,FALSE)</f>
        <v>44850</v>
      </c>
      <c r="F538" t="str">
        <f ca="1">VLOOKUP(A538,Import_SuiviGlobal_MigAppliSate!A:I,6,FALSE)</f>
        <v>89, RUE DU SOUVENIR</v>
      </c>
      <c r="G538" t="str">
        <f ca="1">VLOOKUP(A538,Import_SuiviGlobal_MigAppliSate!A:I,7,FALSE)</f>
        <v>02.40.77.04.45</v>
      </c>
      <c r="H538" t="str">
        <f ca="1">VLOOKUP(A538,Import_SuiviGlobal_MigAppliSate!A:I,8,FALSE)</f>
        <v>BESNARD RPT SARL MARINEDIS Sébastien</v>
      </c>
      <c r="I538" t="str">
        <f ca="1">VLOOKUP(A538,Import_SuiviGlobal_MigAppliSate!A:I,9,FALSE)</f>
        <v>sebastien.besnard@systeme-u.fr</v>
      </c>
      <c r="J538" s="24" t="str">
        <f ca="1">VLOOKUP(A538,Import_SuiviGlobal_MigAppliSate!A:K,10,FALSE)</f>
        <v/>
      </c>
      <c r="K538" t="str">
        <f ca="1">VLOOKUP(A538,Import_SuiviGlobal_MigAppliSate!A:K,11,FALSE)</f>
        <v/>
      </c>
      <c r="O538" s="1" t="s">
        <v>22</v>
      </c>
    </row>
    <row r="539" spans="1:15" ht="12.75" hidden="1" x14ac:dyDescent="0.2">
      <c r="A539">
        <v>22062</v>
      </c>
      <c r="B539" t="str">
        <f ca="1">VLOOKUP(A539,Import_SuiviGlobal_MigAppliSate!A:I,2,FALSE)</f>
        <v>LILLE</v>
      </c>
      <c r="C539" t="str">
        <f ca="1">VLOOKUP(A539,Import_SuiviGlobal_MigAppliSate!A:I,3,FALSE)</f>
        <v>U Express</v>
      </c>
      <c r="D539" s="1" t="str">
        <f ca="1">VLOOKUP(A539,Import_SuiviGlobal_MigAppliSate!A:I,4,FALSE)</f>
        <v>Coop U Enseigne NordOuest</v>
      </c>
      <c r="E539">
        <f ca="1">VLOOKUP(A539,Import_SuiviGlobal_MigAppliSate!A:I,5,FALSE)</f>
        <v>59000</v>
      </c>
      <c r="F539" t="str">
        <f ca="1">VLOOKUP(A539,Import_SuiviGlobal_MigAppliSate!A:I,6,FALSE)</f>
        <v>51 RUE DU BUISSON</v>
      </c>
      <c r="G539" t="str">
        <f ca="1">VLOOKUP(A539,Import_SuiviGlobal_MigAppliSate!A:I,7,FALSE)</f>
        <v>03.20.55.25.93</v>
      </c>
      <c r="H539" t="str">
        <f ca="1">VLOOKUP(A539,Import_SuiviGlobal_MigAppliSate!A:I,8,FALSE)</f>
        <v>DUMARCHE Cyrille</v>
      </c>
      <c r="I539" t="str">
        <f ca="1">VLOOKUP(A539,Import_SuiviGlobal_MigAppliSate!A:I,9,FALSE)</f>
        <v>cyrille.dumarche@systeme-u.fr</v>
      </c>
      <c r="J539" s="24" t="str">
        <f ca="1">VLOOKUP(A539,Import_SuiviGlobal_MigAppliSate!A:K,10,FALSE)</f>
        <v/>
      </c>
      <c r="K539" t="str">
        <f ca="1">VLOOKUP(A539,Import_SuiviGlobal_MigAppliSate!A:K,11,FALSE)</f>
        <v/>
      </c>
      <c r="O539" s="1" t="s">
        <v>22</v>
      </c>
    </row>
    <row r="540" spans="1:15" ht="12.75" hidden="1" x14ac:dyDescent="0.2">
      <c r="A540">
        <v>25509</v>
      </c>
      <c r="B540" t="str">
        <f ca="1">VLOOKUP(A540,Import_SuiviGlobal_MigAppliSate!A:I,2,FALSE)</f>
        <v>LILLEBONNE</v>
      </c>
      <c r="C540" t="str">
        <f ca="1">VLOOKUP(A540,Import_SuiviGlobal_MigAppliSate!A:I,3,FALSE)</f>
        <v>U Express</v>
      </c>
      <c r="D540" s="1" t="str">
        <f ca="1">VLOOKUP(A540,Import_SuiviGlobal_MigAppliSate!A:I,4,FALSE)</f>
        <v>Coop U Enseigne NordOuest</v>
      </c>
      <c r="E540">
        <f ca="1">VLOOKUP(A540,Import_SuiviGlobal_MigAppliSate!A:I,5,FALSE)</f>
        <v>76170</v>
      </c>
      <c r="F540" t="str">
        <f ca="1">VLOOKUP(A540,Import_SuiviGlobal_MigAppliSate!A:I,6,FALSE)</f>
        <v>35 RUE HENRI MESSAGER</v>
      </c>
      <c r="G540" t="str">
        <f ca="1">VLOOKUP(A540,Import_SuiviGlobal_MigAppliSate!A:I,7,FALSE)</f>
        <v>02.35.39.99.59</v>
      </c>
      <c r="H540" t="str">
        <f ca="1">VLOOKUP(A540,Import_SuiviGlobal_MigAppliSate!A:I,8,FALSE)</f>
        <v>BARRE Stéphane</v>
      </c>
      <c r="I540" t="str">
        <f ca="1">VLOOKUP(A540,Import_SuiviGlobal_MigAppliSate!A:I,9,FALSE)</f>
        <v>stephane.barre@systeme-u.fr</v>
      </c>
      <c r="J540" s="24" t="str">
        <f ca="1">VLOOKUP(A540,Import_SuiviGlobal_MigAppliSate!A:K,10,FALSE)</f>
        <v>Massau dominique</v>
      </c>
      <c r="K540" t="str">
        <f ca="1">VLOOKUP(A540,Import_SuiviGlobal_MigAppliSate!A:K,11,FALSE)</f>
        <v>dominique.massau@coop-cnp.coop,philippe.cappe@coop-cnp.coop²</v>
      </c>
      <c r="L540" t="s">
        <v>20</v>
      </c>
      <c r="M540" t="s">
        <v>21</v>
      </c>
      <c r="O540" s="1" t="s">
        <v>22</v>
      </c>
    </row>
    <row r="541" spans="1:15" ht="12.75" hidden="1" x14ac:dyDescent="0.2">
      <c r="A541">
        <v>31436</v>
      </c>
      <c r="B541" t="str">
        <f ca="1">VLOOKUP(A541,Import_SuiviGlobal_MigAppliSate!A:I,2,FALSE)</f>
        <v>LIMOGES</v>
      </c>
      <c r="C541" t="str">
        <f ca="1">VLOOKUP(A541,Import_SuiviGlobal_MigAppliSate!A:I,3,FALSE)</f>
        <v>Hyper U</v>
      </c>
      <c r="D541" s="1" t="str">
        <f ca="1">VLOOKUP(A541,Import_SuiviGlobal_MigAppliSate!A:I,4,FALSE)</f>
        <v>Coop Atlantique</v>
      </c>
      <c r="E541">
        <f ca="1">VLOOKUP(A541,Import_SuiviGlobal_MigAppliSate!A:I,5,FALSE)</f>
        <v>87100</v>
      </c>
      <c r="F541" t="str">
        <f ca="1">VLOOKUP(A541,Import_SuiviGlobal_MigAppliSate!A:I,6,FALSE)</f>
        <v>14, RUE GEORGES BRIQUET</v>
      </c>
      <c r="G541" t="str">
        <f ca="1">VLOOKUP(A541,Import_SuiviGlobal_MigAppliSate!A:I,7,FALSE)</f>
        <v>05.55.01.45.02</v>
      </c>
      <c r="H541" t="str">
        <f ca="1">VLOOKUP(A541,Import_SuiviGlobal_MigAppliSate!A:I,8,FALSE)</f>
        <v>FLAMBARD Hervé</v>
      </c>
      <c r="I541" t="str">
        <f ca="1">VLOOKUP(A541,Import_SuiviGlobal_MigAppliSate!A:I,9,FALSE)</f>
        <v>laurent.fleury_coop_hu@systeme-u.fr</v>
      </c>
      <c r="J541" s="24" t="str">
        <f ca="1">VLOOKUP(A541,Import_SuiviGlobal_MigAppliSate!A:K,10,FALSE)</f>
        <v/>
      </c>
      <c r="K541" t="str">
        <f ca="1">VLOOKUP(A541,Import_SuiviGlobal_MigAppliSate!A:K,11,FALSE)</f>
        <v>hyperu.limogescorgnac.direction@systeme-u.fr,nbrigant@coop-atlantique.fr,sjaud@coop-atlantique.fr</v>
      </c>
      <c r="L541" s="1" t="s">
        <v>17</v>
      </c>
      <c r="M541" t="s">
        <v>23</v>
      </c>
      <c r="O541" s="1" t="s">
        <v>22</v>
      </c>
    </row>
    <row r="542" spans="1:15" ht="12.75" hidden="1" x14ac:dyDescent="0.2">
      <c r="A542">
        <v>32075</v>
      </c>
      <c r="B542" t="str">
        <f ca="1">VLOOKUP(A542,Import_SuiviGlobal_MigAppliSate!A:I,2,FALSE)</f>
        <v>LIMOGES</v>
      </c>
      <c r="C542" t="str">
        <f ca="1">VLOOKUP(A542,Import_SuiviGlobal_MigAppliSate!A:I,3,FALSE)</f>
        <v>Super U</v>
      </c>
      <c r="D542" s="1" t="str">
        <f ca="1">VLOOKUP(A542,Import_SuiviGlobal_MigAppliSate!A:I,4,FALSE)</f>
        <v>Coop Atlantique</v>
      </c>
      <c r="E542">
        <f ca="1">VLOOKUP(A542,Import_SuiviGlobal_MigAppliSate!A:I,5,FALSE)</f>
        <v>87000</v>
      </c>
      <c r="F542" t="str">
        <f ca="1">VLOOKUP(A542,Import_SuiviGlobal_MigAppliSate!A:I,6,FALSE)</f>
        <v>282 RUE FRANÇOIS PERRIN</v>
      </c>
      <c r="G542" t="str">
        <f ca="1">VLOOKUP(A542,Import_SuiviGlobal_MigAppliSate!A:I,7,FALSE)</f>
        <v>05.55.50.32.50</v>
      </c>
      <c r="H542" t="str">
        <f ca="1">VLOOKUP(A542,Import_SuiviGlobal_MigAppliSate!A:I,8,FALSE)</f>
        <v>FLAMBARD Hervé</v>
      </c>
      <c r="I542" t="str">
        <f ca="1">VLOOKUP(A542,Import_SuiviGlobal_MigAppliSate!A:I,9,FALSE)</f>
        <v>bertrand.defontaine_coop_su_uex@systeme-u.fr</v>
      </c>
      <c r="J542" s="24" t="str">
        <f ca="1">VLOOKUP(A542,Import_SuiviGlobal_MigAppliSate!A:K,10,FALSE)</f>
        <v>GRANSAGNE Jean-Louis</v>
      </c>
      <c r="K542" t="str">
        <f ca="1">VLOOKUP(A542,Import_SuiviGlobal_MigAppliSate!A:K,11,FALSE)</f>
        <v>superu.limogesperrin.direction@systeme-u.fr,nbrigant@coop-atlantique.fr,sjaud@coop-atlantique.fr,jlgransagne@coop-atlantique.fr</v>
      </c>
      <c r="L542" s="1" t="s">
        <v>17</v>
      </c>
      <c r="M542" t="s">
        <v>23</v>
      </c>
      <c r="O542" s="1" t="s">
        <v>22</v>
      </c>
    </row>
    <row r="543" spans="1:15" ht="12.75" hidden="1" x14ac:dyDescent="0.2">
      <c r="A543">
        <v>37560</v>
      </c>
      <c r="B543" t="str">
        <f ca="1">VLOOKUP(A543,Import_SuiviGlobal_MigAppliSate!A:I,2,FALSE)</f>
        <v>LIMOGES BERGONIE</v>
      </c>
      <c r="C543" t="str">
        <f ca="1">VLOOKUP(A543,Import_SuiviGlobal_MigAppliSate!A:I,3,FALSE)</f>
        <v>U Express</v>
      </c>
      <c r="D543" s="1" t="str">
        <f ca="1">VLOOKUP(A543,Import_SuiviGlobal_MigAppliSate!A:I,4,FALSE)</f>
        <v>Coop U Enseigne Ouest</v>
      </c>
      <c r="E543">
        <f ca="1">VLOOKUP(A543,Import_SuiviGlobal_MigAppliSate!A:I,5,FALSE)</f>
        <v>87100</v>
      </c>
      <c r="F543" t="str">
        <f ca="1">VLOOKUP(A543,Import_SuiviGlobal_MigAppliSate!A:I,6,FALSE)</f>
        <v>1, RUE DU DOCTEUR BERGONIE</v>
      </c>
      <c r="G543" t="str">
        <f ca="1">VLOOKUP(A543,Import_SuiviGlobal_MigAppliSate!A:I,7,FALSE)</f>
        <v>05.55.04.22.46</v>
      </c>
      <c r="H543" t="str">
        <f ca="1">VLOOKUP(A543,Import_SuiviGlobal_MigAppliSate!A:I,8,FALSE)</f>
        <v>DOUGE Anthony</v>
      </c>
      <c r="I543" t="str">
        <f ca="1">VLOOKUP(A543,Import_SuiviGlobal_MigAppliSate!A:I,9,FALSE)</f>
        <v>anthony.douge@systeme-u.fr</v>
      </c>
      <c r="J543" s="24" t="str">
        <f ca="1">VLOOKUP(A543,Import_SuiviGlobal_MigAppliSate!A:K,10,FALSE)</f>
        <v>Julien VERGNE</v>
      </c>
      <c r="K543" t="str">
        <f ca="1">VLOOKUP(A543,Import_SuiviGlobal_MigAppliSate!A:K,11,FALSE)</f>
        <v>uexpress.limoges@systeme-u.fr</v>
      </c>
      <c r="O543" s="1" t="s">
        <v>22</v>
      </c>
    </row>
    <row r="544" spans="1:15" ht="12.75" hidden="1" x14ac:dyDescent="0.2">
      <c r="A544">
        <v>34174</v>
      </c>
      <c r="B544" t="str">
        <f ca="1">VLOOKUP(A544,Import_SuiviGlobal_MigAppliSate!A:I,2,FALSE)</f>
        <v>LIMOGES GARE</v>
      </c>
      <c r="C544" t="str">
        <f ca="1">VLOOKUP(A544,Import_SuiviGlobal_MigAppliSate!A:I,3,FALSE)</f>
        <v>U Express</v>
      </c>
      <c r="D544" s="1" t="str">
        <f ca="1">VLOOKUP(A544,Import_SuiviGlobal_MigAppliSate!A:I,4,FALSE)</f>
        <v>Coop Atlantique</v>
      </c>
      <c r="E544">
        <f ca="1">VLOOKUP(A544,Import_SuiviGlobal_MigAppliSate!A:I,5,FALSE)</f>
        <v>87000</v>
      </c>
      <c r="F544" t="str">
        <f ca="1">VLOOKUP(A544,Import_SuiviGlobal_MigAppliSate!A:I,6,FALSE)</f>
        <v>RUE DU MAS LOUBIER</v>
      </c>
      <c r="G544" t="str">
        <f ca="1">VLOOKUP(A544,Import_SuiviGlobal_MigAppliSate!A:I,7,FALSE)</f>
        <v>05.55.77.25.93</v>
      </c>
      <c r="H544" t="str">
        <f ca="1">VLOOKUP(A544,Import_SuiviGlobal_MigAppliSate!A:I,8,FALSE)</f>
        <v>FLAMBARD Hervé</v>
      </c>
      <c r="I544" t="str">
        <f ca="1">VLOOKUP(A544,Import_SuiviGlobal_MigAppliSate!A:I,9,FALSE)</f>
        <v>bertrand.defontaine_coop_su_uex@systeme-u.fr</v>
      </c>
      <c r="J544" s="24" t="str">
        <f ca="1">VLOOKUP(A544,Import_SuiviGlobal_MigAppliSate!A:K,10,FALSE)</f>
        <v>Patrick VERGNE</v>
      </c>
      <c r="K544" t="str">
        <f ca="1">VLOOKUP(A544,Import_SuiviGlobal_MigAppliSate!A:K,11,FALSE)</f>
        <v>uexpress.limogesgaredescharentes.direction@systeme-u.fr,nbrigant@coop-atlantique.fr,sjaud@coop-atlantique.fr,pvergne@coop-atlantique.fr</v>
      </c>
      <c r="O544" s="1" t="s">
        <v>22</v>
      </c>
    </row>
    <row r="545" spans="1:15" ht="12.75" x14ac:dyDescent="0.2">
      <c r="A545">
        <v>35843</v>
      </c>
      <c r="B545" t="str">
        <f ca="1">VLOOKUP(A545,Import_SuiviGlobal_MigAppliSate!A:I,2,FALSE)</f>
        <v>LIMOGES LABUSSIERE</v>
      </c>
      <c r="C545" t="str">
        <f ca="1">VLOOKUP(A545,Import_SuiviGlobal_MigAppliSate!A:I,3,FALSE)</f>
        <v>Super U</v>
      </c>
      <c r="D545" s="1" t="str">
        <f ca="1">VLOOKUP(A545,Import_SuiviGlobal_MigAppliSate!A:I,4,FALSE)</f>
        <v>Coop U Enseigne Ouest</v>
      </c>
      <c r="E545">
        <f ca="1">VLOOKUP(A545,Import_SuiviGlobal_MigAppliSate!A:I,5,FALSE)</f>
        <v>87100</v>
      </c>
      <c r="F545" t="str">
        <f ca="1">VLOOKUP(A545,Import_SuiviGlobal_MigAppliSate!A:I,6,FALSE)</f>
        <v>AVENUE EMILE LABUSSIÈRE</v>
      </c>
      <c r="G545" t="str">
        <f ca="1">VLOOKUP(A545,Import_SuiviGlobal_MigAppliSate!A:I,7,FALSE)</f>
        <v>05.55.77.46.16</v>
      </c>
      <c r="H545" t="str">
        <f ca="1">VLOOKUP(A545,Import_SuiviGlobal_MigAppliSate!A:I,8,FALSE)</f>
        <v>EPAILLARD RPT SARL ALJOAN Hervé</v>
      </c>
      <c r="I545" t="str">
        <f ca="1">VLOOKUP(A545,Import_SuiviGlobal_MigAppliSate!A:I,9,FALSE)</f>
        <v>herve.epaillard@systeme-u.fr</v>
      </c>
      <c r="J545" s="24" t="str">
        <f ca="1">VLOOKUP(A545,Import_SuiviGlobal_MigAppliSate!A:K,10,FALSE)</f>
        <v>Julien LIMOUSIN</v>
      </c>
      <c r="K545" t="str">
        <f ca="1">VLOOKUP(A545,Import_SuiviGlobal_MigAppliSate!A:K,11,FALSE)</f>
        <v>superu.limogeslabussiere@systeme-u.fr, superu.limogeslabussiere.direction@systeme-u.fr</v>
      </c>
      <c r="L545" t="s">
        <v>17</v>
      </c>
      <c r="M545" t="s">
        <v>0</v>
      </c>
      <c r="O545" s="1" t="s">
        <v>22</v>
      </c>
    </row>
    <row r="546" spans="1:15" ht="12.75" hidden="1" x14ac:dyDescent="0.2">
      <c r="A546">
        <v>90473</v>
      </c>
      <c r="B546" t="str">
        <f ca="1">VLOOKUP(A546,Import_SuiviGlobal_MigAppliSate!A:I,2,FALSE)</f>
        <v>LIMOUX</v>
      </c>
      <c r="C546" t="str">
        <f ca="1">VLOOKUP(A546,Import_SuiviGlobal_MigAppliSate!A:I,3,FALSE)</f>
        <v>Super U</v>
      </c>
      <c r="D546" s="1" t="str">
        <f ca="1">VLOOKUP(A546,Import_SuiviGlobal_MigAppliSate!A:I,4,FALSE)</f>
        <v>Coop U Enseigne Sud</v>
      </c>
      <c r="E546">
        <f ca="1">VLOOKUP(A546,Import_SuiviGlobal_MigAppliSate!A:I,5,FALSE)</f>
        <v>11300</v>
      </c>
      <c r="F546" t="str">
        <f ca="1">VLOOKUP(A546,Import_SuiviGlobal_MigAppliSate!A:I,6,FALSE)</f>
        <v>59 AVENUE DE CATALOGNE</v>
      </c>
      <c r="G546" t="str">
        <f ca="1">VLOOKUP(A546,Import_SuiviGlobal_MigAppliSate!A:I,7,FALSE)</f>
        <v>04.68.74.72.20</v>
      </c>
      <c r="H546" t="str">
        <f ca="1">VLOOKUP(A546,Import_SuiviGlobal_MigAppliSate!A:I,8,FALSE)</f>
        <v>BILLEBAULT Frédéric</v>
      </c>
      <c r="I546" t="str">
        <f ca="1">VLOOKUP(A546,Import_SuiviGlobal_MigAppliSate!A:I,9,FALSE)</f>
        <v>frederic.billebault@systeme-u.fr</v>
      </c>
      <c r="J546" s="24" t="str">
        <f ca="1">VLOOKUP(A546,Import_SuiviGlobal_MigAppliSate!A:K,10,FALSE)</f>
        <v>BILLEBAULT Frédéric
M.BENKEMOUN</v>
      </c>
      <c r="K546" t="str">
        <f ca="1">VLOOKUP(A546,Import_SuiviGlobal_MigAppliSate!A:K,11,FALSE)</f>
        <v>superu.limoux.direction@systeme-u.fr</v>
      </c>
      <c r="O546" s="1" t="s">
        <v>22</v>
      </c>
    </row>
    <row r="547" spans="1:15" ht="12.75" hidden="1" x14ac:dyDescent="0.2">
      <c r="A547">
        <v>60090</v>
      </c>
      <c r="B547" t="str">
        <f ca="1">VLOOKUP(A547,Import_SuiviGlobal_MigAppliSate!A:I,2,FALSE)</f>
        <v>LINGOLSHEIM</v>
      </c>
      <c r="C547" t="str">
        <f ca="1">VLOOKUP(A547,Import_SuiviGlobal_MigAppliSate!A:I,3,FALSE)</f>
        <v>Super U</v>
      </c>
      <c r="D547" s="1" t="str">
        <f ca="1">VLOOKUP(A547,Import_SuiviGlobal_MigAppliSate!A:I,4,FALSE)</f>
        <v>Coop U Enseigne Est</v>
      </c>
      <c r="E547">
        <f ca="1">VLOOKUP(A547,Import_SuiviGlobal_MigAppliSate!A:I,5,FALSE)</f>
        <v>67380</v>
      </c>
      <c r="F547" t="str">
        <f ca="1">VLOOKUP(A547,Import_SuiviGlobal_MigAppliSate!A:I,6,FALSE)</f>
        <v>Rue d'Eckbolsheim</v>
      </c>
      <c r="G547" t="str">
        <f ca="1">VLOOKUP(A547,Import_SuiviGlobal_MigAppliSate!A:I,7,FALSE)</f>
        <v>03.90.20.76.76</v>
      </c>
      <c r="H547" t="str">
        <f ca="1">VLOOKUP(A547,Import_SuiviGlobal_MigAppliSate!A:I,8,FALSE)</f>
        <v>GRASS RPT SAS HOLDING Philippe</v>
      </c>
      <c r="I547" t="str">
        <f ca="1">VLOOKUP(A547,Import_SuiviGlobal_MigAppliSate!A:I,9,FALSE)</f>
        <v>philippe.grass@systeme-u.fr</v>
      </c>
      <c r="J547" s="24" t="str">
        <f ca="1">VLOOKUP(A547,Import_SuiviGlobal_MigAppliSate!A:K,10,FALSE)</f>
        <v>Anne-Marie Schierer
Mme Avignon (directrice - UPLV)</v>
      </c>
      <c r="K547" t="str">
        <f ca="1">VLOOKUP(A547,Import_SuiviGlobal_MigAppliSate!A:K,11,FALSE)</f>
        <v>SUPERU.LINGOLSHEIM.CAISSE@SYSTEME-U.FR, superu.lingolsheim.direction@systeme-u.fr</v>
      </c>
      <c r="O547" s="1" t="s">
        <v>22</v>
      </c>
    </row>
    <row r="548" spans="1:15" ht="12.75" hidden="1" x14ac:dyDescent="0.2">
      <c r="A548">
        <v>95135</v>
      </c>
      <c r="B548" t="str">
        <f ca="1">VLOOKUP(A548,Import_SuiviGlobal_MigAppliSate!A:I,2,FALSE)</f>
        <v>LIT ET MIXE</v>
      </c>
      <c r="C548" t="str">
        <f ca="1">VLOOKUP(A548,Import_SuiviGlobal_MigAppliSate!A:I,3,FALSE)</f>
        <v>Super U</v>
      </c>
      <c r="D548" s="1" t="str">
        <f ca="1">VLOOKUP(A548,Import_SuiviGlobal_MigAppliSate!A:I,4,FALSE)</f>
        <v>Coop U Enseigne Sud</v>
      </c>
      <c r="E548">
        <f ca="1">VLOOKUP(A548,Import_SuiviGlobal_MigAppliSate!A:I,5,FALSE)</f>
        <v>40170</v>
      </c>
      <c r="F548" t="str">
        <f ca="1">VLOOKUP(A548,Import_SuiviGlobal_MigAppliSate!A:I,6,FALSE)</f>
        <v>ROUTE DES LACS</v>
      </c>
      <c r="G548" t="str">
        <f ca="1">VLOOKUP(A548,Import_SuiviGlobal_MigAppliSate!A:I,7,FALSE)</f>
        <v>05.58.42.41.39</v>
      </c>
      <c r="H548" t="str">
        <f ca="1">VLOOKUP(A548,Import_SuiviGlobal_MigAppliSate!A:I,8,FALSE)</f>
        <v>GUILHEMJOUAN Marielle</v>
      </c>
      <c r="I548" t="str">
        <f ca="1">VLOOKUP(A548,Import_SuiviGlobal_MigAppliSate!A:I,9,FALSE)</f>
        <v>marielle.guilhemjouan@systeme-u.fr</v>
      </c>
      <c r="J548" s="24" t="str">
        <f ca="1">VLOOKUP(A548,Import_SuiviGlobal_MigAppliSate!A:K,10,FALSE)</f>
        <v>DUNOYE Laure</v>
      </c>
      <c r="K548" t="str">
        <f ca="1">VLOOKUP(A548,Import_SuiviGlobal_MigAppliSate!A:K,11,FALSE)</f>
        <v>superu.litetmixe.compta@systeme-u.fr</v>
      </c>
      <c r="O548" s="1" t="s">
        <v>22</v>
      </c>
    </row>
    <row r="549" spans="1:15" ht="12.75" hidden="1" x14ac:dyDescent="0.2">
      <c r="A549">
        <v>33352</v>
      </c>
      <c r="B549" t="str">
        <f ca="1">VLOOKUP(A549,Import_SuiviGlobal_MigAppliSate!A:I,2,FALSE)</f>
        <v>LOCHES</v>
      </c>
      <c r="C549" t="str">
        <f ca="1">VLOOKUP(A549,Import_SuiviGlobal_MigAppliSate!A:I,3,FALSE)</f>
        <v>Super U</v>
      </c>
      <c r="D549" s="1" t="str">
        <f ca="1">VLOOKUP(A549,Import_SuiviGlobal_MigAppliSate!A:I,4,FALSE)</f>
        <v>Coop U Enseigne Ouest</v>
      </c>
      <c r="E549">
        <f ca="1">VLOOKUP(A549,Import_SuiviGlobal_MigAppliSate!A:I,5,FALSE)</f>
        <v>37600</v>
      </c>
      <c r="F549" t="str">
        <f ca="1">VLOOKUP(A549,Import_SuiviGlobal_MigAppliSate!A:I,6,FALSE)</f>
        <v>ROUTE DE VAUZELLES</v>
      </c>
      <c r="G549" t="str">
        <f ca="1">VLOOKUP(A549,Import_SuiviGlobal_MigAppliSate!A:I,7,FALSE)</f>
        <v>02.47.59.38.52</v>
      </c>
      <c r="H549" t="str">
        <f ca="1">VLOOKUP(A549,Import_SuiviGlobal_MigAppliSate!A:I,8,FALSE)</f>
        <v>HUMEAU RPT SARL FGC Fabien</v>
      </c>
      <c r="I549" t="str">
        <f ca="1">VLOOKUP(A549,Import_SuiviGlobal_MigAppliSate!A:I,9,FALSE)</f>
        <v>fabien.humeau@systeme-u.fr</v>
      </c>
      <c r="J549" s="24" t="str">
        <f ca="1">VLOOKUP(A549,Import_SuiviGlobal_MigAppliSate!A:K,10,FALSE)</f>
        <v>LE BOUCHER Sarah</v>
      </c>
      <c r="K549" t="str">
        <f ca="1">VLOOKUP(A549,Import_SuiviGlobal_MigAppliSate!A:K,11,FALSE)</f>
        <v/>
      </c>
      <c r="O549" s="1" t="s">
        <v>22</v>
      </c>
    </row>
    <row r="550" spans="1:15" ht="12.75" hidden="1" x14ac:dyDescent="0.2">
      <c r="A550">
        <v>90423</v>
      </c>
      <c r="B550" t="str">
        <f ca="1">VLOOKUP(A550,Import_SuiviGlobal_MigAppliSate!A:I,2,FALSE)</f>
        <v>LODEVE</v>
      </c>
      <c r="C550" t="str">
        <f ca="1">VLOOKUP(A550,Import_SuiviGlobal_MigAppliSate!A:I,3,FALSE)</f>
        <v>Super U</v>
      </c>
      <c r="D550" s="1" t="str">
        <f ca="1">VLOOKUP(A550,Import_SuiviGlobal_MigAppliSate!A:I,4,FALSE)</f>
        <v>Coop U Enseigne Sud</v>
      </c>
      <c r="E550">
        <f ca="1">VLOOKUP(A550,Import_SuiviGlobal_MigAppliSate!A:I,5,FALSE)</f>
        <v>34700</v>
      </c>
      <c r="F550" t="str">
        <f ca="1">VLOOKUP(A550,Import_SuiviGlobal_MigAppliSate!A:I,6,FALSE)</f>
        <v>AV.DU GENERAL DE GAULLE</v>
      </c>
      <c r="G550" t="str">
        <f ca="1">VLOOKUP(A550,Import_SuiviGlobal_MigAppliSate!A:I,7,FALSE)</f>
        <v>04.67.88.42.75</v>
      </c>
      <c r="H550" t="str">
        <f ca="1">VLOOKUP(A550,Import_SuiviGlobal_MigAppliSate!A:I,8,FALSE)</f>
        <v>BRINGER Nicolas</v>
      </c>
      <c r="I550" t="str">
        <f ca="1">VLOOKUP(A550,Import_SuiviGlobal_MigAppliSate!A:I,9,FALSE)</f>
        <v>nicolas.bringer@systeme-u.fr</v>
      </c>
      <c r="J550" s="24" t="str">
        <f ca="1">VLOOKUP(A550,Import_SuiviGlobal_MigAppliSate!A:K,10,FALSE)</f>
        <v>M. FOLMER</v>
      </c>
      <c r="K550" t="str">
        <f ca="1">VLOOKUP(A550,Import_SuiviGlobal_MigAppliSate!A:K,11,FALSE)</f>
        <v>superu.lodeve.direction@systeme-u.fr</v>
      </c>
      <c r="O550" s="1" t="s">
        <v>22</v>
      </c>
    </row>
    <row r="551" spans="1:15" ht="12.75" hidden="1" x14ac:dyDescent="0.2">
      <c r="A551">
        <v>38258</v>
      </c>
      <c r="B551" t="str">
        <f ca="1">VLOOKUP(A551,Import_SuiviGlobal_MigAppliSate!A:I,2,FALSE)</f>
        <v>LOIRON</v>
      </c>
      <c r="C551" t="str">
        <f ca="1">VLOOKUP(A551,Import_SuiviGlobal_MigAppliSate!A:I,3,FALSE)</f>
        <v>U Express</v>
      </c>
      <c r="D551" s="1" t="str">
        <f ca="1">VLOOKUP(A551,Import_SuiviGlobal_MigAppliSate!A:I,4,FALSE)</f>
        <v>Coop U Enseigne Ouest</v>
      </c>
      <c r="E551">
        <f ca="1">VLOOKUP(A551,Import_SuiviGlobal_MigAppliSate!A:I,5,FALSE)</f>
        <v>53320</v>
      </c>
      <c r="F551" t="str">
        <f ca="1">VLOOKUP(A551,Import_SuiviGlobal_MigAppliSate!A:I,6,FALSE)</f>
        <v>RD 115</v>
      </c>
      <c r="G551" t="str">
        <f ca="1">VLOOKUP(A551,Import_SuiviGlobal_MigAppliSate!A:I,7,FALSE)</f>
        <v>02.43.66.96.96</v>
      </c>
      <c r="H551" t="str">
        <f ca="1">VLOOKUP(A551,Import_SuiviGlobal_MigAppliSate!A:I,8,FALSE)</f>
        <v>CHAUVIERE Anthony</v>
      </c>
      <c r="I551" t="str">
        <f ca="1">VLOOKUP(A551,Import_SuiviGlobal_MigAppliSate!A:I,9,FALSE)</f>
        <v>anthony.chauviere@systeme-u.fr</v>
      </c>
      <c r="J551" s="24" t="str">
        <f ca="1">VLOOKUP(A551,Import_SuiviGlobal_MigAppliSate!A:K,10,FALSE)</f>
        <v/>
      </c>
      <c r="K551" t="str">
        <f ca="1">VLOOKUP(A551,Import_SuiviGlobal_MigAppliSate!A:K,11,FALSE)</f>
        <v/>
      </c>
      <c r="O551" s="1" t="s">
        <v>22</v>
      </c>
    </row>
    <row r="552" spans="1:15" ht="12.75" hidden="1" x14ac:dyDescent="0.2">
      <c r="A552">
        <v>66135</v>
      </c>
      <c r="B552" t="str">
        <f ca="1">VLOOKUP(A552,Import_SuiviGlobal_MigAppliSate!A:I,2,FALSE)</f>
        <v>LOISIN</v>
      </c>
      <c r="C552" t="str">
        <f ca="1">VLOOKUP(A552,Import_SuiviGlobal_MigAppliSate!A:I,3,FALSE)</f>
        <v>Super U</v>
      </c>
      <c r="D552" s="1" t="str">
        <f ca="1">VLOOKUP(A552,Import_SuiviGlobal_MigAppliSate!A:I,4,FALSE)</f>
        <v>Coop U Enseigne Est</v>
      </c>
      <c r="E552">
        <f ca="1">VLOOKUP(A552,Import_SuiviGlobal_MigAppliSate!A:I,5,FALSE)</f>
        <v>74140</v>
      </c>
      <c r="F552" t="str">
        <f ca="1">VLOOKUP(A552,Import_SuiviGlobal_MigAppliSate!A:I,6,FALSE)</f>
        <v>RD 1206</v>
      </c>
      <c r="G552" t="str">
        <f ca="1">VLOOKUP(A552,Import_SuiviGlobal_MigAppliSate!A:I,7,FALSE)</f>
        <v>04.50.35.40.14</v>
      </c>
      <c r="H552" t="str">
        <f ca="1">VLOOKUP(A552,Import_SuiviGlobal_MigAppliSate!A:I,8,FALSE)</f>
        <v>DECARROZ Aurelie</v>
      </c>
      <c r="I552" t="str">
        <f ca="1">VLOOKUP(A552,Import_SuiviGlobal_MigAppliSate!A:I,9,FALSE)</f>
        <v>aurelie.decarroz@systeme-u.fr</v>
      </c>
      <c r="J552" s="24" t="str">
        <f ca="1">VLOOKUP(A552,Import_SuiviGlobal_MigAppliSate!A:K,10,FALSE)</f>
        <v/>
      </c>
      <c r="K552" t="str">
        <f ca="1">VLOOKUP(A552,Import_SuiviGlobal_MigAppliSate!A:K,11,FALSE)</f>
        <v/>
      </c>
      <c r="O552" s="1" t="s">
        <v>22</v>
      </c>
    </row>
    <row r="553" spans="1:15" ht="12.75" hidden="1" x14ac:dyDescent="0.2">
      <c r="A553">
        <v>28125</v>
      </c>
      <c r="B553" t="str">
        <f ca="1">VLOOKUP(A553,Import_SuiviGlobal_MigAppliSate!A:I,2,FALSE)</f>
        <v>LONDINIÈRES</v>
      </c>
      <c r="C553" t="str">
        <f ca="1">VLOOKUP(A553,Import_SuiviGlobal_MigAppliSate!A:I,3,FALSE)</f>
        <v>U Express</v>
      </c>
      <c r="D553" s="1" t="str">
        <f ca="1">VLOOKUP(A553,Import_SuiviGlobal_MigAppliSate!A:I,4,FALSE)</f>
        <v>Coop U Enseigne NordOuest</v>
      </c>
      <c r="E553">
        <f ca="1">VLOOKUP(A553,Import_SuiviGlobal_MigAppliSate!A:I,5,FALSE)</f>
        <v>76660</v>
      </c>
      <c r="F553" t="str">
        <f ca="1">VLOOKUP(A553,Import_SuiviGlobal_MigAppliSate!A:I,6,FALSE)</f>
        <v>32 ROUTE DE NEUFCHÂTEL-EN-BRAY</v>
      </c>
      <c r="G553" t="str">
        <f ca="1">VLOOKUP(A553,Import_SuiviGlobal_MigAppliSate!A:I,7,FALSE)</f>
        <v>02.35.93.35.15</v>
      </c>
      <c r="H553" t="str">
        <f ca="1">VLOOKUP(A553,Import_SuiviGlobal_MigAppliSate!A:I,8,FALSE)</f>
        <v>PAUMIER Vincent</v>
      </c>
      <c r="I553" t="str">
        <f ca="1">VLOOKUP(A553,Import_SuiviGlobal_MigAppliSate!A:I,9,FALSE)</f>
        <v>vincent.paumier@systeme-u.fr</v>
      </c>
      <c r="J553" s="24" t="str">
        <f ca="1">VLOOKUP(A553,Import_SuiviGlobal_MigAppliSate!A:K,10,FALSE)</f>
        <v/>
      </c>
      <c r="K553" t="str">
        <f ca="1">VLOOKUP(A553,Import_SuiviGlobal_MigAppliSate!A:K,11,FALSE)</f>
        <v/>
      </c>
      <c r="O553" s="1" t="s">
        <v>22</v>
      </c>
    </row>
    <row r="554" spans="1:15" ht="12.75" x14ac:dyDescent="0.2">
      <c r="A554">
        <v>36432</v>
      </c>
      <c r="B554" t="str">
        <f ca="1">VLOOKUP(A554,Import_SuiviGlobal_MigAppliSate!A:I,2,FALSE)</f>
        <v>LONGUE JUMELLES</v>
      </c>
      <c r="C554" t="str">
        <f ca="1">VLOOKUP(A554,Import_SuiviGlobal_MigAppliSate!A:I,3,FALSE)</f>
        <v>Super U</v>
      </c>
      <c r="D554" s="1" t="str">
        <f ca="1">VLOOKUP(A554,Import_SuiviGlobal_MigAppliSate!A:I,4,FALSE)</f>
        <v>Coop U Enseigne Ouest</v>
      </c>
      <c r="E554">
        <f ca="1">VLOOKUP(A554,Import_SuiviGlobal_MigAppliSate!A:I,5,FALSE)</f>
        <v>49160</v>
      </c>
      <c r="F554" t="str">
        <f ca="1">VLOOKUP(A554,Import_SuiviGlobal_MigAppliSate!A:I,6,FALSE)</f>
        <v>ROUTE DE SAUMUR</v>
      </c>
      <c r="G554" t="str">
        <f ca="1">VLOOKUP(A554,Import_SuiviGlobal_MigAppliSate!A:I,7,FALSE)</f>
        <v>02.41.52.72.60</v>
      </c>
      <c r="H554" t="str">
        <f ca="1">VLOOKUP(A554,Import_SuiviGlobal_MigAppliSate!A:I,8,FALSE)</f>
        <v>MARCHAND RPT LES TERRASSES David</v>
      </c>
      <c r="I554" t="str">
        <f ca="1">VLOOKUP(A554,Import_SuiviGlobal_MigAppliSate!A:I,9,FALSE)</f>
        <v>david.marchand@systeme-u.fr</v>
      </c>
      <c r="J554" s="24" t="str">
        <f ca="1">VLOOKUP(A554,Import_SuiviGlobal_MigAppliSate!A:K,10,FALSE)</f>
        <v>HUBERT Frédérique</v>
      </c>
      <c r="K554" t="str">
        <f ca="1">VLOOKUP(A554,Import_SuiviGlobal_MigAppliSate!A:K,11,FALSE)</f>
        <v>frederique.hubert@systeme-u.fr</v>
      </c>
      <c r="L554" t="s">
        <v>17</v>
      </c>
      <c r="M554" t="s">
        <v>0</v>
      </c>
      <c r="O554" s="1" t="s">
        <v>22</v>
      </c>
    </row>
    <row r="555" spans="1:15" ht="12.75" x14ac:dyDescent="0.2">
      <c r="A555">
        <v>30296</v>
      </c>
      <c r="B555" t="str">
        <f ca="1">VLOOKUP(A555,Import_SuiviGlobal_MigAppliSate!A:I,2,FALSE)</f>
        <v>LOUDEAC</v>
      </c>
      <c r="C555" t="str">
        <f ca="1">VLOOKUP(A555,Import_SuiviGlobal_MigAppliSate!A:I,3,FALSE)</f>
        <v>Super U</v>
      </c>
      <c r="D555" s="1" t="str">
        <f ca="1">VLOOKUP(A555,Import_SuiviGlobal_MigAppliSate!A:I,4,FALSE)</f>
        <v>Coop U Enseigne Ouest</v>
      </c>
      <c r="E555">
        <f ca="1">VLOOKUP(A555,Import_SuiviGlobal_MigAppliSate!A:I,5,FALSE)</f>
        <v>22600</v>
      </c>
      <c r="F555" t="str">
        <f ca="1">VLOOKUP(A555,Import_SuiviGlobal_MigAppliSate!A:I,6,FALSE)</f>
        <v>PARC ACTIVITÉS DE KER D'HERVÉ</v>
      </c>
      <c r="G555" t="str">
        <f ca="1">VLOOKUP(A555,Import_SuiviGlobal_MigAppliSate!A:I,7,FALSE)</f>
        <v>02.96.25.82.15</v>
      </c>
      <c r="H555" t="str">
        <f ca="1">VLOOKUP(A555,Import_SuiviGlobal_MigAppliSate!A:I,8,FALSE)</f>
        <v>ANDRE RPT SARL SOFIA Jean-Pierre</v>
      </c>
      <c r="I555" t="str">
        <f ca="1">VLOOKUP(A555,Import_SuiviGlobal_MigAppliSate!A:I,9,FALSE)</f>
        <v>jean-pierre.andre@systeme-u.fr</v>
      </c>
      <c r="J555" s="24" t="str">
        <f ca="1">VLOOKUP(A555,Import_SuiviGlobal_MigAppliSate!A:K,10,FALSE)</f>
        <v>GURVAN André</v>
      </c>
      <c r="K555" t="str">
        <f ca="1">VLOOKUP(A555,Import_SuiviGlobal_MigAppliSate!A:K,11,FALSE)</f>
        <v>superu.loudeac.bazarservice@systeme-u.fr</v>
      </c>
      <c r="L555" t="s">
        <v>17</v>
      </c>
      <c r="M555" t="s">
        <v>0</v>
      </c>
      <c r="O555" s="1" t="s">
        <v>22</v>
      </c>
    </row>
    <row r="556" spans="1:15" ht="12.75" hidden="1" x14ac:dyDescent="0.2">
      <c r="A556">
        <v>34177</v>
      </c>
      <c r="B556" t="str">
        <f ca="1">VLOOKUP(A556,Import_SuiviGlobal_MigAppliSate!A:I,2,FALSE)</f>
        <v>LOUDUN</v>
      </c>
      <c r="C556" t="str">
        <f ca="1">VLOOKUP(A556,Import_SuiviGlobal_MigAppliSate!A:I,3,FALSE)</f>
        <v>U Express</v>
      </c>
      <c r="D556" s="1" t="str">
        <f ca="1">VLOOKUP(A556,Import_SuiviGlobal_MigAppliSate!A:I,4,FALSE)</f>
        <v>Coop Atlantique</v>
      </c>
      <c r="E556">
        <f ca="1">VLOOKUP(A556,Import_SuiviGlobal_MigAppliSate!A:I,5,FALSE)</f>
        <v>86200</v>
      </c>
      <c r="F556" t="str">
        <f ca="1">VLOOKUP(A556,Import_SuiviGlobal_MigAppliSate!A:I,6,FALSE)</f>
        <v>4, RUE DE L'ÉPERON</v>
      </c>
      <c r="G556" t="str">
        <f ca="1">VLOOKUP(A556,Import_SuiviGlobal_MigAppliSate!A:I,7,FALSE)</f>
        <v>05.49.98.11.72</v>
      </c>
      <c r="H556" t="str">
        <f ca="1">VLOOKUP(A556,Import_SuiviGlobal_MigAppliSate!A:I,8,FALSE)</f>
        <v>FLAMBARD Hervé</v>
      </c>
      <c r="I556" t="str">
        <f ca="1">VLOOKUP(A556,Import_SuiviGlobal_MigAppliSate!A:I,9,FALSE)</f>
        <v>bertrand.defontaine_coop_su_uex@systeme-u.fr</v>
      </c>
      <c r="J556" s="24" t="str">
        <f ca="1">VLOOKUP(A556,Import_SuiviGlobal_MigAppliSate!A:K,10,FALSE)</f>
        <v>Benoît POUPIN / Marie-France BEAUNEZ</v>
      </c>
      <c r="K556" t="str">
        <f ca="1">VLOOKUP(A556,Import_SuiviGlobal_MigAppliSate!A:K,11,FALSE)</f>
        <v>uexpress.loudun.direction@systeme-u.fr,nbrigant@coop-atlantique.fr,sjaud@coop-atlantique.fr</v>
      </c>
      <c r="O556" s="1" t="s">
        <v>22</v>
      </c>
    </row>
    <row r="557" spans="1:15" ht="12.75" hidden="1" x14ac:dyDescent="0.2">
      <c r="A557">
        <v>38162</v>
      </c>
      <c r="B557" t="str">
        <f ca="1">VLOOKUP(A557,Import_SuiviGlobal_MigAppliSate!A:I,2,FALSE)</f>
        <v>LOUDUN</v>
      </c>
      <c r="C557" t="str">
        <f ca="1">VLOOKUP(A557,Import_SuiviGlobal_MigAppliSate!A:I,3,FALSE)</f>
        <v>Super U</v>
      </c>
      <c r="D557" s="1" t="str">
        <f ca="1">VLOOKUP(A557,Import_SuiviGlobal_MigAppliSate!A:I,4,FALSE)</f>
        <v>Coop Atlantique</v>
      </c>
      <c r="E557">
        <f ca="1">VLOOKUP(A557,Import_SuiviGlobal_MigAppliSate!A:I,5,FALSE)</f>
        <v>86200</v>
      </c>
      <c r="F557" t="str">
        <f ca="1">VLOOKUP(A557,Import_SuiviGlobal_MigAppliSate!A:I,6,FALSE)</f>
        <v>LIEU DIT LES LANDES</v>
      </c>
      <c r="G557" t="str">
        <f ca="1">VLOOKUP(A557,Import_SuiviGlobal_MigAppliSate!A:I,7,FALSE)</f>
        <v>05.49.22.26.20</v>
      </c>
      <c r="H557" t="str">
        <f ca="1">VLOOKUP(A557,Import_SuiviGlobal_MigAppliSate!A:I,8,FALSE)</f>
        <v>FLAMBARD Hervé</v>
      </c>
      <c r="I557" t="str">
        <f ca="1">VLOOKUP(A557,Import_SuiviGlobal_MigAppliSate!A:I,9,FALSE)</f>
        <v>bertrand.defontaine_coop_su_uex@systeme-u.fr</v>
      </c>
      <c r="J557" s="24" t="str">
        <f ca="1">VLOOKUP(A557,Import_SuiviGlobal_MigAppliSate!A:K,10,FALSE)</f>
        <v>Mr Berton</v>
      </c>
      <c r="K557" t="str">
        <f ca="1">VLOOKUP(A557,Import_SuiviGlobal_MigAppliSate!A:K,11,FALSE)</f>
        <v>mag795@coop-atlantique.fr,nbrigant@coop-atlantique.fr,sjaud@coop-atlantique.fr</v>
      </c>
      <c r="L557" s="1" t="s">
        <v>17</v>
      </c>
      <c r="M557" t="s">
        <v>23</v>
      </c>
      <c r="O557" s="1" t="s">
        <v>22</v>
      </c>
    </row>
    <row r="558" spans="1:15" ht="12.75" hidden="1" x14ac:dyDescent="0.2">
      <c r="A558">
        <v>31856</v>
      </c>
      <c r="B558" t="str">
        <f ca="1">VLOOKUP(A558,Import_SuiviGlobal_MigAppliSate!A:I,2,FALSE)</f>
        <v>LOURY</v>
      </c>
      <c r="C558" t="str">
        <f ca="1">VLOOKUP(A558,Import_SuiviGlobal_MigAppliSate!A:I,3,FALSE)</f>
        <v>Super U</v>
      </c>
      <c r="D558" s="1" t="str">
        <f ca="1">VLOOKUP(A558,Import_SuiviGlobal_MigAppliSate!A:I,4,FALSE)</f>
        <v>Coop U Enseigne Ouest</v>
      </c>
      <c r="E558">
        <f ca="1">VLOOKUP(A558,Import_SuiviGlobal_MigAppliSate!A:I,5,FALSE)</f>
        <v>45470</v>
      </c>
      <c r="F558" t="str">
        <f ca="1">VLOOKUP(A558,Import_SuiviGlobal_MigAppliSate!A:I,6,FALSE)</f>
        <v>AVENUE DU LION D'OR</v>
      </c>
      <c r="G558" t="str">
        <f ca="1">VLOOKUP(A558,Import_SuiviGlobal_MigAppliSate!A:I,7,FALSE)</f>
        <v>02.38.91.00.07</v>
      </c>
      <c r="H558" t="str">
        <f ca="1">VLOOKUP(A558,Import_SuiviGlobal_MigAppliSate!A:I,8,FALSE)</f>
        <v>DESHAYES RPT SAS DESHAYES PHILIPPE</v>
      </c>
      <c r="I558" t="str">
        <f ca="1">VLOOKUP(A558,Import_SuiviGlobal_MigAppliSate!A:I,9,FALSE)</f>
        <v>philippe.deshayes@systeme-u.fr</v>
      </c>
      <c r="J558" s="24" t="str">
        <f ca="1">VLOOKUP(A558,Import_SuiviGlobal_MigAppliSate!A:K,10,FALSE)</f>
        <v>DESHAYES Edouard</v>
      </c>
      <c r="K558" t="str">
        <f ca="1">VLOOKUP(A558,Import_SuiviGlobal_MigAppliSate!A:K,11,FALSE)</f>
        <v>edouard.deshayes@systeme-u.fr</v>
      </c>
      <c r="O558" s="1" t="s">
        <v>22</v>
      </c>
    </row>
    <row r="559" spans="1:15" ht="12.75" hidden="1" x14ac:dyDescent="0.2">
      <c r="A559">
        <v>38013</v>
      </c>
      <c r="B559" t="str">
        <f ca="1">VLOOKUP(A559,Import_SuiviGlobal_MigAppliSate!A:I,2,FALSE)</f>
        <v>LOUVIGNE-DU-DESERT</v>
      </c>
      <c r="C559" t="str">
        <f ca="1">VLOOKUP(A559,Import_SuiviGlobal_MigAppliSate!A:I,3,FALSE)</f>
        <v>Super U</v>
      </c>
      <c r="D559" s="1" t="str">
        <f ca="1">VLOOKUP(A559,Import_SuiviGlobal_MigAppliSate!A:I,4,FALSE)</f>
        <v>Coop U Enseigne Ouest</v>
      </c>
      <c r="E559">
        <f ca="1">VLOOKUP(A559,Import_SuiviGlobal_MigAppliSate!A:I,5,FALSE)</f>
        <v>35420</v>
      </c>
      <c r="F559" t="str">
        <f ca="1">VLOOKUP(A559,Import_SuiviGlobal_MigAppliSate!A:I,6,FALSE)</f>
        <v>AVENUE DE NORMANDIE</v>
      </c>
      <c r="G559" t="str">
        <f ca="1">VLOOKUP(A559,Import_SuiviGlobal_MigAppliSate!A:I,7,FALSE)</f>
        <v>02.99.98.59.00</v>
      </c>
      <c r="H559" t="str">
        <f ca="1">VLOOKUP(A559,Import_SuiviGlobal_MigAppliSate!A:I,8,FALSE)</f>
        <v>VANDERKELEN RPT BV FINANCES Baptistin</v>
      </c>
      <c r="I559" t="str">
        <f ca="1">VLOOKUP(A559,Import_SuiviGlobal_MigAppliSate!A:I,9,FALSE)</f>
        <v>baptistin.vanderkelen@systeme-u.fr</v>
      </c>
      <c r="J559" s="24" t="str">
        <f ca="1">VLOOKUP(A559,Import_SuiviGlobal_MigAppliSate!A:K,10,FALSE)</f>
        <v/>
      </c>
      <c r="K559" t="str">
        <f ca="1">VLOOKUP(A559,Import_SuiviGlobal_MigAppliSate!A:K,11,FALSE)</f>
        <v/>
      </c>
      <c r="O559" s="1" t="s">
        <v>22</v>
      </c>
    </row>
    <row r="560" spans="1:15" ht="12.75" hidden="1" x14ac:dyDescent="0.2">
      <c r="A560">
        <v>95285</v>
      </c>
      <c r="B560" t="str">
        <f ca="1">VLOOKUP(A560,Import_SuiviGlobal_MigAppliSate!A:I,2,FALSE)</f>
        <v>LUBERSAC</v>
      </c>
      <c r="C560" t="str">
        <f ca="1">VLOOKUP(A560,Import_SuiviGlobal_MigAppliSate!A:I,3,FALSE)</f>
        <v>Super U</v>
      </c>
      <c r="D560" s="1" t="str">
        <f ca="1">VLOOKUP(A560,Import_SuiviGlobal_MigAppliSate!A:I,4,FALSE)</f>
        <v>Coop U Enseigne Sud</v>
      </c>
      <c r="E560">
        <f ca="1">VLOOKUP(A560,Import_SuiviGlobal_MigAppliSate!A:I,5,FALSE)</f>
        <v>19210</v>
      </c>
      <c r="F560" t="str">
        <f ca="1">VLOOKUP(A560,Import_SuiviGlobal_MigAppliSate!A:I,6,FALSE)</f>
        <v>ROUTE DE POMPADOUR</v>
      </c>
      <c r="G560" t="str">
        <f ca="1">VLOOKUP(A560,Import_SuiviGlobal_MigAppliSate!A:I,7,FALSE)</f>
        <v>05.55.73.56.84</v>
      </c>
      <c r="H560" t="str">
        <f ca="1">VLOOKUP(A560,Import_SuiviGlobal_MigAppliSate!A:I,8,FALSE)</f>
        <v>TONNEAU Eric</v>
      </c>
      <c r="I560" t="str">
        <f ca="1">VLOOKUP(A560,Import_SuiviGlobal_MigAppliSate!A:I,9,FALSE)</f>
        <v>eric.tonneau@systeme-u.fr</v>
      </c>
      <c r="J560" s="24" t="str">
        <f ca="1">VLOOKUP(A560,Import_SuiviGlobal_MigAppliSate!A:K,10,FALSE)</f>
        <v>REYROLLE NADINE</v>
      </c>
      <c r="K560" t="str">
        <f ca="1">VLOOKUP(A560,Import_SuiviGlobal_MigAppliSate!A:K,11,FALSE)</f>
        <v>superu.lubersac.compta@systeme-u.fr</v>
      </c>
      <c r="O560" s="1" t="s">
        <v>22</v>
      </c>
    </row>
    <row r="561" spans="1:15" ht="12.75" hidden="1" x14ac:dyDescent="0.2">
      <c r="A561">
        <v>30477</v>
      </c>
      <c r="B561" t="str">
        <f ca="1">VLOOKUP(A561,Import_SuiviGlobal_MigAppliSate!A:I,2,FALSE)</f>
        <v>LUCON</v>
      </c>
      <c r="C561" t="str">
        <f ca="1">VLOOKUP(A561,Import_SuiviGlobal_MigAppliSate!A:I,3,FALSE)</f>
        <v>Hyper U</v>
      </c>
      <c r="D561" s="1" t="str">
        <f ca="1">VLOOKUP(A561,Import_SuiviGlobal_MigAppliSate!A:I,4,FALSE)</f>
        <v>Coop U Enseigne Ouest</v>
      </c>
      <c r="E561">
        <f ca="1">VLOOKUP(A561,Import_SuiviGlobal_MigAppliSate!A:I,5,FALSE)</f>
        <v>85400</v>
      </c>
      <c r="F561" t="str">
        <f ca="1">VLOOKUP(A561,Import_SuiviGlobal_MigAppliSate!A:I,6,FALSE)</f>
        <v>20 BOULEVARD MICHEL PHELIPON</v>
      </c>
      <c r="G561" t="str">
        <f ca="1">VLOOKUP(A561,Import_SuiviGlobal_MigAppliSate!A:I,7,FALSE)</f>
        <v>02.51.56.02.06</v>
      </c>
      <c r="H561" t="str">
        <f ca="1">VLOOKUP(A561,Import_SuiviGlobal_MigAppliSate!A:I,8,FALSE)</f>
        <v>SAVOURIN Laurent</v>
      </c>
      <c r="I561" t="str">
        <f ca="1">VLOOKUP(A561,Import_SuiviGlobal_MigAppliSate!A:I,9,FALSE)</f>
        <v>laurent.savourin@systeme-u.fr</v>
      </c>
      <c r="J561" s="24" t="str">
        <f ca="1">VLOOKUP(A561,Import_SuiviGlobal_MigAppliSate!A:K,10,FALSE)</f>
        <v>GLUMINEAU Mathieu</v>
      </c>
      <c r="K561" t="str">
        <f ca="1">VLOOKUP(A561,Import_SuiviGlobal_MigAppliSate!A:K,11,FALSE)</f>
        <v>hyperu.lucon.administratif@systeme-u.fr</v>
      </c>
      <c r="O561" s="1" t="s">
        <v>22</v>
      </c>
    </row>
    <row r="562" spans="1:15" ht="12.75" hidden="1" x14ac:dyDescent="0.2">
      <c r="A562">
        <v>24502</v>
      </c>
      <c r="B562" t="str">
        <f ca="1">VLOOKUP(A562,Import_SuiviGlobal_MigAppliSate!A:I,2,FALSE)</f>
        <v>LUMBRES</v>
      </c>
      <c r="C562" t="str">
        <f ca="1">VLOOKUP(A562,Import_SuiviGlobal_MigAppliSate!A:I,3,FALSE)</f>
        <v>Super U</v>
      </c>
      <c r="D562" s="1" t="str">
        <f ca="1">VLOOKUP(A562,Import_SuiviGlobal_MigAppliSate!A:I,4,FALSE)</f>
        <v>Coop U Enseigne NordOuest</v>
      </c>
      <c r="E562">
        <f ca="1">VLOOKUP(A562,Import_SuiviGlobal_MigAppliSate!A:I,5,FALSE)</f>
        <v>62380</v>
      </c>
      <c r="F562" t="str">
        <f ca="1">VLOOKUP(A562,Import_SuiviGlobal_MigAppliSate!A:I,6,FALSE)</f>
        <v>ZI ROUTE D'ACQUIN</v>
      </c>
      <c r="G562" t="str">
        <f ca="1">VLOOKUP(A562,Import_SuiviGlobal_MigAppliSate!A:I,7,FALSE)</f>
        <v>03.21.93.70.00</v>
      </c>
      <c r="H562" t="str">
        <f ca="1">VLOOKUP(A562,Import_SuiviGlobal_MigAppliSate!A:I,8,FALSE)</f>
        <v>LEFEBVRE Pascal</v>
      </c>
      <c r="I562" t="str">
        <f ca="1">VLOOKUP(A562,Import_SuiviGlobal_MigAppliSate!A:I,9,FALSE)</f>
        <v>pascal.lefebvre@systeme-u.fr</v>
      </c>
      <c r="J562" s="24" t="str">
        <f ca="1">VLOOKUP(A562,Import_SuiviGlobal_MigAppliSate!A:K,10,FALSE)</f>
        <v>Nathalie</v>
      </c>
      <c r="K562" t="str">
        <f ca="1">VLOOKUP(A562,Import_SuiviGlobal_MigAppliSate!A:K,11,FALSE)</f>
        <v>superu.lumbres@systeme-u.fr</v>
      </c>
      <c r="O562" s="1" t="s">
        <v>22</v>
      </c>
    </row>
    <row r="563" spans="1:15" ht="12.75" hidden="1" x14ac:dyDescent="0.2">
      <c r="A563">
        <v>32658</v>
      </c>
      <c r="B563" t="str">
        <f ca="1">VLOOKUP(A563,Import_SuiviGlobal_MigAppliSate!A:I,2,FALSE)</f>
        <v>LUYNES</v>
      </c>
      <c r="C563" t="str">
        <f ca="1">VLOOKUP(A563,Import_SuiviGlobal_MigAppliSate!A:I,3,FALSE)</f>
        <v>Super U</v>
      </c>
      <c r="D563" s="1" t="str">
        <f ca="1">VLOOKUP(A563,Import_SuiviGlobal_MigAppliSate!A:I,4,FALSE)</f>
        <v>Coop U Enseigne Ouest</v>
      </c>
      <c r="E563">
        <f ca="1">VLOOKUP(A563,Import_SuiviGlobal_MigAppliSate!A:I,5,FALSE)</f>
        <v>37230</v>
      </c>
      <c r="F563" t="str">
        <f ca="1">VLOOKUP(A563,Import_SuiviGlobal_MigAppliSate!A:I,6,FALSE)</f>
        <v>ZONE INDUSTRIELLE DU CHAPELET</v>
      </c>
      <c r="G563" t="str">
        <f ca="1">VLOOKUP(A563,Import_SuiviGlobal_MigAppliSate!A:I,7,FALSE)</f>
        <v>02.47.55.56.56</v>
      </c>
      <c r="H563" t="str">
        <f ca="1">VLOOKUP(A563,Import_SuiviGlobal_MigAppliSate!A:I,8,FALSE)</f>
        <v>BRIN RPT SARL DE LA FORGE Pascal</v>
      </c>
      <c r="I563" t="str">
        <f ca="1">VLOOKUP(A563,Import_SuiviGlobal_MigAppliSate!A:I,9,FALSE)</f>
        <v>pascal.brin@systeme-u.fr</v>
      </c>
      <c r="J563" s="24" t="str">
        <f ca="1">VLOOKUP(A563,Import_SuiviGlobal_MigAppliSate!A:K,10,FALSE)</f>
        <v>Mme Brin</v>
      </c>
      <c r="K563" t="str">
        <f ca="1">VLOOKUP(A563,Import_SuiviGlobal_MigAppliSate!A:K,11,FALSE)</f>
        <v>superu.luynes.gescom@systeme-u.fr</v>
      </c>
      <c r="O563" s="1" t="s">
        <v>22</v>
      </c>
    </row>
    <row r="564" spans="1:15" ht="12.75" hidden="1" x14ac:dyDescent="0.2">
      <c r="A564">
        <v>66159</v>
      </c>
      <c r="B564" t="str">
        <f ca="1">VLOOKUP(A564,Import_SuiviGlobal_MigAppliSate!A:I,2,FALSE)</f>
        <v>LYON 6EME</v>
      </c>
      <c r="C564" t="str">
        <f ca="1">VLOOKUP(A564,Import_SuiviGlobal_MigAppliSate!A:I,3,FALSE)</f>
        <v>Super U</v>
      </c>
      <c r="D564" s="1" t="str">
        <f ca="1">VLOOKUP(A564,Import_SuiviGlobal_MigAppliSate!A:I,4,FALSE)</f>
        <v>Coop U Enseigne Est</v>
      </c>
      <c r="E564">
        <f ca="1">VLOOKUP(A564,Import_SuiviGlobal_MigAppliSate!A:I,5,FALSE)</f>
        <v>69006</v>
      </c>
      <c r="F564" t="str">
        <f ca="1">VLOOKUP(A564,Import_SuiviGlobal_MigAppliSate!A:I,6,FALSE)</f>
        <v>107 RUE BOILEAU</v>
      </c>
      <c r="G564" t="str">
        <f ca="1">VLOOKUP(A564,Import_SuiviGlobal_MigAppliSate!A:I,7,FALSE)</f>
        <v>04.78.52.40.82</v>
      </c>
      <c r="H564" t="str">
        <f ca="1">VLOOKUP(A564,Import_SuiviGlobal_MigAppliSate!A:I,8,FALSE)</f>
        <v>THEVENIN Laurent</v>
      </c>
      <c r="I564" t="str">
        <f ca="1">VLOOKUP(A564,Import_SuiviGlobal_MigAppliSate!A:I,9,FALSE)</f>
        <v>laurent.thevenin@systeme-u.fr</v>
      </c>
      <c r="J564" s="24" t="str">
        <f ca="1">VLOOKUP(A564,Import_SuiviGlobal_MigAppliSate!A:K,10,FALSE)</f>
        <v/>
      </c>
      <c r="K564" t="str">
        <f ca="1">VLOOKUP(A564,Import_SuiviGlobal_MigAppliSate!A:K,11,FALSE)</f>
        <v>uexpress.lyon6eme.directeur@systeme-u.fr</v>
      </c>
      <c r="O564" s="1" t="s">
        <v>22</v>
      </c>
    </row>
    <row r="565" spans="1:15" ht="12.75" hidden="1" x14ac:dyDescent="0.2">
      <c r="A565">
        <v>68534</v>
      </c>
      <c r="B565" t="str">
        <f ca="1">VLOOKUP(A565,Import_SuiviGlobal_MigAppliSate!A:I,2,FALSE)</f>
        <v>LYON BELLECOMBE</v>
      </c>
      <c r="C565" t="str">
        <f ca="1">VLOOKUP(A565,Import_SuiviGlobal_MigAppliSate!A:I,3,FALSE)</f>
        <v>U Express</v>
      </c>
      <c r="D565" s="1" t="str">
        <f ca="1">VLOOKUP(A565,Import_SuiviGlobal_MigAppliSate!A:I,4,FALSE)</f>
        <v>Coop U Enseigne Est</v>
      </c>
      <c r="E565">
        <f ca="1">VLOOKUP(A565,Import_SuiviGlobal_MigAppliSate!A:I,5,FALSE)</f>
        <v>69006</v>
      </c>
      <c r="F565" t="str">
        <f ca="1">VLOOKUP(A565,Import_SuiviGlobal_MigAppliSate!A:I,6,FALSE)</f>
        <v>251 COURS LAFAYETTE.</v>
      </c>
      <c r="G565" t="str">
        <f ca="1">VLOOKUP(A565,Import_SuiviGlobal_MigAppliSate!A:I,7,FALSE)</f>
        <v>04.37.24.21.92</v>
      </c>
      <c r="H565" t="str">
        <f ca="1">VLOOKUP(A565,Import_SuiviGlobal_MigAppliSate!A:I,8,FALSE)</f>
        <v>INACIO RPT SAS INACIO DEVELOPP Rui</v>
      </c>
      <c r="I565" t="str">
        <f ca="1">VLOOKUP(A565,Import_SuiviGlobal_MigAppliSate!A:I,9,FALSE)</f>
        <v>rui.inacio@systeme-u.fr</v>
      </c>
      <c r="J565" s="24" t="str">
        <f ca="1">VLOOKUP(A565,Import_SuiviGlobal_MigAppliSate!A:K,10,FALSE)</f>
        <v>MARTINEZ MARILYN
Aurore (UPLV)</v>
      </c>
      <c r="K565" t="str">
        <f ca="1">VLOOKUP(A565,Import_SuiviGlobal_MigAppliSate!A:K,11,FALSE)</f>
        <v>marilyn.martinez@systeme-u.fr, uexpress.lyonvendome.directeur@systeme-u.fr</v>
      </c>
      <c r="O565" s="1" t="s">
        <v>22</v>
      </c>
    </row>
    <row r="566" spans="1:15" ht="12.75" hidden="1" x14ac:dyDescent="0.2">
      <c r="A566">
        <v>66201</v>
      </c>
      <c r="B566" t="str">
        <f ca="1">VLOOKUP(A566,Import_SuiviGlobal_MigAppliSate!A:I,2,FALSE)</f>
        <v>LYON BONNEL</v>
      </c>
      <c r="C566" t="str">
        <f ca="1">VLOOKUP(A566,Import_SuiviGlobal_MigAppliSate!A:I,3,FALSE)</f>
        <v>U Express</v>
      </c>
      <c r="D566" s="1" t="str">
        <f ca="1">VLOOKUP(A566,Import_SuiviGlobal_MigAppliSate!A:I,4,FALSE)</f>
        <v>Coop U Enseigne Est</v>
      </c>
      <c r="E566">
        <f ca="1">VLOOKUP(A566,Import_SuiviGlobal_MigAppliSate!A:I,5,FALSE)</f>
        <v>69003</v>
      </c>
      <c r="F566" t="str">
        <f ca="1">VLOOKUP(A566,Import_SuiviGlobal_MigAppliSate!A:I,6,FALSE)</f>
        <v>169-171 RUE VENDÔME</v>
      </c>
      <c r="G566" t="str">
        <f ca="1">VLOOKUP(A566,Import_SuiviGlobal_MigAppliSate!A:I,7,FALSE)</f>
        <v>04.37.23.68.80</v>
      </c>
      <c r="H566" t="str">
        <f ca="1">VLOOKUP(A566,Import_SuiviGlobal_MigAppliSate!A:I,8,FALSE)</f>
        <v>PELOUX Franck</v>
      </c>
      <c r="I566" t="str">
        <f ca="1">VLOOKUP(A566,Import_SuiviGlobal_MigAppliSate!A:I,9,FALSE)</f>
        <v>franck.peloux@systeme-u.fr</v>
      </c>
      <c r="J566" s="24" t="str">
        <f ca="1">VLOOKUP(A566,Import_SuiviGlobal_MigAppliSate!A:K,10,FALSE)</f>
        <v>DIGNE Julien</v>
      </c>
      <c r="K566" t="str">
        <f ca="1">VLOOKUP(A566,Import_SuiviGlobal_MigAppliSate!A:K,11,FALSE)</f>
        <v>uexpress.lyonbirhakeim.direction@systeme-u.fr</v>
      </c>
      <c r="O566" s="1" t="s">
        <v>22</v>
      </c>
    </row>
    <row r="567" spans="1:15" ht="12.75" hidden="1" x14ac:dyDescent="0.2">
      <c r="A567">
        <v>66101</v>
      </c>
      <c r="B567" t="str">
        <f ca="1">VLOOKUP(A567,Import_SuiviGlobal_MigAppliSate!A:I,2,FALSE)</f>
        <v>LYON CHARITE</v>
      </c>
      <c r="C567" t="str">
        <f ca="1">VLOOKUP(A567,Import_SuiviGlobal_MigAppliSate!A:I,3,FALSE)</f>
        <v>U Express</v>
      </c>
      <c r="D567" s="1" t="str">
        <f ca="1">VLOOKUP(A567,Import_SuiviGlobal_MigAppliSate!A:I,4,FALSE)</f>
        <v>Coop U Enseigne Est</v>
      </c>
      <c r="E567">
        <f ca="1">VLOOKUP(A567,Import_SuiviGlobal_MigAppliSate!A:I,5,FALSE)</f>
        <v>69002</v>
      </c>
      <c r="F567" t="str">
        <f ca="1">VLOOKUP(A567,Import_SuiviGlobal_MigAppliSate!A:I,6,FALSE)</f>
        <v>60 RUE DE LA CHARITÉ</v>
      </c>
      <c r="G567" t="str">
        <f ca="1">VLOOKUP(A567,Import_SuiviGlobal_MigAppliSate!A:I,7,FALSE)</f>
        <v>04.78.37.39.62</v>
      </c>
      <c r="H567" t="str">
        <f ca="1">VLOOKUP(A567,Import_SuiviGlobal_MigAppliSate!A:I,8,FALSE)</f>
        <v>MANTO Luigi</v>
      </c>
      <c r="I567" t="str">
        <f ca="1">VLOOKUP(A567,Import_SuiviGlobal_MigAppliSate!A:I,9,FALSE)</f>
        <v>luigi.manto@systeme-u.fr</v>
      </c>
      <c r="J567" s="24" t="str">
        <f ca="1">VLOOKUP(A567,Import_SuiviGlobal_MigAppliSate!A:K,10,FALSE)</f>
        <v>Matthieu DUCERF / Martin LUMPP / BEDIAT ALICE</v>
      </c>
      <c r="K567" t="str">
        <f ca="1">VLOOKUP(A567,Import_SuiviGlobal_MigAppliSate!A:K,11,FALSE)</f>
        <v>uexpress.lyonlacharite@systeme-u.fr</v>
      </c>
      <c r="O567" s="1" t="s">
        <v>22</v>
      </c>
    </row>
    <row r="568" spans="1:15" ht="12.75" hidden="1" x14ac:dyDescent="0.2">
      <c r="A568">
        <v>66190</v>
      </c>
      <c r="B568" t="str">
        <f ca="1">VLOOKUP(A568,Import_SuiviGlobal_MigAppliSate!A:I,2,FALSE)</f>
        <v>LYON CHILDEBERT</v>
      </c>
      <c r="C568" t="str">
        <f ca="1">VLOOKUP(A568,Import_SuiviGlobal_MigAppliSate!A:I,3,FALSE)</f>
        <v>U Express</v>
      </c>
      <c r="D568" s="1" t="str">
        <f ca="1">VLOOKUP(A568,Import_SuiviGlobal_MigAppliSate!A:I,4,FALSE)</f>
        <v>Coop U Enseigne Est</v>
      </c>
      <c r="E568">
        <f ca="1">VLOOKUP(A568,Import_SuiviGlobal_MigAppliSate!A:I,5,FALSE)</f>
        <v>69002</v>
      </c>
      <c r="F568" t="str">
        <f ca="1">VLOOKUP(A568,Import_SuiviGlobal_MigAppliSate!A:I,6,FALSE)</f>
        <v>12 QUAI JULES COURMONT</v>
      </c>
      <c r="G568" t="str">
        <f ca="1">VLOOKUP(A568,Import_SuiviGlobal_MigAppliSate!A:I,7,FALSE)</f>
        <v>04.72.56.08.40</v>
      </c>
      <c r="H568" t="str">
        <f ca="1">VLOOKUP(A568,Import_SuiviGlobal_MigAppliSate!A:I,8,FALSE)</f>
        <v>MANTO Luigi</v>
      </c>
      <c r="I568" t="str">
        <f ca="1">VLOOKUP(A568,Import_SuiviGlobal_MigAppliSate!A:I,9,FALSE)</f>
        <v>luigi.manto@systeme-u.fr</v>
      </c>
      <c r="J568" s="24" t="str">
        <f ca="1">VLOOKUP(A568,Import_SuiviGlobal_MigAppliSate!A:K,10,FALSE)</f>
        <v>CASEAUX Allan</v>
      </c>
      <c r="K568" t="str">
        <f ca="1">VLOOKUP(A568,Import_SuiviGlobal_MigAppliSate!A:K,11,FALSE)</f>
        <v>uexpress.lyonchildebert@systeme-u.fr</v>
      </c>
      <c r="O568" s="1" t="s">
        <v>22</v>
      </c>
    </row>
    <row r="569" spans="1:15" ht="12.75" hidden="1" x14ac:dyDescent="0.2">
      <c r="A569">
        <v>66211</v>
      </c>
      <c r="B569" t="str">
        <f ca="1">VLOOKUP(A569,Import_SuiviGlobal_MigAppliSate!A:I,2,FALSE)</f>
        <v>LYON CROIX ROUSSE</v>
      </c>
      <c r="C569" t="str">
        <f ca="1">VLOOKUP(A569,Import_SuiviGlobal_MigAppliSate!A:I,3,FALSE)</f>
        <v>U Express</v>
      </c>
      <c r="D569" s="1" t="str">
        <f ca="1">VLOOKUP(A569,Import_SuiviGlobal_MigAppliSate!A:I,4,FALSE)</f>
        <v>Coop U Enseigne Est</v>
      </c>
      <c r="E569">
        <f ca="1">VLOOKUP(A569,Import_SuiviGlobal_MigAppliSate!A:I,5,FALSE)</f>
        <v>69004</v>
      </c>
      <c r="F569" t="str">
        <f ca="1">VLOOKUP(A569,Import_SuiviGlobal_MigAppliSate!A:I,6,FALSE)</f>
        <v>17 RUE JACQUARD</v>
      </c>
      <c r="G569" t="str">
        <f ca="1">VLOOKUP(A569,Import_SuiviGlobal_MigAppliSate!A:I,7,FALSE)</f>
        <v>04.78.98.90.74</v>
      </c>
      <c r="H569" t="str">
        <f ca="1">VLOOKUP(A569,Import_SuiviGlobal_MigAppliSate!A:I,8,FALSE)</f>
        <v>GELPI Aymeric</v>
      </c>
      <c r="I569" t="str">
        <f ca="1">VLOOKUP(A569,Import_SuiviGlobal_MigAppliSate!A:I,9,FALSE)</f>
        <v>aymeric.gelpi@systeme-u.fr</v>
      </c>
      <c r="J569" s="24" t="str">
        <f ca="1">VLOOKUP(A569,Import_SuiviGlobal_MigAppliSate!A:K,10,FALSE)</f>
        <v>Sandrine</v>
      </c>
      <c r="K569" t="str">
        <f ca="1">VLOOKUP(A569,Import_SuiviGlobal_MigAppliSate!A:K,11,FALSE)</f>
        <v>uexpress.lyoncroixrousse.compta@systeme-u.fr</v>
      </c>
      <c r="O569" s="1" t="s">
        <v>22</v>
      </c>
    </row>
    <row r="570" spans="1:15" ht="12.75" hidden="1" x14ac:dyDescent="0.2">
      <c r="A570">
        <v>66160</v>
      </c>
      <c r="B570" t="str">
        <f ca="1">VLOOKUP(A570,Import_SuiviGlobal_MigAppliSate!A:I,2,FALSE)</f>
        <v>LYON GERLAND</v>
      </c>
      <c r="C570" t="str">
        <f ca="1">VLOOKUP(A570,Import_SuiviGlobal_MigAppliSate!A:I,3,FALSE)</f>
        <v>Super U</v>
      </c>
      <c r="D570" s="1" t="str">
        <f ca="1">VLOOKUP(A570,Import_SuiviGlobal_MigAppliSate!A:I,4,FALSE)</f>
        <v>Coop U Enseigne Est</v>
      </c>
      <c r="E570">
        <f ca="1">VLOOKUP(A570,Import_SuiviGlobal_MigAppliSate!A:I,5,FALSE)</f>
        <v>69007</v>
      </c>
      <c r="F570" t="str">
        <f ca="1">VLOOKUP(A570,Import_SuiviGlobal_MigAppliSate!A:I,6,FALSE)</f>
        <v>113 BLD YVES FARGES</v>
      </c>
      <c r="G570" t="str">
        <f ca="1">VLOOKUP(A570,Import_SuiviGlobal_MigAppliSate!A:I,7,FALSE)</f>
        <v>04.78.72.25.27</v>
      </c>
      <c r="H570" t="str">
        <f ca="1">VLOOKUP(A570,Import_SuiviGlobal_MigAppliSate!A:I,8,FALSE)</f>
        <v>LIABEUF Michaël</v>
      </c>
      <c r="I570" t="str">
        <f ca="1">VLOOKUP(A570,Import_SuiviGlobal_MigAppliSate!A:I,9,FALSE)</f>
        <v>michael.liabeuf@systeme-u.fr</v>
      </c>
      <c r="J570" s="24" t="str">
        <f ca="1">VLOOKUP(A570,Import_SuiviGlobal_MigAppliSate!A:K,10,FALSE)</f>
        <v>Schelach RECKOY</v>
      </c>
      <c r="K570" t="str">
        <f ca="1">VLOOKUP(A570,Import_SuiviGlobal_MigAppliSate!A:K,11,FALSE)</f>
        <v>superu.lyongerland.direction@systeme-u.fr</v>
      </c>
      <c r="O570" s="1" t="s">
        <v>22</v>
      </c>
    </row>
    <row r="571" spans="1:15" ht="12.75" x14ac:dyDescent="0.2">
      <c r="A571">
        <v>90685</v>
      </c>
      <c r="B571" t="str">
        <f ca="1">VLOOKUP(A571,Import_SuiviGlobal_MigAppliSate!A:I,2,FALSE)</f>
        <v>LYON LIBERTE</v>
      </c>
      <c r="C571" t="str">
        <f ca="1">VLOOKUP(A571,Import_SuiviGlobal_MigAppliSate!A:I,3,FALSE)</f>
        <v>U Express</v>
      </c>
      <c r="D571" s="1" t="str">
        <f ca="1">VLOOKUP(A571,Import_SuiviGlobal_MigAppliSate!A:I,4,FALSE)</f>
        <v>Coop MISTRAL</v>
      </c>
      <c r="E571">
        <f ca="1">VLOOKUP(A571,Import_SuiviGlobal_MigAppliSate!A:I,5,FALSE)</f>
        <v>69003</v>
      </c>
      <c r="F571" t="str">
        <f ca="1">VLOOKUP(A571,Import_SuiviGlobal_MigAppliSate!A:I,6,FALSE)</f>
        <v>81 COURS DE LA LIBERTE</v>
      </c>
      <c r="G571" t="str">
        <f ca="1">VLOOKUP(A571,Import_SuiviGlobal_MigAppliSate!A:I,7,FALSE)</f>
        <v>04.72.60.80.81</v>
      </c>
      <c r="H571" t="str">
        <f ca="1">VLOOKUP(A571,Import_SuiviGlobal_MigAppliSate!A:I,8,FALSE)</f>
        <v>COSTET Jean Philippe</v>
      </c>
      <c r="I571" t="str">
        <f ca="1">VLOOKUP(A571,Import_SuiviGlobal_MigAppliSate!A:I,9,FALSE)</f>
        <v/>
      </c>
      <c r="J571" s="24" t="str">
        <f ca="1">VLOOKUP(A571,Import_SuiviGlobal_MigAppliSate!A:K,10,FALSE)</f>
        <v/>
      </c>
      <c r="K571" t="str">
        <f ca="1">VLOOKUP(A571,Import_SuiviGlobal_MigAppliSate!A:K,11,FALSE)</f>
        <v>delphine.damian@lemistral.fr,helene.mina@lemistral.fr</v>
      </c>
      <c r="L571" s="1" t="s">
        <v>17</v>
      </c>
      <c r="M571" s="1" t="s">
        <v>0</v>
      </c>
      <c r="N571" s="1" t="s">
        <v>18</v>
      </c>
      <c r="O571" s="1" t="s">
        <v>28</v>
      </c>
    </row>
    <row r="572" spans="1:15" ht="12.75" hidden="1" x14ac:dyDescent="0.2">
      <c r="A572">
        <v>66161</v>
      </c>
      <c r="B572" t="str">
        <f ca="1">VLOOKUP(A572,Import_SuiviGlobal_MigAppliSate!A:I,2,FALSE)</f>
        <v>LYON MISTRAL</v>
      </c>
      <c r="C572" t="str">
        <f ca="1">VLOOKUP(A572,Import_SuiviGlobal_MigAppliSate!A:I,3,FALSE)</f>
        <v>Super U</v>
      </c>
      <c r="D572" s="1" t="str">
        <f ca="1">VLOOKUP(A572,Import_SuiviGlobal_MigAppliSate!A:I,4,FALSE)</f>
        <v>Coop U Enseigne Est</v>
      </c>
      <c r="E572">
        <f ca="1">VLOOKUP(A572,Import_SuiviGlobal_MigAppliSate!A:I,5,FALSE)</f>
        <v>69003</v>
      </c>
      <c r="F572" t="str">
        <f ca="1">VLOOKUP(A572,Import_SuiviGlobal_MigAppliSate!A:I,6,FALSE)</f>
        <v>14 rue Frédéric Mistral</v>
      </c>
      <c r="G572" t="str">
        <f ca="1">VLOOKUP(A572,Import_SuiviGlobal_MigAppliSate!A:I,7,FALSE)</f>
        <v>04.72.91.80.20</v>
      </c>
      <c r="H572" t="str">
        <f ca="1">VLOOKUP(A572,Import_SuiviGlobal_MigAppliSate!A:I,8,FALSE)</f>
        <v>GAUTHIER Joseph</v>
      </c>
      <c r="I572" t="str">
        <f ca="1">VLOOKUP(A572,Import_SuiviGlobal_MigAppliSate!A:I,9,FALSE)</f>
        <v>joseph.gauthier@systeme-u.fr</v>
      </c>
      <c r="J572" s="24" t="str">
        <f ca="1">VLOOKUP(A572,Import_SuiviGlobal_MigAppliSate!A:K,10,FALSE)</f>
        <v>M. BOUBAKER</v>
      </c>
      <c r="K572" t="str">
        <f ca="1">VLOOKUP(A572,Import_SuiviGlobal_MigAppliSate!A:K,11,FALSE)</f>
        <v>bachir.boubaker@systeme-u.fr</v>
      </c>
      <c r="O572" s="1" t="s">
        <v>22</v>
      </c>
    </row>
    <row r="573" spans="1:15" ht="12.75" hidden="1" x14ac:dyDescent="0.2">
      <c r="A573">
        <v>66195</v>
      </c>
      <c r="B573" t="str">
        <f ca="1">VLOOKUP(A573,Import_SuiviGlobal_MigAppliSate!A:I,2,FALSE)</f>
        <v>LYON MONTCHAT</v>
      </c>
      <c r="C573" t="str">
        <f ca="1">VLOOKUP(A573,Import_SuiviGlobal_MigAppliSate!A:I,3,FALSE)</f>
        <v>U Express</v>
      </c>
      <c r="D573" s="1" t="str">
        <f ca="1">VLOOKUP(A573,Import_SuiviGlobal_MigAppliSate!A:I,4,FALSE)</f>
        <v>Coop U Enseigne Est</v>
      </c>
      <c r="E573">
        <f ca="1">VLOOKUP(A573,Import_SuiviGlobal_MigAppliSate!A:I,5,FALSE)</f>
        <v>69003</v>
      </c>
      <c r="F573" t="str">
        <f ca="1">VLOOKUP(A573,Import_SuiviGlobal_MigAppliSate!A:I,6,FALSE)</f>
        <v>134 ROUTE DE GENAS</v>
      </c>
      <c r="G573" t="str">
        <f ca="1">VLOOKUP(A573,Import_SuiviGlobal_MigAppliSate!A:I,7,FALSE)</f>
        <v>04.72.34.99.95</v>
      </c>
      <c r="H573" t="str">
        <f ca="1">VLOOKUP(A573,Import_SuiviGlobal_MigAppliSate!A:I,8,FALSE)</f>
        <v>GENEVOIS Emmanuel</v>
      </c>
      <c r="I573" t="str">
        <f ca="1">VLOOKUP(A573,Import_SuiviGlobal_MigAppliSate!A:I,9,FALSE)</f>
        <v>emmanuel.genevois@systeme-u.fr</v>
      </c>
      <c r="J573" s="24" t="str">
        <f ca="1">VLOOKUP(A573,Import_SuiviGlobal_MigAppliSate!A:K,10,FALSE)</f>
        <v>Mr CHAMBEAU</v>
      </c>
      <c r="K573" t="str">
        <f ca="1">VLOOKUP(A573,Import_SuiviGlobal_MigAppliSate!A:K,11,FALSE)</f>
        <v>uexpress.lyonmontchat.directeur@systeme-u.fr</v>
      </c>
      <c r="O573" s="1" t="s">
        <v>22</v>
      </c>
    </row>
    <row r="574" spans="1:15" ht="12.75" hidden="1" x14ac:dyDescent="0.2">
      <c r="A574">
        <v>66184</v>
      </c>
      <c r="B574" t="str">
        <f ca="1">VLOOKUP(A574,Import_SuiviGlobal_MigAppliSate!A:I,2,FALSE)</f>
        <v>LYON MOULIN A VENT</v>
      </c>
      <c r="C574" t="str">
        <f ca="1">VLOOKUP(A574,Import_SuiviGlobal_MigAppliSate!A:I,3,FALSE)</f>
        <v>Super U</v>
      </c>
      <c r="D574" s="1" t="str">
        <f ca="1">VLOOKUP(A574,Import_SuiviGlobal_MigAppliSate!A:I,4,FALSE)</f>
        <v>Coop U Enseigne Est</v>
      </c>
      <c r="E574">
        <f ca="1">VLOOKUP(A574,Import_SuiviGlobal_MigAppliSate!A:I,5,FALSE)</f>
        <v>69200</v>
      </c>
      <c r="F574" t="str">
        <f ca="1">VLOOKUP(A574,Import_SuiviGlobal_MigAppliSate!A:I,6,FALSE)</f>
        <v>38 RUE DU MOULIN À VENT</v>
      </c>
      <c r="G574" t="str">
        <f ca="1">VLOOKUP(A574,Import_SuiviGlobal_MigAppliSate!A:I,7,FALSE)</f>
        <v>04.78.75.09.42</v>
      </c>
      <c r="H574" t="str">
        <f ca="1">VLOOKUP(A574,Import_SuiviGlobal_MigAppliSate!A:I,8,FALSE)</f>
        <v>MISKDJIAN Ingrid</v>
      </c>
      <c r="I574" t="str">
        <f ca="1">VLOOKUP(A574,Import_SuiviGlobal_MigAppliSate!A:I,9,FALSE)</f>
        <v>ingrid.miskdjian@systeme-u.fr</v>
      </c>
      <c r="J574" s="24" t="str">
        <f ca="1">VLOOKUP(A574,Import_SuiviGlobal_MigAppliSate!A:K,10,FALSE)</f>
        <v>ALBANESE Sandrine</v>
      </c>
      <c r="K574" t="str">
        <f ca="1">VLOOKUP(A574,Import_SuiviGlobal_MigAppliSate!A:K,11,FALSE)</f>
        <v>superu.lyonmoulinavent@systeme-u.fr</v>
      </c>
      <c r="O574" s="1" t="s">
        <v>22</v>
      </c>
    </row>
    <row r="575" spans="1:15" ht="12.75" hidden="1" x14ac:dyDescent="0.2">
      <c r="A575">
        <v>66162</v>
      </c>
      <c r="B575" t="str">
        <f ca="1">VLOOKUP(A575,Import_SuiviGlobal_MigAppliSate!A:I,2,FALSE)</f>
        <v>LYON SAINT LOUIS</v>
      </c>
      <c r="C575" t="str">
        <f ca="1">VLOOKUP(A575,Import_SuiviGlobal_MigAppliSate!A:I,3,FALSE)</f>
        <v>U Express</v>
      </c>
      <c r="D575" s="1" t="str">
        <f ca="1">VLOOKUP(A575,Import_SuiviGlobal_MigAppliSate!A:I,4,FALSE)</f>
        <v>Coop U Enseigne Est</v>
      </c>
      <c r="E575">
        <f ca="1">VLOOKUP(A575,Import_SuiviGlobal_MigAppliSate!A:I,5,FALSE)</f>
        <v>69007</v>
      </c>
      <c r="F575" t="str">
        <f ca="1">VLOOKUP(A575,Import_SuiviGlobal_MigAppliSate!A:I,6,FALSE)</f>
        <v>52 RUE DE LA THIBAUDIÈRE</v>
      </c>
      <c r="G575" t="str">
        <f ca="1">VLOOKUP(A575,Import_SuiviGlobal_MigAppliSate!A:I,7,FALSE)</f>
        <v>04.78.69.20.19</v>
      </c>
      <c r="H575" t="str">
        <f ca="1">VLOOKUP(A575,Import_SuiviGlobal_MigAppliSate!A:I,8,FALSE)</f>
        <v>THEVENIN Gaëtan</v>
      </c>
      <c r="I575" t="str">
        <f ca="1">VLOOKUP(A575,Import_SuiviGlobal_MigAppliSate!A:I,9,FALSE)</f>
        <v>gaetan.thevenin@systeme-u.fr</v>
      </c>
      <c r="J575" s="24" t="str">
        <f ca="1">VLOOKUP(A575,Import_SuiviGlobal_MigAppliSate!A:K,10,FALSE)</f>
        <v>Nicolas RENEZ</v>
      </c>
      <c r="K575" t="str">
        <f ca="1">VLOOKUP(A575,Import_SuiviGlobal_MigAppliSate!A:K,11,FALSE)</f>
        <v>uexpress.lyonsaintlouis.directeur@systeme-u.fr</v>
      </c>
      <c r="O575" s="1" t="s">
        <v>22</v>
      </c>
    </row>
    <row r="576" spans="1:15" ht="12.75" hidden="1" x14ac:dyDescent="0.2">
      <c r="A576">
        <v>68522</v>
      </c>
      <c r="B576" t="str">
        <f ca="1">VLOOKUP(A576,Import_SuiviGlobal_MigAppliSate!A:I,2,FALSE)</f>
        <v>LYON UNIVERSITE</v>
      </c>
      <c r="C576" t="str">
        <f ca="1">VLOOKUP(A576,Import_SuiviGlobal_MigAppliSate!A:I,3,FALSE)</f>
        <v>U Express</v>
      </c>
      <c r="D576" s="1" t="str">
        <f ca="1">VLOOKUP(A576,Import_SuiviGlobal_MigAppliSate!A:I,4,FALSE)</f>
        <v>Coop U Enseigne Est</v>
      </c>
      <c r="E576">
        <f ca="1">VLOOKUP(A576,Import_SuiviGlobal_MigAppliSate!A:I,5,FALSE)</f>
        <v>69007</v>
      </c>
      <c r="F576" t="str">
        <f ca="1">VLOOKUP(A576,Import_SuiviGlobal_MigAppliSate!A:I,6,FALSE)</f>
        <v>72 RUE DE MARSEILLE</v>
      </c>
      <c r="G576" t="str">
        <f ca="1">VLOOKUP(A576,Import_SuiviGlobal_MigAppliSate!A:I,7,FALSE)</f>
        <v>04.72.72.13.01</v>
      </c>
      <c r="H576" t="str">
        <f ca="1">VLOOKUP(A576,Import_SuiviGlobal_MigAppliSate!A:I,8,FALSE)</f>
        <v>DANCIE Cyprien</v>
      </c>
      <c r="I576" t="str">
        <f ca="1">VLOOKUP(A576,Import_SuiviGlobal_MigAppliSate!A:I,9,FALSE)</f>
        <v>cyprien.dancie@systeme-u.fr</v>
      </c>
      <c r="J576" s="24" t="str">
        <f ca="1">VLOOKUP(A576,Import_SuiviGlobal_MigAppliSate!A:K,10,FALSE)</f>
        <v/>
      </c>
      <c r="K576" t="str">
        <f ca="1">VLOOKUP(A576,Import_SuiviGlobal_MigAppliSate!A:K,11,FALSE)</f>
        <v/>
      </c>
      <c r="O576" s="1" t="s">
        <v>22</v>
      </c>
    </row>
    <row r="577" spans="1:15" ht="12.75" hidden="1" x14ac:dyDescent="0.2">
      <c r="A577">
        <v>66597</v>
      </c>
      <c r="B577" t="str">
        <f ca="1">VLOOKUP(A577,Import_SuiviGlobal_MigAppliSate!A:I,2,FALSE)</f>
        <v>LYON VENDOME</v>
      </c>
      <c r="C577" t="str">
        <f ca="1">VLOOKUP(A577,Import_SuiviGlobal_MigAppliSate!A:I,3,FALSE)</f>
        <v>U Express</v>
      </c>
      <c r="D577" s="1" t="str">
        <f ca="1">VLOOKUP(A577,Import_SuiviGlobal_MigAppliSate!A:I,4,FALSE)</f>
        <v>Coop U Enseigne Est</v>
      </c>
      <c r="E577">
        <f ca="1">VLOOKUP(A577,Import_SuiviGlobal_MigAppliSate!A:I,5,FALSE)</f>
        <v>69003</v>
      </c>
      <c r="F577" t="str">
        <f ca="1">VLOOKUP(A577,Import_SuiviGlobal_MigAppliSate!A:I,6,FALSE)</f>
        <v>272 RUE VENDOME</v>
      </c>
      <c r="G577" t="str">
        <f ca="1">VLOOKUP(A577,Import_SuiviGlobal_MigAppliSate!A:I,7,FALSE)</f>
        <v>04.37.45.45.35</v>
      </c>
      <c r="H577" t="str">
        <f ca="1">VLOOKUP(A577,Import_SuiviGlobal_MigAppliSate!A:I,8,FALSE)</f>
        <v>INACIO RPT SAS INACIO DEVELOP Rui</v>
      </c>
      <c r="I577" t="str">
        <f ca="1">VLOOKUP(A577,Import_SuiviGlobal_MigAppliSate!A:I,9,FALSE)</f>
        <v>rui.inacio@systeme-u.fr</v>
      </c>
      <c r="J577" s="24" t="str">
        <f ca="1">VLOOKUP(A577,Import_SuiviGlobal_MigAppliSate!A:K,10,FALSE)</f>
        <v>Mr DELJARRY</v>
      </c>
      <c r="K577" t="str">
        <f ca="1">VLOOKUP(A577,Import_SuiviGlobal_MigAppliSate!A:K,11,FALSE)</f>
        <v>uexpress.lyonvendome.direction@systeme-u.fr</v>
      </c>
      <c r="O577" s="1" t="s">
        <v>22</v>
      </c>
    </row>
    <row r="578" spans="1:15" ht="12.75" hidden="1" x14ac:dyDescent="0.2">
      <c r="A578">
        <v>33042</v>
      </c>
      <c r="B578" t="str">
        <f ca="1">VLOOKUP(A578,Import_SuiviGlobal_MigAppliSate!A:I,2,FALSE)</f>
        <v>MACHECOUL</v>
      </c>
      <c r="C578" t="str">
        <f ca="1">VLOOKUP(A578,Import_SuiviGlobal_MigAppliSate!A:I,3,FALSE)</f>
        <v>Super U</v>
      </c>
      <c r="D578" s="1" t="str">
        <f ca="1">VLOOKUP(A578,Import_SuiviGlobal_MigAppliSate!A:I,4,FALSE)</f>
        <v>Coop U Enseigne Ouest</v>
      </c>
      <c r="E578">
        <f ca="1">VLOOKUP(A578,Import_SuiviGlobal_MigAppliSate!A:I,5,FALSE)</f>
        <v>44270</v>
      </c>
      <c r="F578" t="str">
        <f ca="1">VLOOKUP(A578,Import_SuiviGlobal_MigAppliSate!A:I,6,FALSE)</f>
        <v>ESPACE CIAL DES PRISES</v>
      </c>
      <c r="G578" t="str">
        <f ca="1">VLOOKUP(A578,Import_SuiviGlobal_MigAppliSate!A:I,7,FALSE)</f>
        <v>02.40.02.28.33</v>
      </c>
      <c r="H578" t="str">
        <f ca="1">VLOOKUP(A578,Import_SuiviGlobal_MigAppliSate!A:I,8,FALSE)</f>
        <v>YVERNOGEAU RPT SARL NOMADIS Yvan</v>
      </c>
      <c r="I578" t="str">
        <f ca="1">VLOOKUP(A578,Import_SuiviGlobal_MigAppliSate!A:I,9,FALSE)</f>
        <v>yvan.yvernogeau@systeme-u.fr</v>
      </c>
      <c r="J578" s="24" t="str">
        <f ca="1">VLOOKUP(A578,Import_SuiviGlobal_MigAppliSate!A:K,10,FALSE)</f>
        <v>Madame Guibert</v>
      </c>
      <c r="K578" t="str">
        <f ca="1">VLOOKUP(A578,Import_SuiviGlobal_MigAppliSate!A:K,11,FALSE)</f>
        <v>superu.machecoul@systeme-u.fr</v>
      </c>
      <c r="O578" s="1" t="s">
        <v>22</v>
      </c>
    </row>
    <row r="579" spans="1:15" ht="12.75" hidden="1" x14ac:dyDescent="0.2">
      <c r="A579">
        <v>38134</v>
      </c>
      <c r="B579" t="str">
        <f ca="1">VLOOKUP(A579,Import_SuiviGlobal_MigAppliSate!A:I,2,FALSE)</f>
        <v>MACOURIA</v>
      </c>
      <c r="C579" t="str">
        <f ca="1">VLOOKUP(A579,Import_SuiviGlobal_MigAppliSate!A:I,3,FALSE)</f>
        <v>U Express</v>
      </c>
      <c r="D579" s="1" t="str">
        <f ca="1">VLOOKUP(A579,Import_SuiviGlobal_MigAppliSate!A:I,4,FALSE)</f>
        <v>Coop U Enseigne Ouest</v>
      </c>
      <c r="E579">
        <f ca="1">VLOOKUP(A579,Import_SuiviGlobal_MigAppliSate!A:I,5,FALSE)</f>
        <v>97355</v>
      </c>
      <c r="F579" t="str">
        <f ca="1">VLOOKUP(A579,Import_SuiviGlobal_MigAppliSate!A:I,6,FALSE)</f>
        <v>ZAC DE SOULA</v>
      </c>
      <c r="G579" t="str">
        <f ca="1">VLOOKUP(A579,Import_SuiviGlobal_MigAppliSate!A:I,7,FALSE)</f>
        <v>05.94.25.03.10</v>
      </c>
      <c r="H579" t="str">
        <f ca="1">VLOOKUP(A579,Import_SuiviGlobal_MigAppliSate!A:I,8,FALSE)</f>
        <v>DU Jan</v>
      </c>
      <c r="I579" t="str">
        <f ca="1">VLOOKUP(A579,Import_SuiviGlobal_MigAppliSate!A:I,9,FALSE)</f>
        <v>jan.du@systeme-u.fr</v>
      </c>
      <c r="J579" s="24" t="str">
        <f ca="1">VLOOKUP(A579,Import_SuiviGlobal_MigAppliSate!A:K,10,FALSE)</f>
        <v>Aboubacar DOUMBIA</v>
      </c>
      <c r="K579" t="str">
        <f ca="1">VLOOKUP(A579,Import_SuiviGlobal_MigAppliSate!A:K,11,FALSE)</f>
        <v>superu.macouria.direction@systeme-u.fr</v>
      </c>
      <c r="O579" s="1" t="s">
        <v>22</v>
      </c>
    </row>
    <row r="580" spans="1:15" ht="12.75" x14ac:dyDescent="0.2">
      <c r="A580">
        <v>66141</v>
      </c>
      <c r="B580" t="str">
        <f ca="1">VLOOKUP(A580,Import_SuiviGlobal_MigAppliSate!A:I,2,FALSE)</f>
        <v>MAGLAND</v>
      </c>
      <c r="C580" t="str">
        <f ca="1">VLOOKUP(A580,Import_SuiviGlobal_MigAppliSate!A:I,3,FALSE)</f>
        <v>Super U</v>
      </c>
      <c r="D580" s="1" t="str">
        <f ca="1">VLOOKUP(A580,Import_SuiviGlobal_MigAppliSate!A:I,4,FALSE)</f>
        <v>Coop U Enseigne Est</v>
      </c>
      <c r="E580">
        <f ca="1">VLOOKUP(A580,Import_SuiviGlobal_MigAppliSate!A:I,5,FALSE)</f>
        <v>74300</v>
      </c>
      <c r="F580" t="str">
        <f ca="1">VLOOKUP(A580,Import_SuiviGlobal_MigAppliSate!A:I,6,FALSE)</f>
        <v>180 ALLEE DES NOYERES</v>
      </c>
      <c r="G580" t="str">
        <f ca="1">VLOOKUP(A580,Import_SuiviGlobal_MigAppliSate!A:I,7,FALSE)</f>
        <v>04.50.18.31.58</v>
      </c>
      <c r="H580" t="str">
        <f ca="1">VLOOKUP(A580,Import_SuiviGlobal_MigAppliSate!A:I,8,FALSE)</f>
        <v xml:space="preserve">SAS BALME RP GERALD ARNAUD </v>
      </c>
      <c r="I580" t="str">
        <f ca="1">VLOOKUP(A580,Import_SuiviGlobal_MigAppliSate!A:I,9,FALSE)</f>
        <v>gerald.arnaud@systeme-u.fr</v>
      </c>
      <c r="J580" s="24" t="str">
        <f ca="1">VLOOKUP(A580,Import_SuiviGlobal_MigAppliSate!A:K,10,FALSE)</f>
        <v/>
      </c>
      <c r="K580" t="str">
        <f ca="1">VLOOKUP(A580,Import_SuiviGlobal_MigAppliSate!A:K,11,FALSE)</f>
        <v/>
      </c>
      <c r="L580" t="s">
        <v>17</v>
      </c>
      <c r="M580" t="s">
        <v>0</v>
      </c>
      <c r="O580" s="1" t="s">
        <v>22</v>
      </c>
    </row>
    <row r="581" spans="1:15" ht="12.75" hidden="1" x14ac:dyDescent="0.2">
      <c r="A581">
        <v>35401</v>
      </c>
      <c r="B581" t="str">
        <f ca="1">VLOOKUP(A581,Import_SuiviGlobal_MigAppliSate!A:I,2,FALSE)</f>
        <v>MAGNE</v>
      </c>
      <c r="C581" t="str">
        <f ca="1">VLOOKUP(A581,Import_SuiviGlobal_MigAppliSate!A:I,3,FALSE)</f>
        <v>Super U</v>
      </c>
      <c r="D581" s="1" t="str">
        <f ca="1">VLOOKUP(A581,Import_SuiviGlobal_MigAppliSate!A:I,4,FALSE)</f>
        <v>Coop U Enseigne Ouest</v>
      </c>
      <c r="E581">
        <f ca="1">VLOOKUP(A581,Import_SuiviGlobal_MigAppliSate!A:I,5,FALSE)</f>
        <v>79460</v>
      </c>
      <c r="F581" t="str">
        <f ca="1">VLOOKUP(A581,Import_SuiviGlobal_MigAppliSate!A:I,6,FALSE)</f>
        <v>AVENUE DU MARAIS POITEVIN</v>
      </c>
      <c r="G581" t="str">
        <f ca="1">VLOOKUP(A581,Import_SuiviGlobal_MigAppliSate!A:I,7,FALSE)</f>
        <v>05.49.35.75.12</v>
      </c>
      <c r="H581" t="str">
        <f ca="1">VLOOKUP(A581,Import_SuiviGlobal_MigAppliSate!A:I,8,FALSE)</f>
        <v>BRION Alain</v>
      </c>
      <c r="I581" t="str">
        <f ca="1">VLOOKUP(A581,Import_SuiviGlobal_MigAppliSate!A:I,9,FALSE)</f>
        <v>alain.brion@systeme-u.fr</v>
      </c>
      <c r="J581" s="24" t="str">
        <f ca="1">VLOOKUP(A581,Import_SuiviGlobal_MigAppliSate!A:K,10,FALSE)</f>
        <v>DUTIN Emmanuelle</v>
      </c>
      <c r="K581" t="str">
        <f ca="1">VLOOKUP(A581,Import_SuiviGlobal_MigAppliSate!A:K,11,FALSE)</f>
        <v>superu.magne@systeme-u.fr</v>
      </c>
      <c r="O581" s="1" t="s">
        <v>22</v>
      </c>
    </row>
    <row r="582" spans="1:15" ht="12.75" hidden="1" x14ac:dyDescent="0.2">
      <c r="A582">
        <v>35185</v>
      </c>
      <c r="B582" t="str">
        <f ca="1">VLOOKUP(A582,Import_SuiviGlobal_MigAppliSate!A:I,2,FALSE)</f>
        <v>MALANSAC</v>
      </c>
      <c r="C582" t="str">
        <f ca="1">VLOOKUP(A582,Import_SuiviGlobal_MigAppliSate!A:I,3,FALSE)</f>
        <v>Super U</v>
      </c>
      <c r="D582" s="1" t="str">
        <f ca="1">VLOOKUP(A582,Import_SuiviGlobal_MigAppliSate!A:I,4,FALSE)</f>
        <v>Coop U Enseigne Ouest</v>
      </c>
      <c r="E582">
        <f ca="1">VLOOKUP(A582,Import_SuiviGlobal_MigAppliSate!A:I,5,FALSE)</f>
        <v>56220</v>
      </c>
      <c r="F582" t="str">
        <f ca="1">VLOOKUP(A582,Import_SuiviGlobal_MigAppliSate!A:I,6,FALSE)</f>
        <v>PARC ACTIVITÉS DE LA CHAUSSÉE</v>
      </c>
      <c r="G582" t="str">
        <f ca="1">VLOOKUP(A582,Import_SuiviGlobal_MigAppliSate!A:I,7,FALSE)</f>
        <v>02.97.66.28.87</v>
      </c>
      <c r="H582" t="str">
        <f ca="1">VLOOKUP(A582,Import_SuiviGlobal_MigAppliSate!A:I,8,FALSE)</f>
        <v>GAYARD RPT SARL GIZET HOLD Pierre</v>
      </c>
      <c r="I582" t="str">
        <f ca="1">VLOOKUP(A582,Import_SuiviGlobal_MigAppliSate!A:I,9,FALSE)</f>
        <v>pierre.gayard@systeme-u.fr</v>
      </c>
      <c r="J582" s="24" t="str">
        <f ca="1">VLOOKUP(A582,Import_SuiviGlobal_MigAppliSate!A:K,10,FALSE)</f>
        <v>Mme BOULO Marie-Christine</v>
      </c>
      <c r="K582" t="str">
        <f ca="1">VLOOKUP(A582,Import_SuiviGlobal_MigAppliSate!A:K,11,FALSE)</f>
        <v>superu.malansac@systeme-u.fr</v>
      </c>
      <c r="O582" s="1" t="s">
        <v>22</v>
      </c>
    </row>
    <row r="583" spans="1:15" ht="12.75" hidden="1" x14ac:dyDescent="0.2">
      <c r="A583">
        <v>90012</v>
      </c>
      <c r="B583" t="str">
        <f ca="1">VLOOKUP(A583,Import_SuiviGlobal_MigAppliSate!A:I,2,FALSE)</f>
        <v>MALAUCENE</v>
      </c>
      <c r="C583" t="str">
        <f ca="1">VLOOKUP(A583,Import_SuiviGlobal_MigAppliSate!A:I,3,FALSE)</f>
        <v>U Express</v>
      </c>
      <c r="D583" s="1" t="str">
        <f ca="1">VLOOKUP(A583,Import_SuiviGlobal_MigAppliSate!A:I,4,FALSE)</f>
        <v>Coop U Enseigne Sud</v>
      </c>
      <c r="E583">
        <f ca="1">VLOOKUP(A583,Import_SuiviGlobal_MigAppliSate!A:I,5,FALSE)</f>
        <v>84340</v>
      </c>
      <c r="F583" t="str">
        <f ca="1">VLOOKUP(A583,Import_SuiviGlobal_MigAppliSate!A:I,6,FALSE)</f>
        <v>COURS DES ISNARDS</v>
      </c>
      <c r="G583" t="str">
        <f ca="1">VLOOKUP(A583,Import_SuiviGlobal_MigAppliSate!A:I,7,FALSE)</f>
        <v>04.90.65.22.42</v>
      </c>
      <c r="H583" t="str">
        <f ca="1">VLOOKUP(A583,Import_SuiviGlobal_MigAppliSate!A:I,8,FALSE)</f>
        <v>PEALAT Sebastien</v>
      </c>
      <c r="I583" t="str">
        <f ca="1">VLOOKUP(A583,Import_SuiviGlobal_MigAppliSate!A:I,9,FALSE)</f>
        <v>sebastien.pealat@systeme-u.fr</v>
      </c>
      <c r="J583" s="24" t="str">
        <f ca="1">VLOOKUP(A583,Import_SuiviGlobal_MigAppliSate!A:K,10,FALSE)</f>
        <v/>
      </c>
      <c r="K583" t="str">
        <f ca="1">VLOOKUP(A583,Import_SuiviGlobal_MigAppliSate!A:K,11,FALSE)</f>
        <v/>
      </c>
      <c r="O583" s="1" t="s">
        <v>22</v>
      </c>
    </row>
    <row r="584" spans="1:15" ht="12.75" hidden="1" x14ac:dyDescent="0.2">
      <c r="A584">
        <v>38150</v>
      </c>
      <c r="B584" t="str">
        <f ca="1">VLOOKUP(A584,Import_SuiviGlobal_MigAppliSate!A:I,2,FALSE)</f>
        <v>MALESTROIT</v>
      </c>
      <c r="C584" t="str">
        <f ca="1">VLOOKUP(A584,Import_SuiviGlobal_MigAppliSate!A:I,3,FALSE)</f>
        <v>Super U</v>
      </c>
      <c r="D584" s="1" t="str">
        <f ca="1">VLOOKUP(A584,Import_SuiviGlobal_MigAppliSate!A:I,4,FALSE)</f>
        <v>Coop U Enseigne Ouest</v>
      </c>
      <c r="E584">
        <f ca="1">VLOOKUP(A584,Import_SuiviGlobal_MigAppliSate!A:I,5,FALSE)</f>
        <v>56140</v>
      </c>
      <c r="F584" t="str">
        <f ca="1">VLOOKUP(A584,Import_SuiviGlobal_MigAppliSate!A:I,6,FALSE)</f>
        <v>Z.A. PAVIOTAIE</v>
      </c>
      <c r="G584" t="str">
        <f ca="1">VLOOKUP(A584,Import_SuiviGlobal_MigAppliSate!A:I,7,FALSE)</f>
        <v>02.97.72.22.12</v>
      </c>
      <c r="H584" t="str">
        <f ca="1">VLOOKUP(A584,Import_SuiviGlobal_MigAppliSate!A:I,8,FALSE)</f>
        <v>GOUAULT Yohann</v>
      </c>
      <c r="I584" t="str">
        <f ca="1">VLOOKUP(A584,Import_SuiviGlobal_MigAppliSate!A:I,9,FALSE)</f>
        <v>yohann.gouault@systeme-u.fr</v>
      </c>
      <c r="J584" s="24" t="str">
        <f ca="1">VLOOKUP(A584,Import_SuiviGlobal_MigAppliSate!A:K,10,FALSE)</f>
        <v>Mme BARRAT</v>
      </c>
      <c r="K584" t="str">
        <f ca="1">VLOOKUP(A584,Import_SuiviGlobal_MigAppliSate!A:K,11,FALSE)</f>
        <v>superu.malestroit@systeme-u.fr</v>
      </c>
      <c r="O584" s="1" t="s">
        <v>22</v>
      </c>
    </row>
    <row r="585" spans="1:15" ht="12.75" hidden="1" x14ac:dyDescent="0.2">
      <c r="A585">
        <v>32070</v>
      </c>
      <c r="B585" t="str">
        <f ca="1">VLOOKUP(A585,Import_SuiviGlobal_MigAppliSate!A:I,2,FALSE)</f>
        <v>MAMERS</v>
      </c>
      <c r="C585" t="str">
        <f ca="1">VLOOKUP(A585,Import_SuiviGlobal_MigAppliSate!A:I,3,FALSE)</f>
        <v>Super U</v>
      </c>
      <c r="D585" s="1" t="str">
        <f ca="1">VLOOKUP(A585,Import_SuiviGlobal_MigAppliSate!A:I,4,FALSE)</f>
        <v>Coop U Enseigne Ouest</v>
      </c>
      <c r="E585">
        <f ca="1">VLOOKUP(A585,Import_SuiviGlobal_MigAppliSate!A:I,5,FALSE)</f>
        <v>72600</v>
      </c>
      <c r="F585" t="str">
        <f ca="1">VLOOKUP(A585,Import_SuiviGlobal_MigAppliSate!A:I,6,FALSE)</f>
        <v>ROUTE BELLEME</v>
      </c>
      <c r="G585" t="str">
        <f ca="1">VLOOKUP(A585,Import_SuiviGlobal_MigAppliSate!A:I,7,FALSE)</f>
        <v>02.43.31.11.40</v>
      </c>
      <c r="H585" t="str">
        <f ca="1">VLOOKUP(A585,Import_SuiviGlobal_MigAppliSate!A:I,8,FALSE)</f>
        <v>GUERIN RPT SARL FAGPA Patrice</v>
      </c>
      <c r="I585" t="str">
        <f ca="1">VLOOKUP(A585,Import_SuiviGlobal_MigAppliSate!A:I,9,FALSE)</f>
        <v>patrice.guerin@systeme-u.fr</v>
      </c>
      <c r="J585" s="24" t="str">
        <f ca="1">VLOOKUP(A585,Import_SuiviGlobal_MigAppliSate!A:K,10,FALSE)</f>
        <v>M. CHOPLIN</v>
      </c>
      <c r="K585" t="str">
        <f ca="1">VLOOKUP(A585,Import_SuiviGlobal_MigAppliSate!A:K,11,FALSE)</f>
        <v>superu.mamers.compta@systeme-u.fr</v>
      </c>
      <c r="O585" s="1" t="s">
        <v>22</v>
      </c>
    </row>
    <row r="586" spans="1:15" ht="12.75" hidden="1" x14ac:dyDescent="0.2">
      <c r="A586">
        <v>62077</v>
      </c>
      <c r="B586" t="str">
        <f ca="1">VLOOKUP(A586,Import_SuiviGlobal_MigAppliSate!A:I,2,FALSE)</f>
        <v>MANDEURE</v>
      </c>
      <c r="C586" t="str">
        <f ca="1">VLOOKUP(A586,Import_SuiviGlobal_MigAppliSate!A:I,3,FALSE)</f>
        <v>Super U</v>
      </c>
      <c r="D586" s="1" t="str">
        <f ca="1">VLOOKUP(A586,Import_SuiviGlobal_MigAppliSate!A:I,4,FALSE)</f>
        <v>Coop U Enseigne Est</v>
      </c>
      <c r="E586">
        <f ca="1">VLOOKUP(A586,Import_SuiviGlobal_MigAppliSate!A:I,5,FALSE)</f>
        <v>25350</v>
      </c>
      <c r="F586" t="str">
        <f ca="1">VLOOKUP(A586,Import_SuiviGlobal_MigAppliSate!A:I,6,FALSE)</f>
        <v>15 rue de Beaulieu</v>
      </c>
      <c r="G586" t="str">
        <f ca="1">VLOOKUP(A586,Import_SuiviGlobal_MigAppliSate!A:I,7,FALSE)</f>
        <v>03.81.36.34.65</v>
      </c>
      <c r="H586" t="str">
        <f ca="1">VLOOKUP(A586,Import_SuiviGlobal_MigAppliSate!A:I,8,FALSE)</f>
        <v>BARBARISI Bruno</v>
      </c>
      <c r="I586" t="str">
        <f ca="1">VLOOKUP(A586,Import_SuiviGlobal_MigAppliSate!A:I,9,FALSE)</f>
        <v>superu.mandeure.filiale@systeme-u.fr</v>
      </c>
      <c r="J586" s="24" t="str">
        <f ca="1">VLOOKUP(A586,Import_SuiviGlobal_MigAppliSate!A:K,10,FALSE)</f>
        <v>Sabrina HAOUAL</v>
      </c>
      <c r="K586" t="str">
        <f ca="1">VLOOKUP(A586,Import_SuiviGlobal_MigAppliSate!A:K,11,FALSE)</f>
        <v>superu.mandeure.compta@systeme-u.fr</v>
      </c>
      <c r="O586" s="1" t="s">
        <v>22</v>
      </c>
    </row>
    <row r="587" spans="1:15" ht="12.75" hidden="1" x14ac:dyDescent="0.2">
      <c r="A587">
        <v>90440</v>
      </c>
      <c r="B587" t="str">
        <f ca="1">VLOOKUP(A587,Import_SuiviGlobal_MigAppliSate!A:I,2,FALSE)</f>
        <v>MANOSQUE</v>
      </c>
      <c r="C587" t="str">
        <f ca="1">VLOOKUP(A587,Import_SuiviGlobal_MigAppliSate!A:I,3,FALSE)</f>
        <v>Hyper U</v>
      </c>
      <c r="D587" s="1" t="str">
        <f ca="1">VLOOKUP(A587,Import_SuiviGlobal_MigAppliSate!A:I,4,FALSE)</f>
        <v>Coop U Enseigne Sud</v>
      </c>
      <c r="E587">
        <f ca="1">VLOOKUP(A587,Import_SuiviGlobal_MigAppliSate!A:I,5,FALSE)</f>
        <v>4107</v>
      </c>
      <c r="F587" t="str">
        <f ca="1">VLOOKUP(A587,Import_SuiviGlobal_MigAppliSate!A:I,6,FALSE)</f>
        <v>ZI ST JOSEPH CS 60021</v>
      </c>
      <c r="G587" t="str">
        <f ca="1">VLOOKUP(A587,Import_SuiviGlobal_MigAppliSate!A:I,7,FALSE)</f>
        <v>04.92.70.70.30</v>
      </c>
      <c r="H587" t="str">
        <f ca="1">VLOOKUP(A587,Import_SuiviGlobal_MigAppliSate!A:I,8,FALSE)</f>
        <v>CAVAGNA Thierry</v>
      </c>
      <c r="I587" t="str">
        <f ca="1">VLOOKUP(A587,Import_SuiviGlobal_MigAppliSate!A:I,9,FALSE)</f>
        <v>thierry.cavagna@systeme-u.fr</v>
      </c>
      <c r="J587" s="24" t="str">
        <f ca="1">VLOOKUP(A587,Import_SuiviGlobal_MigAppliSate!A:K,10,FALSE)</f>
        <v>CAVAGNA Alix</v>
      </c>
      <c r="K587" t="str">
        <f ca="1">VLOOKUP(A587,Import_SuiviGlobal_MigAppliSate!A:K,11,FALSE)</f>
        <v>hyperu.manosque.direction@systeme-u.fr</v>
      </c>
      <c r="O587" s="1" t="s">
        <v>22</v>
      </c>
    </row>
    <row r="588" spans="1:15" ht="12.75" hidden="1" x14ac:dyDescent="0.2">
      <c r="A588">
        <v>32076</v>
      </c>
      <c r="B588" t="str">
        <f ca="1">VLOOKUP(A588,Import_SuiviGlobal_MigAppliSate!A:I,2,FALSE)</f>
        <v>MANSLE</v>
      </c>
      <c r="C588" t="str">
        <f ca="1">VLOOKUP(A588,Import_SuiviGlobal_MigAppliSate!A:I,3,FALSE)</f>
        <v>Super U</v>
      </c>
      <c r="D588" s="1" t="str">
        <f ca="1">VLOOKUP(A588,Import_SuiviGlobal_MigAppliSate!A:I,4,FALSE)</f>
        <v>Coop Atlantique</v>
      </c>
      <c r="E588">
        <f ca="1">VLOOKUP(A588,Import_SuiviGlobal_MigAppliSate!A:I,5,FALSE)</f>
        <v>16230</v>
      </c>
      <c r="F588" t="str">
        <f ca="1">VLOOKUP(A588,Import_SuiviGlobal_MigAppliSate!A:I,6,FALSE)</f>
        <v>RUE GRANGE DU CHAPÎTRE</v>
      </c>
      <c r="G588" t="str">
        <f ca="1">VLOOKUP(A588,Import_SuiviGlobal_MigAppliSate!A:I,7,FALSE)</f>
        <v>05.45.20.31.30</v>
      </c>
      <c r="H588" t="str">
        <f ca="1">VLOOKUP(A588,Import_SuiviGlobal_MigAppliSate!A:I,8,FALSE)</f>
        <v>FLAMBARD Hervé</v>
      </c>
      <c r="I588" t="str">
        <f ca="1">VLOOKUP(A588,Import_SuiviGlobal_MigAppliSate!A:I,9,FALSE)</f>
        <v>bertrand.defontaine_coop_su_uex@systeme-u.fr</v>
      </c>
      <c r="J588" s="24" t="str">
        <f ca="1">VLOOKUP(A588,Import_SuiviGlobal_MigAppliSate!A:K,10,FALSE)</f>
        <v>Bouquinet Didier</v>
      </c>
      <c r="K588" t="str">
        <f ca="1">VLOOKUP(A588,Import_SuiviGlobal_MigAppliSate!A:K,11,FALSE)</f>
        <v>dbouquinet@coop-atlantique.fr,superu.mansle.direction@systeme-u.fr,nbrigant@coop-atlantique.fr,sjaud@coop-atlantique.fr</v>
      </c>
      <c r="L588" s="1" t="s">
        <v>17</v>
      </c>
      <c r="M588" t="s">
        <v>23</v>
      </c>
      <c r="O588" s="1" t="s">
        <v>22</v>
      </c>
    </row>
    <row r="589" spans="1:15" ht="12.75" hidden="1" x14ac:dyDescent="0.2">
      <c r="A589">
        <v>37528</v>
      </c>
      <c r="B589" t="str">
        <f ca="1">VLOOKUP(A589,Import_SuiviGlobal_MigAppliSate!A:I,2,FALSE)</f>
        <v>MARANS</v>
      </c>
      <c r="C589" t="str">
        <f ca="1">VLOOKUP(A589,Import_SuiviGlobal_MigAppliSate!A:I,3,FALSE)</f>
        <v>Super U</v>
      </c>
      <c r="D589" s="1" t="str">
        <f ca="1">VLOOKUP(A589,Import_SuiviGlobal_MigAppliSate!A:I,4,FALSE)</f>
        <v>Coop U Enseigne Ouest</v>
      </c>
      <c r="E589">
        <f ca="1">VLOOKUP(A589,Import_SuiviGlobal_MigAppliSate!A:I,5,FALSE)</f>
        <v>17230</v>
      </c>
      <c r="F589" t="str">
        <f ca="1">VLOOKUP(A589,Import_SuiviGlobal_MigAppliSate!A:I,6,FALSE)</f>
        <v>1 BIS RUE D'ALIGRE</v>
      </c>
      <c r="G589" t="str">
        <f ca="1">VLOOKUP(A589,Import_SuiviGlobal_MigAppliSate!A:I,7,FALSE)</f>
        <v>05.46.01.12.65</v>
      </c>
      <c r="H589" t="str">
        <f ca="1">VLOOKUP(A589,Import_SuiviGlobal_MigAppliSate!A:I,8,FALSE)</f>
        <v>BUISSON RPT SARL DES CARMES Ludovic</v>
      </c>
      <c r="I589" t="str">
        <f ca="1">VLOOKUP(A589,Import_SuiviGlobal_MigAppliSate!A:I,9,FALSE)</f>
        <v>ludovic.buisson@systeme-u.fr</v>
      </c>
      <c r="J589" s="24" t="str">
        <f ca="1">VLOOKUP(A589,Import_SuiviGlobal_MigAppliSate!A:K,10,FALSE)</f>
        <v>BAH Valérie</v>
      </c>
      <c r="K589" t="str">
        <f ca="1">VLOOKUP(A589,Import_SuiviGlobal_MigAppliSate!A:K,11,FALSE)</f>
        <v>superu.marans@systeme-u.fr</v>
      </c>
      <c r="O589" s="1" t="s">
        <v>22</v>
      </c>
    </row>
    <row r="590" spans="1:15" ht="12.75" hidden="1" x14ac:dyDescent="0.2">
      <c r="A590">
        <v>95160</v>
      </c>
      <c r="B590" t="str">
        <f ca="1">VLOOKUP(A590,Import_SuiviGlobal_MigAppliSate!A:I,2,FALSE)</f>
        <v>MARCIAC</v>
      </c>
      <c r="C590" t="str">
        <f ca="1">VLOOKUP(A590,Import_SuiviGlobal_MigAppliSate!A:I,3,FALSE)</f>
        <v>U Express</v>
      </c>
      <c r="D590" s="1" t="str">
        <f ca="1">VLOOKUP(A590,Import_SuiviGlobal_MigAppliSate!A:I,4,FALSE)</f>
        <v>Coop U Enseigne Sud</v>
      </c>
      <c r="E590">
        <f ca="1">VLOOKUP(A590,Import_SuiviGlobal_MigAppliSate!A:I,5,FALSE)</f>
        <v>32230</v>
      </c>
      <c r="F590" t="str">
        <f ca="1">VLOOKUP(A590,Import_SuiviGlobal_MigAppliSate!A:I,6,FALSE)</f>
        <v>RTE DE MIRANDE RD LE CAGNAN</v>
      </c>
      <c r="G590" t="str">
        <f ca="1">VLOOKUP(A590,Import_SuiviGlobal_MigAppliSate!A:I,7,FALSE)</f>
        <v>05.62.08.39.30</v>
      </c>
      <c r="H590" t="str">
        <f ca="1">VLOOKUP(A590,Import_SuiviGlobal_MigAppliSate!A:I,8,FALSE)</f>
        <v>NAMY Eric</v>
      </c>
      <c r="I590" t="str">
        <f ca="1">VLOOKUP(A590,Import_SuiviGlobal_MigAppliSate!A:I,9,FALSE)</f>
        <v>eric.namy@systeme-u.fr</v>
      </c>
      <c r="J590" s="24" t="str">
        <f ca="1">VLOOKUP(A590,Import_SuiviGlobal_MigAppliSate!A:K,10,FALSE)</f>
        <v/>
      </c>
      <c r="K590" t="str">
        <f ca="1">VLOOKUP(A590,Import_SuiviGlobal_MigAppliSate!A:K,11,FALSE)</f>
        <v>uexpress.marciac@systeme-u.fr</v>
      </c>
      <c r="O590" s="1" t="s">
        <v>22</v>
      </c>
    </row>
    <row r="591" spans="1:15" ht="12.75" hidden="1" x14ac:dyDescent="0.2">
      <c r="A591">
        <v>60716</v>
      </c>
      <c r="B591" t="str">
        <f ca="1">VLOOKUP(A591,Import_SuiviGlobal_MigAppliSate!A:I,2,FALSE)</f>
        <v>MARCKOLSHEIM</v>
      </c>
      <c r="C591" t="str">
        <f ca="1">VLOOKUP(A591,Import_SuiviGlobal_MigAppliSate!A:I,3,FALSE)</f>
        <v>Super U</v>
      </c>
      <c r="D591" s="1" t="str">
        <f ca="1">VLOOKUP(A591,Import_SuiviGlobal_MigAppliSate!A:I,4,FALSE)</f>
        <v>Coop U Enseigne Est</v>
      </c>
      <c r="E591">
        <f ca="1">VLOOKUP(A591,Import_SuiviGlobal_MigAppliSate!A:I,5,FALSE)</f>
        <v>67390</v>
      </c>
      <c r="F591" t="str">
        <f ca="1">VLOOKUP(A591,Import_SuiviGlobal_MigAppliSate!A:I,6,FALSE)</f>
        <v>14 avenue de l'Europe</v>
      </c>
      <c r="G591" t="str">
        <f ca="1">VLOOKUP(A591,Import_SuiviGlobal_MigAppliSate!A:I,7,FALSE)</f>
        <v>03.88.58.62.30</v>
      </c>
      <c r="H591" t="str">
        <f ca="1">VLOOKUP(A591,Import_SuiviGlobal_MigAppliSate!A:I,8,FALSE)</f>
        <v>SPOR Yvan</v>
      </c>
      <c r="I591" t="str">
        <f ca="1">VLOOKUP(A591,Import_SuiviGlobal_MigAppliSate!A:I,9,FALSE)</f>
        <v>yvan.spor@systeme-u.fr</v>
      </c>
      <c r="J591" s="24" t="str">
        <f ca="1">VLOOKUP(A591,Import_SuiviGlobal_MigAppliSate!A:K,10,FALSE)</f>
        <v>M. AUBRINGER</v>
      </c>
      <c r="K591" t="str">
        <f ca="1">VLOOKUP(A591,Import_SuiviGlobal_MigAppliSate!A:K,11,FALSE)</f>
        <v>superu.marckolsheim.direction@systeme-u.fr</v>
      </c>
      <c r="O591" s="1" t="s">
        <v>22</v>
      </c>
    </row>
    <row r="592" spans="1:15" ht="12.75" hidden="1" x14ac:dyDescent="0.2">
      <c r="A592">
        <v>38508</v>
      </c>
      <c r="B592" t="str">
        <f ca="1">VLOOKUP(A592,Import_SuiviGlobal_MigAppliSate!A:I,2,FALSE)</f>
        <v>MAREIL-EN-CHAMPAGNE</v>
      </c>
      <c r="C592" t="str">
        <f ca="1">VLOOKUP(A592,Import_SuiviGlobal_MigAppliSate!A:I,3,FALSE)</f>
        <v>Super U</v>
      </c>
      <c r="D592" s="1" t="str">
        <f ca="1">VLOOKUP(A592,Import_SuiviGlobal_MigAppliSate!A:I,4,FALSE)</f>
        <v>Coop U Enseigne Ouest</v>
      </c>
      <c r="E592">
        <f ca="1">VLOOKUP(A592,Import_SuiviGlobal_MigAppliSate!A:I,5,FALSE)</f>
        <v>72540</v>
      </c>
      <c r="F592" t="str">
        <f ca="1">VLOOKUP(A592,Import_SuiviGlobal_MigAppliSate!A:I,6,FALSE)</f>
        <v>LA GRANGE</v>
      </c>
      <c r="G592" t="str">
        <f ca="1">VLOOKUP(A592,Import_SuiviGlobal_MigAppliSate!A:I,7,FALSE)</f>
        <v>02.43.88.63.42</v>
      </c>
      <c r="H592" t="str">
        <f ca="1">VLOOKUP(A592,Import_SuiviGlobal_MigAppliSate!A:I,8,FALSE)</f>
        <v>ANDRE RPT SARL JPA INVEST Jean-Philippe</v>
      </c>
      <c r="I592" t="str">
        <f ca="1">VLOOKUP(A592,Import_SuiviGlobal_MigAppliSate!A:I,9,FALSE)</f>
        <v>jean-philippe.andre@systeme-u.fr</v>
      </c>
      <c r="J592" s="24" t="str">
        <f ca="1">VLOOKUP(A592,Import_SuiviGlobal_MigAppliSate!A:K,10,FALSE)</f>
        <v/>
      </c>
      <c r="K592" t="str">
        <f ca="1">VLOOKUP(A592,Import_SuiviGlobal_MigAppliSate!A:K,11,FALSE)</f>
        <v/>
      </c>
      <c r="O592" s="1" t="s">
        <v>22</v>
      </c>
    </row>
    <row r="593" spans="1:15" ht="12.75" hidden="1" x14ac:dyDescent="0.2">
      <c r="A593">
        <v>90472</v>
      </c>
      <c r="B593" t="str">
        <f ca="1">VLOOKUP(A593,Import_SuiviGlobal_MigAppliSate!A:I,2,FALSE)</f>
        <v>MARGUERITTES</v>
      </c>
      <c r="C593" t="str">
        <f ca="1">VLOOKUP(A593,Import_SuiviGlobal_MigAppliSate!A:I,3,FALSE)</f>
        <v>Super U</v>
      </c>
      <c r="D593" s="1" t="str">
        <f ca="1">VLOOKUP(A593,Import_SuiviGlobal_MigAppliSate!A:I,4,FALSE)</f>
        <v>Coop U Enseigne Sud</v>
      </c>
      <c r="E593">
        <f ca="1">VLOOKUP(A593,Import_SuiviGlobal_MigAppliSate!A:I,5,FALSE)</f>
        <v>30320</v>
      </c>
      <c r="F593" t="str">
        <f ca="1">VLOOKUP(A593,Import_SuiviGlobal_MigAppliSate!A:I,6,FALSE)</f>
        <v>58 AVENUE CLEMENT ADER</v>
      </c>
      <c r="G593" t="str">
        <f ca="1">VLOOKUP(A593,Import_SuiviGlobal_MigAppliSate!A:I,7,FALSE)</f>
        <v>04.66.75.68.68</v>
      </c>
      <c r="H593" t="str">
        <f ca="1">VLOOKUP(A593,Import_SuiviGlobal_MigAppliSate!A:I,8,FALSE)</f>
        <v>BONNEMORT Alain</v>
      </c>
      <c r="I593" t="str">
        <f ca="1">VLOOKUP(A593,Import_SuiviGlobal_MigAppliSate!A:I,9,FALSE)</f>
        <v>alain.bonnemort@systeme-u.fr</v>
      </c>
      <c r="J593" s="24" t="str">
        <f ca="1">VLOOKUP(A593,Import_SuiviGlobal_MigAppliSate!A:K,10,FALSE)</f>
        <v>BONNEMORT Corentin</v>
      </c>
      <c r="K593" t="str">
        <f ca="1">VLOOKUP(A593,Import_SuiviGlobal_MigAppliSate!A:K,11,FALSE)</f>
        <v>corentin.bonnemort@systeme-u.fr</v>
      </c>
      <c r="O593" s="1" t="s">
        <v>22</v>
      </c>
    </row>
    <row r="594" spans="1:15" ht="12.75" hidden="1" x14ac:dyDescent="0.2">
      <c r="A594">
        <v>90728</v>
      </c>
      <c r="B594" t="str">
        <f ca="1">VLOOKUP(A594,Import_SuiviGlobal_MigAppliSate!A:I,2,FALSE)</f>
        <v>MARIGNANE</v>
      </c>
      <c r="C594" t="str">
        <f ca="1">VLOOKUP(A594,Import_SuiviGlobal_MigAppliSate!A:I,3,FALSE)</f>
        <v>Utile</v>
      </c>
      <c r="D594" s="1" t="str">
        <f ca="1">VLOOKUP(A594,Import_SuiviGlobal_MigAppliSate!A:I,4,FALSE)</f>
        <v>Coop MISTRAL</v>
      </c>
      <c r="E594">
        <f ca="1">VLOOKUP(A594,Import_SuiviGlobal_MigAppliSate!A:I,5,FALSE)</f>
        <v>13700</v>
      </c>
      <c r="F594" t="str">
        <f ca="1">VLOOKUP(A594,Import_SuiviGlobal_MigAppliSate!A:I,6,FALSE)</f>
        <v>6 AVENUE JEAN JAURES</v>
      </c>
      <c r="G594" t="str">
        <f ca="1">VLOOKUP(A594,Import_SuiviGlobal_MigAppliSate!A:I,7,FALSE)</f>
        <v>04.42.07.57.45</v>
      </c>
      <c r="H594" t="str">
        <f ca="1">VLOOKUP(A594,Import_SuiviGlobal_MigAppliSate!A:I,8,FALSE)</f>
        <v>CATALA Jean-Paul</v>
      </c>
      <c r="I594" t="str">
        <f ca="1">VLOOKUP(A594,Import_SuiviGlobal_MigAppliSate!A:I,9,FALSE)</f>
        <v/>
      </c>
      <c r="J594" s="24" t="str">
        <f ca="1">VLOOKUP(A594,Import_SuiviGlobal_MigAppliSate!A:K,10,FALSE)</f>
        <v>#N/A</v>
      </c>
      <c r="K594" t="str">
        <f ca="1">VLOOKUP(A594,Import_SuiviGlobal_MigAppliSate!A:K,11,FALSE)</f>
        <v>#N/A</v>
      </c>
      <c r="O594" s="1" t="s">
        <v>22</v>
      </c>
    </row>
    <row r="595" spans="1:15" ht="12.75" hidden="1" x14ac:dyDescent="0.2">
      <c r="A595">
        <v>66096</v>
      </c>
      <c r="B595" t="str">
        <f ca="1">VLOOKUP(A595,Import_SuiviGlobal_MigAppliSate!A:I,2,FALSE)</f>
        <v>MARIGNIER</v>
      </c>
      <c r="C595" t="str">
        <f ca="1">VLOOKUP(A595,Import_SuiviGlobal_MigAppliSate!A:I,3,FALSE)</f>
        <v>Super U</v>
      </c>
      <c r="D595" s="1" t="str">
        <f ca="1">VLOOKUP(A595,Import_SuiviGlobal_MigAppliSate!A:I,4,FALSE)</f>
        <v>Coop U Enseigne Est</v>
      </c>
      <c r="E595">
        <f ca="1">VLOOKUP(A595,Import_SuiviGlobal_MigAppliSate!A:I,5,FALSE)</f>
        <v>74970</v>
      </c>
      <c r="F595" t="str">
        <f ca="1">VLOOKUP(A595,Import_SuiviGlobal_MigAppliSate!A:I,6,FALSE)</f>
        <v>40 RUE LES CLUS</v>
      </c>
      <c r="G595" t="str">
        <f ca="1">VLOOKUP(A595,Import_SuiviGlobal_MigAppliSate!A:I,7,FALSE)</f>
        <v>04.50.34.59.70</v>
      </c>
      <c r="H595" t="str">
        <f ca="1">VLOOKUP(A595,Import_SuiviGlobal_MigAppliSate!A:I,8,FALSE)</f>
        <v>GONNACHON Boris</v>
      </c>
      <c r="I595" t="str">
        <f ca="1">VLOOKUP(A595,Import_SuiviGlobal_MigAppliSate!A:I,9,FALSE)</f>
        <v>boris.gonnachon@systeme-u.fr</v>
      </c>
      <c r="J595" s="24" t="str">
        <f ca="1">VLOOKUP(A595,Import_SuiviGlobal_MigAppliSate!A:K,10,FALSE)</f>
        <v>M LEGAY</v>
      </c>
      <c r="K595" t="str">
        <f ca="1">VLOOKUP(A595,Import_SuiviGlobal_MigAppliSate!A:K,11,FALSE)</f>
        <v>superu.marignier.directeur@systeme-u.fr</v>
      </c>
      <c r="O595" s="1" t="s">
        <v>22</v>
      </c>
    </row>
    <row r="596" spans="1:15" ht="12.75" hidden="1" x14ac:dyDescent="0.2">
      <c r="A596">
        <v>36327</v>
      </c>
      <c r="B596" t="str">
        <f ca="1">VLOOKUP(A596,Import_SuiviGlobal_MigAppliSate!A:I,2,FALSE)</f>
        <v>MAROLLES-LES-BRAULTS</v>
      </c>
      <c r="C596" t="str">
        <f ca="1">VLOOKUP(A596,Import_SuiviGlobal_MigAppliSate!A:I,3,FALSE)</f>
        <v>U Express</v>
      </c>
      <c r="D596" s="1" t="str">
        <f ca="1">VLOOKUP(A596,Import_SuiviGlobal_MigAppliSate!A:I,4,FALSE)</f>
        <v>Coop U Enseigne Ouest</v>
      </c>
      <c r="E596">
        <f ca="1">VLOOKUP(A596,Import_SuiviGlobal_MigAppliSate!A:I,5,FALSE)</f>
        <v>72260</v>
      </c>
      <c r="F596" t="str">
        <f ca="1">VLOOKUP(A596,Import_SuiviGlobal_MigAppliSate!A:I,6,FALSE)</f>
        <v>15 À 17 RUE MOHAIN</v>
      </c>
      <c r="G596" t="str">
        <f ca="1">VLOOKUP(A596,Import_SuiviGlobal_MigAppliSate!A:I,7,FALSE)</f>
        <v>02.43.31.15.00</v>
      </c>
      <c r="H596" t="str">
        <f ca="1">VLOOKUP(A596,Import_SuiviGlobal_MigAppliSate!A:I,8,FALSE)</f>
        <v>GUERANGER Patrick</v>
      </c>
      <c r="I596" t="str">
        <f ca="1">VLOOKUP(A596,Import_SuiviGlobal_MigAppliSate!A:I,9,FALSE)</f>
        <v>patrick.gueranger@systeme-u.fr</v>
      </c>
      <c r="J596" s="24" t="str">
        <f ca="1">VLOOKUP(A596,Import_SuiviGlobal_MigAppliSate!A:K,10,FALSE)</f>
        <v>Edith Launay</v>
      </c>
      <c r="K596" t="str">
        <f ca="1">VLOOKUP(A596,Import_SuiviGlobal_MigAppliSate!A:K,11,FALSE)</f>
        <v>uexpress.marolleslesbraults.compta@systeme-u.fr</v>
      </c>
      <c r="O596" s="1" t="s">
        <v>22</v>
      </c>
    </row>
    <row r="597" spans="1:15" ht="12.75" hidden="1" x14ac:dyDescent="0.2">
      <c r="A597">
        <v>22216</v>
      </c>
      <c r="B597" t="str">
        <f ca="1">VLOOKUP(A597,Import_SuiviGlobal_MigAppliSate!A:I,2,FALSE)</f>
        <v>MAROMME</v>
      </c>
      <c r="C597" t="str">
        <f ca="1">VLOOKUP(A597,Import_SuiviGlobal_MigAppliSate!A:I,3,FALSE)</f>
        <v>Super U</v>
      </c>
      <c r="D597" s="1" t="str">
        <f ca="1">VLOOKUP(A597,Import_SuiviGlobal_MigAppliSate!A:I,4,FALSE)</f>
        <v>Coop U Enseigne NordOuest</v>
      </c>
      <c r="E597">
        <f ca="1">VLOOKUP(A597,Import_SuiviGlobal_MigAppliSate!A:I,5,FALSE)</f>
        <v>76150</v>
      </c>
      <c r="F597" t="str">
        <f ca="1">VLOOKUP(A597,Import_SuiviGlobal_MigAppliSate!A:I,6,FALSE)</f>
        <v>RUE DES MARTYRS DE LA RÉSISTANCE</v>
      </c>
      <c r="G597" t="str">
        <f ca="1">VLOOKUP(A597,Import_SuiviGlobal_MigAppliSate!A:I,7,FALSE)</f>
        <v>02.32.82.88.50</v>
      </c>
      <c r="H597" t="str">
        <f ca="1">VLOOKUP(A597,Import_SuiviGlobal_MigAppliSate!A:I,8,FALSE)</f>
        <v>DIERICK (SUNO) Sébastien</v>
      </c>
      <c r="I597" t="str">
        <f ca="1">VLOOKUP(A597,Import_SuiviGlobal_MigAppliSate!A:I,9,FALSE)</f>
        <v>vincent.renaud@systeme-u.fr</v>
      </c>
      <c r="J597" s="24" t="str">
        <f ca="1">VLOOKUP(A597,Import_SuiviGlobal_MigAppliSate!A:K,10,FALSE)</f>
        <v>M. Vincent Renaud</v>
      </c>
      <c r="K597" t="str">
        <f ca="1">VLOOKUP(A597,Import_SuiviGlobal_MigAppliSate!A:K,11,FALSE)</f>
        <v>vincent.renaud@systeme-u.fr</v>
      </c>
      <c r="O597" s="1" t="s">
        <v>22</v>
      </c>
    </row>
    <row r="598" spans="1:15" ht="12.75" hidden="1" x14ac:dyDescent="0.2">
      <c r="A598">
        <v>90617</v>
      </c>
      <c r="B598" t="str">
        <f ca="1">VLOOKUP(A598,Import_SuiviGlobal_MigAppliSate!A:I,2,FALSE)</f>
        <v>MARSEILLE CHUTES LAVIE</v>
      </c>
      <c r="C598" t="str">
        <f ca="1">VLOOKUP(A598,Import_SuiviGlobal_MigAppliSate!A:I,3,FALSE)</f>
        <v>U Express</v>
      </c>
      <c r="D598" s="1" t="str">
        <f ca="1">VLOOKUP(A598,Import_SuiviGlobal_MigAppliSate!A:I,4,FALSE)</f>
        <v>Coop MISTRAL</v>
      </c>
      <c r="E598">
        <f ca="1">VLOOKUP(A598,Import_SuiviGlobal_MigAppliSate!A:I,5,FALSE)</f>
        <v>13004</v>
      </c>
      <c r="F598" t="str">
        <f ca="1">VLOOKUP(A598,Import_SuiviGlobal_MigAppliSate!A:I,6,FALSE)</f>
        <v>25 AVENUE CHUTES LAVIE</v>
      </c>
      <c r="G598" t="str">
        <f ca="1">VLOOKUP(A598,Import_SuiviGlobal_MigAppliSate!A:I,7,FALSE)</f>
        <v>04.91.50.86.40</v>
      </c>
      <c r="H598" t="str">
        <f ca="1">VLOOKUP(A598,Import_SuiviGlobal_MigAppliSate!A:I,8,FALSE)</f>
        <v>MARCAINI Luc</v>
      </c>
      <c r="I598" t="str">
        <f ca="1">VLOOKUP(A598,Import_SuiviGlobal_MigAppliSate!A:I,9,FALSE)</f>
        <v>luc.marcaini@wanadoo.fr</v>
      </c>
      <c r="J598" s="24" t="str">
        <f ca="1">VLOOKUP(A598,Import_SuiviGlobal_MigAppliSate!A:K,10,FALSE)</f>
        <v/>
      </c>
      <c r="K598" t="str">
        <f ca="1">VLOOKUP(A598,Import_SuiviGlobal_MigAppliSate!A:K,11,FALSE)</f>
        <v>delphine.damian@lemistral.fr,helene.mina@lemistral.fr</v>
      </c>
      <c r="O598" s="1" t="s">
        <v>22</v>
      </c>
    </row>
    <row r="599" spans="1:15" ht="12.75" hidden="1" x14ac:dyDescent="0.2">
      <c r="A599">
        <v>90174</v>
      </c>
      <c r="B599" t="str">
        <f ca="1">VLOOKUP(A599,Import_SuiviGlobal_MigAppliSate!A:I,2,FALSE)</f>
        <v>MARSEILLE E.PIERRE</v>
      </c>
      <c r="C599" t="str">
        <f ca="1">VLOOKUP(A599,Import_SuiviGlobal_MigAppliSate!A:I,3,FALSE)</f>
        <v>U Express</v>
      </c>
      <c r="D599" s="1" t="str">
        <f ca="1">VLOOKUP(A599,Import_SuiviGlobal_MigAppliSate!A:I,4,FALSE)</f>
        <v>Coop U Enseigne Sud</v>
      </c>
      <c r="E599">
        <f ca="1">VLOOKUP(A599,Import_SuiviGlobal_MigAppliSate!A:I,5,FALSE)</f>
        <v>13005</v>
      </c>
      <c r="F599" t="str">
        <f ca="1">VLOOKUP(A599,Import_SuiviGlobal_MigAppliSate!A:I,6,FALSE)</f>
        <v>77 BOULEVARD EUGENE PIERRE</v>
      </c>
      <c r="G599" t="str">
        <f ca="1">VLOOKUP(A599,Import_SuiviGlobal_MigAppliSate!A:I,7,FALSE)</f>
        <v>04.96.12.12.30</v>
      </c>
      <c r="H599" t="str">
        <f ca="1">VLOOKUP(A599,Import_SuiviGlobal_MigAppliSate!A:I,8,FALSE)</f>
        <v>GUENOUN Michel</v>
      </c>
      <c r="I599" t="str">
        <f ca="1">VLOOKUP(A599,Import_SuiviGlobal_MigAppliSate!A:I,9,FALSE)</f>
        <v>michel.guenoun@systeme-u.fr</v>
      </c>
      <c r="J599" s="24" t="str">
        <f ca="1">VLOOKUP(A599,Import_SuiviGlobal_MigAppliSate!A:K,10,FALSE)</f>
        <v>Mme HERNANDEZ 
Mme ALONZO</v>
      </c>
      <c r="K599" t="str">
        <f ca="1">VLOOKUP(A599,Import_SuiviGlobal_MigAppliSate!A:K,11,FALSE)</f>
        <v>groupe.guenoun.gestion@systeme-u.fr,groupe.guenoun.direction@systeme-u.fr</v>
      </c>
      <c r="O599" s="1" t="s">
        <v>22</v>
      </c>
    </row>
    <row r="600" spans="1:15" ht="12.75" hidden="1" x14ac:dyDescent="0.2">
      <c r="A600">
        <v>90639</v>
      </c>
      <c r="B600" t="str">
        <f ca="1">VLOOKUP(A600,Import_SuiviGlobal_MigAppliSate!A:I,2,FALSE)</f>
        <v>MARSEILLE GRAND RUE</v>
      </c>
      <c r="C600" t="str">
        <f ca="1">VLOOKUP(A600,Import_SuiviGlobal_MigAppliSate!A:I,3,FALSE)</f>
        <v>U Express</v>
      </c>
      <c r="D600" s="1" t="str">
        <f ca="1">VLOOKUP(A600,Import_SuiviGlobal_MigAppliSate!A:I,4,FALSE)</f>
        <v>Coop MISTRAL</v>
      </c>
      <c r="E600">
        <f ca="1">VLOOKUP(A600,Import_SuiviGlobal_MigAppliSate!A:I,5,FALSE)</f>
        <v>13002</v>
      </c>
      <c r="F600" t="str">
        <f ca="1">VLOOKUP(A600,Import_SuiviGlobal_MigAppliSate!A:I,6,FALSE)</f>
        <v>8 10 GRAND RUE</v>
      </c>
      <c r="G600" t="str">
        <f ca="1">VLOOKUP(A600,Import_SuiviGlobal_MigAppliSate!A:I,7,FALSE)</f>
        <v>04.91.90.34.26</v>
      </c>
      <c r="H600" t="str">
        <f ca="1">VLOOKUP(A600,Import_SuiviGlobal_MigAppliSate!A:I,8,FALSE)</f>
        <v>KASKASSIAN Alain</v>
      </c>
      <c r="I600" t="str">
        <f ca="1">VLOOKUP(A600,Import_SuiviGlobal_MigAppliSate!A:I,9,FALSE)</f>
        <v/>
      </c>
      <c r="J600" s="24" t="str">
        <f ca="1">VLOOKUP(A600,Import_SuiviGlobal_MigAppliSate!A:K,10,FALSE)</f>
        <v/>
      </c>
      <c r="K600" t="str">
        <f ca="1">VLOOKUP(A600,Import_SuiviGlobal_MigAppliSate!A:K,11,FALSE)</f>
        <v xml:space="preserve">delphine.damian@lemistral.fr,helene.mina@lemistral.fr,thierryferrafiat@free.fr  </v>
      </c>
      <c r="O600" s="1" t="s">
        <v>22</v>
      </c>
    </row>
    <row r="601" spans="1:15" ht="12.75" hidden="1" x14ac:dyDescent="0.2">
      <c r="A601">
        <v>90451</v>
      </c>
      <c r="B601" t="str">
        <f ca="1">VLOOKUP(A601,Import_SuiviGlobal_MigAppliSate!A:I,2,FALSE)</f>
        <v>MARSEILLE SAKAKINI</v>
      </c>
      <c r="C601" t="str">
        <f ca="1">VLOOKUP(A601,Import_SuiviGlobal_MigAppliSate!A:I,3,FALSE)</f>
        <v>Super U</v>
      </c>
      <c r="D601" s="1" t="str">
        <f ca="1">VLOOKUP(A601,Import_SuiviGlobal_MigAppliSate!A:I,4,FALSE)</f>
        <v>Coop U Enseigne Sud</v>
      </c>
      <c r="E601">
        <f ca="1">VLOOKUP(A601,Import_SuiviGlobal_MigAppliSate!A:I,5,FALSE)</f>
        <v>13005</v>
      </c>
      <c r="F601" t="str">
        <f ca="1">VLOOKUP(A601,Import_SuiviGlobal_MigAppliSate!A:I,6,FALSE)</f>
        <v>95 BD SAKAKINI</v>
      </c>
      <c r="G601" t="str">
        <f ca="1">VLOOKUP(A601,Import_SuiviGlobal_MigAppliSate!A:I,7,FALSE)</f>
        <v>04.96.12.13.00</v>
      </c>
      <c r="H601" t="str">
        <f ca="1">VLOOKUP(A601,Import_SuiviGlobal_MigAppliSate!A:I,8,FALSE)</f>
        <v>GUENOUN Michel</v>
      </c>
      <c r="I601" t="str">
        <f ca="1">VLOOKUP(A601,Import_SuiviGlobal_MigAppliSate!A:I,9,FALSE)</f>
        <v>michel.guenoun@systeme-u.fr</v>
      </c>
      <c r="J601" s="24" t="str">
        <f ca="1">VLOOKUP(A601,Import_SuiviGlobal_MigAppliSate!A:K,10,FALSE)</f>
        <v>M. MARDIROSSIAN</v>
      </c>
      <c r="K601" t="str">
        <f ca="1">VLOOKUP(A601,Import_SuiviGlobal_MigAppliSate!A:K,11,FALSE)</f>
        <v>superu.marseillesakakini.direction@systeme-u.fr</v>
      </c>
      <c r="O601" s="1" t="s">
        <v>22</v>
      </c>
    </row>
    <row r="602" spans="1:15" ht="12.75" hidden="1" x14ac:dyDescent="0.2">
      <c r="A602">
        <v>90249</v>
      </c>
      <c r="B602" t="str">
        <f ca="1">VLOOKUP(A602,Import_SuiviGlobal_MigAppliSate!A:I,2,FALSE)</f>
        <v>MARSEILLE ST PIERRE</v>
      </c>
      <c r="C602" t="str">
        <f ca="1">VLOOKUP(A602,Import_SuiviGlobal_MigAppliSate!A:I,3,FALSE)</f>
        <v>Super U</v>
      </c>
      <c r="D602" s="1" t="str">
        <f ca="1">VLOOKUP(A602,Import_SuiviGlobal_MigAppliSate!A:I,4,FALSE)</f>
        <v>Coop U Enseigne Sud</v>
      </c>
      <c r="E602">
        <f ca="1">VLOOKUP(A602,Import_SuiviGlobal_MigAppliSate!A:I,5,FALSE)</f>
        <v>13005</v>
      </c>
      <c r="F602" t="str">
        <f ca="1">VLOOKUP(A602,Import_SuiviGlobal_MigAppliSate!A:I,6,FALSE)</f>
        <v>135 RUE ST PIERRE</v>
      </c>
      <c r="G602" t="str">
        <f ca="1">VLOOKUP(A602,Import_SuiviGlobal_MigAppliSate!A:I,7,FALSE)</f>
        <v>04.96.12.13.30</v>
      </c>
      <c r="H602" t="str">
        <f ca="1">VLOOKUP(A602,Import_SuiviGlobal_MigAppliSate!A:I,8,FALSE)</f>
        <v>GUENOUN Michel</v>
      </c>
      <c r="I602" t="str">
        <f ca="1">VLOOKUP(A602,Import_SuiviGlobal_MigAppliSate!A:I,9,FALSE)</f>
        <v>michel.guenoun@systeme-u.fr</v>
      </c>
      <c r="J602" s="24" t="str">
        <f ca="1">VLOOKUP(A602,Import_SuiviGlobal_MigAppliSate!A:K,10,FALSE)</f>
        <v>Mme Sophie MARCEL</v>
      </c>
      <c r="K602" t="str">
        <f ca="1">VLOOKUP(A602,Import_SuiviGlobal_MigAppliSate!A:K,11,FALSE)</f>
        <v>superu.marseillesaintpierre@systeme-u.fr</v>
      </c>
      <c r="O602" s="1" t="s">
        <v>22</v>
      </c>
    </row>
    <row r="603" spans="1:15" ht="12.75" hidden="1" x14ac:dyDescent="0.2">
      <c r="A603">
        <v>90177</v>
      </c>
      <c r="B603" t="str">
        <f ca="1">VLOOKUP(A603,Import_SuiviGlobal_MigAppliSate!A:I,2,FALSE)</f>
        <v>MARSEILLE TADDEI</v>
      </c>
      <c r="C603" t="str">
        <f ca="1">VLOOKUP(A603,Import_SuiviGlobal_MigAppliSate!A:I,3,FALSE)</f>
        <v>Super U</v>
      </c>
      <c r="D603" s="1" t="str">
        <f ca="1">VLOOKUP(A603,Import_SuiviGlobal_MigAppliSate!A:I,4,FALSE)</f>
        <v>Coop U Enseigne Sud</v>
      </c>
      <c r="E603">
        <f ca="1">VLOOKUP(A603,Import_SuiviGlobal_MigAppliSate!A:I,5,FALSE)</f>
        <v>13007</v>
      </c>
      <c r="F603" t="str">
        <f ca="1">VLOOKUP(A603,Import_SuiviGlobal_MigAppliSate!A:I,6,FALSE)</f>
        <v>6 RUE FRANCOIS TADDEI</v>
      </c>
      <c r="G603" t="str">
        <f ca="1">VLOOKUP(A603,Import_SuiviGlobal_MigAppliSate!A:I,7,FALSE)</f>
        <v>04.91.13.50.80</v>
      </c>
      <c r="H603" t="str">
        <f ca="1">VLOOKUP(A603,Import_SuiviGlobal_MigAppliSate!A:I,8,FALSE)</f>
        <v>BAUDE Philippe</v>
      </c>
      <c r="I603" t="str">
        <f ca="1">VLOOKUP(A603,Import_SuiviGlobal_MigAppliSate!A:I,9,FALSE)</f>
        <v>philippe.baude@systeme-u.fr</v>
      </c>
      <c r="J603" s="24" t="str">
        <f ca="1">VLOOKUP(A603,Import_SuiviGlobal_MigAppliSate!A:K,10,FALSE)</f>
        <v>Ludovic Mérieux</v>
      </c>
      <c r="K603" t="str">
        <f ca="1">VLOOKUP(A603,Import_SuiviGlobal_MigAppliSate!A:K,11,FALSE)</f>
        <v>superu.marseilletaddei.fl@systeme-u.fr</v>
      </c>
      <c r="O603" s="1" t="s">
        <v>22</v>
      </c>
    </row>
    <row r="604" spans="1:15" ht="12.75" hidden="1" x14ac:dyDescent="0.2">
      <c r="A604">
        <v>90367</v>
      </c>
      <c r="B604" t="str">
        <f ca="1">VLOOKUP(A604,Import_SuiviGlobal_MigAppliSate!A:I,2,FALSE)</f>
        <v>MARSILLARGUES</v>
      </c>
      <c r="C604" t="str">
        <f ca="1">VLOOKUP(A604,Import_SuiviGlobal_MigAppliSate!A:I,3,FALSE)</f>
        <v>U Express</v>
      </c>
      <c r="D604" s="1" t="str">
        <f ca="1">VLOOKUP(A604,Import_SuiviGlobal_MigAppliSate!A:I,4,FALSE)</f>
        <v>Coop U Enseigne Sud</v>
      </c>
      <c r="E604">
        <f ca="1">VLOOKUP(A604,Import_SuiviGlobal_MigAppliSate!A:I,5,FALSE)</f>
        <v>34590</v>
      </c>
      <c r="F604" t="str">
        <f ca="1">VLOOKUP(A604,Import_SuiviGlobal_MigAppliSate!A:I,6,FALSE)</f>
        <v>10 RUE ALPHONSE DAUDET</v>
      </c>
      <c r="G604" t="str">
        <f ca="1">VLOOKUP(A604,Import_SuiviGlobal_MigAppliSate!A:I,7,FALSE)</f>
        <v>04.67.71.23.54</v>
      </c>
      <c r="H604" t="str">
        <f ca="1">VLOOKUP(A604,Import_SuiviGlobal_MigAppliSate!A:I,8,FALSE)</f>
        <v>LEIENDECKERS Karine</v>
      </c>
      <c r="I604" t="str">
        <f ca="1">VLOOKUP(A604,Import_SuiviGlobal_MigAppliSate!A:I,9,FALSE)</f>
        <v>karine.leiendeckers@systeme-u.fr</v>
      </c>
      <c r="J604" s="24" t="str">
        <f ca="1">VLOOKUP(A604,Import_SuiviGlobal_MigAppliSate!A:K,10,FALSE)</f>
        <v>Eric Leiendeckers</v>
      </c>
      <c r="K604" t="str">
        <f ca="1">VLOOKUP(A604,Import_SuiviGlobal_MigAppliSate!A:K,11,FALSE)</f>
        <v>karine.leiendeckers@systeme-u.fr</v>
      </c>
      <c r="O604" s="1" t="s">
        <v>22</v>
      </c>
    </row>
    <row r="605" spans="1:15" ht="12.75" hidden="1" x14ac:dyDescent="0.2">
      <c r="A605">
        <v>34210</v>
      </c>
      <c r="B605" t="str">
        <f ca="1">VLOOKUP(A605,Import_SuiviGlobal_MigAppliSate!A:I,2,FALSE)</f>
        <v>MARSILLY</v>
      </c>
      <c r="C605" t="str">
        <f ca="1">VLOOKUP(A605,Import_SuiviGlobal_MigAppliSate!A:I,3,FALSE)</f>
        <v>U Express</v>
      </c>
      <c r="D605" s="1" t="str">
        <f ca="1">VLOOKUP(A605,Import_SuiviGlobal_MigAppliSate!A:I,4,FALSE)</f>
        <v>Coop Atlantique</v>
      </c>
      <c r="E605">
        <f ca="1">VLOOKUP(A605,Import_SuiviGlobal_MigAppliSate!A:I,5,FALSE)</f>
        <v>17137</v>
      </c>
      <c r="F605" t="str">
        <f ca="1">VLOOKUP(A605,Import_SuiviGlobal_MigAppliSate!A:I,6,FALSE)</f>
        <v>CENTRE COMMERCIAL LES CARRELETS</v>
      </c>
      <c r="G605" t="str">
        <f ca="1">VLOOKUP(A605,Import_SuiviGlobal_MigAppliSate!A:I,7,FALSE)</f>
        <v>05.46.35.72.43</v>
      </c>
      <c r="H605" t="str">
        <f ca="1">VLOOKUP(A605,Import_SuiviGlobal_MigAppliSate!A:I,8,FALSE)</f>
        <v>FLAMBARD Hervé</v>
      </c>
      <c r="I605" t="str">
        <f ca="1">VLOOKUP(A605,Import_SuiviGlobal_MigAppliSate!A:I,9,FALSE)</f>
        <v>bertrand.defontaine_coop_su_uex@systeme-u.fr</v>
      </c>
      <c r="J605" s="24" t="str">
        <f ca="1">VLOOKUP(A605,Import_SuiviGlobal_MigAppliSate!A:K,10,FALSE)</f>
        <v>Ferreira LUIS  Stroobants Coralie Rittie Sarah</v>
      </c>
      <c r="K605" t="str">
        <f ca="1">VLOOKUP(A605,Import_SuiviGlobal_MigAppliSate!A:K,11,FALSE)</f>
        <v>uexpress.marsilly.direction@systeme-u.fr,nbrigant@coop-atlantique.fr,sjaud@coop-atlantique.fr,mag527@coop-atlantique.fr</v>
      </c>
      <c r="O605" s="1" t="s">
        <v>22</v>
      </c>
    </row>
    <row r="606" spans="1:15" ht="12.75" hidden="1" x14ac:dyDescent="0.2">
      <c r="A606">
        <v>95148</v>
      </c>
      <c r="B606" t="str">
        <f ca="1">VLOOKUP(A606,Import_SuiviGlobal_MigAppliSate!A:I,2,FALSE)</f>
        <v>MARTRES TOLOSANE</v>
      </c>
      <c r="C606" t="str">
        <f ca="1">VLOOKUP(A606,Import_SuiviGlobal_MigAppliSate!A:I,3,FALSE)</f>
        <v>Super U</v>
      </c>
      <c r="D606" s="1" t="str">
        <f ca="1">VLOOKUP(A606,Import_SuiviGlobal_MigAppliSate!A:I,4,FALSE)</f>
        <v>Coop U Enseigne Sud</v>
      </c>
      <c r="E606">
        <f ca="1">VLOOKUP(A606,Import_SuiviGlobal_MigAppliSate!A:I,5,FALSE)</f>
        <v>31220</v>
      </c>
      <c r="F606" t="str">
        <f ca="1">VLOOKUP(A606,Import_SuiviGlobal_MigAppliSate!A:I,6,FALSE)</f>
        <v>AVENUE DES PYRENEES</v>
      </c>
      <c r="G606" t="str">
        <f ca="1">VLOOKUP(A606,Import_SuiviGlobal_MigAppliSate!A:I,7,FALSE)</f>
        <v>05.61.87.71.71</v>
      </c>
      <c r="H606" t="str">
        <f ca="1">VLOOKUP(A606,Import_SuiviGlobal_MigAppliSate!A:I,8,FALSE)</f>
        <v>LEGAL Franck</v>
      </c>
      <c r="I606" t="str">
        <f ca="1">VLOOKUP(A606,Import_SuiviGlobal_MigAppliSate!A:I,9,FALSE)</f>
        <v>franck.legal@systeme-u.fr</v>
      </c>
      <c r="J606" s="24" t="str">
        <f ca="1">VLOOKUP(A606,Import_SuiviGlobal_MigAppliSate!A:K,10,FALSE)</f>
        <v xml:space="preserve">Mme Vouters </v>
      </c>
      <c r="K606" t="str">
        <f ca="1">VLOOKUP(A606,Import_SuiviGlobal_MigAppliSate!A:K,11,FALSE)</f>
        <v>Carole.VOUTERS@systeme-u.fr</v>
      </c>
      <c r="O606" s="1" t="s">
        <v>22</v>
      </c>
    </row>
    <row r="607" spans="1:15" ht="12.75" hidden="1" x14ac:dyDescent="0.2">
      <c r="A607">
        <v>60074</v>
      </c>
      <c r="B607" t="str">
        <f ca="1">VLOOKUP(A607,Import_SuiviGlobal_MigAppliSate!A:I,2,FALSE)</f>
        <v>MASEVAUX</v>
      </c>
      <c r="C607" t="str">
        <f ca="1">VLOOKUP(A607,Import_SuiviGlobal_MigAppliSate!A:I,3,FALSE)</f>
        <v>Super U</v>
      </c>
      <c r="D607" s="1" t="str">
        <f ca="1">VLOOKUP(A607,Import_SuiviGlobal_MigAppliSate!A:I,4,FALSE)</f>
        <v>Coop U Enseigne Est</v>
      </c>
      <c r="E607">
        <f ca="1">VLOOKUP(A607,Import_SuiviGlobal_MigAppliSate!A:I,5,FALSE)</f>
        <v>68290</v>
      </c>
      <c r="F607" t="str">
        <f ca="1">VLOOKUP(A607,Import_SuiviGlobal_MigAppliSate!A:I,6,FALSE)</f>
        <v>rue du Fossé des Veaux</v>
      </c>
      <c r="G607" t="str">
        <f ca="1">VLOOKUP(A607,Import_SuiviGlobal_MigAppliSate!A:I,7,FALSE)</f>
        <v>03.89.82.47.00</v>
      </c>
      <c r="H607" t="str">
        <f ca="1">VLOOKUP(A607,Import_SuiviGlobal_MigAppliSate!A:I,8,FALSE)</f>
        <v>BEY Arnaud</v>
      </c>
      <c r="I607" t="str">
        <f ca="1">VLOOKUP(A607,Import_SuiviGlobal_MigAppliSate!A:I,9,FALSE)</f>
        <v>arnaud.bey@systeme-u.fr</v>
      </c>
      <c r="J607" s="24" t="str">
        <f ca="1">VLOOKUP(A607,Import_SuiviGlobal_MigAppliSate!A:K,10,FALSE)</f>
        <v>BEGUE Pascale
Sébastien (UPLV)</v>
      </c>
      <c r="K607" t="str">
        <f ca="1">VLOOKUP(A607,Import_SuiviGlobal_MigAppliSate!A:K,11,FALSE)</f>
        <v>superu.masevaux@systeme-u.fr, superu.masevaux.pf@systeme-u.fr</v>
      </c>
      <c r="O607" s="1" t="s">
        <v>22</v>
      </c>
    </row>
    <row r="608" spans="1:15" ht="12.75" hidden="1" x14ac:dyDescent="0.2">
      <c r="A608">
        <v>95136</v>
      </c>
      <c r="B608" t="str">
        <f ca="1">VLOOKUP(A608,Import_SuiviGlobal_MigAppliSate!A:I,2,FALSE)</f>
        <v>MASSEUBE</v>
      </c>
      <c r="C608" t="str">
        <f ca="1">VLOOKUP(A608,Import_SuiviGlobal_MigAppliSate!A:I,3,FALSE)</f>
        <v>Super U</v>
      </c>
      <c r="D608" s="1" t="str">
        <f ca="1">VLOOKUP(A608,Import_SuiviGlobal_MigAppliSate!A:I,4,FALSE)</f>
        <v>Coop U Enseigne Sud</v>
      </c>
      <c r="E608">
        <f ca="1">VLOOKUP(A608,Import_SuiviGlobal_MigAppliSate!A:I,5,FALSE)</f>
        <v>32140</v>
      </c>
      <c r="F608" t="str">
        <f ca="1">VLOOKUP(A608,Import_SuiviGlobal_MigAppliSate!A:I,6,FALSE)</f>
        <v>ROUTE D AUCH</v>
      </c>
      <c r="G608" t="str">
        <f ca="1">VLOOKUP(A608,Import_SuiviGlobal_MigAppliSate!A:I,7,FALSE)</f>
        <v>05.62.66.16.15</v>
      </c>
      <c r="H608" t="str">
        <f ca="1">VLOOKUP(A608,Import_SuiviGlobal_MigAppliSate!A:I,8,FALSE)</f>
        <v>TOHA Bernard</v>
      </c>
      <c r="I608" t="str">
        <f ca="1">VLOOKUP(A608,Import_SuiviGlobal_MigAppliSate!A:I,9,FALSE)</f>
        <v>bernard.toha@systeme-u.fr</v>
      </c>
      <c r="J608" s="24" t="str">
        <f ca="1">VLOOKUP(A608,Import_SuiviGlobal_MigAppliSate!A:K,10,FALSE)</f>
        <v/>
      </c>
      <c r="K608" t="str">
        <f ca="1">VLOOKUP(A608,Import_SuiviGlobal_MigAppliSate!A:K,11,FALSE)</f>
        <v>superu.masseube@systeme-u.fr</v>
      </c>
      <c r="O608" s="1" t="s">
        <v>22</v>
      </c>
    </row>
    <row r="609" spans="1:15" ht="12.75" hidden="1" x14ac:dyDescent="0.2">
      <c r="A609">
        <v>30243</v>
      </c>
      <c r="B609" t="str">
        <f ca="1">VLOOKUP(A609,Import_SuiviGlobal_MigAppliSate!A:I,2,FALSE)</f>
        <v>MATHA</v>
      </c>
      <c r="C609" t="str">
        <f ca="1">VLOOKUP(A609,Import_SuiviGlobal_MigAppliSate!A:I,3,FALSE)</f>
        <v>U Express</v>
      </c>
      <c r="D609" s="1" t="str">
        <f ca="1">VLOOKUP(A609,Import_SuiviGlobal_MigAppliSate!A:I,4,FALSE)</f>
        <v>Coop Atlantique</v>
      </c>
      <c r="E609">
        <f ca="1">VLOOKUP(A609,Import_SuiviGlobal_MigAppliSate!A:I,5,FALSE)</f>
        <v>17160</v>
      </c>
      <c r="F609" t="str">
        <f ca="1">VLOOKUP(A609,Import_SuiviGlobal_MigAppliSate!A:I,6,FALSE)</f>
        <v>41,RUE MAXIME BOURDEAU</v>
      </c>
      <c r="G609" t="str">
        <f ca="1">VLOOKUP(A609,Import_SuiviGlobal_MigAppliSate!A:I,7,FALSE)</f>
        <v>05.46.26.78.56</v>
      </c>
      <c r="H609" t="str">
        <f ca="1">VLOOKUP(A609,Import_SuiviGlobal_MigAppliSate!A:I,8,FALSE)</f>
        <v>FLAMBARD Hervé</v>
      </c>
      <c r="I609" t="str">
        <f ca="1">VLOOKUP(A609,Import_SuiviGlobal_MigAppliSate!A:I,9,FALSE)</f>
        <v>bertrand.defontaine_coop_su_uex@systeme-u.fr</v>
      </c>
      <c r="J609" s="24" t="str">
        <f ca="1">VLOOKUP(A609,Import_SuiviGlobal_MigAppliSate!A:K,10,FALSE)</f>
        <v>Benoit BARTHELEMY</v>
      </c>
      <c r="K609" t="str">
        <f ca="1">VLOOKUP(A609,Import_SuiviGlobal_MigAppliSate!A:K,11,FALSE)</f>
        <v>uexpress.matha.direction@systeme-u.fr,nbrigant@coop-atlantique.fr,sjaud@coop-atlantique.fr</v>
      </c>
      <c r="O609" s="1" t="s">
        <v>22</v>
      </c>
    </row>
    <row r="610" spans="1:15" ht="12.75" hidden="1" x14ac:dyDescent="0.2">
      <c r="A610">
        <v>39695</v>
      </c>
      <c r="B610" t="str">
        <f ca="1">VLOOKUP(A610,Import_SuiviGlobal_MigAppliSate!A:I,2,FALSE)</f>
        <v>MATIGNON</v>
      </c>
      <c r="C610" t="str">
        <f ca="1">VLOOKUP(A610,Import_SuiviGlobal_MigAppliSate!A:I,3,FALSE)</f>
        <v>Super U</v>
      </c>
      <c r="D610" s="1" t="str">
        <f ca="1">VLOOKUP(A610,Import_SuiviGlobal_MigAppliSate!A:I,4,FALSE)</f>
        <v>Coop U Enseigne Ouest</v>
      </c>
      <c r="E610">
        <f ca="1">VLOOKUP(A610,Import_SuiviGlobal_MigAppliSate!A:I,5,FALSE)</f>
        <v>22550</v>
      </c>
      <c r="F610" t="str">
        <f ca="1">VLOOKUP(A610,Import_SuiviGlobal_MigAppliSate!A:I,6,FALSE)</f>
        <v>CENTRE COMMERCIAL DES PROMENADES</v>
      </c>
      <c r="G610" t="str">
        <f ca="1">VLOOKUP(A610,Import_SuiviGlobal_MigAppliSate!A:I,7,FALSE)</f>
        <v>02.96.41.26.26</v>
      </c>
      <c r="H610" t="str">
        <f ca="1">VLOOKUP(A610,Import_SuiviGlobal_MigAppliSate!A:I,8,FALSE)</f>
        <v>LAIGO Florence</v>
      </c>
      <c r="I610" t="str">
        <f ca="1">VLOOKUP(A610,Import_SuiviGlobal_MigAppliSate!A:I,9,FALSE)</f>
        <v>florence.laigo@systeme-u.fr</v>
      </c>
      <c r="J610" s="24" t="str">
        <f ca="1">VLOOKUP(A610,Import_SuiviGlobal_MigAppliSate!A:K,10,FALSE)</f>
        <v>CHERDEL Myriam</v>
      </c>
      <c r="K610" t="str">
        <f ca="1">VLOOKUP(A610,Import_SuiviGlobal_MigAppliSate!A:K,11,FALSE)</f>
        <v>superu.matignon@systeme-u.fr</v>
      </c>
      <c r="O610" s="1" t="s">
        <v>22</v>
      </c>
    </row>
    <row r="611" spans="1:15" ht="12.75" x14ac:dyDescent="0.2">
      <c r="A611">
        <v>90524</v>
      </c>
      <c r="B611" t="str">
        <f ca="1">VLOOKUP(A611,Import_SuiviGlobal_MigAppliSate!A:I,2,FALSE)</f>
        <v>MAUBEC</v>
      </c>
      <c r="C611" t="str">
        <f ca="1">VLOOKUP(A611,Import_SuiviGlobal_MigAppliSate!A:I,3,FALSE)</f>
        <v>Super U</v>
      </c>
      <c r="D611" s="1" t="str">
        <f ca="1">VLOOKUP(A611,Import_SuiviGlobal_MigAppliSate!A:I,4,FALSE)</f>
        <v>Coop U Enseigne Sud</v>
      </c>
      <c r="E611">
        <f ca="1">VLOOKUP(A611,Import_SuiviGlobal_MigAppliSate!A:I,5,FALSE)</f>
        <v>84660</v>
      </c>
      <c r="F611" t="str">
        <f ca="1">VLOOKUP(A611,Import_SuiviGlobal_MigAppliSate!A:I,6,FALSE)</f>
        <v>157 AVENUE DU TOURAIL</v>
      </c>
      <c r="G611" t="str">
        <f ca="1">VLOOKUP(A611,Import_SuiviGlobal_MigAppliSate!A:I,7,FALSE)</f>
        <v>04.90.04.42.60</v>
      </c>
      <c r="H611" t="str">
        <f ca="1">VLOOKUP(A611,Import_SuiviGlobal_MigAppliSate!A:I,8,FALSE)</f>
        <v>VALL Alain</v>
      </c>
      <c r="I611" t="str">
        <f ca="1">VLOOKUP(A611,Import_SuiviGlobal_MigAppliSate!A:I,9,FALSE)</f>
        <v>alain.vall@systeme-u.fr</v>
      </c>
      <c r="J611" s="24" t="str">
        <f ca="1">VLOOKUP(A611,Import_SuiviGlobal_MigAppliSate!A:K,10,FALSE)</f>
        <v xml:space="preserve">CORINNE PERROT / 
M. Romain NOEL </v>
      </c>
      <c r="K611" t="str">
        <f ca="1">VLOOKUP(A611,Import_SuiviGlobal_MigAppliSate!A:K,11,FALSE)</f>
        <v>superu.islesursorgue@systeme-u.fr,superu.maubec.frais@systeme-u.fr</v>
      </c>
      <c r="L611" t="s">
        <v>17</v>
      </c>
      <c r="M611" t="s">
        <v>0</v>
      </c>
      <c r="O611" s="1" t="s">
        <v>22</v>
      </c>
    </row>
    <row r="612" spans="1:15" ht="12.75" hidden="1" x14ac:dyDescent="0.2">
      <c r="A612">
        <v>96102</v>
      </c>
      <c r="B612" t="str">
        <f ca="1">VLOOKUP(A612,Import_SuiviGlobal_MigAppliSate!A:I,2,FALSE)</f>
        <v>MAUBOURGUET</v>
      </c>
      <c r="C612" t="str">
        <f ca="1">VLOOKUP(A612,Import_SuiviGlobal_MigAppliSate!A:I,3,FALSE)</f>
        <v>Super U</v>
      </c>
      <c r="D612" s="1" t="str">
        <f ca="1">VLOOKUP(A612,Import_SuiviGlobal_MigAppliSate!A:I,4,FALSE)</f>
        <v>Coop U Enseigne Sud</v>
      </c>
      <c r="E612">
        <f ca="1">VLOOKUP(A612,Import_SuiviGlobal_MigAppliSate!A:I,5,FALSE)</f>
        <v>65700</v>
      </c>
      <c r="F612" t="str">
        <f ca="1">VLOOKUP(A612,Import_SuiviGlobal_MigAppliSate!A:I,6,FALSE)</f>
        <v>CC DU VAL D ADOUR RD 907</v>
      </c>
      <c r="G612" t="str">
        <f ca="1">VLOOKUP(A612,Import_SuiviGlobal_MigAppliSate!A:I,7,FALSE)</f>
        <v>05.62.96.98.58</v>
      </c>
      <c r="H612" t="str">
        <f ca="1">VLOOKUP(A612,Import_SuiviGlobal_MigAppliSate!A:I,8,FALSE)</f>
        <v>KERFANTO Christophe</v>
      </c>
      <c r="I612" t="str">
        <f ca="1">VLOOKUP(A612,Import_SuiviGlobal_MigAppliSate!A:I,9,FALSE)</f>
        <v>christophe.kerfanto@systeme-u.fr</v>
      </c>
      <c r="J612" s="24" t="str">
        <f ca="1">VLOOKUP(A612,Import_SuiviGlobal_MigAppliSate!A:K,10,FALSE)</f>
        <v xml:space="preserve">Mme CHAUSSEPIED                                                                                                                                                        
</v>
      </c>
      <c r="K612" t="str">
        <f ca="1">VLOOKUP(A612,Import_SuiviGlobal_MigAppliSate!A:K,11,FALSE)</f>
        <v xml:space="preserve">superu.maubourguet.secretariat@systeme-u.fr																				
</v>
      </c>
      <c r="O612" s="1" t="s">
        <v>22</v>
      </c>
    </row>
    <row r="613" spans="1:15" ht="12.75" hidden="1" x14ac:dyDescent="0.2">
      <c r="A613">
        <v>32631</v>
      </c>
      <c r="B613" t="str">
        <f ca="1">VLOOKUP(A613,Import_SuiviGlobal_MigAppliSate!A:I,2,FALSE)</f>
        <v>MAULEON</v>
      </c>
      <c r="C613" t="str">
        <f ca="1">VLOOKUP(A613,Import_SuiviGlobal_MigAppliSate!A:I,3,FALSE)</f>
        <v>Super U</v>
      </c>
      <c r="D613" s="1" t="str">
        <f ca="1">VLOOKUP(A613,Import_SuiviGlobal_MigAppliSate!A:I,4,FALSE)</f>
        <v>Coop U Enseigne Ouest</v>
      </c>
      <c r="E613">
        <f ca="1">VLOOKUP(A613,Import_SuiviGlobal_MigAppliSate!A:I,5,FALSE)</f>
        <v>79700</v>
      </c>
      <c r="F613" t="str">
        <f ca="1">VLOOKUP(A613,Import_SuiviGlobal_MigAppliSate!A:I,6,FALSE)</f>
        <v>ROUTE DE POITIERS</v>
      </c>
      <c r="G613" t="str">
        <f ca="1">VLOOKUP(A613,Import_SuiviGlobal_MigAppliSate!A:I,7,FALSE)</f>
        <v>05.49.81.43.01</v>
      </c>
      <c r="H613" t="str">
        <f ca="1">VLOOKUP(A613,Import_SuiviGlobal_MigAppliSate!A:I,8,FALSE)</f>
        <v>COUPRIE RPT SAS SEVRE INVEST. Franck</v>
      </c>
      <c r="I613" t="str">
        <f ca="1">VLOOKUP(A613,Import_SuiviGlobal_MigAppliSate!A:I,9,FALSE)</f>
        <v>franck.couprie@systeme-u.fr</v>
      </c>
      <c r="J613" s="24" t="str">
        <f ca="1">VLOOKUP(A613,Import_SuiviGlobal_MigAppliSate!A:K,10,FALSE)</f>
        <v>Madame Borit</v>
      </c>
      <c r="K613" t="str">
        <f ca="1">VLOOKUP(A613,Import_SuiviGlobal_MigAppliSate!A:K,11,FALSE)</f>
        <v/>
      </c>
      <c r="O613" s="1" t="s">
        <v>22</v>
      </c>
    </row>
    <row r="614" spans="1:15" ht="12.75" hidden="1" x14ac:dyDescent="0.2">
      <c r="A614">
        <v>38109</v>
      </c>
      <c r="B614" t="str">
        <f ca="1">VLOOKUP(A614,Import_SuiviGlobal_MigAppliSate!A:I,2,FALSE)</f>
        <v>MAULEVRIER</v>
      </c>
      <c r="C614" t="str">
        <f ca="1">VLOOKUP(A614,Import_SuiviGlobal_MigAppliSate!A:I,3,FALSE)</f>
        <v>Super U</v>
      </c>
      <c r="D614" s="1" t="str">
        <f ca="1">VLOOKUP(A614,Import_SuiviGlobal_MigAppliSate!A:I,4,FALSE)</f>
        <v>Coop U Enseigne Ouest</v>
      </c>
      <c r="E614">
        <f ca="1">VLOOKUP(A614,Import_SuiviGlobal_MigAppliSate!A:I,5,FALSE)</f>
        <v>49360</v>
      </c>
      <c r="F614" t="str">
        <f ca="1">VLOOKUP(A614,Import_SuiviGlobal_MigAppliSate!A:I,6,FALSE)</f>
        <v>BOULEVARD EDOUARD COLBERT</v>
      </c>
      <c r="G614" t="str">
        <f ca="1">VLOOKUP(A614,Import_SuiviGlobal_MigAppliSate!A:I,7,FALSE)</f>
        <v>02.41.55.04.18</v>
      </c>
      <c r="H614" t="str">
        <f ca="1">VLOOKUP(A614,Import_SuiviGlobal_MigAppliSate!A:I,8,FALSE)</f>
        <v>GABORIAU RPT SARL HOLDING FIG Richard</v>
      </c>
      <c r="I614" t="str">
        <f ca="1">VLOOKUP(A614,Import_SuiviGlobal_MigAppliSate!A:I,9,FALSE)</f>
        <v>richard.gaboriau@systeme-u.fr</v>
      </c>
      <c r="J614" s="24" t="str">
        <f ca="1">VLOOKUP(A614,Import_SuiviGlobal_MigAppliSate!A:K,10,FALSE)</f>
        <v>Mme OUVRARD</v>
      </c>
      <c r="K614" t="str">
        <f ca="1">VLOOKUP(A614,Import_SuiviGlobal_MigAppliSate!A:K,11,FALSE)</f>
        <v>superu.maulevrier.gescom@systeme-u.fr</v>
      </c>
      <c r="O614" s="1" t="s">
        <v>22</v>
      </c>
    </row>
    <row r="615" spans="1:15" ht="12.75" hidden="1" x14ac:dyDescent="0.2">
      <c r="A615">
        <v>36408</v>
      </c>
      <c r="B615" t="str">
        <f ca="1">VLOOKUP(A615,Import_SuiviGlobal_MigAppliSate!A:I,2,FALSE)</f>
        <v>MAURON</v>
      </c>
      <c r="C615" t="str">
        <f ca="1">VLOOKUP(A615,Import_SuiviGlobal_MigAppliSate!A:I,3,FALSE)</f>
        <v>Super U</v>
      </c>
      <c r="D615" s="1" t="str">
        <f ca="1">VLOOKUP(A615,Import_SuiviGlobal_MigAppliSate!A:I,4,FALSE)</f>
        <v>Coop U Enseigne Ouest</v>
      </c>
      <c r="E615">
        <f ca="1">VLOOKUP(A615,Import_SuiviGlobal_MigAppliSate!A:I,5,FALSE)</f>
        <v>56430</v>
      </c>
      <c r="F615" t="str">
        <f ca="1">VLOOKUP(A615,Import_SuiviGlobal_MigAppliSate!A:I,6,FALSE)</f>
        <v>RUE MADAME DE SÉVIGNÉ</v>
      </c>
      <c r="G615" t="str">
        <f ca="1">VLOOKUP(A615,Import_SuiviGlobal_MigAppliSate!A:I,7,FALSE)</f>
        <v>02.97.22.74.22</v>
      </c>
      <c r="H615" t="str">
        <f ca="1">VLOOKUP(A615,Import_SuiviGlobal_MigAppliSate!A:I,8,FALSE)</f>
        <v>JUGAN RPT SARL CTJPG Cecile</v>
      </c>
      <c r="I615" t="str">
        <f ca="1">VLOOKUP(A615,Import_SuiviGlobal_MigAppliSate!A:I,9,FALSE)</f>
        <v>cecile.jugan@systeme-u.fr</v>
      </c>
      <c r="J615" s="24" t="str">
        <f ca="1">VLOOKUP(A615,Import_SuiviGlobal_MigAppliSate!A:K,10,FALSE)</f>
        <v>JUGAN Thomas</v>
      </c>
      <c r="K615" t="str">
        <f ca="1">VLOOKUP(A615,Import_SuiviGlobal_MigAppliSate!A:K,11,FALSE)</f>
        <v>thomas.jugan@systeme-u.fr</v>
      </c>
      <c r="O615" s="1" t="s">
        <v>22</v>
      </c>
    </row>
    <row r="616" spans="1:15" ht="12.75" x14ac:dyDescent="0.2">
      <c r="A616">
        <v>95769</v>
      </c>
      <c r="B616" t="str">
        <f ca="1">VLOOKUP(A616,Import_SuiviGlobal_MigAppliSate!A:I,2,FALSE)</f>
        <v>MAUVEZIN</v>
      </c>
      <c r="C616" t="str">
        <f ca="1">VLOOKUP(A616,Import_SuiviGlobal_MigAppliSate!A:I,3,FALSE)</f>
        <v>Super U</v>
      </c>
      <c r="D616" s="1" t="str">
        <f ca="1">VLOOKUP(A616,Import_SuiviGlobal_MigAppliSate!A:I,4,FALSE)</f>
        <v>Coop U Enseigne Sud</v>
      </c>
      <c r="E616">
        <f ca="1">VLOOKUP(A616,Import_SuiviGlobal_MigAppliSate!A:I,5,FALSE)</f>
        <v>32120</v>
      </c>
      <c r="F616" t="str">
        <f ca="1">VLOOKUP(A616,Import_SuiviGlobal_MigAppliSate!A:I,6,FALSE)</f>
        <v>ROUTE D'AUCH</v>
      </c>
      <c r="G616" t="str">
        <f ca="1">VLOOKUP(A616,Import_SuiviGlobal_MigAppliSate!A:I,7,FALSE)</f>
        <v>05.62.06.77.10</v>
      </c>
      <c r="H616" t="str">
        <f ca="1">VLOOKUP(A616,Import_SuiviGlobal_MigAppliSate!A:I,8,FALSE)</f>
        <v>BERGE Alain</v>
      </c>
      <c r="I616" t="str">
        <f ca="1">VLOOKUP(A616,Import_SuiviGlobal_MigAppliSate!A:I,9,FALSE)</f>
        <v>alain.berge@systeme-u.fr</v>
      </c>
      <c r="J616" s="24" t="str">
        <f ca="1">VLOOKUP(A616,Import_SuiviGlobal_MigAppliSate!A:K,10,FALSE)</f>
        <v>Frédéric BERGE</v>
      </c>
      <c r="K616" t="str">
        <f ca="1">VLOOKUP(A616,Import_SuiviGlobal_MigAppliSate!A:K,11,FALSE)</f>
        <v>superu.mauvezin@systeme-u.fr</v>
      </c>
      <c r="L616" t="s">
        <v>17</v>
      </c>
      <c r="M616" t="s">
        <v>0</v>
      </c>
      <c r="O616" s="1" t="s">
        <v>22</v>
      </c>
    </row>
    <row r="617" spans="1:15" ht="12.75" hidden="1" x14ac:dyDescent="0.2">
      <c r="A617">
        <v>65439</v>
      </c>
      <c r="B617" t="str">
        <f ca="1">VLOOKUP(A617,Import_SuiviGlobal_MigAppliSate!A:I,2,FALSE)</f>
        <v>MAXEVILLE</v>
      </c>
      <c r="C617" t="str">
        <f ca="1">VLOOKUP(A617,Import_SuiviGlobal_MigAppliSate!A:I,3,FALSE)</f>
        <v>Super U</v>
      </c>
      <c r="D617" s="1" t="str">
        <f ca="1">VLOOKUP(A617,Import_SuiviGlobal_MigAppliSate!A:I,4,FALSE)</f>
        <v>Coop U Enseigne Est</v>
      </c>
      <c r="E617">
        <f ca="1">VLOOKUP(A617,Import_SuiviGlobal_MigAppliSate!A:I,5,FALSE)</f>
        <v>54320</v>
      </c>
      <c r="F617" t="str">
        <f ca="1">VLOOKUP(A617,Import_SuiviGlobal_MigAppliSate!A:I,6,FALSE)</f>
        <v>AVENUE DE LA MEURTHE</v>
      </c>
      <c r="G617" t="str">
        <f ca="1">VLOOKUP(A617,Import_SuiviGlobal_MigAppliSate!A:I,7,FALSE)</f>
        <v>03.83.36.66.80</v>
      </c>
      <c r="H617" t="str">
        <f ca="1">VLOOKUP(A617,Import_SuiviGlobal_MigAppliSate!A:I,8,FALSE)</f>
        <v>ZIMMERMANN YOHAN</v>
      </c>
      <c r="I617" t="str">
        <f ca="1">VLOOKUP(A617,Import_SuiviGlobal_MigAppliSate!A:I,9,FALSE)</f>
        <v>yohan.zimmermann@systeme-u.fr</v>
      </c>
      <c r="J617" s="24" t="str">
        <f ca="1">VLOOKUP(A617,Import_SuiviGlobal_MigAppliSate!A:K,10,FALSE)</f>
        <v>Stéphane LU</v>
      </c>
      <c r="K617" t="str">
        <f ca="1">VLOOKUP(A617,Import_SuiviGlobal_MigAppliSate!A:K,11,FALSE)</f>
        <v>superu.maxeville.direction@systeme-u.fr</v>
      </c>
      <c r="O617" s="1" t="s">
        <v>22</v>
      </c>
    </row>
    <row r="618" spans="1:15" ht="12.75" hidden="1" x14ac:dyDescent="0.2">
      <c r="A618">
        <v>36580</v>
      </c>
      <c r="B618" t="str">
        <f ca="1">VLOOKUP(A618,Import_SuiviGlobal_MigAppliSate!A:I,2,FALSE)</f>
        <v>MAYENNE</v>
      </c>
      <c r="C618" t="str">
        <f ca="1">VLOOKUP(A618,Import_SuiviGlobal_MigAppliSate!A:I,3,FALSE)</f>
        <v>Hyper U</v>
      </c>
      <c r="D618" s="1" t="str">
        <f ca="1">VLOOKUP(A618,Import_SuiviGlobal_MigAppliSate!A:I,4,FALSE)</f>
        <v>Coop U Enseigne Ouest</v>
      </c>
      <c r="E618">
        <f ca="1">VLOOKUP(A618,Import_SuiviGlobal_MigAppliSate!A:I,5,FALSE)</f>
        <v>53102</v>
      </c>
      <c r="F618" t="str">
        <f ca="1">VLOOKUP(A618,Import_SuiviGlobal_MigAppliSate!A:I,6,FALSE)</f>
        <v>550 BD JEAN MONNET</v>
      </c>
      <c r="G618" t="str">
        <f ca="1">VLOOKUP(A618,Import_SuiviGlobal_MigAppliSate!A:I,7,FALSE)</f>
        <v>02.43.30.16.16</v>
      </c>
      <c r="H618" t="str">
        <f ca="1">VLOOKUP(A618,Import_SuiviGlobal_MigAppliSate!A:I,8,FALSE)</f>
        <v>MOUSSET Nicolas</v>
      </c>
      <c r="I618" t="str">
        <f ca="1">VLOOKUP(A618,Import_SuiviGlobal_MigAppliSate!A:I,9,FALSE)</f>
        <v>nicolas.mousset@systeme-u.fr</v>
      </c>
      <c r="J618" s="24" t="str">
        <f ca="1">VLOOKUP(A618,Import_SuiviGlobal_MigAppliSate!A:K,10,FALSE)</f>
        <v>Halouze Stéphanie</v>
      </c>
      <c r="K618" t="str">
        <f ca="1">VLOOKUP(A618,Import_SuiviGlobal_MigAppliSate!A:K,11,FALSE)</f>
        <v>hyperu.mayenne.administratif@systeme-u.fr,
hyperu.mayenne.direction@systeme-u.fr</v>
      </c>
      <c r="O618" s="1" t="s">
        <v>22</v>
      </c>
    </row>
    <row r="619" spans="1:15" ht="12.75" hidden="1" x14ac:dyDescent="0.2">
      <c r="A619">
        <v>90614</v>
      </c>
      <c r="B619" t="str">
        <f ca="1">VLOOKUP(A619,Import_SuiviGlobal_MigAppliSate!A:I,2,FALSE)</f>
        <v>MAZAN</v>
      </c>
      <c r="C619" t="str">
        <f ca="1">VLOOKUP(A619,Import_SuiviGlobal_MigAppliSate!A:I,3,FALSE)</f>
        <v>U Express</v>
      </c>
      <c r="D619" s="1" t="str">
        <f ca="1">VLOOKUP(A619,Import_SuiviGlobal_MigAppliSate!A:I,4,FALSE)</f>
        <v>Coop MISTRAL</v>
      </c>
      <c r="E619">
        <f ca="1">VLOOKUP(A619,Import_SuiviGlobal_MigAppliSate!A:I,5,FALSE)</f>
        <v>84380</v>
      </c>
      <c r="F619" t="str">
        <f ca="1">VLOOKUP(A619,Import_SuiviGlobal_MigAppliSate!A:I,6,FALSE)</f>
        <v>ROUTE DE PERNES</v>
      </c>
      <c r="G619" t="str">
        <f ca="1">VLOOKUP(A619,Import_SuiviGlobal_MigAppliSate!A:I,7,FALSE)</f>
        <v>04.90.69.74.07</v>
      </c>
      <c r="H619" t="str">
        <f ca="1">VLOOKUP(A619,Import_SuiviGlobal_MigAppliSate!A:I,8,FALSE)</f>
        <v>RHAILANE Youssef</v>
      </c>
      <c r="I619" t="str">
        <f ca="1">VLOOKUP(A619,Import_SuiviGlobal_MigAppliSate!A:I,9,FALSE)</f>
        <v>uexpress.mazan@mistral-u.fr</v>
      </c>
      <c r="J619" s="24" t="str">
        <f ca="1">VLOOKUP(A619,Import_SuiviGlobal_MigAppliSate!A:K,10,FALSE)</f>
        <v/>
      </c>
      <c r="K619" t="str">
        <f ca="1">VLOOKUP(A619,Import_SuiviGlobal_MigAppliSate!A:K,11,FALSE)</f>
        <v>delphine.damian@lemistral.fr,helene.mina@lemistral.fr</v>
      </c>
      <c r="O619" s="1" t="s">
        <v>22</v>
      </c>
    </row>
    <row r="620" spans="1:15" ht="12.75" hidden="1" x14ac:dyDescent="0.2">
      <c r="A620">
        <v>30604</v>
      </c>
      <c r="B620" t="str">
        <f ca="1">VLOOKUP(A620,Import_SuiviGlobal_MigAppliSate!A:I,2,FALSE)</f>
        <v>MAZE</v>
      </c>
      <c r="C620" t="str">
        <f ca="1">VLOOKUP(A620,Import_SuiviGlobal_MigAppliSate!A:I,3,FALSE)</f>
        <v>Super U</v>
      </c>
      <c r="D620" s="1" t="str">
        <f ca="1">VLOOKUP(A620,Import_SuiviGlobal_MigAppliSate!A:I,4,FALSE)</f>
        <v>Coop U Enseigne Ouest</v>
      </c>
      <c r="E620">
        <f ca="1">VLOOKUP(A620,Import_SuiviGlobal_MigAppliSate!A:I,5,FALSE)</f>
        <v>49630</v>
      </c>
      <c r="F620" t="str">
        <f ca="1">VLOOKUP(A620,Import_SuiviGlobal_MigAppliSate!A:I,6,FALSE)</f>
        <v>LA MACHEFERRIÈRE</v>
      </c>
      <c r="G620" t="str">
        <f ca="1">VLOOKUP(A620,Import_SuiviGlobal_MigAppliSate!A:I,7,FALSE)</f>
        <v>02.41.66.13.10</v>
      </c>
      <c r="H620" t="str">
        <f ca="1">VLOOKUP(A620,Import_SuiviGlobal_MigAppliSate!A:I,8,FALSE)</f>
        <v>MARCHAND RPT SARL PORROIG Richard</v>
      </c>
      <c r="I620" t="str">
        <f ca="1">VLOOKUP(A620,Import_SuiviGlobal_MigAppliSate!A:I,9,FALSE)</f>
        <v>richard.marchand@systeme-u.fr</v>
      </c>
      <c r="J620" s="24" t="str">
        <f ca="1">VLOOKUP(A620,Import_SuiviGlobal_MigAppliSate!A:K,10,FALSE)</f>
        <v>Mme CESBRON</v>
      </c>
      <c r="K620" t="str">
        <f ca="1">VLOOKUP(A620,Import_SuiviGlobal_MigAppliSate!A:K,11,FALSE)</f>
        <v>superu.maze@systeme-u.fr</v>
      </c>
      <c r="L620" s="1" t="s">
        <v>17</v>
      </c>
      <c r="M620" s="1" t="s">
        <v>24</v>
      </c>
      <c r="N620" s="1" t="s">
        <v>26</v>
      </c>
      <c r="O620" s="1" t="s">
        <v>19</v>
      </c>
    </row>
    <row r="621" spans="1:15" ht="12.75" hidden="1" x14ac:dyDescent="0.2">
      <c r="A621">
        <v>35355</v>
      </c>
      <c r="B621" t="str">
        <f ca="1">VLOOKUP(A621,Import_SuiviGlobal_MigAppliSate!A:I,2,FALSE)</f>
        <v>MELESSE</v>
      </c>
      <c r="C621" t="str">
        <f ca="1">VLOOKUP(A621,Import_SuiviGlobal_MigAppliSate!A:I,3,FALSE)</f>
        <v>Super U</v>
      </c>
      <c r="D621" s="1" t="str">
        <f ca="1">VLOOKUP(A621,Import_SuiviGlobal_MigAppliSate!A:I,4,FALSE)</f>
        <v>Coop U Enseigne Ouest</v>
      </c>
      <c r="E621">
        <f ca="1">VLOOKUP(A621,Import_SuiviGlobal_MigAppliSate!A:I,5,FALSE)</f>
        <v>35520</v>
      </c>
      <c r="F621" t="str">
        <f ca="1">VLOOKUP(A621,Import_SuiviGlobal_MigAppliSate!A:I,6,FALSE)</f>
        <v>ZA DE LA MÉTAIRIE QUARTIER LIBRE</v>
      </c>
      <c r="G621" t="str">
        <f ca="1">VLOOKUP(A621,Import_SuiviGlobal_MigAppliSate!A:I,7,FALSE)</f>
        <v>02.99.66.11.58</v>
      </c>
      <c r="H621" t="str">
        <f ca="1">VLOOKUP(A621,Import_SuiviGlobal_MigAppliSate!A:I,8,FALSE)</f>
        <v>GUILLEMOT RPT SA NOGINVEST Rémi</v>
      </c>
      <c r="I621" t="str">
        <f ca="1">VLOOKUP(A621,Import_SuiviGlobal_MigAppliSate!A:I,9,FALSE)</f>
        <v>remi.guillemot@systeme-u.fr</v>
      </c>
      <c r="J621" s="24" t="str">
        <f ca="1">VLOOKUP(A621,Import_SuiviGlobal_MigAppliSate!A:K,10,FALSE)</f>
        <v>Rabin Thierry</v>
      </c>
      <c r="K621" t="str">
        <f ca="1">VLOOKUP(A621,Import_SuiviGlobal_MigAppliSate!A:K,11,FALSE)</f>
        <v>thierry.rabin@systeme-u.fr</v>
      </c>
      <c r="O621" s="1" t="s">
        <v>22</v>
      </c>
    </row>
    <row r="622" spans="1:15" ht="12.75" hidden="1" x14ac:dyDescent="0.2">
      <c r="A622">
        <v>90424</v>
      </c>
      <c r="B622" t="str">
        <f ca="1">VLOOKUP(A622,Import_SuiviGlobal_MigAppliSate!A:I,2,FALSE)</f>
        <v>MENDE</v>
      </c>
      <c r="C622" t="str">
        <f ca="1">VLOOKUP(A622,Import_SuiviGlobal_MigAppliSate!A:I,3,FALSE)</f>
        <v>Hyper U</v>
      </c>
      <c r="D622" s="1" t="str">
        <f ca="1">VLOOKUP(A622,Import_SuiviGlobal_MigAppliSate!A:I,4,FALSE)</f>
        <v>Coop U Enseigne Sud</v>
      </c>
      <c r="E622">
        <f ca="1">VLOOKUP(A622,Import_SuiviGlobal_MigAppliSate!A:I,5,FALSE)</f>
        <v>48000</v>
      </c>
      <c r="F622" t="str">
        <f ca="1">VLOOKUP(A622,Import_SuiviGlobal_MigAppliSate!A:I,6,FALSE)</f>
        <v>CC COEUR LOZERE ZAC DE RAMILLES</v>
      </c>
      <c r="G622" t="str">
        <f ca="1">VLOOKUP(A622,Import_SuiviGlobal_MigAppliSate!A:I,7,FALSE)</f>
        <v>04.66.65.06.50</v>
      </c>
      <c r="H622" t="str">
        <f ca="1">VLOOKUP(A622,Import_SuiviGlobal_MigAppliSate!A:I,8,FALSE)</f>
        <v>BRINGER Nicolas</v>
      </c>
      <c r="I622" t="str">
        <f ca="1">VLOOKUP(A622,Import_SuiviGlobal_MigAppliSate!A:I,9,FALSE)</f>
        <v>hyperu.mende.associe@systeme-u.fr</v>
      </c>
      <c r="J622" s="24" t="str">
        <f ca="1">VLOOKUP(A622,Import_SuiviGlobal_MigAppliSate!A:K,10,FALSE)</f>
        <v xml:space="preserve">BRUN Jean Michel </v>
      </c>
      <c r="K622" t="str">
        <f ca="1">VLOOKUP(A622,Import_SuiviGlobal_MigAppliSate!A:K,11,FALSE)</f>
        <v>hyperu.mende.direction@systeme-u.fr</v>
      </c>
      <c r="O622" s="1" t="s">
        <v>22</v>
      </c>
    </row>
    <row r="623" spans="1:15" ht="12.75" hidden="1" x14ac:dyDescent="0.2">
      <c r="A623">
        <v>90460</v>
      </c>
      <c r="B623" t="str">
        <f ca="1">VLOOKUP(A623,Import_SuiviGlobal_MigAppliSate!A:I,2,FALSE)</f>
        <v>MENTON CENTRE</v>
      </c>
      <c r="C623" t="str">
        <f ca="1">VLOOKUP(A623,Import_SuiviGlobal_MigAppliSate!A:I,3,FALSE)</f>
        <v>U Express</v>
      </c>
      <c r="D623" s="1" t="str">
        <f ca="1">VLOOKUP(A623,Import_SuiviGlobal_MigAppliSate!A:I,4,FALSE)</f>
        <v>Coop U Enseigne Sud</v>
      </c>
      <c r="E623">
        <f ca="1">VLOOKUP(A623,Import_SuiviGlobal_MigAppliSate!A:I,5,FALSE)</f>
        <v>6500</v>
      </c>
      <c r="F623" t="str">
        <f ca="1">VLOOKUP(A623,Import_SuiviGlobal_MigAppliSate!A:I,6,FALSE)</f>
        <v>38 RUE PARTOUNEAUX</v>
      </c>
      <c r="G623" t="str">
        <f ca="1">VLOOKUP(A623,Import_SuiviGlobal_MigAppliSate!A:I,7,FALSE)</f>
        <v>04.93.35.78.17</v>
      </c>
      <c r="H623" t="str">
        <f ca="1">VLOOKUP(A623,Import_SuiviGlobal_MigAppliSate!A:I,8,FALSE)</f>
        <v>CHAMBELLANT Jean-Claude</v>
      </c>
      <c r="I623" t="str">
        <f ca="1">VLOOKUP(A623,Import_SuiviGlobal_MigAppliSate!A:I,9,FALSE)</f>
        <v>jean-claude.chambellant@systeme-u.fr</v>
      </c>
      <c r="J623" s="24" t="str">
        <f ca="1">VLOOKUP(A623,Import_SuiviGlobal_MigAppliSate!A:K,10,FALSE)</f>
        <v>M Chambellant Alexandre</v>
      </c>
      <c r="K623" t="str">
        <f ca="1">VLOOKUP(A623,Import_SuiviGlobal_MigAppliSate!A:K,11,FALSE)</f>
        <v>uexpress.mentoncentre.compta@systeme-u.fr</v>
      </c>
      <c r="O623" s="1" t="s">
        <v>22</v>
      </c>
    </row>
    <row r="624" spans="1:15" ht="12.75" hidden="1" x14ac:dyDescent="0.2">
      <c r="A624">
        <v>90467</v>
      </c>
      <c r="B624" t="str">
        <f ca="1">VLOOKUP(A624,Import_SuiviGlobal_MigAppliSate!A:I,2,FALSE)</f>
        <v>MENTON GARAVAN</v>
      </c>
      <c r="C624" t="str">
        <f ca="1">VLOOKUP(A624,Import_SuiviGlobal_MigAppliSate!A:I,3,FALSE)</f>
        <v>U Express</v>
      </c>
      <c r="D624" s="1" t="str">
        <f ca="1">VLOOKUP(A624,Import_SuiviGlobal_MigAppliSate!A:I,4,FALSE)</f>
        <v>Coop U Enseigne Sud</v>
      </c>
      <c r="E624">
        <f ca="1">VLOOKUP(A624,Import_SuiviGlobal_MigAppliSate!A:I,5,FALSE)</f>
        <v>6500</v>
      </c>
      <c r="F624" t="str">
        <f ca="1">VLOOKUP(A624,Import_SuiviGlobal_MigAppliSate!A:I,6,FALSE)</f>
        <v>TERRE PLEIN NOUVEAU PORT GARAVAN</v>
      </c>
      <c r="G624" t="str">
        <f ca="1">VLOOKUP(A624,Import_SuiviGlobal_MigAppliSate!A:I,7,FALSE)</f>
        <v>04.92.41.74.10</v>
      </c>
      <c r="H624" t="str">
        <f ca="1">VLOOKUP(A624,Import_SuiviGlobal_MigAppliSate!A:I,8,FALSE)</f>
        <v>VALENTIN Stephane</v>
      </c>
      <c r="I624" t="str">
        <f ca="1">VLOOKUP(A624,Import_SuiviGlobal_MigAppliSate!A:I,9,FALSE)</f>
        <v>stephane.valentin@systeme-u.fr</v>
      </c>
      <c r="J624" s="24" t="str">
        <f ca="1">VLOOKUP(A624,Import_SuiviGlobal_MigAppliSate!A:K,10,FALSE)</f>
        <v>Mme DE OLIVEIRA</v>
      </c>
      <c r="K624" t="str">
        <f ca="1">VLOOKUP(A624,Import_SuiviGlobal_MigAppliSate!A:K,11,FALSE)</f>
        <v>uexpressmenton@gmail.com</v>
      </c>
      <c r="O624" s="1" t="s">
        <v>22</v>
      </c>
    </row>
    <row r="625" spans="1:18" ht="12.75" hidden="1" x14ac:dyDescent="0.2">
      <c r="A625">
        <v>30116</v>
      </c>
      <c r="B625" t="str">
        <f ca="1">VLOOKUP(A625,Import_SuiviGlobal_MigAppliSate!A:I,2,FALSE)</f>
        <v>MER</v>
      </c>
      <c r="C625" t="str">
        <f ca="1">VLOOKUP(A625,Import_SuiviGlobal_MigAppliSate!A:I,3,FALSE)</f>
        <v>Super U</v>
      </c>
      <c r="D625" s="1" t="str">
        <f ca="1">VLOOKUP(A625,Import_SuiviGlobal_MigAppliSate!A:I,4,FALSE)</f>
        <v>Coop U Enseigne Ouest</v>
      </c>
      <c r="E625">
        <f ca="1">VLOOKUP(A625,Import_SuiviGlobal_MigAppliSate!A:I,5,FALSE)</f>
        <v>41500</v>
      </c>
      <c r="F625" t="str">
        <f ca="1">VLOOKUP(A625,Import_SuiviGlobal_MigAppliSate!A:I,6,FALSE)</f>
        <v>ROUTE DE BLOIS</v>
      </c>
      <c r="G625" t="str">
        <f ca="1">VLOOKUP(A625,Import_SuiviGlobal_MigAppliSate!A:I,7,FALSE)</f>
        <v>02.54.81.32.30</v>
      </c>
      <c r="H625" t="str">
        <f ca="1">VLOOKUP(A625,Import_SuiviGlobal_MigAppliSate!A:I,8,FALSE)</f>
        <v>SOCIAS Philippe</v>
      </c>
      <c r="I625" t="str">
        <f ca="1">VLOOKUP(A625,Import_SuiviGlobal_MigAppliSate!A:I,9,FALSE)</f>
        <v>philippe.socias@systeme-u.fr</v>
      </c>
      <c r="J625" s="24" t="str">
        <f ca="1">VLOOKUP(A625,Import_SuiviGlobal_MigAppliSate!A:K,10,FALSE)</f>
        <v>BERTHE Hélene</v>
      </c>
      <c r="K625" t="str">
        <f ca="1">VLOOKUP(A625,Import_SuiviGlobal_MigAppliSate!A:K,11,FALSE)</f>
        <v>superu.mer.informatique@systeme-u.fr</v>
      </c>
      <c r="O625" s="1" t="s">
        <v>22</v>
      </c>
    </row>
    <row r="626" spans="1:18" ht="12.75" hidden="1" x14ac:dyDescent="0.2">
      <c r="A626">
        <v>32784</v>
      </c>
      <c r="B626" t="str">
        <f ca="1">VLOOKUP(A626,Import_SuiviGlobal_MigAppliSate!A:I,2,FALSE)</f>
        <v>MERDRIGNAC</v>
      </c>
      <c r="C626" t="str">
        <f ca="1">VLOOKUP(A626,Import_SuiviGlobal_MigAppliSate!A:I,3,FALSE)</f>
        <v>Super U</v>
      </c>
      <c r="D626" s="1" t="str">
        <f ca="1">VLOOKUP(A626,Import_SuiviGlobal_MigAppliSate!A:I,4,FALSE)</f>
        <v>Coop U Enseigne Ouest</v>
      </c>
      <c r="E626">
        <f ca="1">VLOOKUP(A626,Import_SuiviGlobal_MigAppliSate!A:I,5,FALSE)</f>
        <v>22230</v>
      </c>
      <c r="F626" t="str">
        <f ca="1">VLOOKUP(A626,Import_SuiviGlobal_MigAppliSate!A:I,6,FALSE)</f>
        <v>6 RUE DU CHANOINE LE TEXIER</v>
      </c>
      <c r="G626" t="str">
        <f ca="1">VLOOKUP(A626,Import_SuiviGlobal_MigAppliSate!A:I,7,FALSE)</f>
        <v>02.96.28.44.45</v>
      </c>
      <c r="H626" t="str">
        <f ca="1">VLOOKUP(A626,Import_SuiviGlobal_MigAppliSate!A:I,8,FALSE)</f>
        <v>CADORET Alain</v>
      </c>
      <c r="I626" t="str">
        <f ca="1">VLOOKUP(A626,Import_SuiviGlobal_MigAppliSate!A:I,9,FALSE)</f>
        <v>alain.cadoret@systeme-u.fr</v>
      </c>
      <c r="J626" s="24" t="str">
        <f ca="1">VLOOKUP(A626,Import_SuiviGlobal_MigAppliSate!A:K,10,FALSE)</f>
        <v>Marion Cadoret</v>
      </c>
      <c r="K626" t="str">
        <f ca="1">VLOOKUP(A626,Import_SuiviGlobal_MigAppliSate!A:K,11,FALSE)</f>
        <v>marion.cadoret@systeme-u.fr</v>
      </c>
      <c r="O626" s="1" t="s">
        <v>22</v>
      </c>
    </row>
    <row r="627" spans="1:18" ht="12.75" hidden="1" x14ac:dyDescent="0.2">
      <c r="A627">
        <v>23832</v>
      </c>
      <c r="B627" t="str">
        <f ca="1">VLOOKUP(A627,Import_SuiviGlobal_MigAppliSate!A:I,2,FALSE)</f>
        <v>MERIEL</v>
      </c>
      <c r="C627" t="str">
        <f ca="1">VLOOKUP(A627,Import_SuiviGlobal_MigAppliSate!A:I,3,FALSE)</f>
        <v>U Express</v>
      </c>
      <c r="D627" s="1" t="str">
        <f ca="1">VLOOKUP(A627,Import_SuiviGlobal_MigAppliSate!A:I,4,FALSE)</f>
        <v>Coop U Enseigne NordOuest</v>
      </c>
      <c r="E627">
        <f ca="1">VLOOKUP(A627,Import_SuiviGlobal_MigAppliSate!A:I,5,FALSE)</f>
        <v>95630</v>
      </c>
      <c r="F627" t="str">
        <f ca="1">VLOOKUP(A627,Import_SuiviGlobal_MigAppliSate!A:I,6,FALSE)</f>
        <v>84 AVENUE VICTOR HUGO</v>
      </c>
      <c r="G627" t="str">
        <f ca="1">VLOOKUP(A627,Import_SuiviGlobal_MigAppliSate!A:I,7,FALSE)</f>
        <v>01.34.48.21.43</v>
      </c>
      <c r="H627" t="str">
        <f ca="1">VLOOKUP(A627,Import_SuiviGlobal_MigAppliSate!A:I,8,FALSE)</f>
        <v>GEORGELIN Jean-Yves</v>
      </c>
      <c r="I627" t="str">
        <f ca="1">VLOOKUP(A627,Import_SuiviGlobal_MigAppliSate!A:I,9,FALSE)</f>
        <v>uexpress.meriel@systeme-u.fr</v>
      </c>
      <c r="J627" s="24" t="str">
        <f ca="1">VLOOKUP(A627,Import_SuiviGlobal_MigAppliSate!A:K,10,FALSE)</f>
        <v>M.Tourbier</v>
      </c>
      <c r="K627" t="str">
        <f ca="1">VLOOKUP(A627,Import_SuiviGlobal_MigAppliSate!A:K,11,FALSE)</f>
        <v>uexpress.meriel@systeme-u.fr</v>
      </c>
      <c r="O627" s="1" t="s">
        <v>22</v>
      </c>
    </row>
    <row r="628" spans="1:18" ht="12.75" hidden="1" x14ac:dyDescent="0.2">
      <c r="A628">
        <v>36831</v>
      </c>
      <c r="B628" t="str">
        <f ca="1">VLOOKUP(A628,Import_SuiviGlobal_MigAppliSate!A:I,2,FALSE)</f>
        <v>MESANGER</v>
      </c>
      <c r="C628" t="str">
        <f ca="1">VLOOKUP(A628,Import_SuiviGlobal_MigAppliSate!A:I,3,FALSE)</f>
        <v>U Express</v>
      </c>
      <c r="D628" s="1" t="str">
        <f ca="1">VLOOKUP(A628,Import_SuiviGlobal_MigAppliSate!A:I,4,FALSE)</f>
        <v>Coop U Enseigne Ouest</v>
      </c>
      <c r="E628">
        <f ca="1">VLOOKUP(A628,Import_SuiviGlobal_MigAppliSate!A:I,5,FALSE)</f>
        <v>44522</v>
      </c>
      <c r="F628" t="str">
        <f ca="1">VLOOKUP(A628,Import_SuiviGlobal_MigAppliSate!A:I,6,FALSE)</f>
        <v>185 RUE DE LA VIEILLE COUR</v>
      </c>
      <c r="G628" t="str">
        <f ca="1">VLOOKUP(A628,Import_SuiviGlobal_MigAppliSate!A:I,7,FALSE)</f>
        <v>02.40.96.77.10</v>
      </c>
      <c r="H628" t="str">
        <f ca="1">VLOOKUP(A628,Import_SuiviGlobal_MigAppliSate!A:I,8,FALSE)</f>
        <v>BRY Thierry</v>
      </c>
      <c r="I628" t="str">
        <f ca="1">VLOOKUP(A628,Import_SuiviGlobal_MigAppliSate!A:I,9,FALSE)</f>
        <v>thierry.bry@systeme-u.fr</v>
      </c>
      <c r="J628" s="24" t="str">
        <f ca="1">VLOOKUP(A628,Import_SuiviGlobal_MigAppliSate!A:K,10,FALSE)</f>
        <v>Mme Bry</v>
      </c>
      <c r="K628" t="str">
        <f ca="1">VLOOKUP(A628,Import_SuiviGlobal_MigAppliSate!A:K,11,FALSE)</f>
        <v>thierry.bry@systeme-u.fr</v>
      </c>
      <c r="O628" s="1" t="s">
        <v>22</v>
      </c>
    </row>
    <row r="629" spans="1:18" ht="12.75" hidden="1" x14ac:dyDescent="0.2">
      <c r="A629">
        <v>35649</v>
      </c>
      <c r="B629" t="str">
        <f ca="1">VLOOKUP(A629,Import_SuiviGlobal_MigAppliSate!A:I,2,FALSE)</f>
        <v>MESCHERS</v>
      </c>
      <c r="C629" t="str">
        <f ca="1">VLOOKUP(A629,Import_SuiviGlobal_MigAppliSate!A:I,3,FALSE)</f>
        <v>U Express</v>
      </c>
      <c r="D629" s="1" t="str">
        <f ca="1">VLOOKUP(A629,Import_SuiviGlobal_MigAppliSate!A:I,4,FALSE)</f>
        <v>Coop U Enseigne Ouest</v>
      </c>
      <c r="E629">
        <f ca="1">VLOOKUP(A629,Import_SuiviGlobal_MigAppliSate!A:I,5,FALSE)</f>
        <v>17132</v>
      </c>
      <c r="F629" t="str">
        <f ca="1">VLOOKUP(A629,Import_SuiviGlobal_MigAppliSate!A:I,6,FALSE)</f>
        <v>47 RUE DE L'EGLISE</v>
      </c>
      <c r="G629" t="str">
        <f ca="1">VLOOKUP(A629,Import_SuiviGlobal_MigAppliSate!A:I,7,FALSE)</f>
        <v>05.46.02.75.23</v>
      </c>
      <c r="H629" t="str">
        <f ca="1">VLOOKUP(A629,Import_SuiviGlobal_MigAppliSate!A:I,8,FALSE)</f>
        <v>STERVINOU Yves</v>
      </c>
      <c r="I629" t="str">
        <f ca="1">VLOOKUP(A629,Import_SuiviGlobal_MigAppliSate!A:I,9,FALSE)</f>
        <v>yves.stervinou@systeme-u.fr</v>
      </c>
      <c r="J629" s="24" t="str">
        <f ca="1">VLOOKUP(A629,Import_SuiviGlobal_MigAppliSate!A:K,10,FALSE)</f>
        <v>LAMOUREUX Vanessa</v>
      </c>
      <c r="K629" t="str">
        <f ca="1">VLOOKUP(A629,Import_SuiviGlobal_MigAppliSate!A:K,11,FALSE)</f>
        <v>superu.meschers.informatique@systeme-u.fr</v>
      </c>
      <c r="L629" s="1" t="s">
        <v>17</v>
      </c>
      <c r="M629" s="1" t="s">
        <v>24</v>
      </c>
      <c r="N629" s="1" t="s">
        <v>18</v>
      </c>
      <c r="O629" s="1" t="s">
        <v>19</v>
      </c>
      <c r="P629" s="15"/>
      <c r="Q629" s="18"/>
      <c r="R629" s="18"/>
    </row>
    <row r="630" spans="1:18" ht="12.75" hidden="1" x14ac:dyDescent="0.2">
      <c r="A630">
        <v>38788</v>
      </c>
      <c r="B630" t="str">
        <f ca="1">VLOOKUP(A630,Import_SuiviGlobal_MigAppliSate!A:I,2,FALSE)</f>
        <v>MESLAY-DU-MAINE</v>
      </c>
      <c r="C630" t="str">
        <f ca="1">VLOOKUP(A630,Import_SuiviGlobal_MigAppliSate!A:I,3,FALSE)</f>
        <v>Super U</v>
      </c>
      <c r="D630" s="1" t="str">
        <f ca="1">VLOOKUP(A630,Import_SuiviGlobal_MigAppliSate!A:I,4,FALSE)</f>
        <v>Coop U Enseigne Ouest</v>
      </c>
      <c r="E630">
        <f ca="1">VLOOKUP(A630,Import_SuiviGlobal_MigAppliSate!A:I,5,FALSE)</f>
        <v>53170</v>
      </c>
      <c r="F630" t="str">
        <f ca="1">VLOOKUP(A630,Import_SuiviGlobal_MigAppliSate!A:I,6,FALSE)</f>
        <v>RUE DES TILLEULS</v>
      </c>
      <c r="G630" t="str">
        <f ca="1">VLOOKUP(A630,Import_SuiviGlobal_MigAppliSate!A:I,7,FALSE)</f>
        <v>02.43.98.60.46</v>
      </c>
      <c r="H630" t="str">
        <f ca="1">VLOOKUP(A630,Import_SuiviGlobal_MigAppliSate!A:I,8,FALSE)</f>
        <v>SAVINA Chantal</v>
      </c>
      <c r="I630" t="str">
        <f ca="1">VLOOKUP(A630,Import_SuiviGlobal_MigAppliSate!A:I,9,FALSE)</f>
        <v>lucien.savina@systeme-u.fr</v>
      </c>
      <c r="J630" s="24" t="str">
        <f ca="1">VLOOKUP(A630,Import_SuiviGlobal_MigAppliSate!A:K,10,FALSE)</f>
        <v>Véronique Savina
Mme Mousay</v>
      </c>
      <c r="K630" t="str">
        <f ca="1">VLOOKUP(A630,Import_SuiviGlobal_MigAppliSate!A:K,11,FALSE)</f>
        <v>veronique.savina@systeme-u.fr,superu.meslaydumaine@systeme-u.fr</v>
      </c>
      <c r="O630" s="1" t="s">
        <v>22</v>
      </c>
    </row>
    <row r="631" spans="1:18" ht="12.75" hidden="1" x14ac:dyDescent="0.2">
      <c r="A631">
        <v>96360</v>
      </c>
      <c r="B631" t="str">
        <f ca="1">VLOOKUP(A631,Import_SuiviGlobal_MigAppliSate!A:I,2,FALSE)</f>
        <v>MESSANGES</v>
      </c>
      <c r="C631" t="str">
        <f ca="1">VLOOKUP(A631,Import_SuiviGlobal_MigAppliSate!A:I,3,FALSE)</f>
        <v>Super U</v>
      </c>
      <c r="D631" s="1" t="str">
        <f ca="1">VLOOKUP(A631,Import_SuiviGlobal_MigAppliSate!A:I,4,FALSE)</f>
        <v>Coop U Enseigne Sud</v>
      </c>
      <c r="E631">
        <f ca="1">VLOOKUP(A631,Import_SuiviGlobal_MigAppliSate!A:I,5,FALSE)</f>
        <v>40660</v>
      </c>
      <c r="F631" t="str">
        <f ca="1">VLOOKUP(A631,Import_SuiviGlobal_MigAppliSate!A:I,6,FALSE)</f>
        <v>ROUTE DES LACS</v>
      </c>
      <c r="G631" t="str">
        <f ca="1">VLOOKUP(A631,Import_SuiviGlobal_MigAppliSate!A:I,7,FALSE)</f>
        <v>05.58.48.11.35</v>
      </c>
      <c r="H631" t="str">
        <f ca="1">VLOOKUP(A631,Import_SuiviGlobal_MigAppliSate!A:I,8,FALSE)</f>
        <v>GUILHEMJOUAN Marielle</v>
      </c>
      <c r="I631" t="str">
        <f ca="1">VLOOKUP(A631,Import_SuiviGlobal_MigAppliSate!A:I,9,FALSE)</f>
        <v>marielle.guilhemjouan@systeme-u.fr</v>
      </c>
      <c r="J631" s="24" t="str">
        <f ca="1">VLOOKUP(A631,Import_SuiviGlobal_MigAppliSate!A:K,10,FALSE)</f>
        <v>MORA Vanessa</v>
      </c>
      <c r="K631" t="str">
        <f ca="1">VLOOKUP(A631,Import_SuiviGlobal_MigAppliSate!A:K,11,FALSE)</f>
        <v>superu.messanges.locationu@systeme-u.fr</v>
      </c>
      <c r="O631" s="1" t="s">
        <v>22</v>
      </c>
    </row>
    <row r="632" spans="1:18" ht="12.75" hidden="1" x14ac:dyDescent="0.2">
      <c r="A632">
        <v>96357</v>
      </c>
      <c r="B632" t="str">
        <f ca="1">VLOOKUP(A632,Import_SuiviGlobal_MigAppliSate!A:I,2,FALSE)</f>
        <v>MEYSSAC</v>
      </c>
      <c r="C632" t="str">
        <f ca="1">VLOOKUP(A632,Import_SuiviGlobal_MigAppliSate!A:I,3,FALSE)</f>
        <v>U Express</v>
      </c>
      <c r="D632" s="1" t="str">
        <f ca="1">VLOOKUP(A632,Import_SuiviGlobal_MigAppliSate!A:I,4,FALSE)</f>
        <v>Coop U Enseigne Sud</v>
      </c>
      <c r="E632">
        <f ca="1">VLOOKUP(A632,Import_SuiviGlobal_MigAppliSate!A:I,5,FALSE)</f>
        <v>19500</v>
      </c>
      <c r="F632" t="str">
        <f ca="1">VLOOKUP(A632,Import_SuiviGlobal_MigAppliSate!A:I,6,FALSE)</f>
        <v>ROUTE DE COLLONGES</v>
      </c>
      <c r="G632" t="str">
        <f ca="1">VLOOKUP(A632,Import_SuiviGlobal_MigAppliSate!A:I,7,FALSE)</f>
        <v>05.55.25.33.04</v>
      </c>
      <c r="H632" t="str">
        <f ca="1">VLOOKUP(A632,Import_SuiviGlobal_MigAppliSate!A:I,8,FALSE)</f>
        <v>ET THOMAS PELISSIER CYRIL TREUIL</v>
      </c>
      <c r="I632" t="str">
        <f ca="1">VLOOKUP(A632,Import_SuiviGlobal_MigAppliSate!A:I,9,FALSE)</f>
        <v>cyril.treuil@systeme-u.fr</v>
      </c>
      <c r="J632" s="24" t="str">
        <f ca="1">VLOOKUP(A632,Import_SuiviGlobal_MigAppliSate!A:K,10,FALSE)</f>
        <v>TREUIL Mathieu</v>
      </c>
      <c r="K632" t="str">
        <f ca="1">VLOOKUP(A632,Import_SuiviGlobal_MigAppliSate!A:K,11,FALSE)</f>
        <v>thomas.pelissier@systeme-u.fr</v>
      </c>
      <c r="O632" s="1" t="s">
        <v>22</v>
      </c>
    </row>
    <row r="633" spans="1:18" ht="12.75" x14ac:dyDescent="0.2">
      <c r="A633">
        <v>35665</v>
      </c>
      <c r="B633" t="str">
        <f ca="1">VLOOKUP(A633,Import_SuiviGlobal_MigAppliSate!A:I,2,FALSE)</f>
        <v>MIRAMBEAU</v>
      </c>
      <c r="C633" t="str">
        <f ca="1">VLOOKUP(A633,Import_SuiviGlobal_MigAppliSate!A:I,3,FALSE)</f>
        <v>Super U</v>
      </c>
      <c r="D633" s="1" t="str">
        <f ca="1">VLOOKUP(A633,Import_SuiviGlobal_MigAppliSate!A:I,4,FALSE)</f>
        <v>Coop U Enseigne Ouest</v>
      </c>
      <c r="E633">
        <f ca="1">VLOOKUP(A633,Import_SuiviGlobal_MigAppliSate!A:I,5,FALSE)</f>
        <v>17150</v>
      </c>
      <c r="F633" t="str">
        <f ca="1">VLOOKUP(A633,Import_SuiviGlobal_MigAppliSate!A:I,6,FALSE)</f>
        <v>109, AVENUE DE LA RÉPUBLIQUE</v>
      </c>
      <c r="G633" t="str">
        <f ca="1">VLOOKUP(A633,Import_SuiviGlobal_MigAppliSate!A:I,7,FALSE)</f>
        <v>05.46.49.72.33</v>
      </c>
      <c r="H633" t="str">
        <f ca="1">VLOOKUP(A633,Import_SuiviGlobal_MigAppliSate!A:I,8,FALSE)</f>
        <v>GERVAIS Julien</v>
      </c>
      <c r="I633" t="str">
        <f ca="1">VLOOKUP(A633,Import_SuiviGlobal_MigAppliSate!A:I,9,FALSE)</f>
        <v>julien.gervais@systeme-u.fr</v>
      </c>
      <c r="J633" s="24" t="str">
        <f ca="1">VLOOKUP(A633,Import_SuiviGlobal_MigAppliSate!A:K,10,FALSE)</f>
        <v/>
      </c>
      <c r="K633" t="str">
        <f ca="1">VLOOKUP(A633,Import_SuiviGlobal_MigAppliSate!A:K,11,FALSE)</f>
        <v/>
      </c>
      <c r="L633" t="s">
        <v>17</v>
      </c>
      <c r="M633" t="s">
        <v>0</v>
      </c>
      <c r="O633" s="1" t="s">
        <v>22</v>
      </c>
    </row>
    <row r="634" spans="1:18" ht="12.75" hidden="1" x14ac:dyDescent="0.2">
      <c r="A634">
        <v>90237</v>
      </c>
      <c r="B634" t="str">
        <f ca="1">VLOOKUP(A634,Import_SuiviGlobal_MigAppliSate!A:I,2,FALSE)</f>
        <v>MIREPOIX</v>
      </c>
      <c r="C634" t="str">
        <f ca="1">VLOOKUP(A634,Import_SuiviGlobal_MigAppliSate!A:I,3,FALSE)</f>
        <v>Super U</v>
      </c>
      <c r="D634" s="1" t="str">
        <f ca="1">VLOOKUP(A634,Import_SuiviGlobal_MigAppliSate!A:I,4,FALSE)</f>
        <v>Coop U Enseigne Sud</v>
      </c>
      <c r="E634">
        <f ca="1">VLOOKUP(A634,Import_SuiviGlobal_MigAppliSate!A:I,5,FALSE)</f>
        <v>9500</v>
      </c>
      <c r="F634" t="str">
        <f ca="1">VLOOKUP(A634,Import_SuiviGlobal_MigAppliSate!A:I,6,FALSE)</f>
        <v>LES PARAULETTES</v>
      </c>
      <c r="G634" t="str">
        <f ca="1">VLOOKUP(A634,Import_SuiviGlobal_MigAppliSate!A:I,7,FALSE)</f>
        <v>05.61.68.81.91</v>
      </c>
      <c r="H634" t="str">
        <f ca="1">VLOOKUP(A634,Import_SuiviGlobal_MigAppliSate!A:I,8,FALSE)</f>
        <v>FEUGIER Marc</v>
      </c>
      <c r="I634" t="str">
        <f ca="1">VLOOKUP(A634,Import_SuiviGlobal_MigAppliSate!A:I,9,FALSE)</f>
        <v>marc.feugier@systeme-u.fr</v>
      </c>
      <c r="J634" s="24" t="str">
        <f ca="1">VLOOKUP(A634,Import_SuiviGlobal_MigAppliSate!A:K,10,FALSE)</f>
        <v>Stéphane CLERE</v>
      </c>
      <c r="K634" t="str">
        <f ca="1">VLOOKUP(A634,Import_SuiviGlobal_MigAppliSate!A:K,11,FALSE)</f>
        <v>superu.mirepoix.directeur@systeme-u.fr</v>
      </c>
      <c r="L634" t="s">
        <v>20</v>
      </c>
      <c r="M634" t="s">
        <v>23</v>
      </c>
      <c r="O634" s="1" t="s">
        <v>22</v>
      </c>
    </row>
    <row r="635" spans="1:18" ht="12.75" hidden="1" x14ac:dyDescent="0.2">
      <c r="A635">
        <v>95188</v>
      </c>
      <c r="B635" t="str">
        <f ca="1">VLOOKUP(A635,Import_SuiviGlobal_MigAppliSate!A:I,2,FALSE)</f>
        <v>MOLIETS ET MAA</v>
      </c>
      <c r="C635" t="str">
        <f ca="1">VLOOKUP(A635,Import_SuiviGlobal_MigAppliSate!A:I,3,FALSE)</f>
        <v>U Express</v>
      </c>
      <c r="D635" s="1" t="str">
        <f ca="1">VLOOKUP(A635,Import_SuiviGlobal_MigAppliSate!A:I,4,FALSE)</f>
        <v>Coop U Enseigne Sud</v>
      </c>
      <c r="E635">
        <f ca="1">VLOOKUP(A635,Import_SuiviGlobal_MigAppliSate!A:I,5,FALSE)</f>
        <v>40660</v>
      </c>
      <c r="F635" t="str">
        <f ca="1">VLOOKUP(A635,Import_SuiviGlobal_MigAppliSate!A:I,6,FALSE)</f>
        <v>LIEU DIT BOUSSOUAYRE</v>
      </c>
      <c r="G635" t="str">
        <f ca="1">VLOOKUP(A635,Import_SuiviGlobal_MigAppliSate!A:I,7,FALSE)</f>
        <v>05.58.42.90.00</v>
      </c>
      <c r="H635" t="str">
        <f ca="1">VLOOKUP(A635,Import_SuiviGlobal_MigAppliSate!A:I,8,FALSE)</f>
        <v>GUILHEMJOUAN Marielle</v>
      </c>
      <c r="I635" t="str">
        <f ca="1">VLOOKUP(A635,Import_SuiviGlobal_MigAppliSate!A:I,9,FALSE)</f>
        <v>marielle.guilhemjouan@systeme-u.fr</v>
      </c>
      <c r="J635" s="24" t="str">
        <f ca="1">VLOOKUP(A635,Import_SuiviGlobal_MigAppliSate!A:K,10,FALSE)</f>
        <v>MAILLET Christelle</v>
      </c>
      <c r="K635" t="str">
        <f ca="1">VLOOKUP(A635,Import_SuiviGlobal_MigAppliSate!A:K,11,FALSE)</f>
        <v>uexpress.moliets.compta@systeme-u.fr</v>
      </c>
      <c r="O635" s="1" t="s">
        <v>22</v>
      </c>
    </row>
    <row r="636" spans="1:18" ht="12.75" hidden="1" x14ac:dyDescent="0.2">
      <c r="A636">
        <v>60038</v>
      </c>
      <c r="B636" t="str">
        <f ca="1">VLOOKUP(A636,Import_SuiviGlobal_MigAppliSate!A:I,2,FALSE)</f>
        <v>MOLSHEIM</v>
      </c>
      <c r="C636" t="str">
        <f ca="1">VLOOKUP(A636,Import_SuiviGlobal_MigAppliSate!A:I,3,FALSE)</f>
        <v>Super U</v>
      </c>
      <c r="D636" s="1" t="str">
        <f ca="1">VLOOKUP(A636,Import_SuiviGlobal_MigAppliSate!A:I,4,FALSE)</f>
        <v>Coop U Enseigne Est</v>
      </c>
      <c r="E636">
        <f ca="1">VLOOKUP(A636,Import_SuiviGlobal_MigAppliSate!A:I,5,FALSE)</f>
        <v>67120</v>
      </c>
      <c r="F636" t="str">
        <f ca="1">VLOOKUP(A636,Import_SuiviGlobal_MigAppliSate!A:I,6,FALSE)</f>
        <v>33A ROUTE DE DACHSTEIN</v>
      </c>
      <c r="G636" t="str">
        <f ca="1">VLOOKUP(A636,Import_SuiviGlobal_MigAppliSate!A:I,7,FALSE)</f>
        <v>03.88.38.48.72</v>
      </c>
      <c r="H636" t="str">
        <f ca="1">VLOOKUP(A636,Import_SuiviGlobal_MigAppliSate!A:I,8,FALSE)</f>
        <v>SORROCHE Emilio</v>
      </c>
      <c r="I636" t="str">
        <f ca="1">VLOOKUP(A636,Import_SuiviGlobal_MigAppliSate!A:I,9,FALSE)</f>
        <v>emilio.sorroche@systeme-u.fr</v>
      </c>
      <c r="J636" s="24" t="str">
        <f ca="1">VLOOKUP(A636,Import_SuiviGlobal_MigAppliSate!A:K,10,FALSE)</f>
        <v/>
      </c>
      <c r="K636" t="str">
        <f ca="1">VLOOKUP(A636,Import_SuiviGlobal_MigAppliSate!A:K,11,FALSE)</f>
        <v/>
      </c>
      <c r="O636" s="1" t="s">
        <v>22</v>
      </c>
    </row>
    <row r="637" spans="1:18" ht="12.75" hidden="1" x14ac:dyDescent="0.2">
      <c r="A637">
        <v>90586</v>
      </c>
      <c r="B637" t="str">
        <f ca="1">VLOOKUP(A637,Import_SuiviGlobal_MigAppliSate!A:I,2,FALSE)</f>
        <v>MONACO</v>
      </c>
      <c r="C637" t="str">
        <f ca="1">VLOOKUP(A637,Import_SuiviGlobal_MigAppliSate!A:I,3,FALSE)</f>
        <v>Marché U</v>
      </c>
      <c r="D637" s="1" t="str">
        <f ca="1">VLOOKUP(A637,Import_SuiviGlobal_MigAppliSate!A:I,4,FALSE)</f>
        <v>Coop U Enseigne Sud</v>
      </c>
      <c r="E637">
        <f ca="1">VLOOKUP(A637,Import_SuiviGlobal_MigAppliSate!A:I,5,FALSE)</f>
        <v>98000</v>
      </c>
      <c r="F637" t="str">
        <f ca="1">VLOOKUP(A637,Import_SuiviGlobal_MigAppliSate!A:I,6,FALSE)</f>
        <v>LES ABEILLES</v>
      </c>
      <c r="G637" t="str">
        <f ca="1">VLOOKUP(A637,Import_SuiviGlobal_MigAppliSate!A:I,7,FALSE)</f>
        <v>00.37.79.77.01.71.</v>
      </c>
      <c r="H637" t="str">
        <f ca="1">VLOOKUP(A637,Import_SuiviGlobal_MigAppliSate!A:I,8,FALSE)</f>
        <v>LAHELLEC Yann</v>
      </c>
      <c r="I637" t="str">
        <f ca="1">VLOOKUP(A637,Import_SuiviGlobal_MigAppliSate!A:I,9,FALSE)</f>
        <v>yann.lahellec@systeme-u.fr</v>
      </c>
      <c r="J637" s="24" t="str">
        <f ca="1">VLOOKUP(A637,Import_SuiviGlobal_MigAppliSate!A:K,10,FALSE)</f>
        <v/>
      </c>
      <c r="K637" t="str">
        <f ca="1">VLOOKUP(A637,Import_SuiviGlobal_MigAppliSate!A:K,11,FALSE)</f>
        <v/>
      </c>
      <c r="O637" s="1" t="s">
        <v>22</v>
      </c>
    </row>
    <row r="638" spans="1:18" ht="12.75" hidden="1" x14ac:dyDescent="0.2">
      <c r="A638">
        <v>31325</v>
      </c>
      <c r="B638" t="str">
        <f ca="1">VLOOKUP(A638,Import_SuiviGlobal_MigAppliSate!A:I,2,FALSE)</f>
        <v>MONCOUTANT</v>
      </c>
      <c r="C638" t="str">
        <f ca="1">VLOOKUP(A638,Import_SuiviGlobal_MigAppliSate!A:I,3,FALSE)</f>
        <v>Super U</v>
      </c>
      <c r="D638" s="1" t="str">
        <f ca="1">VLOOKUP(A638,Import_SuiviGlobal_MigAppliSate!A:I,4,FALSE)</f>
        <v>Coop U Enseigne Ouest</v>
      </c>
      <c r="E638">
        <f ca="1">VLOOKUP(A638,Import_SuiviGlobal_MigAppliSate!A:I,5,FALSE)</f>
        <v>79320</v>
      </c>
      <c r="F638" t="str">
        <f ca="1">VLOOKUP(A638,Import_SuiviGlobal_MigAppliSate!A:I,6,FALSE)</f>
        <v>56 BIS AVENUE DE PARIS</v>
      </c>
      <c r="G638" t="str">
        <f ca="1">VLOOKUP(A638,Import_SuiviGlobal_MigAppliSate!A:I,7,FALSE)</f>
        <v>05.49.72.74.53</v>
      </c>
      <c r="H638" t="str">
        <f ca="1">VLOOKUP(A638,Import_SuiviGlobal_MigAppliSate!A:I,8,FALSE)</f>
        <v>COUPRIE-CORLAY RPT SEVRE INV. Audrey</v>
      </c>
      <c r="I638" t="str">
        <f ca="1">VLOOKUP(A638,Import_SuiviGlobal_MigAppliSate!A:I,9,FALSE)</f>
        <v>audrey.couprie-corlay@systeme-u.fr</v>
      </c>
      <c r="J638" s="24" t="str">
        <f ca="1">VLOOKUP(A638,Import_SuiviGlobal_MigAppliSate!A:K,10,FALSE)</f>
        <v>M. CORLAY</v>
      </c>
      <c r="K638" t="str">
        <f ca="1">VLOOKUP(A638,Import_SuiviGlobal_MigAppliSate!A:K,11,FALSE)</f>
        <v>laurent.corlay@systeme-u.fr</v>
      </c>
      <c r="O638" s="1" t="s">
        <v>22</v>
      </c>
    </row>
    <row r="639" spans="1:18" ht="12.75" hidden="1" x14ac:dyDescent="0.2">
      <c r="A639">
        <v>22720</v>
      </c>
      <c r="B639" t="str">
        <f ca="1">VLOOKUP(A639,Import_SuiviGlobal_MigAppliSate!A:I,2,FALSE)</f>
        <v>MONDEVILLE</v>
      </c>
      <c r="C639" t="str">
        <f ca="1">VLOOKUP(A639,Import_SuiviGlobal_MigAppliSate!A:I,3,FALSE)</f>
        <v>Super U</v>
      </c>
      <c r="D639" s="1" t="str">
        <f ca="1">VLOOKUP(A639,Import_SuiviGlobal_MigAppliSate!A:I,4,FALSE)</f>
        <v>Coop U Enseigne NordOuest</v>
      </c>
      <c r="E639">
        <f ca="1">VLOOKUP(A639,Import_SuiviGlobal_MigAppliSate!A:I,5,FALSE)</f>
        <v>14120</v>
      </c>
      <c r="F639" t="str">
        <f ca="1">VLOOKUP(A639,Import_SuiviGlobal_MigAppliSate!A:I,6,FALSE)</f>
        <v>7 RUE EMILE ZOLA</v>
      </c>
      <c r="G639" t="str">
        <f ca="1">VLOOKUP(A639,Import_SuiviGlobal_MigAppliSate!A:I,7,FALSE)</f>
        <v>02.31.35.02.60</v>
      </c>
      <c r="H639" t="str">
        <f ca="1">VLOOKUP(A639,Import_SuiviGlobal_MigAppliSate!A:I,8,FALSE)</f>
        <v>BARRE Stéphane</v>
      </c>
      <c r="I639" t="str">
        <f ca="1">VLOOKUP(A639,Import_SuiviGlobal_MigAppliSate!A:I,9,FALSE)</f>
        <v>stephane.barre@systeme-u.fr</v>
      </c>
      <c r="J639" s="24" t="str">
        <f ca="1">VLOOKUP(A639,Import_SuiviGlobal_MigAppliSate!A:K,10,FALSE)</f>
        <v xml:space="preserve">M. Groult Emmanuel </v>
      </c>
      <c r="K639" t="str">
        <f ca="1">VLOOKUP(A639,Import_SuiviGlobal_MigAppliSate!A:K,11,FALSE)</f>
        <v>superu.mondeville@systeme-u.fr,philippe.cappe@coop-cnp.coop</v>
      </c>
      <c r="L639" t="s">
        <v>20</v>
      </c>
      <c r="M639" t="s">
        <v>21</v>
      </c>
      <c r="O639" s="1" t="s">
        <v>22</v>
      </c>
    </row>
    <row r="640" spans="1:18" ht="12.75" hidden="1" x14ac:dyDescent="0.2">
      <c r="A640">
        <v>38850</v>
      </c>
      <c r="B640" t="str">
        <f ca="1">VLOOKUP(A640,Import_SuiviGlobal_MigAppliSate!A:I,2,FALSE)</f>
        <v>MONDOUBLEAU</v>
      </c>
      <c r="C640" t="str">
        <f ca="1">VLOOKUP(A640,Import_SuiviGlobal_MigAppliSate!A:I,3,FALSE)</f>
        <v>Super U</v>
      </c>
      <c r="D640" s="1" t="str">
        <f ca="1">VLOOKUP(A640,Import_SuiviGlobal_MigAppliSate!A:I,4,FALSE)</f>
        <v>Coop U Enseigne Ouest</v>
      </c>
      <c r="E640">
        <f ca="1">VLOOKUP(A640,Import_SuiviGlobal_MigAppliSate!A:I,5,FALSE)</f>
        <v>41170</v>
      </c>
      <c r="F640" t="str">
        <f ca="1">VLOOKUP(A640,Import_SuiviGlobal_MigAppliSate!A:I,6,FALSE)</f>
        <v>ROUTE DE CLOYES</v>
      </c>
      <c r="G640" t="str">
        <f ca="1">VLOOKUP(A640,Import_SuiviGlobal_MigAppliSate!A:I,7,FALSE)</f>
        <v>02.54.80.76.22</v>
      </c>
      <c r="H640" t="str">
        <f ca="1">VLOOKUP(A640,Import_SuiviGlobal_MigAppliSate!A:I,8,FALSE)</f>
        <v>CRUCHET RPT HOLDING CRUCHET Bruno</v>
      </c>
      <c r="I640" t="str">
        <f ca="1">VLOOKUP(A640,Import_SuiviGlobal_MigAppliSate!A:I,9,FALSE)</f>
        <v>bruno.cruchet@systeme-u.fr</v>
      </c>
      <c r="J640" s="24" t="str">
        <f ca="1">VLOOKUP(A640,Import_SuiviGlobal_MigAppliSate!A:K,10,FALSE)</f>
        <v>Mr Gougeon</v>
      </c>
      <c r="K640" t="str">
        <f ca="1">VLOOKUP(A640,Import_SuiviGlobal_MigAppliSate!A:K,11,FALSE)</f>
        <v>superu.mondoubleau.direction@systeme-u.fr</v>
      </c>
      <c r="O640" s="1" t="s">
        <v>22</v>
      </c>
    </row>
    <row r="641" spans="1:15" ht="12.75" hidden="1" x14ac:dyDescent="0.2">
      <c r="A641">
        <v>96018</v>
      </c>
      <c r="B641" t="str">
        <f ca="1">VLOOKUP(A641,Import_SuiviGlobal_MigAppliSate!A:I,2,FALSE)</f>
        <v>MONT DE MARSAN</v>
      </c>
      <c r="C641" t="str">
        <f ca="1">VLOOKUP(A641,Import_SuiviGlobal_MigAppliSate!A:I,3,FALSE)</f>
        <v>U Express</v>
      </c>
      <c r="D641" s="1" t="str">
        <f ca="1">VLOOKUP(A641,Import_SuiviGlobal_MigAppliSate!A:I,4,FALSE)</f>
        <v>Coop U Enseigne Sud</v>
      </c>
      <c r="E641">
        <f ca="1">VLOOKUP(A641,Import_SuiviGlobal_MigAppliSate!A:I,5,FALSE)</f>
        <v>40000</v>
      </c>
      <c r="F641" t="str">
        <f ca="1">VLOOKUP(A641,Import_SuiviGlobal_MigAppliSate!A:I,6,FALSE)</f>
        <v>2 AVENUE DE SABRE</v>
      </c>
      <c r="G641" t="str">
        <f ca="1">VLOOKUP(A641,Import_SuiviGlobal_MigAppliSate!A:I,7,FALSE)</f>
        <v>05.58.06.46.02</v>
      </c>
      <c r="H641" t="str">
        <f ca="1">VLOOKUP(A641,Import_SuiviGlobal_MigAppliSate!A:I,8,FALSE)</f>
        <v>ANDREIS Stephane</v>
      </c>
      <c r="I641" t="str">
        <f ca="1">VLOOKUP(A641,Import_SuiviGlobal_MigAppliSate!A:I,9,FALSE)</f>
        <v>stephane.andreis@systeme-u.fr</v>
      </c>
      <c r="J641" s="24" t="str">
        <f ca="1">VLOOKUP(A641,Import_SuiviGlobal_MigAppliSate!A:K,10,FALSE)</f>
        <v/>
      </c>
      <c r="K641" t="str">
        <f ca="1">VLOOKUP(A641,Import_SuiviGlobal_MigAppliSate!A:K,11,FALSE)</f>
        <v/>
      </c>
      <c r="O641" s="1" t="s">
        <v>22</v>
      </c>
    </row>
    <row r="642" spans="1:15" ht="12.75" hidden="1" x14ac:dyDescent="0.2">
      <c r="A642">
        <v>25630</v>
      </c>
      <c r="B642" t="str">
        <f ca="1">VLOOKUP(A642,Import_SuiviGlobal_MigAppliSate!A:I,2,FALSE)</f>
        <v>MONT ST AIGNAN</v>
      </c>
      <c r="C642" t="str">
        <f ca="1">VLOOKUP(A642,Import_SuiviGlobal_MigAppliSate!A:I,3,FALSE)</f>
        <v>Super U</v>
      </c>
      <c r="D642" s="1" t="str">
        <f ca="1">VLOOKUP(A642,Import_SuiviGlobal_MigAppliSate!A:I,4,FALSE)</f>
        <v>Coop U Enseigne NordOuest</v>
      </c>
      <c r="E642">
        <f ca="1">VLOOKUP(A642,Import_SuiviGlobal_MigAppliSate!A:I,5,FALSE)</f>
        <v>76130</v>
      </c>
      <c r="F642" t="str">
        <f ca="1">VLOOKUP(A642,Import_SuiviGlobal_MigAppliSate!A:I,6,FALSE)</f>
        <v>RUE DES COQUETS</v>
      </c>
      <c r="G642" t="str">
        <f ca="1">VLOOKUP(A642,Import_SuiviGlobal_MigAppliSate!A:I,7,FALSE)</f>
        <v>02.35.07.50.86</v>
      </c>
      <c r="H642" t="str">
        <f ca="1">VLOOKUP(A642,Import_SuiviGlobal_MigAppliSate!A:I,8,FALSE)</f>
        <v>BARRE Stéphane</v>
      </c>
      <c r="I642" t="str">
        <f ca="1">VLOOKUP(A642,Import_SuiviGlobal_MigAppliSate!A:I,9,FALSE)</f>
        <v>stephane.barre@systeme-u.fr</v>
      </c>
      <c r="J642" s="24" t="str">
        <f ca="1">VLOOKUP(A642,Import_SuiviGlobal_MigAppliSate!A:K,10,FALSE)</f>
        <v>Mme Marical</v>
      </c>
      <c r="K642" t="str">
        <f ca="1">VLOOKUP(A642,Import_SuiviGlobal_MigAppliSate!A:K,11,FALSE)</f>
        <v>superu.montsaintaignan@systeme-u.fr,philippe.cappe@coop-cnp.coop, melanie.marical@coop-cnp.coop</v>
      </c>
      <c r="L642" t="s">
        <v>20</v>
      </c>
      <c r="M642" t="s">
        <v>0</v>
      </c>
      <c r="O642" s="1" t="s">
        <v>22</v>
      </c>
    </row>
    <row r="643" spans="1:15" ht="12.75" hidden="1" x14ac:dyDescent="0.2">
      <c r="A643">
        <v>32135</v>
      </c>
      <c r="B643" t="str">
        <f ca="1">VLOOKUP(A643,Import_SuiviGlobal_MigAppliSate!A:I,2,FALSE)</f>
        <v>MONTARGIS</v>
      </c>
      <c r="C643" t="str">
        <f ca="1">VLOOKUP(A643,Import_SuiviGlobal_MigAppliSate!A:I,3,FALSE)</f>
        <v>Super U</v>
      </c>
      <c r="D643" s="1" t="str">
        <f ca="1">VLOOKUP(A643,Import_SuiviGlobal_MigAppliSate!A:I,4,FALSE)</f>
        <v>Coop U Enseigne Ouest</v>
      </c>
      <c r="E643">
        <f ca="1">VLOOKUP(A643,Import_SuiviGlobal_MigAppliSate!A:I,5,FALSE)</f>
        <v>45200</v>
      </c>
      <c r="F643" t="str">
        <f ca="1">VLOOKUP(A643,Import_SuiviGlobal_MigAppliSate!A:I,6,FALSE)</f>
        <v>28, RUE DE LA CHAUSSÉE</v>
      </c>
      <c r="G643" t="str">
        <f ca="1">VLOOKUP(A643,Import_SuiviGlobal_MigAppliSate!A:I,7,FALSE)</f>
        <v>02.38.07.19.45</v>
      </c>
      <c r="H643" t="str">
        <f ca="1">VLOOKUP(A643,Import_SuiviGlobal_MigAppliSate!A:I,8,FALSE)</f>
        <v>MARTELLA RPT SAS EXPAN MONTARG Michel</v>
      </c>
      <c r="I643" t="str">
        <f ca="1">VLOOKUP(A643,Import_SuiviGlobal_MigAppliSate!A:I,9,FALSE)</f>
        <v>michel.martella@systeme-u.fr</v>
      </c>
      <c r="J643" s="24" t="str">
        <f ca="1">VLOOKUP(A643,Import_SuiviGlobal_MigAppliSate!A:K,10,FALSE)</f>
        <v xml:space="preserve">
LHEUREUX Chantal</v>
      </c>
      <c r="K643" t="str">
        <f ca="1">VLOOKUP(A643,Import_SuiviGlobal_MigAppliSate!A:K,11,FALSE)</f>
        <v>superu.montargis.direction@systeme-u.fr,superu.montargis.caisse@systeme-u.fr</v>
      </c>
      <c r="O643" s="1" t="s">
        <v>22</v>
      </c>
    </row>
    <row r="644" spans="1:15" ht="12.75" hidden="1" x14ac:dyDescent="0.2">
      <c r="A644">
        <v>90570</v>
      </c>
      <c r="B644" t="str">
        <f ca="1">VLOOKUP(A644,Import_SuiviGlobal_MigAppliSate!A:I,2,FALSE)</f>
        <v>MONTARNAUD PRADAS</v>
      </c>
      <c r="C644" t="str">
        <f ca="1">VLOOKUP(A644,Import_SuiviGlobal_MigAppliSate!A:I,3,FALSE)</f>
        <v>Super U</v>
      </c>
      <c r="D644" s="1" t="str">
        <f ca="1">VLOOKUP(A644,Import_SuiviGlobal_MigAppliSate!A:I,4,FALSE)</f>
        <v>Coop U Enseigne Sud</v>
      </c>
      <c r="E644">
        <f ca="1">VLOOKUP(A644,Import_SuiviGlobal_MigAppliSate!A:I,5,FALSE)</f>
        <v>34570</v>
      </c>
      <c r="F644" t="str">
        <f ca="1">VLOOKUP(A644,Import_SuiviGlobal_MigAppliSate!A:I,6,FALSE)</f>
        <v>ZAC DU PRADAS</v>
      </c>
      <c r="G644" t="str">
        <f ca="1">VLOOKUP(A644,Import_SuiviGlobal_MigAppliSate!A:I,7,FALSE)</f>
        <v>04.67.60.94.51</v>
      </c>
      <c r="H644" t="str">
        <f ca="1">VLOOKUP(A644,Import_SuiviGlobal_MigAppliSate!A:I,8,FALSE)</f>
        <v>DE ROSA Jeremie</v>
      </c>
      <c r="I644" t="str">
        <f ca="1">VLOOKUP(A644,Import_SuiviGlobal_MigAppliSate!A:I,9,FALSE)</f>
        <v>jeremie.de-rosa@systeme-u.fr</v>
      </c>
      <c r="J644" s="24" t="str">
        <f ca="1">VLOOKUP(A644,Import_SuiviGlobal_MigAppliSate!A:K,10,FALSE)</f>
        <v/>
      </c>
      <c r="K644" t="str">
        <f ca="1">VLOOKUP(A644,Import_SuiviGlobal_MigAppliSate!A:K,11,FALSE)</f>
        <v/>
      </c>
      <c r="O644" s="1" t="s">
        <v>22</v>
      </c>
    </row>
    <row r="645" spans="1:15" ht="12.75" hidden="1" x14ac:dyDescent="0.2">
      <c r="A645">
        <v>95456</v>
      </c>
      <c r="B645" t="str">
        <f ca="1">VLOOKUP(A645,Import_SuiviGlobal_MigAppliSate!A:I,2,FALSE)</f>
        <v>MONTBAZENS</v>
      </c>
      <c r="C645" t="str">
        <f ca="1">VLOOKUP(A645,Import_SuiviGlobal_MigAppliSate!A:I,3,FALSE)</f>
        <v>U Express</v>
      </c>
      <c r="D645" s="1" t="str">
        <f ca="1">VLOOKUP(A645,Import_SuiviGlobal_MigAppliSate!A:I,4,FALSE)</f>
        <v>Coop UPSO</v>
      </c>
      <c r="E645">
        <f ca="1">VLOOKUP(A645,Import_SuiviGlobal_MigAppliSate!A:I,5,FALSE)</f>
        <v>12220</v>
      </c>
      <c r="F645" t="str">
        <f ca="1">VLOOKUP(A645,Import_SuiviGlobal_MigAppliSate!A:I,6,FALSE)</f>
        <v>LE FARGAL HAUT</v>
      </c>
      <c r="G645" t="str">
        <f ca="1">VLOOKUP(A645,Import_SuiviGlobal_MigAppliSate!A:I,7,FALSE)</f>
        <v>05.65.63.71.86</v>
      </c>
      <c r="H645" t="str">
        <f ca="1">VLOOKUP(A645,Import_SuiviGlobal_MigAppliSate!A:I,8,FALSE)</f>
        <v>DUQUENNE Pascal</v>
      </c>
      <c r="I645" t="str">
        <f ca="1">VLOOKUP(A645,Import_SuiviGlobal_MigAppliSate!A:I,9,FALSE)</f>
        <v>pascal.duquenne@systeme-u.fr</v>
      </c>
      <c r="J645" s="24" t="str">
        <f ca="1">VLOOKUP(A645,Import_SuiviGlobal_MigAppliSate!A:K,10,FALSE)</f>
        <v/>
      </c>
      <c r="K645" t="str">
        <f ca="1">VLOOKUP(A645,Import_SuiviGlobal_MigAppliSate!A:K,11,FALSE)</f>
        <v/>
      </c>
      <c r="O645" s="1" t="s">
        <v>22</v>
      </c>
    </row>
    <row r="646" spans="1:15" ht="12.75" hidden="1" x14ac:dyDescent="0.2">
      <c r="A646">
        <v>90612</v>
      </c>
      <c r="B646" t="str">
        <f ca="1">VLOOKUP(A646,Import_SuiviGlobal_MigAppliSate!A:I,2,FALSE)</f>
        <v>MONTBRUN LES BAINS</v>
      </c>
      <c r="C646" t="str">
        <f ca="1">VLOOKUP(A646,Import_SuiviGlobal_MigAppliSate!A:I,3,FALSE)</f>
        <v>U Express</v>
      </c>
      <c r="D646" s="1" t="str">
        <f ca="1">VLOOKUP(A646,Import_SuiviGlobal_MigAppliSate!A:I,4,FALSE)</f>
        <v>Coop MISTRAL</v>
      </c>
      <c r="E646">
        <f ca="1">VLOOKUP(A646,Import_SuiviGlobal_MigAppliSate!A:I,5,FALSE)</f>
        <v>26570</v>
      </c>
      <c r="F646" t="str">
        <f ca="1">VLOOKUP(A646,Import_SuiviGlobal_MigAppliSate!A:I,6,FALSE)</f>
        <v>QUARTIER LA CONDAMINE</v>
      </c>
      <c r="G646" t="str">
        <f ca="1">VLOOKUP(A646,Import_SuiviGlobal_MigAppliSate!A:I,7,FALSE)</f>
        <v>04.75.28.83.62</v>
      </c>
      <c r="H646" t="str">
        <f ca="1">VLOOKUP(A646,Import_SuiviGlobal_MigAppliSate!A:I,8,FALSE)</f>
        <v>DIDIER Khatima</v>
      </c>
      <c r="I646" t="str">
        <f ca="1">VLOOKUP(A646,Import_SuiviGlobal_MigAppliSate!A:I,9,FALSE)</f>
        <v/>
      </c>
      <c r="J646" s="24" t="str">
        <f ca="1">VLOOKUP(A646,Import_SuiviGlobal_MigAppliSate!A:K,10,FALSE)</f>
        <v/>
      </c>
      <c r="K646" t="str">
        <f ca="1">VLOOKUP(A646,Import_SuiviGlobal_MigAppliSate!A:K,11,FALSE)</f>
        <v>delphine.damian@lemistral.fr,helene.mina@lemistral.fr</v>
      </c>
      <c r="O646" s="1" t="s">
        <v>22</v>
      </c>
    </row>
    <row r="647" spans="1:15" ht="12.75" hidden="1" x14ac:dyDescent="0.2">
      <c r="A647">
        <v>90466</v>
      </c>
      <c r="B647" t="str">
        <f ca="1">VLOOKUP(A647,Import_SuiviGlobal_MigAppliSate!A:I,2,FALSE)</f>
        <v>MONTE CARLO</v>
      </c>
      <c r="C647" t="str">
        <f ca="1">VLOOKUP(A647,Import_SuiviGlobal_MigAppliSate!A:I,3,FALSE)</f>
        <v>Marché U</v>
      </c>
      <c r="D647" s="1" t="str">
        <f ca="1">VLOOKUP(A647,Import_SuiviGlobal_MigAppliSate!A:I,4,FALSE)</f>
        <v>Coop U Enseigne Sud</v>
      </c>
      <c r="E647">
        <f ca="1">VLOOKUP(A647,Import_SuiviGlobal_MigAppliSate!A:I,5,FALSE)</f>
        <v>98000</v>
      </c>
      <c r="F647" t="str">
        <f ca="1">VLOOKUP(A647,Import_SuiviGlobal_MigAppliSate!A:I,6,FALSE)</f>
        <v>30 BD PRINCESSE CHARLOTTE</v>
      </c>
      <c r="G647" t="str">
        <f ca="1">VLOOKUP(A647,Import_SuiviGlobal_MigAppliSate!A:I,7,FALSE)</f>
        <v>00 377 93 50 68 60</v>
      </c>
      <c r="H647" t="str">
        <f ca="1">VLOOKUP(A647,Import_SuiviGlobal_MigAppliSate!A:I,8,FALSE)</f>
        <v>LAHELLEC Yann</v>
      </c>
      <c r="I647" t="str">
        <f ca="1">VLOOKUP(A647,Import_SuiviGlobal_MigAppliSate!A:I,9,FALSE)</f>
        <v>yann.lahellec@systeme-u.fr</v>
      </c>
      <c r="J647" s="24" t="str">
        <f ca="1">VLOOKUP(A647,Import_SuiviGlobal_MigAppliSate!A:K,10,FALSE)</f>
        <v>M DAVERA (directeur)</v>
      </c>
      <c r="K647" t="str">
        <f ca="1">VLOOKUP(A647,Import_SuiviGlobal_MigAppliSate!A:K,11,FALSE)</f>
        <v>marcheu.montecarlo.directeur@systeme-u.fr, marcheu.montecarlo@systeme-u.fr</v>
      </c>
      <c r="O647" s="1" t="s">
        <v>22</v>
      </c>
    </row>
    <row r="648" spans="1:15" ht="12.75" hidden="1" x14ac:dyDescent="0.2">
      <c r="A648">
        <v>32077</v>
      </c>
      <c r="B648" t="str">
        <f ca="1">VLOOKUP(A648,Import_SuiviGlobal_MigAppliSate!A:I,2,FALSE)</f>
        <v>MONTENDRE</v>
      </c>
      <c r="C648" t="str">
        <f ca="1">VLOOKUP(A648,Import_SuiviGlobal_MigAppliSate!A:I,3,FALSE)</f>
        <v>U Express</v>
      </c>
      <c r="D648" s="1" t="str">
        <f ca="1">VLOOKUP(A648,Import_SuiviGlobal_MigAppliSate!A:I,4,FALSE)</f>
        <v>Coop Atlantique</v>
      </c>
      <c r="E648">
        <f ca="1">VLOOKUP(A648,Import_SuiviGlobal_MigAppliSate!A:I,5,FALSE)</f>
        <v>17130</v>
      </c>
      <c r="F648" t="str">
        <f ca="1">VLOOKUP(A648,Import_SuiviGlobal_MigAppliSate!A:I,6,FALSE)</f>
        <v>AVENUE DE LA RÉPUBLIQUE</v>
      </c>
      <c r="G648" t="str">
        <f ca="1">VLOOKUP(A648,Import_SuiviGlobal_MigAppliSate!A:I,7,FALSE)</f>
        <v>05.46.70.39.50</v>
      </c>
      <c r="H648" t="str">
        <f ca="1">VLOOKUP(A648,Import_SuiviGlobal_MigAppliSate!A:I,8,FALSE)</f>
        <v>FLAMBARD Hervé</v>
      </c>
      <c r="I648" t="str">
        <f ca="1">VLOOKUP(A648,Import_SuiviGlobal_MigAppliSate!A:I,9,FALSE)</f>
        <v>bertrand.defontaine_coop_su_uex@systeme-u.fr</v>
      </c>
      <c r="J648" s="24" t="str">
        <f ca="1">VLOOKUP(A648,Import_SuiviGlobal_MigAppliSate!A:K,10,FALSE)</f>
        <v>David GUIGNARD</v>
      </c>
      <c r="K648" t="str">
        <f ca="1">VLOOKUP(A648,Import_SuiviGlobal_MigAppliSate!A:K,11,FALSE)</f>
        <v>superu.montendre.direction@systeme-u.fr,nbrigant@coop-atlantique.fr,sjaud@coop-atlantique.fr</v>
      </c>
      <c r="O648" s="1" t="s">
        <v>22</v>
      </c>
    </row>
    <row r="649" spans="1:15" ht="12.75" hidden="1" x14ac:dyDescent="0.2">
      <c r="A649">
        <v>90577</v>
      </c>
      <c r="B649" t="str">
        <f ca="1">VLOOKUP(A649,Import_SuiviGlobal_MigAppliSate!A:I,2,FALSE)</f>
        <v>MONTEUX</v>
      </c>
      <c r="C649" t="str">
        <f ca="1">VLOOKUP(A649,Import_SuiviGlobal_MigAppliSate!A:I,3,FALSE)</f>
        <v>Super U</v>
      </c>
      <c r="D649" s="1" t="str">
        <f ca="1">VLOOKUP(A649,Import_SuiviGlobal_MigAppliSate!A:I,4,FALSE)</f>
        <v>Coop U Enseigne Sud</v>
      </c>
      <c r="E649">
        <f ca="1">VLOOKUP(A649,Import_SuiviGlobal_MigAppliSate!A:I,5,FALSE)</f>
        <v>84170</v>
      </c>
      <c r="F649" t="str">
        <f ca="1">VLOOKUP(A649,Import_SuiviGlobal_MigAppliSate!A:I,6,FALSE)</f>
        <v>PLACE DU MARCHE</v>
      </c>
      <c r="G649" t="str">
        <f ca="1">VLOOKUP(A649,Import_SuiviGlobal_MigAppliSate!A:I,7,FALSE)</f>
        <v>04.90.66.20.64</v>
      </c>
      <c r="H649" t="str">
        <f ca="1">VLOOKUP(A649,Import_SuiviGlobal_MigAppliSate!A:I,8,FALSE)</f>
        <v>RUEL Pierre et Frederic</v>
      </c>
      <c r="I649" t="str">
        <f ca="1">VLOOKUP(A649,Import_SuiviGlobal_MigAppliSate!A:I,9,FALSE)</f>
        <v>pierre.ruel@systeme-u.fr</v>
      </c>
      <c r="J649" s="24" t="str">
        <f ca="1">VLOOKUP(A649,Import_SuiviGlobal_MigAppliSate!A:K,10,FALSE)</f>
        <v>MOHLI Sonia</v>
      </c>
      <c r="K649" t="str">
        <f ca="1">VLOOKUP(A649,Import_SuiviGlobal_MigAppliSate!A:K,11,FALSE)</f>
        <v>superu.monteux@systeme-u.fr</v>
      </c>
      <c r="O649" s="1" t="s">
        <v>22</v>
      </c>
    </row>
    <row r="650" spans="1:15" ht="12.75" hidden="1" x14ac:dyDescent="0.2">
      <c r="A650">
        <v>36505</v>
      </c>
      <c r="B650" t="str">
        <f ca="1">VLOOKUP(A650,Import_SuiviGlobal_MigAppliSate!A:I,2,FALSE)</f>
        <v>MONTFORT-LE GESNOIS</v>
      </c>
      <c r="C650" t="str">
        <f ca="1">VLOOKUP(A650,Import_SuiviGlobal_MigAppliSate!A:I,3,FALSE)</f>
        <v>Super U</v>
      </c>
      <c r="D650" s="1" t="str">
        <f ca="1">VLOOKUP(A650,Import_SuiviGlobal_MigAppliSate!A:I,4,FALSE)</f>
        <v>Coop U Enseigne Ouest</v>
      </c>
      <c r="E650">
        <f ca="1">VLOOKUP(A650,Import_SuiviGlobal_MigAppliSate!A:I,5,FALSE)</f>
        <v>72450</v>
      </c>
      <c r="F650" t="str">
        <f ca="1">VLOOKUP(A650,Import_SuiviGlobal_MigAppliSate!A:I,6,FALSE)</f>
        <v>7, RUE DES VIOLETTES</v>
      </c>
      <c r="G650" t="str">
        <f ca="1">VLOOKUP(A650,Import_SuiviGlobal_MigAppliSate!A:I,7,FALSE)</f>
        <v>02.43.54.02.00</v>
      </c>
      <c r="H650" t="str">
        <f ca="1">VLOOKUP(A650,Import_SuiviGlobal_MigAppliSate!A:I,8,FALSE)</f>
        <v>BOURGETEAU Bathylle</v>
      </c>
      <c r="I650" t="str">
        <f ca="1">VLOOKUP(A650,Import_SuiviGlobal_MigAppliSate!A:I,9,FALSE)</f>
        <v>bathylle.bourgeteau@systeme-u.fr</v>
      </c>
      <c r="J650" s="24" t="str">
        <f ca="1">VLOOKUP(A650,Import_SuiviGlobal_MigAppliSate!A:K,10,FALSE)</f>
        <v/>
      </c>
      <c r="K650" t="str">
        <f ca="1">VLOOKUP(A650,Import_SuiviGlobal_MigAppliSate!A:K,11,FALSE)</f>
        <v/>
      </c>
      <c r="O650" s="1" t="s">
        <v>22</v>
      </c>
    </row>
    <row r="651" spans="1:15" ht="12.75" hidden="1" x14ac:dyDescent="0.2">
      <c r="A651">
        <v>23468</v>
      </c>
      <c r="B651" t="str">
        <f ca="1">VLOOKUP(A651,Import_SuiviGlobal_MigAppliSate!A:I,2,FALSE)</f>
        <v>MONTGERON</v>
      </c>
      <c r="C651" t="str">
        <f ca="1">VLOOKUP(A651,Import_SuiviGlobal_MigAppliSate!A:I,3,FALSE)</f>
        <v>Super U</v>
      </c>
      <c r="D651" s="1" t="str">
        <f ca="1">VLOOKUP(A651,Import_SuiviGlobal_MigAppliSate!A:I,4,FALSE)</f>
        <v>Coop U Enseigne NordOuest</v>
      </c>
      <c r="E651">
        <f ca="1">VLOOKUP(A651,Import_SuiviGlobal_MigAppliSate!A:I,5,FALSE)</f>
        <v>91230</v>
      </c>
      <c r="F651" t="str">
        <f ca="1">VLOOKUP(A651,Import_SuiviGlobal_MigAppliSate!A:I,6,FALSE)</f>
        <v>110 AVENUE DE LA RÉPUBLIQUE</v>
      </c>
      <c r="G651" t="str">
        <f ca="1">VLOOKUP(A651,Import_SuiviGlobal_MigAppliSate!A:I,7,FALSE)</f>
        <v>01.69.03.50.61</v>
      </c>
      <c r="H651" t="str">
        <f ca="1">VLOOKUP(A651,Import_SuiviGlobal_MigAppliSate!A:I,8,FALSE)</f>
        <v>BRESSON Antoine</v>
      </c>
      <c r="I651" t="str">
        <f ca="1">VLOOKUP(A651,Import_SuiviGlobal_MigAppliSate!A:I,9,FALSE)</f>
        <v>antoine.bresson@systeme-u.fr</v>
      </c>
      <c r="J651" s="24" t="str">
        <f ca="1">VLOOKUP(A651,Import_SuiviGlobal_MigAppliSate!A:K,10,FALSE)</f>
        <v>TILLET Philippe</v>
      </c>
      <c r="K651" t="str">
        <f ca="1">VLOOKUP(A651,Import_SuiviGlobal_MigAppliSate!A:K,11,FALSE)</f>
        <v>superu.montgeron.direction@systeme-u.fr</v>
      </c>
      <c r="O651" s="1" t="s">
        <v>22</v>
      </c>
    </row>
    <row r="652" spans="1:15" ht="12.75" hidden="1" x14ac:dyDescent="0.2">
      <c r="A652">
        <v>65021</v>
      </c>
      <c r="B652" t="str">
        <f ca="1">VLOOKUP(A652,Import_SuiviGlobal_MigAppliSate!A:I,2,FALSE)</f>
        <v>MONTIGNY LES METZ</v>
      </c>
      <c r="C652" t="str">
        <f ca="1">VLOOKUP(A652,Import_SuiviGlobal_MigAppliSate!A:I,3,FALSE)</f>
        <v>Super U</v>
      </c>
      <c r="D652" s="1" t="str">
        <f ca="1">VLOOKUP(A652,Import_SuiviGlobal_MigAppliSate!A:I,4,FALSE)</f>
        <v>Coop U Enseigne Est</v>
      </c>
      <c r="E652">
        <f ca="1">VLOOKUP(A652,Import_SuiviGlobal_MigAppliSate!A:I,5,FALSE)</f>
        <v>57950</v>
      </c>
      <c r="F652" t="str">
        <f ca="1">VLOOKUP(A652,Import_SuiviGlobal_MigAppliSate!A:I,6,FALSE)</f>
        <v>28 RUE DE NOMENY</v>
      </c>
      <c r="G652" t="str">
        <f ca="1">VLOOKUP(A652,Import_SuiviGlobal_MigAppliSate!A:I,7,FALSE)</f>
        <v>03.87.63.45.93</v>
      </c>
      <c r="H652" t="str">
        <f ca="1">VLOOKUP(A652,Import_SuiviGlobal_MigAppliSate!A:I,8,FALSE)</f>
        <v>LORIDON Pierre-Olivier</v>
      </c>
      <c r="I652" t="str">
        <f ca="1">VLOOKUP(A652,Import_SuiviGlobal_MigAppliSate!A:I,9,FALSE)</f>
        <v>pierre-olivier.loridon@systeme-u.fr</v>
      </c>
      <c r="J652" s="24" t="str">
        <f ca="1">VLOOKUP(A652,Import_SuiviGlobal_MigAppliSate!A:K,10,FALSE)</f>
        <v>Mme LORIDON (UPLV + Pilote)</v>
      </c>
      <c r="K652" t="str">
        <f ca="1">VLOOKUP(A652,Import_SuiviGlobal_MigAppliSate!A:K,11,FALSE)</f>
        <v/>
      </c>
      <c r="O652" s="1" t="s">
        <v>22</v>
      </c>
    </row>
    <row r="653" spans="1:15" ht="12.75" hidden="1" x14ac:dyDescent="0.2">
      <c r="A653">
        <v>33539</v>
      </c>
      <c r="B653" t="str">
        <f ca="1">VLOOKUP(A653,Import_SuiviGlobal_MigAppliSate!A:I,2,FALSE)</f>
        <v>#N/A</v>
      </c>
      <c r="C653" t="str">
        <f ca="1">VLOOKUP(A653,Import_SuiviGlobal_MigAppliSate!A:I,3,FALSE)</f>
        <v>#N/A</v>
      </c>
      <c r="D653" s="1" t="str">
        <f ca="1">VLOOKUP(A653,Import_SuiviGlobal_MigAppliSate!A:I,4,FALSE)</f>
        <v>#N/A</v>
      </c>
      <c r="E653" t="str">
        <f ca="1">VLOOKUP(A653,Import_SuiviGlobal_MigAppliSate!A:I,5,FALSE)</f>
        <v/>
      </c>
      <c r="F653" t="str">
        <f ca="1">VLOOKUP(A653,Import_SuiviGlobal_MigAppliSate!A:I,6,FALSE)</f>
        <v>#N/A</v>
      </c>
      <c r="G653" t="str">
        <f ca="1">VLOOKUP(A653,Import_SuiviGlobal_MigAppliSate!A:I,7,FALSE)</f>
        <v>#N/A</v>
      </c>
      <c r="H653" t="str">
        <f ca="1">VLOOKUP(A653,Import_SuiviGlobal_MigAppliSate!A:I,8,FALSE)</f>
        <v>#N/A</v>
      </c>
      <c r="I653" t="str">
        <f ca="1">VLOOKUP(A653,Import_SuiviGlobal_MigAppliSate!A:I,9,FALSE)</f>
        <v>#N/A</v>
      </c>
      <c r="J653" s="24" t="str">
        <f ca="1">VLOOKUP(A653,Import_SuiviGlobal_MigAppliSate!A:K,10,FALSE)</f>
        <v/>
      </c>
      <c r="K653" t="str">
        <f ca="1">VLOOKUP(A653,Import_SuiviGlobal_MigAppliSate!A:K,11,FALSE)</f>
        <v>martine.crevecoeur@systeme-u.fr</v>
      </c>
      <c r="O653" s="1" t="s">
        <v>22</v>
      </c>
    </row>
    <row r="654" spans="1:15" ht="12.75" hidden="1" x14ac:dyDescent="0.2">
      <c r="A654">
        <v>39601</v>
      </c>
      <c r="B654" t="str">
        <f ca="1">VLOOKUP(A654,Import_SuiviGlobal_MigAppliSate!A:I,2,FALSE)</f>
        <v>MONTLOUIS</v>
      </c>
      <c r="C654" t="str">
        <f ca="1">VLOOKUP(A654,Import_SuiviGlobal_MigAppliSate!A:I,3,FALSE)</f>
        <v>Super U</v>
      </c>
      <c r="D654" s="1" t="str">
        <f ca="1">VLOOKUP(A654,Import_SuiviGlobal_MigAppliSate!A:I,4,FALSE)</f>
        <v>Coop U Enseigne Ouest</v>
      </c>
      <c r="E654">
        <f ca="1">VLOOKUP(A654,Import_SuiviGlobal_MigAppliSate!A:I,5,FALSE)</f>
        <v>37270</v>
      </c>
      <c r="F654" t="str">
        <f ca="1">VLOOKUP(A654,Import_SuiviGlobal_MigAppliSate!A:I,6,FALSE)</f>
        <v>AVENUE VICTOR LALOUX</v>
      </c>
      <c r="G654" t="str">
        <f ca="1">VLOOKUP(A654,Import_SuiviGlobal_MigAppliSate!A:I,7,FALSE)</f>
        <v>02.47.45.78.78</v>
      </c>
      <c r="H654" t="str">
        <f ca="1">VLOOKUP(A654,Import_SuiviGlobal_MigAppliSate!A:I,8,FALSE)</f>
        <v>BARREAU RPT C2A INVESTISSEMENT Patrick</v>
      </c>
      <c r="I654" t="str">
        <f ca="1">VLOOKUP(A654,Import_SuiviGlobal_MigAppliSate!A:I,9,FALSE)</f>
        <v>patrick.barreau@systeme-u.fr</v>
      </c>
      <c r="J654" s="24" t="str">
        <f ca="1">VLOOKUP(A654,Import_SuiviGlobal_MigAppliSate!A:K,10,FALSE)</f>
        <v>M Gervais (directeur)
Mme Cognard</v>
      </c>
      <c r="K654" t="str">
        <f ca="1">VLOOKUP(A654,Import_SuiviGlobal_MigAppliSate!A:K,11,FALSE)</f>
        <v>superu.montlouis.direction@systeme-u.fr</v>
      </c>
      <c r="O654" s="1" t="s">
        <v>22</v>
      </c>
    </row>
    <row r="655" spans="1:15" ht="12.75" hidden="1" x14ac:dyDescent="0.2">
      <c r="A655">
        <v>66139</v>
      </c>
      <c r="B655" t="str">
        <f ca="1">VLOOKUP(A655,Import_SuiviGlobal_MigAppliSate!A:I,2,FALSE)</f>
        <v>MONTLUEL</v>
      </c>
      <c r="C655" t="str">
        <f ca="1">VLOOKUP(A655,Import_SuiviGlobal_MigAppliSate!A:I,3,FALSE)</f>
        <v>Super U</v>
      </c>
      <c r="D655" s="1" t="str">
        <f ca="1">VLOOKUP(A655,Import_SuiviGlobal_MigAppliSate!A:I,4,FALSE)</f>
        <v>Coop U Enseigne Est</v>
      </c>
      <c r="E655">
        <f ca="1">VLOOKUP(A655,Import_SuiviGlobal_MigAppliSate!A:I,5,FALSE)</f>
        <v>1120</v>
      </c>
      <c r="F655" t="str">
        <f ca="1">VLOOKUP(A655,Import_SuiviGlobal_MigAppliSate!A:I,6,FALSE)</f>
        <v>16 cours de la Portelle</v>
      </c>
      <c r="G655" t="str">
        <f ca="1">VLOOKUP(A655,Import_SuiviGlobal_MigAppliSate!A:I,7,FALSE)</f>
        <v>04.78.06.26.78</v>
      </c>
      <c r="H655" t="str">
        <f ca="1">VLOOKUP(A655,Import_SuiviGlobal_MigAppliSate!A:I,8,FALSE)</f>
        <v>DAVID Didier</v>
      </c>
      <c r="I655" t="str">
        <f ca="1">VLOOKUP(A655,Import_SuiviGlobal_MigAppliSate!A:I,9,FALSE)</f>
        <v>didier.david@systeme-u.fr</v>
      </c>
      <c r="J655" s="24" t="str">
        <f ca="1">VLOOKUP(A655,Import_SuiviGlobal_MigAppliSate!A:K,10,FALSE)</f>
        <v>FROMANG ASTRID</v>
      </c>
      <c r="K655" t="str">
        <f ca="1">VLOOKUP(A655,Import_SuiviGlobal_MigAppliSate!A:K,11,FALSE)</f>
        <v>superu.montluel.direction@systeme-u.fr</v>
      </c>
      <c r="O655" s="1" t="s">
        <v>22</v>
      </c>
    </row>
    <row r="656" spans="1:15" ht="12.75" hidden="1" x14ac:dyDescent="0.2">
      <c r="A656">
        <v>65452</v>
      </c>
      <c r="B656" t="str">
        <f ca="1">VLOOKUP(A656,Import_SuiviGlobal_MigAppliSate!A:I,2,FALSE)</f>
        <v>MONTMEDY</v>
      </c>
      <c r="C656" t="str">
        <f ca="1">VLOOKUP(A656,Import_SuiviGlobal_MigAppliSate!A:I,3,FALSE)</f>
        <v>Super U</v>
      </c>
      <c r="D656" s="1" t="str">
        <f ca="1">VLOOKUP(A656,Import_SuiviGlobal_MigAppliSate!A:I,4,FALSE)</f>
        <v>Coop U Enseigne Est</v>
      </c>
      <c r="E656">
        <f ca="1">VLOOKUP(A656,Import_SuiviGlobal_MigAppliSate!A:I,5,FALSE)</f>
        <v>55600</v>
      </c>
      <c r="F656" t="str">
        <f ca="1">VLOOKUP(A656,Import_SuiviGlobal_MigAppliSate!A:I,6,FALSE)</f>
        <v>11 Avenue de Verdun</v>
      </c>
      <c r="G656" t="str">
        <f ca="1">VLOOKUP(A656,Import_SuiviGlobal_MigAppliSate!A:I,7,FALSE)</f>
        <v>03.29.80.02.02</v>
      </c>
      <c r="H656" t="str">
        <f ca="1">VLOOKUP(A656,Import_SuiviGlobal_MigAppliSate!A:I,8,FALSE)</f>
        <v>BENAYAD Khalil</v>
      </c>
      <c r="I656" t="str">
        <f ca="1">VLOOKUP(A656,Import_SuiviGlobal_MigAppliSate!A:I,9,FALSE)</f>
        <v>khalil.benayad@systeme-u.fr</v>
      </c>
      <c r="J656" s="24" t="str">
        <f ca="1">VLOOKUP(A656,Import_SuiviGlobal_MigAppliSate!A:K,10,FALSE)</f>
        <v/>
      </c>
      <c r="K656" t="str">
        <f ca="1">VLOOKUP(A656,Import_SuiviGlobal_MigAppliSate!A:K,11,FALSE)</f>
        <v/>
      </c>
      <c r="O656" s="1" t="s">
        <v>22</v>
      </c>
    </row>
    <row r="657" spans="1:15" ht="12.75" x14ac:dyDescent="0.2">
      <c r="A657">
        <v>66564</v>
      </c>
      <c r="B657" t="str">
        <f ca="1">VLOOKUP(A657,Import_SuiviGlobal_MigAppliSate!A:I,2,FALSE)</f>
        <v>MONTMELIAN</v>
      </c>
      <c r="C657" t="str">
        <f ca="1">VLOOKUP(A657,Import_SuiviGlobal_MigAppliSate!A:I,3,FALSE)</f>
        <v>Super U</v>
      </c>
      <c r="D657" s="1" t="str">
        <f ca="1">VLOOKUP(A657,Import_SuiviGlobal_MigAppliSate!A:I,4,FALSE)</f>
        <v>Coop U Enseigne Est</v>
      </c>
      <c r="E657">
        <f ca="1">VLOOKUP(A657,Import_SuiviGlobal_MigAppliSate!A:I,5,FALSE)</f>
        <v>73800</v>
      </c>
      <c r="F657" t="str">
        <f ca="1">VLOOKUP(A657,Import_SuiviGlobal_MigAppliSate!A:I,6,FALSE)</f>
        <v>Le Boisset Francin</v>
      </c>
      <c r="G657" t="str">
        <f ca="1">VLOOKUP(A657,Import_SuiviGlobal_MigAppliSate!A:I,7,FALSE)</f>
        <v>04.79.65.21.29</v>
      </c>
      <c r="H657" t="str">
        <f ca="1">VLOOKUP(A657,Import_SuiviGlobal_MigAppliSate!A:I,8,FALSE)</f>
        <v>ABRAHAM Laurent</v>
      </c>
      <c r="I657" t="str">
        <f ca="1">VLOOKUP(A657,Import_SuiviGlobal_MigAppliSate!A:I,9,FALSE)</f>
        <v>laurent.abraham@systeme-u.fr</v>
      </c>
      <c r="J657" s="24" t="str">
        <f ca="1">VLOOKUP(A657,Import_SuiviGlobal_MigAppliSate!A:K,10,FALSE)</f>
        <v xml:space="preserve">M. MARIE </v>
      </c>
      <c r="K657" t="str">
        <f ca="1">VLOOKUP(A657,Import_SuiviGlobal_MigAppliSate!A:K,11,FALSE)</f>
        <v>superu.montmelian.direction@systeme-u.fr</v>
      </c>
      <c r="L657" t="s">
        <v>17</v>
      </c>
      <c r="M657" t="s">
        <v>0</v>
      </c>
      <c r="O657" s="1" t="s">
        <v>22</v>
      </c>
    </row>
    <row r="658" spans="1:15" ht="12.75" hidden="1" x14ac:dyDescent="0.2">
      <c r="A658">
        <v>32078</v>
      </c>
      <c r="B658" t="str">
        <f ca="1">VLOOKUP(A658,Import_SuiviGlobal_MigAppliSate!A:I,2,FALSE)</f>
        <v>MONTMOREAU</v>
      </c>
      <c r="C658" t="str">
        <f ca="1">VLOOKUP(A658,Import_SuiviGlobal_MigAppliSate!A:I,3,FALSE)</f>
        <v>Super U</v>
      </c>
      <c r="D658" s="1" t="str">
        <f ca="1">VLOOKUP(A658,Import_SuiviGlobal_MigAppliSate!A:I,4,FALSE)</f>
        <v>Coop Atlantique</v>
      </c>
      <c r="E658">
        <f ca="1">VLOOKUP(A658,Import_SuiviGlobal_MigAppliSate!A:I,5,FALSE)</f>
        <v>16190</v>
      </c>
      <c r="F658" t="str">
        <f ca="1">VLOOKUP(A658,Import_SuiviGlobal_MigAppliSate!A:I,6,FALSE)</f>
        <v>58 AVENUE DE L'ANGOUMOIS</v>
      </c>
      <c r="G658" t="str">
        <f ca="1">VLOOKUP(A658,Import_SuiviGlobal_MigAppliSate!A:I,7,FALSE)</f>
        <v>05.45.60.25.08</v>
      </c>
      <c r="H658" t="str">
        <f ca="1">VLOOKUP(A658,Import_SuiviGlobal_MigAppliSate!A:I,8,FALSE)</f>
        <v>FLAMBARD Hervé</v>
      </c>
      <c r="I658" t="str">
        <f ca="1">VLOOKUP(A658,Import_SuiviGlobal_MigAppliSate!A:I,9,FALSE)</f>
        <v>bertrand.defontaine_coop_su_uex@systeme-u.fr</v>
      </c>
      <c r="J658" s="24" t="str">
        <f ca="1">VLOOKUP(A658,Import_SuiviGlobal_MigAppliSate!A:K,10,FALSE)</f>
        <v>Nathalie MARCILLAUD / Thierry BAGUENARD</v>
      </c>
      <c r="K658" t="str">
        <f ca="1">VLOOKUP(A658,Import_SuiviGlobal_MigAppliSate!A:K,11,FALSE)</f>
        <v>superu.montmoreau.direction@systeme-u.fr,nbrigant@coop-atlantique.fr,sjaud@coop-atlantique.fr,tbaguenard@coop-atlantique.fr</v>
      </c>
      <c r="L658" s="1" t="s">
        <v>17</v>
      </c>
      <c r="M658" t="s">
        <v>23</v>
      </c>
      <c r="O658" s="1" t="s">
        <v>22</v>
      </c>
    </row>
    <row r="659" spans="1:15" ht="12.75" hidden="1" x14ac:dyDescent="0.2">
      <c r="A659">
        <v>32079</v>
      </c>
      <c r="B659" t="str">
        <f ca="1">VLOOKUP(A659,Import_SuiviGlobal_MigAppliSate!A:I,2,FALSE)</f>
        <v>MONTMORILLON</v>
      </c>
      <c r="C659" t="str">
        <f ca="1">VLOOKUP(A659,Import_SuiviGlobal_MigAppliSate!A:I,3,FALSE)</f>
        <v>Super U</v>
      </c>
      <c r="D659" s="1" t="str">
        <f ca="1">VLOOKUP(A659,Import_SuiviGlobal_MigAppliSate!A:I,4,FALSE)</f>
        <v>Coop Atlantique</v>
      </c>
      <c r="E659">
        <f ca="1">VLOOKUP(A659,Import_SuiviGlobal_MigAppliSate!A:I,5,FALSE)</f>
        <v>86500</v>
      </c>
      <c r="F659" t="str">
        <f ca="1">VLOOKUP(A659,Import_SuiviGlobal_MigAppliSate!A:I,6,FALSE)</f>
        <v>106, AVENUE VICTOR HUGO</v>
      </c>
      <c r="G659" t="str">
        <f ca="1">VLOOKUP(A659,Import_SuiviGlobal_MigAppliSate!A:I,7,FALSE)</f>
        <v>05.49.91.11.74</v>
      </c>
      <c r="H659" t="str">
        <f ca="1">VLOOKUP(A659,Import_SuiviGlobal_MigAppliSate!A:I,8,FALSE)</f>
        <v>FLAMBARD Hervé</v>
      </c>
      <c r="I659" t="str">
        <f ca="1">VLOOKUP(A659,Import_SuiviGlobal_MigAppliSate!A:I,9,FALSE)</f>
        <v>bertrand.defontaine_coop_su_uex@systeme-u.fr</v>
      </c>
      <c r="J659" s="24" t="str">
        <f ca="1">VLOOKUP(A659,Import_SuiviGlobal_MigAppliSate!A:K,10,FALSE)</f>
        <v>Mr GAUTHIER</v>
      </c>
      <c r="K659" t="str">
        <f ca="1">VLOOKUP(A659,Import_SuiviGlobal_MigAppliSate!A:K,11,FALSE)</f>
        <v>superu.montmorillon.direction@systeme-u.fr,nbrigant@coop-atlantique.fr,sjaud@coop-atlantique.fr, jfgauthier@coop-atlantique.fr</v>
      </c>
      <c r="O659" s="1" t="s">
        <v>22</v>
      </c>
    </row>
    <row r="660" spans="1:15" ht="12.75" hidden="1" x14ac:dyDescent="0.2">
      <c r="A660">
        <v>63001</v>
      </c>
      <c r="B660" t="str">
        <f ca="1">VLOOKUP(A660,Import_SuiviGlobal_MigAppliSate!A:I,2,FALSE)</f>
        <v>MONTMOROT</v>
      </c>
      <c r="C660" t="str">
        <f ca="1">VLOOKUP(A660,Import_SuiviGlobal_MigAppliSate!A:I,3,FALSE)</f>
        <v>Hyper U</v>
      </c>
      <c r="D660" s="1" t="str">
        <f ca="1">VLOOKUP(A660,Import_SuiviGlobal_MigAppliSate!A:I,4,FALSE)</f>
        <v>Coop U Enseigne Est</v>
      </c>
      <c r="E660">
        <f ca="1">VLOOKUP(A660,Import_SuiviGlobal_MigAppliSate!A:I,5,FALSE)</f>
        <v>39570</v>
      </c>
      <c r="F660" t="str">
        <f ca="1">VLOOKUP(A660,Import_SuiviGlobal_MigAppliSate!A:I,6,FALSE)</f>
        <v>EN CHANTRANS</v>
      </c>
      <c r="G660" t="str">
        <f ca="1">VLOOKUP(A660,Import_SuiviGlobal_MigAppliSate!A:I,7,FALSE)</f>
        <v>03.84.24.77.70</v>
      </c>
      <c r="H660" t="str">
        <f ca="1">VLOOKUP(A660,Import_SuiviGlobal_MigAppliSate!A:I,8,FALSE)</f>
        <v>DELATTE RPT SAS MAJUNI Nicolas</v>
      </c>
      <c r="I660" t="str">
        <f ca="1">VLOOKUP(A660,Import_SuiviGlobal_MigAppliSate!A:I,9,FALSE)</f>
        <v>nicolas.delatte@systeme-u.fr</v>
      </c>
      <c r="J660" s="24" t="str">
        <f ca="1">VLOOKUP(A660,Import_SuiviGlobal_MigAppliSate!A:K,10,FALSE)</f>
        <v>PAGNOT Marylin</v>
      </c>
      <c r="K660" t="str">
        <f ca="1">VLOOKUP(A660,Import_SuiviGlobal_MigAppliSate!A:K,11,FALSE)</f>
        <v>hyperu.montmorot.direction@systeme-u.fr</v>
      </c>
      <c r="O660" s="1" t="s">
        <v>22</v>
      </c>
    </row>
    <row r="661" spans="1:15" ht="12.75" hidden="1" x14ac:dyDescent="0.2">
      <c r="A661">
        <v>32445</v>
      </c>
      <c r="B661" t="str">
        <f ca="1">VLOOKUP(A661,Import_SuiviGlobal_MigAppliSate!A:I,2,FALSE)</f>
        <v>MONTOIR-DE-BRETAGNE</v>
      </c>
      <c r="C661" t="str">
        <f ca="1">VLOOKUP(A661,Import_SuiviGlobal_MigAppliSate!A:I,3,FALSE)</f>
        <v>Super U</v>
      </c>
      <c r="D661" s="1" t="str">
        <f ca="1">VLOOKUP(A661,Import_SuiviGlobal_MigAppliSate!A:I,4,FALSE)</f>
        <v>Coop U Enseigne Ouest</v>
      </c>
      <c r="E661">
        <f ca="1">VLOOKUP(A661,Import_SuiviGlobal_MigAppliSate!A:I,5,FALSE)</f>
        <v>44550</v>
      </c>
      <c r="F661" t="str">
        <f ca="1">VLOOKUP(A661,Import_SuiviGlobal_MigAppliSate!A:I,6,FALSE)</f>
        <v>CENTRE COMMERCIAL DE LA BERNUAIS</v>
      </c>
      <c r="G661" t="str">
        <f ca="1">VLOOKUP(A661,Import_SuiviGlobal_MigAppliSate!A:I,7,FALSE)</f>
        <v>02.40.45.46.10</v>
      </c>
      <c r="H661" t="str">
        <f ca="1">VLOOKUP(A661,Import_SuiviGlobal_MigAppliSate!A:I,8,FALSE)</f>
        <v>LE BRIS Kévin</v>
      </c>
      <c r="I661" t="str">
        <f ca="1">VLOOKUP(A661,Import_SuiviGlobal_MigAppliSate!A:I,9,FALSE)</f>
        <v>kevin.lebris@systeme-u.fr</v>
      </c>
      <c r="J661" s="24" t="str">
        <f ca="1">VLOOKUP(A661,Import_SuiviGlobal_MigAppliSate!A:K,10,FALSE)</f>
        <v>HELIE Nathalie</v>
      </c>
      <c r="K661" t="str">
        <f ca="1">VLOOKUP(A661,Import_SuiviGlobal_MigAppliSate!A:K,11,FALSE)</f>
        <v>superu.montoirdebretagne@systeme-u.fr</v>
      </c>
      <c r="O661" s="1" t="s">
        <v>22</v>
      </c>
    </row>
    <row r="662" spans="1:15" ht="12.75" hidden="1" x14ac:dyDescent="0.2">
      <c r="A662">
        <v>32080</v>
      </c>
      <c r="B662" t="str">
        <f ca="1">VLOOKUP(A662,Import_SuiviGlobal_MigAppliSate!A:I,2,FALSE)</f>
        <v>MONTOIRE SUR LE LOIR</v>
      </c>
      <c r="C662" t="str">
        <f ca="1">VLOOKUP(A662,Import_SuiviGlobal_MigAppliSate!A:I,3,FALSE)</f>
        <v>U Express</v>
      </c>
      <c r="D662" s="1" t="str">
        <f ca="1">VLOOKUP(A662,Import_SuiviGlobal_MigAppliSate!A:I,4,FALSE)</f>
        <v>Coop U Enseigne Ouest</v>
      </c>
      <c r="E662">
        <f ca="1">VLOOKUP(A662,Import_SuiviGlobal_MigAppliSate!A:I,5,FALSE)</f>
        <v>41800</v>
      </c>
      <c r="F662" t="str">
        <f ca="1">VLOOKUP(A662,Import_SuiviGlobal_MigAppliSate!A:I,6,FALSE)</f>
        <v>14 BOULEVARD MERMOZ</v>
      </c>
      <c r="G662" t="str">
        <f ca="1">VLOOKUP(A662,Import_SuiviGlobal_MigAppliSate!A:I,7,FALSE)</f>
        <v>02.54.85.00.78</v>
      </c>
      <c r="H662" t="str">
        <f ca="1">VLOOKUP(A662,Import_SuiviGlobal_MigAppliSate!A:I,8,FALSE)</f>
        <v>DEGAND Jérôme</v>
      </c>
      <c r="I662" t="str">
        <f ca="1">VLOOKUP(A662,Import_SuiviGlobal_MigAppliSate!A:I,9,FALSE)</f>
        <v>jerome.degand@systeme-u.fr</v>
      </c>
      <c r="J662" s="24" t="str">
        <f ca="1">VLOOKUP(A662,Import_SuiviGlobal_MigAppliSate!A:K,10,FALSE)</f>
        <v>Gérard MARCOWSKY</v>
      </c>
      <c r="K662" t="str">
        <f ca="1">VLOOKUP(A662,Import_SuiviGlobal_MigAppliSate!A:K,11,FALSE)</f>
        <v>superu.montoire.direction@systeme-u.fr,nbrigant@coop-atlantique.fr,sjaud@coop-atlantique.fr</v>
      </c>
      <c r="O662" s="1" t="s">
        <v>22</v>
      </c>
    </row>
    <row r="663" spans="1:15" ht="12.75" x14ac:dyDescent="0.2">
      <c r="A663">
        <v>90568</v>
      </c>
      <c r="B663" t="str">
        <f ca="1">VLOOKUP(A663,Import_SuiviGlobal_MigAppliSate!A:I,2,FALSE)</f>
        <v>MONTPELLIER</v>
      </c>
      <c r="C663" t="str">
        <f ca="1">VLOOKUP(A663,Import_SuiviGlobal_MigAppliSate!A:I,3,FALSE)</f>
        <v>Super U</v>
      </c>
      <c r="D663" s="1" t="str">
        <f ca="1">VLOOKUP(A663,Import_SuiviGlobal_MigAppliSate!A:I,4,FALSE)</f>
        <v>Coop U Enseigne Sud</v>
      </c>
      <c r="E663">
        <f ca="1">VLOOKUP(A663,Import_SuiviGlobal_MigAppliSate!A:I,5,FALSE)</f>
        <v>34070</v>
      </c>
      <c r="F663" t="str">
        <f ca="1">VLOOKUP(A663,Import_SuiviGlobal_MigAppliSate!A:I,6,FALSE)</f>
        <v>203 RUE FERDINAND BARRE</v>
      </c>
      <c r="G663" t="str">
        <f ca="1">VLOOKUP(A663,Import_SuiviGlobal_MigAppliSate!A:I,7,FALSE)</f>
        <v>04.48.20.16.10</v>
      </c>
      <c r="H663" t="str">
        <f ca="1">VLOOKUP(A663,Import_SuiviGlobal_MigAppliSate!A:I,8,FALSE)</f>
        <v>GAUBERT Arnaud</v>
      </c>
      <c r="I663" t="str">
        <f ca="1">VLOOKUP(A663,Import_SuiviGlobal_MigAppliSate!A:I,9,FALSE)</f>
        <v>arnaud.gaubert@systeme-u.fr</v>
      </c>
      <c r="J663" s="24" t="str">
        <f ca="1">VLOOKUP(A663,Import_SuiviGlobal_MigAppliSate!A:K,10,FALSE)</f>
        <v>Mr Arnaud Gaubert</v>
      </c>
      <c r="K663" t="str">
        <f ca="1">VLOOKUP(A663,Import_SuiviGlobal_MigAppliSate!A:K,11,FALSE)</f>
        <v/>
      </c>
      <c r="L663" t="s">
        <v>17</v>
      </c>
      <c r="M663" t="s">
        <v>0</v>
      </c>
      <c r="O663" s="1" t="s">
        <v>22</v>
      </c>
    </row>
    <row r="664" spans="1:15" ht="12.75" x14ac:dyDescent="0.2">
      <c r="A664">
        <v>95163</v>
      </c>
      <c r="B664" t="str">
        <f ca="1">VLOOKUP(A664,Import_SuiviGlobal_MigAppliSate!A:I,2,FALSE)</f>
        <v>MONTRABE</v>
      </c>
      <c r="C664" t="str">
        <f ca="1">VLOOKUP(A664,Import_SuiviGlobal_MigAppliSate!A:I,3,FALSE)</f>
        <v>Super U</v>
      </c>
      <c r="D664" s="1" t="str">
        <f ca="1">VLOOKUP(A664,Import_SuiviGlobal_MigAppliSate!A:I,4,FALSE)</f>
        <v>Coop U Enseigne Sud</v>
      </c>
      <c r="E664">
        <f ca="1">VLOOKUP(A664,Import_SuiviGlobal_MigAppliSate!A:I,5,FALSE)</f>
        <v>31850</v>
      </c>
      <c r="F664" t="str">
        <f ca="1">VLOOKUP(A664,Import_SuiviGlobal_MigAppliSate!A:I,6,FALSE)</f>
        <v>Zone de MARIGNAC</v>
      </c>
      <c r="G664" t="str">
        <f ca="1">VLOOKUP(A664,Import_SuiviGlobal_MigAppliSate!A:I,7,FALSE)</f>
        <v>05.62.10.70.30</v>
      </c>
      <c r="H664" t="str">
        <f ca="1">VLOOKUP(A664,Import_SuiviGlobal_MigAppliSate!A:I,8,FALSE)</f>
        <v>ROBERT-VERD Sebastien</v>
      </c>
      <c r="I664" t="str">
        <f ca="1">VLOOKUP(A664,Import_SuiviGlobal_MigAppliSate!A:I,9,FALSE)</f>
        <v>sebastien.robert-verd@systeme-u.fr</v>
      </c>
      <c r="J664" s="24" t="str">
        <f ca="1">VLOOKUP(A664,Import_SuiviGlobal_MigAppliSate!A:K,10,FALSE)</f>
        <v>THIEBAULT SITTER</v>
      </c>
      <c r="K664" t="str">
        <f ca="1">VLOOKUP(A664,Import_SuiviGlobal_MigAppliSate!A:K,11,FALSE)</f>
        <v>superu.montrabe.fl@systeme-u.fr</v>
      </c>
      <c r="L664" t="s">
        <v>17</v>
      </c>
      <c r="M664" t="s">
        <v>0</v>
      </c>
      <c r="O664" s="1" t="s">
        <v>22</v>
      </c>
    </row>
    <row r="665" spans="1:15" ht="12.75" hidden="1" x14ac:dyDescent="0.2">
      <c r="A665">
        <v>22836</v>
      </c>
      <c r="B665" t="str">
        <f ca="1">VLOOKUP(A665,Import_SuiviGlobal_MigAppliSate!A:I,2,FALSE)</f>
        <v>MONTREUIL NVLE FRANCE</v>
      </c>
      <c r="C665" t="str">
        <f ca="1">VLOOKUP(A665,Import_SuiviGlobal_MigAppliSate!A:I,3,FALSE)</f>
        <v>Super U</v>
      </c>
      <c r="D665" s="1" t="str">
        <f ca="1">VLOOKUP(A665,Import_SuiviGlobal_MigAppliSate!A:I,4,FALSE)</f>
        <v>Coop U Enseigne NordOuest</v>
      </c>
      <c r="E665">
        <f ca="1">VLOOKUP(A665,Import_SuiviGlobal_MigAppliSate!A:I,5,FALSE)</f>
        <v>93100</v>
      </c>
      <c r="F665" t="str">
        <f ca="1">VLOOKUP(A665,Import_SuiviGlobal_MigAppliSate!A:I,6,FALSE)</f>
        <v>170-174 RUE DE LA NOUVELLE FRANCE</v>
      </c>
      <c r="G665" t="str">
        <f ca="1">VLOOKUP(A665,Import_SuiviGlobal_MigAppliSate!A:I,7,FALSE)</f>
        <v>01.48.51.72.06</v>
      </c>
      <c r="H665" t="str">
        <f ca="1">VLOOKUP(A665,Import_SuiviGlobal_MigAppliSate!A:I,8,FALSE)</f>
        <v>BENZAKINE Jacques</v>
      </c>
      <c r="I665" t="str">
        <f ca="1">VLOOKUP(A665,Import_SuiviGlobal_MigAppliSate!A:I,9,FALSE)</f>
        <v>jacques.benzakine@systeme-u.fr</v>
      </c>
      <c r="J665" s="24" t="str">
        <f ca="1">VLOOKUP(A665,Import_SuiviGlobal_MigAppliSate!A:K,10,FALSE)</f>
        <v/>
      </c>
      <c r="K665" t="str">
        <f ca="1">VLOOKUP(A665,Import_SuiviGlobal_MigAppliSate!A:K,11,FALSE)</f>
        <v/>
      </c>
      <c r="O665" s="1" t="s">
        <v>22</v>
      </c>
    </row>
    <row r="666" spans="1:15" ht="12.75" hidden="1" x14ac:dyDescent="0.2">
      <c r="A666">
        <v>23352</v>
      </c>
      <c r="B666" t="str">
        <f ca="1">VLOOKUP(A666,Import_SuiviGlobal_MigAppliSate!A:I,2,FALSE)</f>
        <v>MONTREUIL ROBESPIERRE</v>
      </c>
      <c r="C666" t="str">
        <f ca="1">VLOOKUP(A666,Import_SuiviGlobal_MigAppliSate!A:I,3,FALSE)</f>
        <v>U Express</v>
      </c>
      <c r="D666" s="1" t="str">
        <f ca="1">VLOOKUP(A666,Import_SuiviGlobal_MigAppliSate!A:I,4,FALSE)</f>
        <v>Coop U Enseigne NordOuest</v>
      </c>
      <c r="E666">
        <f ca="1">VLOOKUP(A666,Import_SuiviGlobal_MigAppliSate!A:I,5,FALSE)</f>
        <v>93100</v>
      </c>
      <c r="F666" t="str">
        <f ca="1">VLOOKUP(A666,Import_SuiviGlobal_MigAppliSate!A:I,6,FALSE)</f>
        <v>46/48 RUE ROBESPIERRE</v>
      </c>
      <c r="G666" t="str">
        <f ca="1">VLOOKUP(A666,Import_SuiviGlobal_MigAppliSate!A:I,7,FALSE)</f>
        <v>01.43.62.12.27</v>
      </c>
      <c r="H666" t="str">
        <f ca="1">VLOOKUP(A666,Import_SuiviGlobal_MigAppliSate!A:I,8,FALSE)</f>
        <v>TOLANI Marc</v>
      </c>
      <c r="I666" t="str">
        <f ca="1">VLOOKUP(A666,Import_SuiviGlobal_MigAppliSate!A:I,9,FALSE)</f>
        <v>marc.tolani@systeme-u.fr</v>
      </c>
      <c r="J666" s="24" t="str">
        <f ca="1">VLOOKUP(A666,Import_SuiviGlobal_MigAppliSate!A:K,10,FALSE)</f>
        <v/>
      </c>
      <c r="K666" t="str">
        <f ca="1">VLOOKUP(A666,Import_SuiviGlobal_MigAppliSate!A:K,11,FALSE)</f>
        <v/>
      </c>
      <c r="O666" s="1" t="s">
        <v>22</v>
      </c>
    </row>
    <row r="667" spans="1:15" ht="12.75" hidden="1" x14ac:dyDescent="0.2">
      <c r="A667">
        <v>23646</v>
      </c>
      <c r="B667" t="str">
        <f ca="1">VLOOKUP(A667,Import_SuiviGlobal_MigAppliSate!A:I,2,FALSE)</f>
        <v>MONTREUIL SIGNAC</v>
      </c>
      <c r="C667" t="str">
        <f ca="1">VLOOKUP(A667,Import_SuiviGlobal_MigAppliSate!A:I,3,FALSE)</f>
        <v>U Express</v>
      </c>
      <c r="D667" s="1" t="str">
        <f ca="1">VLOOKUP(A667,Import_SuiviGlobal_MigAppliSate!A:I,4,FALSE)</f>
        <v>Coop U Enseigne NordOuest</v>
      </c>
      <c r="E667">
        <f ca="1">VLOOKUP(A667,Import_SuiviGlobal_MigAppliSate!A:I,5,FALSE)</f>
        <v>93100</v>
      </c>
      <c r="F667" t="str">
        <f ca="1">VLOOKUP(A667,Import_SuiviGlobal_MigAppliSate!A:I,6,FALSE)</f>
        <v>4 AVENUE PAUL SIGNAC</v>
      </c>
      <c r="G667" t="str">
        <f ca="1">VLOOKUP(A667,Import_SuiviGlobal_MigAppliSate!A:I,7,FALSE)</f>
        <v>01.41.63.12.90</v>
      </c>
      <c r="H667" t="str">
        <f ca="1">VLOOKUP(A667,Import_SuiviGlobal_MigAppliSate!A:I,8,FALSE)</f>
        <v>TOLANI Marc</v>
      </c>
      <c r="I667" t="str">
        <f ca="1">VLOOKUP(A667,Import_SuiviGlobal_MigAppliSate!A:I,9,FALSE)</f>
        <v>marc.tolani@systeme-u.fr</v>
      </c>
      <c r="J667" s="24" t="str">
        <f ca="1">VLOOKUP(A667,Import_SuiviGlobal_MigAppliSate!A:K,10,FALSE)</f>
        <v>NIANG Fatou</v>
      </c>
      <c r="K667" t="str">
        <f ca="1">VLOOKUP(A667,Import_SuiviGlobal_MigAppliSate!A:K,11,FALSE)</f>
        <v>uexpress.montreuil@systeme-u.fr</v>
      </c>
      <c r="O667" s="1" t="s">
        <v>22</v>
      </c>
    </row>
    <row r="668" spans="1:15" ht="12.75" hidden="1" x14ac:dyDescent="0.2">
      <c r="A668">
        <v>38710</v>
      </c>
      <c r="B668" t="str">
        <f ca="1">VLOOKUP(A668,Import_SuiviGlobal_MigAppliSate!A:I,2,FALSE)</f>
        <v>MONTREUIL-BELLAY</v>
      </c>
      <c r="C668" t="str">
        <f ca="1">VLOOKUP(A668,Import_SuiviGlobal_MigAppliSate!A:I,3,FALSE)</f>
        <v>Super U</v>
      </c>
      <c r="D668" s="1" t="str">
        <f ca="1">VLOOKUP(A668,Import_SuiviGlobal_MigAppliSate!A:I,4,FALSE)</f>
        <v>Coop U Enseigne Ouest</v>
      </c>
      <c r="E668">
        <f ca="1">VLOOKUP(A668,Import_SuiviGlobal_MigAppliSate!A:I,5,FALSE)</f>
        <v>49260</v>
      </c>
      <c r="F668" t="str">
        <f ca="1">VLOOKUP(A668,Import_SuiviGlobal_MigAppliSate!A:I,6,FALSE)</f>
        <v>RUE ESTIENVRIN</v>
      </c>
      <c r="G668" t="str">
        <f ca="1">VLOOKUP(A668,Import_SuiviGlobal_MigAppliSate!A:I,7,FALSE)</f>
        <v>02.41.83.15.15</v>
      </c>
      <c r="H668" t="str">
        <f ca="1">VLOOKUP(A668,Import_SuiviGlobal_MigAppliSate!A:I,8,FALSE)</f>
        <v>CHAUVEL RPT SARL MAVA Alain</v>
      </c>
      <c r="I668" t="str">
        <f ca="1">VLOOKUP(A668,Import_SuiviGlobal_MigAppliSate!A:I,9,FALSE)</f>
        <v/>
      </c>
      <c r="J668" s="24" t="str">
        <f ca="1">VLOOKUP(A668,Import_SuiviGlobal_MigAppliSate!A:K,10,FALSE)</f>
        <v>Mme Rocquefelte</v>
      </c>
      <c r="K668" t="str">
        <f ca="1">VLOOKUP(A668,Import_SuiviGlobal_MigAppliSate!A:K,11,FALSE)</f>
        <v>superu.montreuilbellay.compta@systeme-u.fr</v>
      </c>
      <c r="O668" s="1" t="s">
        <v>22</v>
      </c>
    </row>
    <row r="669" spans="1:15" ht="12.75" hidden="1" x14ac:dyDescent="0.2">
      <c r="A669">
        <v>24189</v>
      </c>
      <c r="B669" t="str">
        <f ca="1">VLOOKUP(A669,Import_SuiviGlobal_MigAppliSate!A:I,2,FALSE)</f>
        <v>MONTROUGE</v>
      </c>
      <c r="C669" t="str">
        <f ca="1">VLOOKUP(A669,Import_SuiviGlobal_MigAppliSate!A:I,3,FALSE)</f>
        <v>U Express</v>
      </c>
      <c r="D669" s="1" t="str">
        <f ca="1">VLOOKUP(A669,Import_SuiviGlobal_MigAppliSate!A:I,4,FALSE)</f>
        <v>Coop U Enseigne NordOuest</v>
      </c>
      <c r="E669">
        <f ca="1">VLOOKUP(A669,Import_SuiviGlobal_MigAppliSate!A:I,5,FALSE)</f>
        <v>92120</v>
      </c>
      <c r="F669" t="str">
        <f ca="1">VLOOKUP(A669,Import_SuiviGlobal_MigAppliSate!A:I,6,FALSE)</f>
        <v>69 RUE HENRI GINOUX</v>
      </c>
      <c r="G669" t="str">
        <f ca="1">VLOOKUP(A669,Import_SuiviGlobal_MigAppliSate!A:I,7,FALSE)</f>
        <v>01.40.92.77.60</v>
      </c>
      <c r="H669" t="str">
        <f ca="1">VLOOKUP(A669,Import_SuiviGlobal_MigAppliSate!A:I,8,FALSE)</f>
        <v>OUAKNINE Salomon</v>
      </c>
      <c r="I669" t="str">
        <f ca="1">VLOOKUP(A669,Import_SuiviGlobal_MigAppliSate!A:I,9,FALSE)</f>
        <v/>
      </c>
      <c r="J669" s="24" t="str">
        <f ca="1">VLOOKUP(A669,Import_SuiviGlobal_MigAppliSate!A:K,10,FALSE)</f>
        <v>Mme Houssière (directrice)</v>
      </c>
      <c r="K669" t="str">
        <f ca="1">VLOOKUP(A669,Import_SuiviGlobal_MigAppliSate!A:K,11,FALSE)</f>
        <v>uexpress.montrouge@systeme-u.fr</v>
      </c>
      <c r="L669" t="s">
        <v>20</v>
      </c>
      <c r="M669" t="s">
        <v>21</v>
      </c>
      <c r="O669" s="1" t="s">
        <v>22</v>
      </c>
    </row>
    <row r="670" spans="1:15" ht="12.75" hidden="1" x14ac:dyDescent="0.2">
      <c r="A670">
        <v>33506</v>
      </c>
      <c r="B670" t="str">
        <f ca="1">VLOOKUP(A670,Import_SuiviGlobal_MigAppliSate!A:I,2,FALSE)</f>
        <v>MONTS</v>
      </c>
      <c r="C670" t="str">
        <f ca="1">VLOOKUP(A670,Import_SuiviGlobal_MigAppliSate!A:I,3,FALSE)</f>
        <v>Super U</v>
      </c>
      <c r="D670" s="1" t="str">
        <f ca="1">VLOOKUP(A670,Import_SuiviGlobal_MigAppliSate!A:I,4,FALSE)</f>
        <v>Coop U Enseigne Ouest</v>
      </c>
      <c r="E670">
        <f ca="1">VLOOKUP(A670,Import_SuiviGlobal_MigAppliSate!A:I,5,FALSE)</f>
        <v>37260</v>
      </c>
      <c r="F670" t="str">
        <f ca="1">VLOOKUP(A670,Import_SuiviGlobal_MigAppliSate!A:I,6,FALSE)</f>
        <v>9, RUE DE LA VASSELIÈRE</v>
      </c>
      <c r="G670" t="str">
        <f ca="1">VLOOKUP(A670,Import_SuiviGlobal_MigAppliSate!A:I,7,FALSE)</f>
        <v>02.47.26.70.50</v>
      </c>
      <c r="H670" t="str">
        <f ca="1">VLOOKUP(A670,Import_SuiviGlobal_MigAppliSate!A:I,8,FALSE)</f>
        <v>BOUANT RPT SAS AMJV Audrey</v>
      </c>
      <c r="I670" t="str">
        <f ca="1">VLOOKUP(A670,Import_SuiviGlobal_MigAppliSate!A:I,9,FALSE)</f>
        <v>audrey.humeau@systeme-u.fr</v>
      </c>
      <c r="J670" s="24" t="str">
        <f ca="1">VLOOKUP(A670,Import_SuiviGlobal_MigAppliSate!A:K,10,FALSE)</f>
        <v>BOUANT Julien</v>
      </c>
      <c r="K670" t="str">
        <f ca="1">VLOOKUP(A670,Import_SuiviGlobal_MigAppliSate!A:K,11,FALSE)</f>
        <v>julien.bouant@systeme-u.fr</v>
      </c>
      <c r="O670" s="1" t="s">
        <v>22</v>
      </c>
    </row>
    <row r="671" spans="1:15" ht="12.75" hidden="1" x14ac:dyDescent="0.2">
      <c r="A671">
        <v>96332</v>
      </c>
      <c r="B671" t="str">
        <f ca="1">VLOOKUP(A671,Import_SuiviGlobal_MigAppliSate!A:I,2,FALSE)</f>
        <v>MORCENX</v>
      </c>
      <c r="C671" t="str">
        <f ca="1">VLOOKUP(A671,Import_SuiviGlobal_MigAppliSate!A:I,3,FALSE)</f>
        <v>Super U</v>
      </c>
      <c r="D671" s="1" t="str">
        <f ca="1">VLOOKUP(A671,Import_SuiviGlobal_MigAppliSate!A:I,4,FALSE)</f>
        <v>Coop U Enseigne Sud</v>
      </c>
      <c r="E671">
        <f ca="1">VLOOKUP(A671,Import_SuiviGlobal_MigAppliSate!A:I,5,FALSE)</f>
        <v>40110</v>
      </c>
      <c r="F671" t="str">
        <f ca="1">VLOOKUP(A671,Import_SuiviGlobal_MigAppliSate!A:I,6,FALSE)</f>
        <v>CTRE COMMERCIAL LES GRANDS CAROLINS</v>
      </c>
      <c r="G671" t="str">
        <f ca="1">VLOOKUP(A671,Import_SuiviGlobal_MigAppliSate!A:I,7,FALSE)</f>
        <v>05.58.08.11.14</v>
      </c>
      <c r="H671" t="str">
        <f ca="1">VLOOKUP(A671,Import_SuiviGlobal_MigAppliSate!A:I,8,FALSE)</f>
        <v>DESMARES Xavier</v>
      </c>
      <c r="I671" t="str">
        <f ca="1">VLOOKUP(A671,Import_SuiviGlobal_MigAppliSate!A:I,9,FALSE)</f>
        <v>xavier.desmares@systeme-u.fr</v>
      </c>
      <c r="J671" s="24" t="str">
        <f ca="1">VLOOKUP(A671,Import_SuiviGlobal_MigAppliSate!A:K,10,FALSE)</f>
        <v>Frédéric ROGER</v>
      </c>
      <c r="K671" t="str">
        <f ca="1">VLOOKUP(A671,Import_SuiviGlobal_MigAppliSate!A:K,11,FALSE)</f>
        <v>superu.morcenx.bazar@systeme-u.fr</v>
      </c>
      <c r="O671" s="1" t="s">
        <v>22</v>
      </c>
    </row>
    <row r="672" spans="1:15" ht="12.75" hidden="1" x14ac:dyDescent="0.2">
      <c r="A672">
        <v>30930</v>
      </c>
      <c r="B672" t="str">
        <f ca="1">VLOOKUP(A672,Import_SuiviGlobal_MigAppliSate!A:I,2,FALSE)</f>
        <v>MORDELLES</v>
      </c>
      <c r="C672" t="str">
        <f ca="1">VLOOKUP(A672,Import_SuiviGlobal_MigAppliSate!A:I,3,FALSE)</f>
        <v>Super U</v>
      </c>
      <c r="D672" s="1" t="str">
        <f ca="1">VLOOKUP(A672,Import_SuiviGlobal_MigAppliSate!A:I,4,FALSE)</f>
        <v>Coop U Enseigne Ouest</v>
      </c>
      <c r="E672">
        <f ca="1">VLOOKUP(A672,Import_SuiviGlobal_MigAppliSate!A:I,5,FALSE)</f>
        <v>35310</v>
      </c>
      <c r="F672" t="str">
        <f ca="1">VLOOKUP(A672,Import_SuiviGlobal_MigAppliSate!A:I,6,FALSE)</f>
        <v>AVENUE DES PLATANES</v>
      </c>
      <c r="G672" t="str">
        <f ca="1">VLOOKUP(A672,Import_SuiviGlobal_MigAppliSate!A:I,7,FALSE)</f>
        <v>02.99.85.13.10</v>
      </c>
      <c r="H672" t="str">
        <f ca="1">VLOOKUP(A672,Import_SuiviGlobal_MigAppliSate!A:I,8,FALSE)</f>
        <v>PORCHER RPT SARL AJM Marc</v>
      </c>
      <c r="I672" t="str">
        <f ca="1">VLOOKUP(A672,Import_SuiviGlobal_MigAppliSate!A:I,9,FALSE)</f>
        <v>marc.porcher@systeme-u.fr</v>
      </c>
      <c r="J672" s="24" t="str">
        <f ca="1">VLOOKUP(A672,Import_SuiviGlobal_MigAppliSate!A:K,10,FALSE)</f>
        <v>PORCHER Arnaud</v>
      </c>
      <c r="K672" t="str">
        <f ca="1">VLOOKUP(A672,Import_SuiviGlobal_MigAppliSate!A:K,11,FALSE)</f>
        <v>arnaud.porcher@systeme-u.fr</v>
      </c>
      <c r="O672" s="1" t="s">
        <v>22</v>
      </c>
    </row>
    <row r="673" spans="1:18" ht="12.75" hidden="1" x14ac:dyDescent="0.2">
      <c r="A673">
        <v>97503</v>
      </c>
      <c r="B673" t="str">
        <f ca="1">VLOOKUP(A673,Import_SuiviGlobal_MigAppliSate!A:I,2,FALSE)</f>
        <v>MORLAAS</v>
      </c>
      <c r="C673" t="str">
        <f ca="1">VLOOKUP(A673,Import_SuiviGlobal_MigAppliSate!A:I,3,FALSE)</f>
        <v>U Express</v>
      </c>
      <c r="D673" s="1" t="str">
        <f ca="1">VLOOKUP(A673,Import_SuiviGlobal_MigAppliSate!A:I,4,FALSE)</f>
        <v>Coop U Enseigne Sud</v>
      </c>
      <c r="E673">
        <f ca="1">VLOOKUP(A673,Import_SuiviGlobal_MigAppliSate!A:I,5,FALSE)</f>
        <v>64160</v>
      </c>
      <c r="F673" t="str">
        <f ca="1">VLOOKUP(A673,Import_SuiviGlobal_MigAppliSate!A:I,6,FALSE)</f>
        <v>22 RUE DE LA BASTIDE</v>
      </c>
      <c r="G673" t="str">
        <f ca="1">VLOOKUP(A673,Import_SuiviGlobal_MigAppliSate!A:I,7,FALSE)</f>
        <v>05.59.33.62.95</v>
      </c>
      <c r="H673" t="str">
        <f ca="1">VLOOKUP(A673,Import_SuiviGlobal_MigAppliSate!A:I,8,FALSE)</f>
        <v>BEE Jerome</v>
      </c>
      <c r="I673" t="str">
        <f ca="1">VLOOKUP(A673,Import_SuiviGlobal_MigAppliSate!A:I,9,FALSE)</f>
        <v>jerome.bee@systeme-u.fr</v>
      </c>
      <c r="J673" s="24" t="str">
        <f ca="1">VLOOKUP(A673,Import_SuiviGlobal_MigAppliSate!A:K,10,FALSE)</f>
        <v>Jayle Myriam</v>
      </c>
      <c r="K673" t="str">
        <f ca="1">VLOOKUP(A673,Import_SuiviGlobal_MigAppliSate!A:K,11,FALSE)</f>
        <v>uexpress.morlaas@systeme-u.fr</v>
      </c>
      <c r="O673" s="1" t="s">
        <v>22</v>
      </c>
    </row>
    <row r="674" spans="1:18" ht="12.75" hidden="1" x14ac:dyDescent="0.2">
      <c r="A674">
        <v>38217</v>
      </c>
      <c r="B674" t="str">
        <f ca="1">VLOOKUP(A674,Import_SuiviGlobal_MigAppliSate!A:I,2,FALSE)</f>
        <v>MORNE CENTRE VILLE</v>
      </c>
      <c r="C674" t="str">
        <f ca="1">VLOOKUP(A674,Import_SuiviGlobal_MigAppliSate!A:I,3,FALSE)</f>
        <v>U Express</v>
      </c>
      <c r="D674" s="1" t="str">
        <f ca="1">VLOOKUP(A674,Import_SuiviGlobal_MigAppliSate!A:I,4,FALSE)</f>
        <v>Coop U Enseigne Ouest</v>
      </c>
      <c r="E674">
        <f ca="1">VLOOKUP(A674,Import_SuiviGlobal_MigAppliSate!A:I,5,FALSE)</f>
        <v>97111</v>
      </c>
      <c r="F674" t="str">
        <f ca="1">VLOOKUP(A674,Import_SuiviGlobal_MigAppliSate!A:I,6,FALSE)</f>
        <v>17, RUE DÉBARCADÈRE</v>
      </c>
      <c r="G674" t="str">
        <f ca="1">VLOOKUP(A674,Import_SuiviGlobal_MigAppliSate!A:I,7,FALSE)</f>
        <v>05.90.24.41.99</v>
      </c>
      <c r="H674" t="str">
        <f ca="1">VLOOKUP(A674,Import_SuiviGlobal_MigAppliSate!A:I,8,FALSE)</f>
        <v>LUCE Raymond</v>
      </c>
      <c r="I674" t="str">
        <f ca="1">VLOOKUP(A674,Import_SuiviGlobal_MigAppliSate!A:I,9,FALSE)</f>
        <v/>
      </c>
      <c r="J674" s="24" t="str">
        <f ca="1">VLOOKUP(A674,Import_SuiviGlobal_MigAppliSate!A:K,10,FALSE)</f>
        <v>Julie Luce</v>
      </c>
      <c r="K674" t="str">
        <f ca="1">VLOOKUP(A674,Import_SuiviGlobal_MigAppliSate!A:K,11,FALSE)</f>
        <v>julie.luce@hotmail.fr,martine.crevecoeur@systeme-u.fr</v>
      </c>
      <c r="O674" s="1" t="s">
        <v>22</v>
      </c>
    </row>
    <row r="675" spans="1:18" ht="12.75" hidden="1" x14ac:dyDescent="0.2">
      <c r="A675">
        <v>37966</v>
      </c>
      <c r="B675" t="str">
        <f ca="1">VLOOKUP(A675,Import_SuiviGlobal_MigAppliSate!A:I,2,FALSE)</f>
        <v>MORNE ESPERANCE</v>
      </c>
      <c r="C675" t="str">
        <f ca="1">VLOOKUP(A675,Import_SuiviGlobal_MigAppliSate!A:I,3,FALSE)</f>
        <v>U Express</v>
      </c>
      <c r="D675" s="1" t="str">
        <f ca="1">VLOOKUP(A675,Import_SuiviGlobal_MigAppliSate!A:I,4,FALSE)</f>
        <v>Coop U Enseigne Ouest</v>
      </c>
      <c r="E675">
        <f ca="1">VLOOKUP(A675,Import_SuiviGlobal_MigAppliSate!A:I,5,FALSE)</f>
        <v>97111</v>
      </c>
      <c r="F675" t="str">
        <f ca="1">VLOOKUP(A675,Import_SuiviGlobal_MigAppliSate!A:I,6,FALSE)</f>
        <v>QUARTIER ESPÉRANCE RN 5</v>
      </c>
      <c r="G675" t="str">
        <f ca="1">VLOOKUP(A675,Import_SuiviGlobal_MigAppliSate!A:I,7,FALSE)</f>
        <v>05.90.90.03.08</v>
      </c>
      <c r="H675" t="str">
        <f ca="1">VLOOKUP(A675,Import_SuiviGlobal_MigAppliSate!A:I,8,FALSE)</f>
        <v>LUCE Raymond</v>
      </c>
      <c r="I675" t="str">
        <f ca="1">VLOOKUP(A675,Import_SuiviGlobal_MigAppliSate!A:I,9,FALSE)</f>
        <v>yohann.luce@systeme-u.fr</v>
      </c>
      <c r="J675" s="24" t="str">
        <f ca="1">VLOOKUP(A675,Import_SuiviGlobal_MigAppliSate!A:K,10,FALSE)</f>
        <v>freddy kantaparedy</v>
      </c>
      <c r="K675" t="str">
        <f ca="1">VLOOKUP(A675,Import_SuiviGlobal_MigAppliSate!A:K,11,FALSE)</f>
        <v>freddy.kdcm@yahoo.fr,martine.crevecoeur@systeme-u.fr</v>
      </c>
      <c r="O675" s="1" t="s">
        <v>22</v>
      </c>
    </row>
    <row r="676" spans="1:18" ht="12.75" hidden="1" x14ac:dyDescent="0.2">
      <c r="A676">
        <v>32828</v>
      </c>
      <c r="B676" t="str">
        <f ca="1">VLOOKUP(A676,Import_SuiviGlobal_MigAppliSate!A:I,2,FALSE)</f>
        <v>MORTAGNE-SUR-SEVRE</v>
      </c>
      <c r="C676" t="str">
        <f ca="1">VLOOKUP(A676,Import_SuiviGlobal_MigAppliSate!A:I,3,FALSE)</f>
        <v>Super U</v>
      </c>
      <c r="D676" s="1" t="str">
        <f ca="1">VLOOKUP(A676,Import_SuiviGlobal_MigAppliSate!A:I,4,FALSE)</f>
        <v>Coop U Enseigne Ouest</v>
      </c>
      <c r="E676">
        <f ca="1">VLOOKUP(A676,Import_SuiviGlobal_MigAppliSate!A:I,5,FALSE)</f>
        <v>85290</v>
      </c>
      <c r="F676" t="str">
        <f ca="1">VLOOKUP(A676,Import_SuiviGlobal_MigAppliSate!A:I,6,FALSE)</f>
        <v>PLACE DE LA ROSERAIE</v>
      </c>
      <c r="G676" t="str">
        <f ca="1">VLOOKUP(A676,Import_SuiviGlobal_MigAppliSate!A:I,7,FALSE)</f>
        <v>02.51.63.04.04</v>
      </c>
      <c r="H676" t="str">
        <f ca="1">VLOOKUP(A676,Import_SuiviGlobal_MigAppliSate!A:I,8,FALSE)</f>
        <v>COUPRIE MACE Marina</v>
      </c>
      <c r="I676" t="str">
        <f ca="1">VLOOKUP(A676,Import_SuiviGlobal_MigAppliSate!A:I,9,FALSE)</f>
        <v>marina.couprie-mace@systeme-u.fr</v>
      </c>
      <c r="J676" s="24" t="str">
        <f ca="1">VLOOKUP(A676,Import_SuiviGlobal_MigAppliSate!A:K,10,FALSE)</f>
        <v>LAURE GUITTON</v>
      </c>
      <c r="K676" t="str">
        <f ca="1">VLOOKUP(A676,Import_SuiviGlobal_MigAppliSate!A:K,11,FALSE)</f>
        <v>superu.mortagnesursevre@systeme-u.fr</v>
      </c>
      <c r="O676" s="1" t="s">
        <v>22</v>
      </c>
    </row>
    <row r="677" spans="1:18" ht="12.75" hidden="1" x14ac:dyDescent="0.2">
      <c r="A677">
        <v>66212</v>
      </c>
      <c r="B677" t="str">
        <f ca="1">VLOOKUP(A677,Import_SuiviGlobal_MigAppliSate!A:I,2,FALSE)</f>
        <v>LYON</v>
      </c>
      <c r="C677" t="str">
        <f ca="1">VLOOKUP(A677,Import_SuiviGlobal_MigAppliSate!A:I,3,FALSE)</f>
        <v>Sans enseigne</v>
      </c>
      <c r="D677" s="1" t="str">
        <f ca="1">VLOOKUP(A677,Import_SuiviGlobal_MigAppliSate!A:I,4,FALSE)</f>
        <v>Coop U Enseigne Est</v>
      </c>
      <c r="E677">
        <f ca="1">VLOOKUP(A677,Import_SuiviGlobal_MigAppliSate!A:I,5,FALSE)</f>
        <v>69003</v>
      </c>
      <c r="F677" t="str">
        <f ca="1">VLOOKUP(A677,Import_SuiviGlobal_MigAppliSate!A:I,6,FALSE)</f>
        <v>40 AVENUE LACASSAGNE</v>
      </c>
      <c r="G677" t="str">
        <f ca="1">VLOOKUP(A677,Import_SuiviGlobal_MigAppliSate!A:I,7,FALSE)</f>
        <v>04.78.53.18.45</v>
      </c>
      <c r="H677" t="str">
        <f ca="1">VLOOKUP(A677,Import_SuiviGlobal_MigAppliSate!A:I,8,FALSE)</f>
        <v>ROBERT Stéphane</v>
      </c>
      <c r="I677" t="str">
        <f ca="1">VLOOKUP(A677,Import_SuiviGlobal_MigAppliSate!A:I,9,FALSE)</f>
        <v/>
      </c>
      <c r="J677" s="24" t="str">
        <f ca="1">VLOOKUP(A677,Import_SuiviGlobal_MigAppliSate!A:K,10,FALSE)</f>
        <v/>
      </c>
      <c r="K677" t="str">
        <f ca="1">VLOOKUP(A677,Import_SuiviGlobal_MigAppliSate!A:K,11,FALSE)</f>
        <v/>
      </c>
      <c r="O677" s="1" t="s">
        <v>22</v>
      </c>
    </row>
    <row r="678" spans="1:18" ht="12.75" hidden="1" x14ac:dyDescent="0.2">
      <c r="A678">
        <v>60055</v>
      </c>
      <c r="B678" t="str">
        <f ca="1">VLOOKUP(A678,Import_SuiviGlobal_MigAppliSate!A:I,2,FALSE)</f>
        <v>MULHOUSE</v>
      </c>
      <c r="C678" t="str">
        <f ca="1">VLOOKUP(A678,Import_SuiviGlobal_MigAppliSate!A:I,3,FALSE)</f>
        <v>Super U</v>
      </c>
      <c r="D678" s="1" t="str">
        <f ca="1">VLOOKUP(A678,Import_SuiviGlobal_MigAppliSate!A:I,4,FALSE)</f>
        <v>Coop U Enseigne Est</v>
      </c>
      <c r="E678">
        <f ca="1">VLOOKUP(A678,Import_SuiviGlobal_MigAppliSate!A:I,5,FALSE)</f>
        <v>68200</v>
      </c>
      <c r="F678" t="str">
        <f ca="1">VLOOKUP(A678,Import_SuiviGlobal_MigAppliSate!A:I,6,FALSE)</f>
        <v>11 RUE JOSUE HOFER</v>
      </c>
      <c r="G678" t="str">
        <f ca="1">VLOOKUP(A678,Import_SuiviGlobal_MigAppliSate!A:I,7,FALSE)</f>
        <v>03.89.42.21.00</v>
      </c>
      <c r="H678" t="str">
        <f ca="1">VLOOKUP(A678,Import_SuiviGlobal_MigAppliSate!A:I,8,FALSE)</f>
        <v>LAWITSCHKA Christophe</v>
      </c>
      <c r="I678" t="str">
        <f ca="1">VLOOKUP(A678,Import_SuiviGlobal_MigAppliSate!A:I,9,FALSE)</f>
        <v>christophe.lawitschka@systeme-u.fr</v>
      </c>
      <c r="J678" s="24" t="str">
        <f ca="1">VLOOKUP(A678,Import_SuiviGlobal_MigAppliSate!A:K,10,FALSE)</f>
        <v/>
      </c>
      <c r="K678" t="str">
        <f ca="1">VLOOKUP(A678,Import_SuiviGlobal_MigAppliSate!A:K,11,FALSE)</f>
        <v/>
      </c>
      <c r="O678" s="1" t="s">
        <v>22</v>
      </c>
    </row>
    <row r="679" spans="1:18" ht="12.75" hidden="1" x14ac:dyDescent="0.2">
      <c r="A679">
        <v>60035</v>
      </c>
      <c r="B679" t="str">
        <f ca="1">VLOOKUP(A679,Import_SuiviGlobal_MigAppliSate!A:I,2,FALSE)</f>
        <v>MUNSTER</v>
      </c>
      <c r="C679" t="str">
        <f ca="1">VLOOKUP(A679,Import_SuiviGlobal_MigAppliSate!A:I,3,FALSE)</f>
        <v>Super U</v>
      </c>
      <c r="D679" s="1" t="str">
        <f ca="1">VLOOKUP(A679,Import_SuiviGlobal_MigAppliSate!A:I,4,FALSE)</f>
        <v>Coop U Enseigne Est</v>
      </c>
      <c r="E679">
        <f ca="1">VLOOKUP(A679,Import_SuiviGlobal_MigAppliSate!A:I,5,FALSE)</f>
        <v>68140</v>
      </c>
      <c r="F679" t="str">
        <f ca="1">VLOOKUP(A679,Import_SuiviGlobal_MigAppliSate!A:I,6,FALSE)</f>
        <v>ZONE INDUSTRIELLE</v>
      </c>
      <c r="G679" t="str">
        <f ca="1">VLOOKUP(A679,Import_SuiviGlobal_MigAppliSate!A:I,7,FALSE)</f>
        <v>03.89.77.15.00</v>
      </c>
      <c r="H679" t="str">
        <f ca="1">VLOOKUP(A679,Import_SuiviGlobal_MigAppliSate!A:I,8,FALSE)</f>
        <v>MENDELEWSKI RPT SAS FI KOHLER Isabelle</v>
      </c>
      <c r="I679" t="str">
        <f ca="1">VLOOKUP(A679,Import_SuiviGlobal_MigAppliSate!A:I,9,FALSE)</f>
        <v>isabelle.mendelewski@systeme-u.fr</v>
      </c>
      <c r="J679" s="24" t="str">
        <f ca="1">VLOOKUP(A679,Import_SuiviGlobal_MigAppliSate!A:K,10,FALSE)</f>
        <v>Gehin Alain</v>
      </c>
      <c r="K679" t="str">
        <f ca="1">VLOOKUP(A679,Import_SuiviGlobal_MigAppliSate!A:K,11,FALSE)</f>
        <v>superu.munster.managerderayon@systeme-u.fr</v>
      </c>
      <c r="O679" s="1" t="s">
        <v>22</v>
      </c>
    </row>
    <row r="680" spans="1:18" ht="12.75" hidden="1" x14ac:dyDescent="0.2">
      <c r="A680">
        <v>60744</v>
      </c>
      <c r="B680" t="str">
        <f ca="1">VLOOKUP(A680,Import_SuiviGlobal_MigAppliSate!A:I,2,FALSE)</f>
        <v>MUNSTER</v>
      </c>
      <c r="C680" t="str">
        <f ca="1">VLOOKUP(A680,Import_SuiviGlobal_MigAppliSate!A:I,3,FALSE)</f>
        <v>U Express</v>
      </c>
      <c r="D680" s="1" t="str">
        <f ca="1">VLOOKUP(A680,Import_SuiviGlobal_MigAppliSate!A:I,4,FALSE)</f>
        <v>Coop U Enseigne Est</v>
      </c>
      <c r="E680">
        <f ca="1">VLOOKUP(A680,Import_SuiviGlobal_MigAppliSate!A:I,5,FALSE)</f>
        <v>68140</v>
      </c>
      <c r="F680" t="str">
        <f ca="1">VLOOKUP(A680,Import_SuiviGlobal_MigAppliSate!A:I,6,FALSE)</f>
        <v>13 RUE DU 9ÈME ZOUAVE</v>
      </c>
      <c r="G680" t="str">
        <f ca="1">VLOOKUP(A680,Import_SuiviGlobal_MigAppliSate!A:I,7,FALSE)</f>
        <v>03.89.77.20.02</v>
      </c>
      <c r="H680" t="str">
        <f ca="1">VLOOKUP(A680,Import_SuiviGlobal_MigAppliSate!A:I,8,FALSE)</f>
        <v>MENDELEWSKI Isabelle</v>
      </c>
      <c r="I680" t="str">
        <f ca="1">VLOOKUP(A680,Import_SuiviGlobal_MigAppliSate!A:I,9,FALSE)</f>
        <v>isabelle.mendelewski@systeme-u.fr</v>
      </c>
      <c r="J680" s="24" t="str">
        <f ca="1">VLOOKUP(A680,Import_SuiviGlobal_MigAppliSate!A:K,10,FALSE)</f>
        <v>GEHIN Alain</v>
      </c>
      <c r="K680" t="str">
        <f ca="1">VLOOKUP(A680,Import_SuiviGlobal_MigAppliSate!A:K,11,FALSE)</f>
        <v>superu.munster.managerderayon@systeme-u.fr, uexpress.munster@systeme-u.fr</v>
      </c>
      <c r="O680" s="1" t="s">
        <v>22</v>
      </c>
    </row>
    <row r="681" spans="1:18" ht="12.75" hidden="1" x14ac:dyDescent="0.2">
      <c r="A681">
        <v>37544</v>
      </c>
      <c r="B681" t="str">
        <f ca="1">VLOOKUP(A681,Import_SuiviGlobal_MigAppliSate!A:I,2,FALSE)</f>
        <v>MURS-ERIGNE</v>
      </c>
      <c r="C681" t="str">
        <f ca="1">VLOOKUP(A681,Import_SuiviGlobal_MigAppliSate!A:I,3,FALSE)</f>
        <v>Hyper U</v>
      </c>
      <c r="D681" s="1" t="str">
        <f ca="1">VLOOKUP(A681,Import_SuiviGlobal_MigAppliSate!A:I,4,FALSE)</f>
        <v>Coop U Enseigne Ouest</v>
      </c>
      <c r="E681">
        <f ca="1">VLOOKUP(A681,Import_SuiviGlobal_MigAppliSate!A:I,5,FALSE)</f>
        <v>49610</v>
      </c>
      <c r="F681" t="str">
        <f ca="1">VLOOKUP(A681,Import_SuiviGlobal_MigAppliSate!A:I,6,FALSE)</f>
        <v>26 RUE VALENTIN DES ORMEAUX</v>
      </c>
      <c r="G681" t="str">
        <f ca="1">VLOOKUP(A681,Import_SuiviGlobal_MigAppliSate!A:I,7,FALSE)</f>
        <v>02.41.79.45.45</v>
      </c>
      <c r="H681" t="str">
        <f ca="1">VLOOKUP(A681,Import_SuiviGlobal_MigAppliSate!A:I,8,FALSE)</f>
        <v>CHOPLAIN Benoit</v>
      </c>
      <c r="I681" t="str">
        <f ca="1">VLOOKUP(A681,Import_SuiviGlobal_MigAppliSate!A:I,9,FALSE)</f>
        <v>benoit.choplain@systeme-u.fr</v>
      </c>
      <c r="J681" s="24" t="str">
        <f ca="1">VLOOKUP(A681,Import_SuiviGlobal_MigAppliSate!A:K,10,FALSE)</f>
        <v>Mr Lionel Poupard Md Castillon</v>
      </c>
      <c r="K681" t="str">
        <f ca="1">VLOOKUP(A681,Import_SuiviGlobal_MigAppliSate!A:K,11,FALSE)</f>
        <v>hyperu.murserigne.accueil@systeme-u.fr</v>
      </c>
      <c r="O681" s="1" t="s">
        <v>22</v>
      </c>
    </row>
    <row r="682" spans="1:18" ht="12.75" hidden="1" x14ac:dyDescent="0.2">
      <c r="A682">
        <v>60037</v>
      </c>
      <c r="B682" t="str">
        <f ca="1">VLOOKUP(A682,Import_SuiviGlobal_MigAppliSate!A:I,2,FALSE)</f>
        <v>MUTZIG</v>
      </c>
      <c r="C682" t="str">
        <f ca="1">VLOOKUP(A682,Import_SuiviGlobal_MigAppliSate!A:I,3,FALSE)</f>
        <v>Super U</v>
      </c>
      <c r="D682" s="1" t="str">
        <f ca="1">VLOOKUP(A682,Import_SuiviGlobal_MigAppliSate!A:I,4,FALSE)</f>
        <v>Coop U Enseigne Est</v>
      </c>
      <c r="E682">
        <f ca="1">VLOOKUP(A682,Import_SuiviGlobal_MigAppliSate!A:I,5,FALSE)</f>
        <v>67190</v>
      </c>
      <c r="F682" t="str">
        <f ca="1">VLOOKUP(A682,Import_SuiviGlobal_MigAppliSate!A:I,6,FALSE)</f>
        <v>ZAC DE MITTELFELD</v>
      </c>
      <c r="G682" t="str">
        <f ca="1">VLOOKUP(A682,Import_SuiviGlobal_MigAppliSate!A:I,7,FALSE)</f>
        <v>03.88.38.56.51</v>
      </c>
      <c r="H682" t="str">
        <f ca="1">VLOOKUP(A682,Import_SuiviGlobal_MigAppliSate!A:I,8,FALSE)</f>
        <v>ROUSSILLON Olivier</v>
      </c>
      <c r="I682" t="str">
        <f ca="1">VLOOKUP(A682,Import_SuiviGlobal_MigAppliSate!A:I,9,FALSE)</f>
        <v>olivier.roussillon@systeme-u.fr</v>
      </c>
      <c r="J682" s="24" t="str">
        <f ca="1">VLOOKUP(A682,Import_SuiviGlobal_MigAppliSate!A:K,10,FALSE)</f>
        <v>Mme Sophie KUGLER</v>
      </c>
      <c r="K682" t="str">
        <f ca="1">VLOOKUP(A682,Import_SuiviGlobal_MigAppliSate!A:K,11,FALSE)</f>
        <v>superu.mutzig.compta@systeme-u.fr</v>
      </c>
      <c r="O682" s="1" t="s">
        <v>22</v>
      </c>
    </row>
    <row r="683" spans="1:18" ht="12.75" hidden="1" x14ac:dyDescent="0.2">
      <c r="A683">
        <v>30817</v>
      </c>
      <c r="B683" t="str">
        <f ca="1">VLOOKUP(A683,Import_SuiviGlobal_MigAppliSate!A:I,2,FALSE)</f>
        <v>MUZILLAC</v>
      </c>
      <c r="C683" t="str">
        <f ca="1">VLOOKUP(A683,Import_SuiviGlobal_MigAppliSate!A:I,3,FALSE)</f>
        <v>Super U</v>
      </c>
      <c r="D683" s="1" t="str">
        <f ca="1">VLOOKUP(A683,Import_SuiviGlobal_MigAppliSate!A:I,4,FALSE)</f>
        <v>Coop U Enseigne Ouest</v>
      </c>
      <c r="E683">
        <f ca="1">VLOOKUP(A683,Import_SuiviGlobal_MigAppliSate!A:I,5,FALSE)</f>
        <v>56190</v>
      </c>
      <c r="F683" t="str">
        <f ca="1">VLOOKUP(A683,Import_SuiviGlobal_MigAppliSate!A:I,6,FALSE)</f>
        <v>ZONE COMMERCIALE ESPACE LITTORAL</v>
      </c>
      <c r="G683" t="str">
        <f ca="1">VLOOKUP(A683,Import_SuiviGlobal_MigAppliSate!A:I,7,FALSE)</f>
        <v>02.97.41.48.48</v>
      </c>
      <c r="H683" t="str">
        <f ca="1">VLOOKUP(A683,Import_SuiviGlobal_MigAppliSate!A:I,8,FALSE)</f>
        <v>TROADEC RPT SARL ALTRORIA Alexandre</v>
      </c>
      <c r="I683" t="str">
        <f ca="1">VLOOKUP(A683,Import_SuiviGlobal_MigAppliSate!A:I,9,FALSE)</f>
        <v>alexandre.troadec@systeme-u.fr</v>
      </c>
      <c r="J683" s="24" t="str">
        <f ca="1">VLOOKUP(A683,Import_SuiviGlobal_MigAppliSate!A:K,10,FALSE)</f>
        <v>Dayon Catherine</v>
      </c>
      <c r="K683" t="str">
        <f ca="1">VLOOKUP(A683,Import_SuiviGlobal_MigAppliSate!A:K,11,FALSE)</f>
        <v>superu.muzillac@systeme-u.fr</v>
      </c>
      <c r="O683" s="1" t="s">
        <v>22</v>
      </c>
    </row>
    <row r="684" spans="1:18" ht="12.75" hidden="1" x14ac:dyDescent="0.2">
      <c r="A684">
        <v>38325</v>
      </c>
      <c r="B684" t="str">
        <f ca="1">VLOOKUP(A684,Import_SuiviGlobal_MigAppliSate!A:I,2,FALSE)</f>
        <v>NANTES BEAUJOIRE</v>
      </c>
      <c r="C684" t="str">
        <f ca="1">VLOOKUP(A684,Import_SuiviGlobal_MigAppliSate!A:I,3,FALSE)</f>
        <v>U Express</v>
      </c>
      <c r="D684" s="1" t="str">
        <f ca="1">VLOOKUP(A684,Import_SuiviGlobal_MigAppliSate!A:I,4,FALSE)</f>
        <v>Coop U Enseigne Ouest</v>
      </c>
      <c r="E684">
        <f ca="1">VLOOKUP(A684,Import_SuiviGlobal_MigAppliSate!A:I,5,FALSE)</f>
        <v>44300</v>
      </c>
      <c r="F684" t="str">
        <f ca="1">VLOOKUP(A684,Import_SuiviGlobal_MigAppliSate!A:I,6,FALSE)</f>
        <v>36 BOULEVARD DE LA BEAUJOIRE</v>
      </c>
      <c r="G684" t="str">
        <f ca="1">VLOOKUP(A684,Import_SuiviGlobal_MigAppliSate!A:I,7,FALSE)</f>
        <v>02.40.30.21.80</v>
      </c>
      <c r="H684" t="str">
        <f ca="1">VLOOKUP(A684,Import_SuiviGlobal_MigAppliSate!A:I,8,FALSE)</f>
        <v>LEROYER JEAN</v>
      </c>
      <c r="I684" t="str">
        <f ca="1">VLOOKUP(A684,Import_SuiviGlobal_MigAppliSate!A:I,9,FALSE)</f>
        <v>sybille.leroyer@systeme-u.fr</v>
      </c>
      <c r="J684" s="24" t="str">
        <f ca="1">VLOOKUP(A684,Import_SuiviGlobal_MigAppliSate!A:K,10,FALSE)</f>
        <v>LEROYER Sybille</v>
      </c>
      <c r="K684" t="str">
        <f ca="1">VLOOKUP(A684,Import_SuiviGlobal_MigAppliSate!A:K,11,FALSE)</f>
        <v>sybille.leroyer@systeme-u.fr</v>
      </c>
      <c r="O684" s="1" t="s">
        <v>22</v>
      </c>
    </row>
    <row r="685" spans="1:18" ht="12.75" hidden="1" x14ac:dyDescent="0.2">
      <c r="A685">
        <v>32127</v>
      </c>
      <c r="B685" t="str">
        <f ca="1">VLOOKUP(A685,Import_SuiviGlobal_MigAppliSate!A:I,2,FALSE)</f>
        <v>NANTES DALBY</v>
      </c>
      <c r="C685" t="str">
        <f ca="1">VLOOKUP(A685,Import_SuiviGlobal_MigAppliSate!A:I,3,FALSE)</f>
        <v>Super U</v>
      </c>
      <c r="D685" s="1" t="str">
        <f ca="1">VLOOKUP(A685,Import_SuiviGlobal_MigAppliSate!A:I,4,FALSE)</f>
        <v>Coop U Enseigne Ouest</v>
      </c>
      <c r="E685">
        <f ca="1">VLOOKUP(A685,Import_SuiviGlobal_MigAppliSate!A:I,5,FALSE)</f>
        <v>44000</v>
      </c>
      <c r="F685" t="str">
        <f ca="1">VLOOKUP(A685,Import_SuiviGlobal_MigAppliSate!A:I,6,FALSE)</f>
        <v>66 BOULEVARD DALBY</v>
      </c>
      <c r="G685" t="str">
        <f ca="1">VLOOKUP(A685,Import_SuiviGlobal_MigAppliSate!A:I,7,FALSE)</f>
        <v>02.40.14.53.00</v>
      </c>
      <c r="H685" t="str">
        <f ca="1">VLOOKUP(A685,Import_SuiviGlobal_MigAppliSate!A:I,8,FALSE)</f>
        <v>LEROYER Jean</v>
      </c>
      <c r="I685" t="str">
        <f ca="1">VLOOKUP(A685,Import_SuiviGlobal_MigAppliSate!A:I,9,FALSE)</f>
        <v>jean.leroyer@systeme-u.fr</v>
      </c>
      <c r="J685" s="24" t="str">
        <f ca="1">VLOOKUP(A685,Import_SuiviGlobal_MigAppliSate!A:K,10,FALSE)</f>
        <v>Mme DUPEYROUX</v>
      </c>
      <c r="K685" t="str">
        <f ca="1">VLOOKUP(A685,Import_SuiviGlobal_MigAppliSate!A:K,11,FALSE)</f>
        <v>superu.nantesdalby.administratif@systeme-u.fr</v>
      </c>
      <c r="L685" s="1" t="s">
        <v>17</v>
      </c>
      <c r="M685" t="s">
        <v>24</v>
      </c>
      <c r="N685" s="1" t="s">
        <v>18</v>
      </c>
      <c r="O685" s="1" t="s">
        <v>19</v>
      </c>
      <c r="P685" s="14"/>
      <c r="Q685" s="14"/>
      <c r="R685" s="14"/>
    </row>
    <row r="686" spans="1:18" ht="12.75" hidden="1" x14ac:dyDescent="0.2">
      <c r="A686">
        <v>35608</v>
      </c>
      <c r="B686" t="str">
        <f ca="1">VLOOKUP(A686,Import_SuiviGlobal_MigAppliSate!A:I,2,FALSE)</f>
        <v>NANTES LAFAYETTE</v>
      </c>
      <c r="C686" t="str">
        <f ca="1">VLOOKUP(A686,Import_SuiviGlobal_MigAppliSate!A:I,3,FALSE)</f>
        <v>U Express</v>
      </c>
      <c r="D686" s="1" t="str">
        <f ca="1">VLOOKUP(A686,Import_SuiviGlobal_MigAppliSate!A:I,4,FALSE)</f>
        <v>Coop U Enseigne Ouest</v>
      </c>
      <c r="E686">
        <f ca="1">VLOOKUP(A686,Import_SuiviGlobal_MigAppliSate!A:I,5,FALSE)</f>
        <v>44000</v>
      </c>
      <c r="F686" t="str">
        <f ca="1">VLOOKUP(A686,Import_SuiviGlobal_MigAppliSate!A:I,6,FALSE)</f>
        <v>3 RUE LAFAYETTE</v>
      </c>
      <c r="G686" t="str">
        <f ca="1">VLOOKUP(A686,Import_SuiviGlobal_MigAppliSate!A:I,7,FALSE)</f>
        <v>02.40.44.64.64</v>
      </c>
      <c r="H686" t="str">
        <f ca="1">VLOOKUP(A686,Import_SuiviGlobal_MigAppliSate!A:I,8,FALSE)</f>
        <v>PAHAUT RPT MAP FINANCES Aymeric</v>
      </c>
      <c r="I686" t="str">
        <f ca="1">VLOOKUP(A686,Import_SuiviGlobal_MigAppliSate!A:I,9,FALSE)</f>
        <v>aymeric.pahaut@systeme-u.fr</v>
      </c>
      <c r="J686" s="24" t="str">
        <f ca="1">VLOOKUP(A686,Import_SuiviGlobal_MigAppliSate!A:K,10,FALSE)</f>
        <v>PAHAUT Aymeric</v>
      </c>
      <c r="K686" t="str">
        <f ca="1">VLOOKUP(A686,Import_SuiviGlobal_MigAppliSate!A:K,11,FALSE)</f>
        <v>aymeric.pahaut@systeme-u.fr</v>
      </c>
      <c r="L686" s="1" t="s">
        <v>17</v>
      </c>
      <c r="M686" s="1" t="s">
        <v>24</v>
      </c>
      <c r="N686" s="1" t="s">
        <v>18</v>
      </c>
      <c r="O686" s="1" t="s">
        <v>19</v>
      </c>
      <c r="P686" s="1"/>
      <c r="Q686" s="1"/>
      <c r="R686" s="1"/>
    </row>
    <row r="687" spans="1:18" ht="12.75" hidden="1" x14ac:dyDescent="0.2">
      <c r="A687">
        <v>35746</v>
      </c>
      <c r="B687" t="str">
        <f ca="1">VLOOKUP(A687,Import_SuiviGlobal_MigAppliSate!A:I,2,FALSE)</f>
        <v>NANTES LELASSEUR</v>
      </c>
      <c r="C687" t="str">
        <f ca="1">VLOOKUP(A687,Import_SuiviGlobal_MigAppliSate!A:I,3,FALSE)</f>
        <v>U Express</v>
      </c>
      <c r="D687" s="1" t="str">
        <f ca="1">VLOOKUP(A687,Import_SuiviGlobal_MigAppliSate!A:I,4,FALSE)</f>
        <v>Coop U Enseigne Ouest</v>
      </c>
      <c r="E687">
        <f ca="1">VLOOKUP(A687,Import_SuiviGlobal_MigAppliSate!A:I,5,FALSE)</f>
        <v>44000</v>
      </c>
      <c r="F687" t="str">
        <f ca="1">VLOOKUP(A687,Import_SuiviGlobal_MigAppliSate!A:I,6,FALSE)</f>
        <v>8 BOULEVARD LELASSEUR</v>
      </c>
      <c r="G687" t="str">
        <f ca="1">VLOOKUP(A687,Import_SuiviGlobal_MigAppliSate!A:I,7,FALSE)</f>
        <v>02.40.40.09.37</v>
      </c>
      <c r="H687" t="str">
        <f ca="1">VLOOKUP(A687,Import_SuiviGlobal_MigAppliSate!A:I,8,FALSE)</f>
        <v>ALLAIS RPT SARL DVA FINANCES Didier</v>
      </c>
      <c r="I687" t="str">
        <f ca="1">VLOOKUP(A687,Import_SuiviGlobal_MigAppliSate!A:I,9,FALSE)</f>
        <v>didier.allais@systeme-u.fr</v>
      </c>
      <c r="J687" s="24" t="str">
        <f ca="1">VLOOKUP(A687,Import_SuiviGlobal_MigAppliSate!A:K,10,FALSE)</f>
        <v>TIREL Fabrice</v>
      </c>
      <c r="K687" t="str">
        <f ca="1">VLOOKUP(A687,Import_SuiviGlobal_MigAppliSate!A:K,11,FALSE)</f>
        <v>uexpress.nanteslelasseur.direction@systeme-u.fr</v>
      </c>
      <c r="O687" s="1" t="s">
        <v>22</v>
      </c>
    </row>
    <row r="688" spans="1:18" ht="12.75" hidden="1" x14ac:dyDescent="0.2">
      <c r="A688">
        <v>38923</v>
      </c>
      <c r="B688" t="str">
        <f ca="1">VLOOKUP(A688,Import_SuiviGlobal_MigAppliSate!A:I,2,FALSE)</f>
        <v>NANTES PETIT PORT</v>
      </c>
      <c r="C688" t="str">
        <f ca="1">VLOOKUP(A688,Import_SuiviGlobal_MigAppliSate!A:I,3,FALSE)</f>
        <v>U Express</v>
      </c>
      <c r="D688" s="1" t="str">
        <f ca="1">VLOOKUP(A688,Import_SuiviGlobal_MigAppliSate!A:I,4,FALSE)</f>
        <v>Coop U Enseigne Ouest</v>
      </c>
      <c r="E688">
        <f ca="1">VLOOKUP(A688,Import_SuiviGlobal_MigAppliSate!A:I,5,FALSE)</f>
        <v>44300</v>
      </c>
      <c r="F688" t="str">
        <f ca="1">VLOOKUP(A688,Import_SuiviGlobal_MigAppliSate!A:I,6,FALSE)</f>
        <v>94 , RUE DE LA BOURGEONNIÈRE</v>
      </c>
      <c r="G688" t="str">
        <f ca="1">VLOOKUP(A688,Import_SuiviGlobal_MigAppliSate!A:I,7,FALSE)</f>
        <v>02.40.76.72.30</v>
      </c>
      <c r="H688" t="str">
        <f ca="1">VLOOKUP(A688,Import_SuiviGlobal_MigAppliSate!A:I,8,FALSE)</f>
        <v>BELAUD RPT CORIDIS Corinne</v>
      </c>
      <c r="I688" t="str">
        <f ca="1">VLOOKUP(A688,Import_SuiviGlobal_MigAppliSate!A:I,9,FALSE)</f>
        <v>corinne.belaud@systeme-u.fr</v>
      </c>
      <c r="J688" s="24" t="str">
        <f ca="1">VLOOKUP(A688,Import_SuiviGlobal_MigAppliSate!A:K,10,FALSE)</f>
        <v/>
      </c>
      <c r="K688" t="str">
        <f ca="1">VLOOKUP(A688,Import_SuiviGlobal_MigAppliSate!A:K,11,FALSE)</f>
        <v/>
      </c>
      <c r="O688" s="1" t="s">
        <v>22</v>
      </c>
    </row>
    <row r="689" spans="1:18" ht="12.75" hidden="1" x14ac:dyDescent="0.2">
      <c r="A689">
        <v>35800</v>
      </c>
      <c r="B689" t="str">
        <f ca="1">VLOOKUP(A689,Import_SuiviGlobal_MigAppliSate!A:I,2,FALSE)</f>
        <v>NANTES SCHUMANN</v>
      </c>
      <c r="C689" t="str">
        <f ca="1">VLOOKUP(A689,Import_SuiviGlobal_MigAppliSate!A:I,3,FALSE)</f>
        <v>U Express</v>
      </c>
      <c r="D689" s="1" t="str">
        <f ca="1">VLOOKUP(A689,Import_SuiviGlobal_MigAppliSate!A:I,4,FALSE)</f>
        <v>Coop U Enseigne Ouest</v>
      </c>
      <c r="E689">
        <f ca="1">VLOOKUP(A689,Import_SuiviGlobal_MigAppliSate!A:I,5,FALSE)</f>
        <v>44000</v>
      </c>
      <c r="F689" t="str">
        <f ca="1">VLOOKUP(A689,Import_SuiviGlobal_MigAppliSate!A:I,6,FALSE)</f>
        <v>100 BOULEVARD SCHUMANN</v>
      </c>
      <c r="G689" t="str">
        <f ca="1">VLOOKUP(A689,Import_SuiviGlobal_MigAppliSate!A:I,7,FALSE)</f>
        <v>02.40.76.41.66</v>
      </c>
      <c r="H689" t="str">
        <f ca="1">VLOOKUP(A689,Import_SuiviGlobal_MigAppliSate!A:I,8,FALSE)</f>
        <v>ALLAIS RPT SARL DVA FINANCES Didier</v>
      </c>
      <c r="I689" t="str">
        <f ca="1">VLOOKUP(A689,Import_SuiviGlobal_MigAppliSate!A:I,9,FALSE)</f>
        <v>mathilde.allais@systeme-u.fr</v>
      </c>
      <c r="J689" s="24" t="str">
        <f ca="1">VLOOKUP(A689,Import_SuiviGlobal_MigAppliSate!A:K,10,FALSE)</f>
        <v>LE BOURNE YANNICK</v>
      </c>
      <c r="K689" t="str">
        <f ca="1">VLOOKUP(A689,Import_SuiviGlobal_MigAppliSate!A:K,11,FALSE)</f>
        <v>uexpress.nantesschuman@systeme-u.fr</v>
      </c>
      <c r="O689" s="1" t="s">
        <v>22</v>
      </c>
    </row>
    <row r="690" spans="1:18" ht="12.75" hidden="1" x14ac:dyDescent="0.2">
      <c r="A690">
        <v>35231</v>
      </c>
      <c r="B690" t="str">
        <f ca="1">VLOOKUP(A690,Import_SuiviGlobal_MigAppliSate!A:I,2,FALSE)</f>
        <v>NANTES ST JACQUES</v>
      </c>
      <c r="C690" t="str">
        <f ca="1">VLOOKUP(A690,Import_SuiviGlobal_MigAppliSate!A:I,3,FALSE)</f>
        <v>Super U</v>
      </c>
      <c r="D690" s="1" t="str">
        <f ca="1">VLOOKUP(A690,Import_SuiviGlobal_MigAppliSate!A:I,4,FALSE)</f>
        <v>Coop U Enseigne Ouest</v>
      </c>
      <c r="E690">
        <f ca="1">VLOOKUP(A690,Import_SuiviGlobal_MigAppliSate!A:I,5,FALSE)</f>
        <v>44200</v>
      </c>
      <c r="F690" t="str">
        <f ca="1">VLOOKUP(A690,Import_SuiviGlobal_MigAppliSate!A:I,6,FALSE)</f>
        <v>75 BD JOLIOT CURIE</v>
      </c>
      <c r="G690" t="str">
        <f ca="1">VLOOKUP(A690,Import_SuiviGlobal_MigAppliSate!A:I,7,FALSE)</f>
        <v>02.40.13.15.25</v>
      </c>
      <c r="H690" t="str">
        <f ca="1">VLOOKUP(A690,Import_SuiviGlobal_MigAppliSate!A:I,8,FALSE)</f>
        <v>GRENON RPT AM FINANCES Sandrine</v>
      </c>
      <c r="I690" t="str">
        <f ca="1">VLOOKUP(A690,Import_SuiviGlobal_MigAppliSate!A:I,9,FALSE)</f>
        <v>sandrine.grenon@systeme-u.fr</v>
      </c>
      <c r="J690" s="24" t="str">
        <f ca="1">VLOOKUP(A690,Import_SuiviGlobal_MigAppliSate!A:K,10,FALSE)</f>
        <v>Odile Pabois
Grenon Sandrine</v>
      </c>
      <c r="K690" t="str">
        <f ca="1">VLOOKUP(A690,Import_SuiviGlobal_MigAppliSate!A:K,11,FALSE)</f>
        <v>sandrine.grenon@systeme-u.fr</v>
      </c>
      <c r="L690" s="1" t="s">
        <v>17</v>
      </c>
      <c r="M690" s="1" t="s">
        <v>24</v>
      </c>
      <c r="N690" s="1" t="s">
        <v>18</v>
      </c>
      <c r="O690" s="1" t="s">
        <v>19</v>
      </c>
      <c r="P690" s="13"/>
      <c r="Q690" s="14"/>
      <c r="R690" s="14"/>
    </row>
    <row r="691" spans="1:18" ht="12.75" hidden="1" x14ac:dyDescent="0.2">
      <c r="A691">
        <v>38139</v>
      </c>
      <c r="B691" t="str">
        <f ca="1">VLOOKUP(A691,Import_SuiviGlobal_MigAppliSate!A:I,2,FALSE)</f>
        <v>NANTIAT</v>
      </c>
      <c r="C691" t="str">
        <f ca="1">VLOOKUP(A691,Import_SuiviGlobal_MigAppliSate!A:I,3,FALSE)</f>
        <v>U Express</v>
      </c>
      <c r="D691" s="1" t="str">
        <f ca="1">VLOOKUP(A691,Import_SuiviGlobal_MigAppliSate!A:I,4,FALSE)</f>
        <v>Coop U Enseigne Ouest</v>
      </c>
      <c r="E691">
        <f ca="1">VLOOKUP(A691,Import_SuiviGlobal_MigAppliSate!A:I,5,FALSE)</f>
        <v>87140</v>
      </c>
      <c r="F691" t="str">
        <f ca="1">VLOOKUP(A691,Import_SuiviGlobal_MigAppliSate!A:I,6,FALSE)</f>
        <v>17, RUE DU COLLÈGE</v>
      </c>
      <c r="G691" t="str">
        <f ca="1">VLOOKUP(A691,Import_SuiviGlobal_MigAppliSate!A:I,7,FALSE)</f>
        <v>05.55.53.53.00</v>
      </c>
      <c r="H691" t="str">
        <f ca="1">VLOOKUP(A691,Import_SuiviGlobal_MigAppliSate!A:I,8,FALSE)</f>
        <v>AUPETIT Nicolas</v>
      </c>
      <c r="I691" t="str">
        <f ca="1">VLOOKUP(A691,Import_SuiviGlobal_MigAppliSate!A:I,9,FALSE)</f>
        <v>nicolas.aupetit@systeme-u.fr</v>
      </c>
      <c r="J691" s="24" t="str">
        <f ca="1">VLOOKUP(A691,Import_SuiviGlobal_MigAppliSate!A:K,10,FALSE)</f>
        <v/>
      </c>
      <c r="K691" t="str">
        <f ca="1">VLOOKUP(A691,Import_SuiviGlobal_MigAppliSate!A:K,11,FALSE)</f>
        <v/>
      </c>
      <c r="O691" s="1" t="s">
        <v>22</v>
      </c>
    </row>
    <row r="692" spans="1:18" ht="12.75" hidden="1" x14ac:dyDescent="0.2">
      <c r="A692">
        <v>90204</v>
      </c>
      <c r="B692" t="str">
        <f ca="1">VLOOKUP(A692,Import_SuiviGlobal_MigAppliSate!A:I,2,FALSE)</f>
        <v>NARBONNE PRIMEVERES</v>
      </c>
      <c r="C692" t="str">
        <f ca="1">VLOOKUP(A692,Import_SuiviGlobal_MigAppliSate!A:I,3,FALSE)</f>
        <v>Utile</v>
      </c>
      <c r="D692" s="1" t="str">
        <f ca="1">VLOOKUP(A692,Import_SuiviGlobal_MigAppliSate!A:I,4,FALSE)</f>
        <v>Coop MISTRAL</v>
      </c>
      <c r="E692">
        <f ca="1">VLOOKUP(A692,Import_SuiviGlobal_MigAppliSate!A:I,5,FALSE)</f>
        <v>11100</v>
      </c>
      <c r="F692" t="str">
        <f ca="1">VLOOKUP(A692,Import_SuiviGlobal_MigAppliSate!A:I,6,FALSE)</f>
        <v>11 RUE DES PRIMEVERES</v>
      </c>
      <c r="G692" t="str">
        <f ca="1">VLOOKUP(A692,Import_SuiviGlobal_MigAppliSate!A:I,7,FALSE)</f>
        <v>0</v>
      </c>
      <c r="H692" t="str">
        <f ca="1">VLOOKUP(A692,Import_SuiviGlobal_MigAppliSate!A:I,8,FALSE)</f>
        <v>MONTAGNE Christophe</v>
      </c>
      <c r="I692" t="str">
        <f ca="1">VLOOKUP(A692,Import_SuiviGlobal_MigAppliSate!A:I,9,FALSE)</f>
        <v/>
      </c>
      <c r="J692" s="24" t="str">
        <f ca="1">VLOOKUP(A692,Import_SuiviGlobal_MigAppliSate!A:K,10,FALSE)</f>
        <v>Mr MONTAGNER</v>
      </c>
      <c r="K692" t="str">
        <f ca="1">VLOOKUP(A692,Import_SuiviGlobal_MigAppliSate!A:K,11,FALSE)</f>
        <v>utile.narbonneprimeveres@mistral-u.fr</v>
      </c>
      <c r="O692" s="1" t="s">
        <v>22</v>
      </c>
    </row>
    <row r="693" spans="1:18" ht="12.75" hidden="1" x14ac:dyDescent="0.2">
      <c r="A693">
        <v>96419</v>
      </c>
      <c r="B693" t="str">
        <f ca="1">VLOOKUP(A693,Import_SuiviGlobal_MigAppliSate!A:I,2,FALSE)</f>
        <v>NEGREPELISSE</v>
      </c>
      <c r="C693" t="str">
        <f ca="1">VLOOKUP(A693,Import_SuiviGlobal_MigAppliSate!A:I,3,FALSE)</f>
        <v>Super U</v>
      </c>
      <c r="D693" s="1" t="str">
        <f ca="1">VLOOKUP(A693,Import_SuiviGlobal_MigAppliSate!A:I,4,FALSE)</f>
        <v>Coop U Enseigne Sud</v>
      </c>
      <c r="E693">
        <f ca="1">VLOOKUP(A693,Import_SuiviGlobal_MigAppliSate!A:I,5,FALSE)</f>
        <v>82800</v>
      </c>
      <c r="F693" t="str">
        <f ca="1">VLOOKUP(A693,Import_SuiviGlobal_MigAppliSate!A:I,6,FALSE)</f>
        <v>Lieu dit NAFINE ZI DU PORT</v>
      </c>
      <c r="G693" t="str">
        <f ca="1">VLOOKUP(A693,Import_SuiviGlobal_MigAppliSate!A:I,7,FALSE)</f>
        <v>05.63.64.27.44</v>
      </c>
      <c r="H693" t="str">
        <f ca="1">VLOOKUP(A693,Import_SuiviGlobal_MigAppliSate!A:I,8,FALSE)</f>
        <v>JOCQUEVIEL Jean</v>
      </c>
      <c r="I693" t="str">
        <f ca="1">VLOOKUP(A693,Import_SuiviGlobal_MigAppliSate!A:I,9,FALSE)</f>
        <v>vincent.jocqueviel@systeme-u.fr</v>
      </c>
      <c r="J693" s="24" t="str">
        <f ca="1">VLOOKUP(A693,Import_SuiviGlobal_MigAppliSate!A:K,10,FALSE)</f>
        <v>JOCQUEVIEL Vincent</v>
      </c>
      <c r="K693" t="str">
        <f ca="1">VLOOKUP(A693,Import_SuiviGlobal_MigAppliSate!A:K,11,FALSE)</f>
        <v xml:space="preserve">vincent.jocqueviel@systeme-u.fr </v>
      </c>
      <c r="O693" s="1" t="s">
        <v>22</v>
      </c>
    </row>
    <row r="694" spans="1:18" ht="12.75" hidden="1" x14ac:dyDescent="0.2">
      <c r="A694">
        <v>33271</v>
      </c>
      <c r="B694" t="str">
        <f ca="1">VLOOKUP(A694,Import_SuiviGlobal_MigAppliSate!A:I,2,FALSE)</f>
        <v>NEUILLE-PONT-PIERRE</v>
      </c>
      <c r="C694" t="str">
        <f ca="1">VLOOKUP(A694,Import_SuiviGlobal_MigAppliSate!A:I,3,FALSE)</f>
        <v>Super U</v>
      </c>
      <c r="D694" s="1" t="str">
        <f ca="1">VLOOKUP(A694,Import_SuiviGlobal_MigAppliSate!A:I,4,FALSE)</f>
        <v>Coop U Enseigne Ouest</v>
      </c>
      <c r="E694">
        <f ca="1">VLOOKUP(A694,Import_SuiviGlobal_MigAppliSate!A:I,5,FALSE)</f>
        <v>37360</v>
      </c>
      <c r="F694" t="str">
        <f ca="1">VLOOKUP(A694,Import_SuiviGlobal_MigAppliSate!A:I,6,FALSE)</f>
        <v>CENTRE COMMERCIAL DE L'HIPPODROME</v>
      </c>
      <c r="G694" t="str">
        <f ca="1">VLOOKUP(A694,Import_SuiviGlobal_MigAppliSate!A:I,7,FALSE)</f>
        <v>02.47.24.32.70</v>
      </c>
      <c r="H694" t="str">
        <f ca="1">VLOOKUP(A694,Import_SuiviGlobal_MigAppliSate!A:I,8,FALSE)</f>
        <v>MARCHESSEAU RPT SARL SEMAFI Manuel</v>
      </c>
      <c r="I694" t="str">
        <f ca="1">VLOOKUP(A694,Import_SuiviGlobal_MigAppliSate!A:I,9,FALSE)</f>
        <v>manuel.marchesseau@systeme-u.fr</v>
      </c>
      <c r="J694" s="24" t="str">
        <f ca="1">VLOOKUP(A694,Import_SuiviGlobal_MigAppliSate!A:K,10,FALSE)</f>
        <v>Mr Wolff (directeur)</v>
      </c>
      <c r="K694" t="str">
        <f ca="1">VLOOKUP(A694,Import_SuiviGlobal_MigAppliSate!A:K,11,FALSE)</f>
        <v>superu.neuillepontpierre.direction@systeme-u.fr</v>
      </c>
      <c r="O694" s="1" t="s">
        <v>22</v>
      </c>
    </row>
    <row r="695" spans="1:18" ht="12.75" hidden="1" x14ac:dyDescent="0.2">
      <c r="A695">
        <v>23824</v>
      </c>
      <c r="B695" t="str">
        <f ca="1">VLOOKUP(A695,Import_SuiviGlobal_MigAppliSate!A:I,2,FALSE)</f>
        <v>NEUILLY S/M</v>
      </c>
      <c r="C695" t="str">
        <f ca="1">VLOOKUP(A695,Import_SuiviGlobal_MigAppliSate!A:I,3,FALSE)</f>
        <v>Hyper U</v>
      </c>
      <c r="D695" s="1" t="str">
        <f ca="1">VLOOKUP(A695,Import_SuiviGlobal_MigAppliSate!A:I,4,FALSE)</f>
        <v>Coop U Enseigne NordOuest</v>
      </c>
      <c r="E695">
        <f ca="1">VLOOKUP(A695,Import_SuiviGlobal_MigAppliSate!A:I,5,FALSE)</f>
        <v>93330</v>
      </c>
      <c r="F695" t="str">
        <f ca="1">VLOOKUP(A695,Import_SuiviGlobal_MigAppliSate!A:I,6,FALSE)</f>
        <v>25 AVENUE JEAN JAURES</v>
      </c>
      <c r="G695" t="str">
        <f ca="1">VLOOKUP(A695,Import_SuiviGlobal_MigAppliSate!A:I,7,FALSE)</f>
        <v>01.43.09.40.40</v>
      </c>
      <c r="H695" t="str">
        <f ca="1">VLOOKUP(A695,Import_SuiviGlobal_MigAppliSate!A:I,8,FALSE)</f>
        <v>BOUCLET Bruno</v>
      </c>
      <c r="I695" t="str">
        <f ca="1">VLOOKUP(A695,Import_SuiviGlobal_MigAppliSate!A:I,9,FALSE)</f>
        <v>bruno.bouclet@systeme-u.fr</v>
      </c>
      <c r="J695" s="24" t="str">
        <f ca="1">VLOOKUP(A695,Import_SuiviGlobal_MigAppliSate!A:K,10,FALSE)</f>
        <v>LEMAIRE Sandrine</v>
      </c>
      <c r="K695" t="str">
        <f ca="1">VLOOKUP(A695,Import_SuiviGlobal_MigAppliSate!A:K,11,FALSE)</f>
        <v>sandrine.lemaire@systeme-u.fr</v>
      </c>
      <c r="O695" s="1" t="s">
        <v>22</v>
      </c>
    </row>
    <row r="696" spans="1:18" ht="12.75" hidden="1" x14ac:dyDescent="0.2">
      <c r="A696">
        <v>23654</v>
      </c>
      <c r="B696" t="str">
        <f ca="1">VLOOKUP(A696,Import_SuiviGlobal_MigAppliSate!A:I,2,FALSE)</f>
        <v>NEUILLY S/M PATINOIRE</v>
      </c>
      <c r="C696" t="str">
        <f ca="1">VLOOKUP(A696,Import_SuiviGlobal_MigAppliSate!A:I,3,FALSE)</f>
        <v>U Express</v>
      </c>
      <c r="D696" s="1" t="str">
        <f ca="1">VLOOKUP(A696,Import_SuiviGlobal_MigAppliSate!A:I,4,FALSE)</f>
        <v>Coop U Enseigne NordOuest</v>
      </c>
      <c r="E696">
        <f ca="1">VLOOKUP(A696,Import_SuiviGlobal_MigAppliSate!A:I,5,FALSE)</f>
        <v>93330</v>
      </c>
      <c r="F696" t="str">
        <f ca="1">VLOOKUP(A696,Import_SuiviGlobal_MigAppliSate!A:I,6,FALSE)</f>
        <v>CENTRE COMMERCIAL DE LA PATINOIRE</v>
      </c>
      <c r="G696" t="str">
        <f ca="1">VLOOKUP(A696,Import_SuiviGlobal_MigAppliSate!A:I,7,FALSE)</f>
        <v>01.43.00.82.55</v>
      </c>
      <c r="H696" t="str">
        <f ca="1">VLOOKUP(A696,Import_SuiviGlobal_MigAppliSate!A:I,8,FALSE)</f>
        <v>DANIEL Raphaël</v>
      </c>
      <c r="I696" t="str">
        <f ca="1">VLOOKUP(A696,Import_SuiviGlobal_MigAppliSate!A:I,9,FALSE)</f>
        <v>raphael.daniel@systeme-u.fr</v>
      </c>
      <c r="J696" s="24" t="str">
        <f ca="1">VLOOKUP(A696,Import_SuiviGlobal_MigAppliSate!A:K,10,FALSE)</f>
        <v>Cuznir Olga</v>
      </c>
      <c r="K696" t="str">
        <f ca="1">VLOOKUP(A696,Import_SuiviGlobal_MigAppliSate!A:K,11,FALSE)</f>
        <v>uexpress.neuillysurmarne@systeme-u.fr</v>
      </c>
      <c r="O696" s="1" t="s">
        <v>22</v>
      </c>
    </row>
    <row r="697" spans="1:18" ht="12.75" hidden="1" x14ac:dyDescent="0.2">
      <c r="A697">
        <v>23883</v>
      </c>
      <c r="B697" t="str">
        <f ca="1">VLOOKUP(A697,Import_SuiviGlobal_MigAppliSate!A:I,2,FALSE)</f>
        <v>NEUILLY SUR SEINE</v>
      </c>
      <c r="C697" t="str">
        <f ca="1">VLOOKUP(A697,Import_SuiviGlobal_MigAppliSate!A:I,3,FALSE)</f>
        <v>U Express</v>
      </c>
      <c r="D697" s="1" t="str">
        <f ca="1">VLOOKUP(A697,Import_SuiviGlobal_MigAppliSate!A:I,4,FALSE)</f>
        <v>Coop U Enseigne NordOuest</v>
      </c>
      <c r="E697">
        <f ca="1">VLOOKUP(A697,Import_SuiviGlobal_MigAppliSate!A:I,5,FALSE)</f>
        <v>92200</v>
      </c>
      <c r="F697" t="str">
        <f ca="1">VLOOKUP(A697,Import_SuiviGlobal_MigAppliSate!A:I,6,FALSE)</f>
        <v>83 AVENUE DU ROULE</v>
      </c>
      <c r="G697" t="str">
        <f ca="1">VLOOKUP(A697,Import_SuiviGlobal_MigAppliSate!A:I,7,FALSE)</f>
        <v>01.47.38.27.62</v>
      </c>
      <c r="H697" t="str">
        <f ca="1">VLOOKUP(A697,Import_SuiviGlobal_MigAppliSate!A:I,8,FALSE)</f>
        <v>LEVY Sacha</v>
      </c>
      <c r="I697" t="str">
        <f ca="1">VLOOKUP(A697,Import_SuiviGlobal_MigAppliSate!A:I,9,FALSE)</f>
        <v>sacha.levy@systeme-u.fr</v>
      </c>
      <c r="J697" s="24" t="str">
        <f ca="1">VLOOKUP(A697,Import_SuiviGlobal_MigAppliSate!A:K,10,FALSE)</f>
        <v/>
      </c>
      <c r="K697" t="str">
        <f ca="1">VLOOKUP(A697,Import_SuiviGlobal_MigAppliSate!A:K,11,FALSE)</f>
        <v>uexpress.neuillysurseine@systeme-u.fr</v>
      </c>
      <c r="O697" s="1" t="s">
        <v>22</v>
      </c>
    </row>
    <row r="698" spans="1:18" ht="12.75" hidden="1" x14ac:dyDescent="0.2">
      <c r="A698">
        <v>32100</v>
      </c>
      <c r="B698" t="str">
        <f ca="1">VLOOKUP(A698,Import_SuiviGlobal_MigAppliSate!A:I,2,FALSE)</f>
        <v>NEUVILLE DE POITOU</v>
      </c>
      <c r="C698" t="str">
        <f ca="1">VLOOKUP(A698,Import_SuiviGlobal_MigAppliSate!A:I,3,FALSE)</f>
        <v>Super U</v>
      </c>
      <c r="D698" s="1" t="str">
        <f ca="1">VLOOKUP(A698,Import_SuiviGlobal_MigAppliSate!A:I,4,FALSE)</f>
        <v>Coop U Enseigne Ouest</v>
      </c>
      <c r="E698">
        <f ca="1">VLOOKUP(A698,Import_SuiviGlobal_MigAppliSate!A:I,5,FALSE)</f>
        <v>86170</v>
      </c>
      <c r="F698" t="str">
        <f ca="1">VLOOKUP(A698,Import_SuiviGlobal_MigAppliSate!A:I,6,FALSE)</f>
        <v>41 ALLEE JEAN MONNET</v>
      </c>
      <c r="G698" t="str">
        <f ca="1">VLOOKUP(A698,Import_SuiviGlobal_MigAppliSate!A:I,7,FALSE)</f>
        <v>05.49.54.53.64</v>
      </c>
      <c r="H698" t="str">
        <f ca="1">VLOOKUP(A698,Import_SuiviGlobal_MigAppliSate!A:I,8,FALSE)</f>
        <v>DALLIER Patrice</v>
      </c>
      <c r="I698" t="str">
        <f ca="1">VLOOKUP(A698,Import_SuiviGlobal_MigAppliSate!A:I,9,FALSE)</f>
        <v>patrice.dallier@systeme-u.fr</v>
      </c>
      <c r="J698" s="24" t="str">
        <f ca="1">VLOOKUP(A698,Import_SuiviGlobal_MigAppliSate!A:K,10,FALSE)</f>
        <v xml:space="preserve">Cindy </v>
      </c>
      <c r="K698" t="str">
        <f ca="1">VLOOKUP(A698,Import_SuiviGlobal_MigAppliSate!A:K,11,FALSE)</f>
        <v>superu.neuvilledepoitou.affichage@systeme-u.fr</v>
      </c>
      <c r="O698" s="1" t="s">
        <v>22</v>
      </c>
    </row>
    <row r="699" spans="1:18" ht="12.75" hidden="1" x14ac:dyDescent="0.2">
      <c r="A699">
        <v>25789</v>
      </c>
      <c r="B699" t="str">
        <f ca="1">VLOOKUP(A699,Import_SuiviGlobal_MigAppliSate!A:I,2,FALSE)</f>
        <v>NEUVILLE FERRIERES</v>
      </c>
      <c r="C699" t="str">
        <f ca="1">VLOOKUP(A699,Import_SuiviGlobal_MigAppliSate!A:I,3,FALSE)</f>
        <v>Super U</v>
      </c>
      <c r="D699" s="1" t="str">
        <f ca="1">VLOOKUP(A699,Import_SuiviGlobal_MigAppliSate!A:I,4,FALSE)</f>
        <v>Coop U Enseigne NordOuest</v>
      </c>
      <c r="E699">
        <f ca="1">VLOOKUP(A699,Import_SuiviGlobal_MigAppliSate!A:I,5,FALSE)</f>
        <v>76270</v>
      </c>
      <c r="F699" t="str">
        <f ca="1">VLOOKUP(A699,Import_SuiviGlobal_MigAppliSate!A:I,6,FALSE)</f>
        <v>DEPARTEMENTALE 1314</v>
      </c>
      <c r="G699" t="str">
        <f ca="1">VLOOKUP(A699,Import_SuiviGlobal_MigAppliSate!A:I,7,FALSE)</f>
        <v>02.35.94.04.34</v>
      </c>
      <c r="H699" t="str">
        <f ca="1">VLOOKUP(A699,Import_SuiviGlobal_MigAppliSate!A:I,8,FALSE)</f>
        <v>DIERICK (SUNO) Sébastien</v>
      </c>
      <c r="I699" t="str">
        <f ca="1">VLOOKUP(A699,Import_SuiviGlobal_MigAppliSate!A:I,9,FALSE)</f>
        <v>sebastien.dierick@systeme-u.fr</v>
      </c>
      <c r="J699" s="24" t="str">
        <f ca="1">VLOOKUP(A699,Import_SuiviGlobal_MigAppliSate!A:K,10,FALSE)</f>
        <v>Roland HENRY</v>
      </c>
      <c r="K699" t="str">
        <f ca="1">VLOOKUP(A699,Import_SuiviGlobal_MigAppliSate!A:K,11,FALSE)</f>
        <v>roland.henry@systeme-u.fr</v>
      </c>
      <c r="O699" s="1" t="s">
        <v>22</v>
      </c>
    </row>
    <row r="700" spans="1:18" ht="12.75" hidden="1" x14ac:dyDescent="0.2">
      <c r="A700">
        <v>31198</v>
      </c>
      <c r="B700" t="str">
        <f ca="1">VLOOKUP(A700,Import_SuiviGlobal_MigAppliSate!A:I,2,FALSE)</f>
        <v>NEUVILLE-AUX-BOIS</v>
      </c>
      <c r="C700" t="str">
        <f ca="1">VLOOKUP(A700,Import_SuiviGlobal_MigAppliSate!A:I,3,FALSE)</f>
        <v>Super U</v>
      </c>
      <c r="D700" s="1" t="str">
        <f ca="1">VLOOKUP(A700,Import_SuiviGlobal_MigAppliSate!A:I,4,FALSE)</f>
        <v>Coop U Enseigne Ouest</v>
      </c>
      <c r="E700">
        <f ca="1">VLOOKUP(A700,Import_SuiviGlobal_MigAppliSate!A:I,5,FALSE)</f>
        <v>45170</v>
      </c>
      <c r="F700" t="str">
        <f ca="1">VLOOKUP(A700,Import_SuiviGlobal_MigAppliSate!A:I,6,FALSE)</f>
        <v>RUE DE MONTFORT</v>
      </c>
      <c r="G700" t="str">
        <f ca="1">VLOOKUP(A700,Import_SuiviGlobal_MigAppliSate!A:I,7,FALSE)</f>
        <v>02.38.91.83.87</v>
      </c>
      <c r="H700" t="str">
        <f ca="1">VLOOKUP(A700,Import_SuiviGlobal_MigAppliSate!A:I,8,FALSE)</f>
        <v>DESHAYES RPT SAS DESHAYES Philippe</v>
      </c>
      <c r="I700" t="str">
        <f ca="1">VLOOKUP(A700,Import_SuiviGlobal_MigAppliSate!A:I,9,FALSE)</f>
        <v>philippe.deshayes@systeme-u.fr</v>
      </c>
      <c r="J700" s="24" t="str">
        <f ca="1">VLOOKUP(A700,Import_SuiviGlobal_MigAppliSate!A:K,10,FALSE)</f>
        <v>DESHAYES Edouard
Mme Alluard (UPLV)</v>
      </c>
      <c r="K700" t="str">
        <f ca="1">VLOOKUP(A700,Import_SuiviGlobal_MigAppliSate!A:K,11,FALSE)</f>
        <v>edouard.deshayes@systeme-u.fr, superu.neuvilleauxbois.affichage@systeme-u.fr</v>
      </c>
      <c r="O700" s="1" t="s">
        <v>22</v>
      </c>
    </row>
    <row r="701" spans="1:18" ht="12.75" hidden="1" x14ac:dyDescent="0.2">
      <c r="A701">
        <v>39819</v>
      </c>
      <c r="B701" t="str">
        <f ca="1">VLOOKUP(A701,Import_SuiviGlobal_MigAppliSate!A:I,2,FALSE)</f>
        <v>NEUVY-ST-SEPULCHRE</v>
      </c>
      <c r="C701" t="str">
        <f ca="1">VLOOKUP(A701,Import_SuiviGlobal_MigAppliSate!A:I,3,FALSE)</f>
        <v>U Express</v>
      </c>
      <c r="D701" s="1" t="str">
        <f ca="1">VLOOKUP(A701,Import_SuiviGlobal_MigAppliSate!A:I,4,FALSE)</f>
        <v>Coop U Enseigne Ouest</v>
      </c>
      <c r="E701">
        <f ca="1">VLOOKUP(A701,Import_SuiviGlobal_MigAppliSate!A:I,5,FALSE)</f>
        <v>36230</v>
      </c>
      <c r="F701" t="str">
        <f ca="1">VLOOKUP(A701,Import_SuiviGlobal_MigAppliSate!A:I,6,FALSE)</f>
        <v>Z.A LE FAY</v>
      </c>
      <c r="G701" t="str">
        <f ca="1">VLOOKUP(A701,Import_SuiviGlobal_MigAppliSate!A:I,7,FALSE)</f>
        <v>02.54.30.87.99</v>
      </c>
      <c r="H701" t="str">
        <f ca="1">VLOOKUP(A701,Import_SuiviGlobal_MigAppliSate!A:I,8,FALSE)</f>
        <v>HERVE Gaétan</v>
      </c>
      <c r="I701" t="str">
        <f ca="1">VLOOKUP(A701,Import_SuiviGlobal_MigAppliSate!A:I,9,FALSE)</f>
        <v>gaetan.herve@systeme-u.fr</v>
      </c>
      <c r="J701" s="24" t="str">
        <f ca="1">VLOOKUP(A701,Import_SuiviGlobal_MigAppliSate!A:K,10,FALSE)</f>
        <v>BERTHELOT Steve</v>
      </c>
      <c r="K701" t="str">
        <f ca="1">VLOOKUP(A701,Import_SuiviGlobal_MigAppliSate!A:K,11,FALSE)</f>
        <v>berthelot.steve36@gmail.com</v>
      </c>
      <c r="O701" s="1" t="s">
        <v>22</v>
      </c>
    </row>
    <row r="702" spans="1:18" ht="12.75" hidden="1" x14ac:dyDescent="0.2">
      <c r="A702">
        <v>35495</v>
      </c>
      <c r="B702" t="str">
        <f ca="1">VLOOKUP(A702,Import_SuiviGlobal_MigAppliSate!A:I,2,FALSE)</f>
        <v>NEXON</v>
      </c>
      <c r="C702" t="str">
        <f ca="1">VLOOKUP(A702,Import_SuiviGlobal_MigAppliSate!A:I,3,FALSE)</f>
        <v>Super U</v>
      </c>
      <c r="D702" s="1" t="str">
        <f ca="1">VLOOKUP(A702,Import_SuiviGlobal_MigAppliSate!A:I,4,FALSE)</f>
        <v>Coop U Enseigne Ouest</v>
      </c>
      <c r="E702">
        <f ca="1">VLOOKUP(A702,Import_SuiviGlobal_MigAppliSate!A:I,5,FALSE)</f>
        <v>87800</v>
      </c>
      <c r="F702" t="str">
        <f ca="1">VLOOKUP(A702,Import_SuiviGlobal_MigAppliSate!A:I,6,FALSE)</f>
        <v>ROUTE DE LA MEYZE</v>
      </c>
      <c r="G702" t="str">
        <f ca="1">VLOOKUP(A702,Import_SuiviGlobal_MigAppliSate!A:I,7,FALSE)</f>
        <v>05.55.58.32.32</v>
      </c>
      <c r="H702" t="str">
        <f ca="1">VLOOKUP(A702,Import_SuiviGlobal_MigAppliSate!A:I,8,FALSE)</f>
        <v>ONILLION Guillaume</v>
      </c>
      <c r="I702" t="str">
        <f ca="1">VLOOKUP(A702,Import_SuiviGlobal_MigAppliSate!A:I,9,FALSE)</f>
        <v>guillaume.onillion@systeme-u.fr</v>
      </c>
      <c r="J702" s="24" t="str">
        <f ca="1">VLOOKUP(A702,Import_SuiviGlobal_MigAppliSate!A:K,10,FALSE)</f>
        <v>BUISSON Laurence</v>
      </c>
      <c r="K702" t="str">
        <f ca="1">VLOOKUP(A702,Import_SuiviGlobal_MigAppliSate!A:K,11,FALSE)</f>
        <v>superu.nexon.compta@systeme-u.fr</v>
      </c>
      <c r="O702" s="1" t="s">
        <v>22</v>
      </c>
    </row>
    <row r="703" spans="1:18" ht="12.75" hidden="1" x14ac:dyDescent="0.2">
      <c r="A703">
        <v>90725</v>
      </c>
      <c r="B703" t="str">
        <f ca="1">VLOOKUP(A703,Import_SuiviGlobal_MigAppliSate!A:I,2,FALSE)</f>
        <v>NICE ALPES</v>
      </c>
      <c r="C703" t="str">
        <f ca="1">VLOOKUP(A703,Import_SuiviGlobal_MigAppliSate!A:I,3,FALSE)</f>
        <v>U Express</v>
      </c>
      <c r="D703" s="1" t="str">
        <f ca="1">VLOOKUP(A703,Import_SuiviGlobal_MigAppliSate!A:I,4,FALSE)</f>
        <v>Coop MISTRAL</v>
      </c>
      <c r="E703">
        <f ca="1">VLOOKUP(A703,Import_SuiviGlobal_MigAppliSate!A:I,5,FALSE)</f>
        <v>6300</v>
      </c>
      <c r="F703" t="str">
        <f ca="1">VLOOKUP(A703,Import_SuiviGlobal_MigAppliSate!A:I,6,FALSE)</f>
        <v>13 BD ARMEE DES ALPES</v>
      </c>
      <c r="G703" t="str">
        <f ca="1">VLOOKUP(A703,Import_SuiviGlobal_MigAppliSate!A:I,7,FALSE)</f>
        <v>04.93.31.88.91</v>
      </c>
      <c r="H703" t="str">
        <f ca="1">VLOOKUP(A703,Import_SuiviGlobal_MigAppliSate!A:I,8,FALSE)</f>
        <v>DEJONCKHEERE Fabien</v>
      </c>
      <c r="I703" t="str">
        <f ca="1">VLOOKUP(A703,Import_SuiviGlobal_MigAppliSate!A:I,9,FALSE)</f>
        <v/>
      </c>
      <c r="J703" s="24" t="str">
        <f ca="1">VLOOKUP(A703,Import_SuiviGlobal_MigAppliSate!A:K,10,FALSE)</f>
        <v/>
      </c>
      <c r="K703" t="str">
        <f ca="1">VLOOKUP(A703,Import_SuiviGlobal_MigAppliSate!A:K,11,FALSE)</f>
        <v>delphine.damian@lemistral.fr,helene.mina@lemistral.fr</v>
      </c>
      <c r="O703" s="1" t="s">
        <v>22</v>
      </c>
    </row>
    <row r="704" spans="1:18" ht="12.75" hidden="1" x14ac:dyDescent="0.2">
      <c r="A704">
        <v>90622</v>
      </c>
      <c r="B704" t="str">
        <f ca="1">VLOOKUP(A704,Import_SuiviGlobal_MigAppliSate!A:I,2,FALSE)</f>
        <v>NICE BAQUIS</v>
      </c>
      <c r="C704" t="str">
        <f ca="1">VLOOKUP(A704,Import_SuiviGlobal_MigAppliSate!A:I,3,FALSE)</f>
        <v>U Express</v>
      </c>
      <c r="D704" s="1" t="str">
        <f ca="1">VLOOKUP(A704,Import_SuiviGlobal_MigAppliSate!A:I,4,FALSE)</f>
        <v>Coop MISTRAL</v>
      </c>
      <c r="E704">
        <f ca="1">VLOOKUP(A704,Import_SuiviGlobal_MigAppliSate!A:I,5,FALSE)</f>
        <v>6000</v>
      </c>
      <c r="F704" t="str">
        <f ca="1">VLOOKUP(A704,Import_SuiviGlobal_MigAppliSate!A:I,6,FALSE)</f>
        <v>11 RUE BAQUIS</v>
      </c>
      <c r="G704" t="str">
        <f ca="1">VLOOKUP(A704,Import_SuiviGlobal_MigAppliSate!A:I,7,FALSE)</f>
        <v>04.93.87.49.53</v>
      </c>
      <c r="H704" t="str">
        <f ca="1">VLOOKUP(A704,Import_SuiviGlobal_MigAppliSate!A:I,8,FALSE)</f>
        <v>POULAIN Stephane</v>
      </c>
      <c r="I704" t="str">
        <f ca="1">VLOOKUP(A704,Import_SuiviGlobal_MigAppliSate!A:I,9,FALSE)</f>
        <v/>
      </c>
      <c r="J704" s="24" t="str">
        <f ca="1">VLOOKUP(A704,Import_SuiviGlobal_MigAppliSate!A:K,10,FALSE)</f>
        <v/>
      </c>
      <c r="K704" t="str">
        <f ca="1">VLOOKUP(A704,Import_SuiviGlobal_MigAppliSate!A:K,11,FALSE)</f>
        <v>delphine.damian@lemistral.fr,helene.mina@lemistral.fr</v>
      </c>
      <c r="O704" s="1" t="s">
        <v>22</v>
      </c>
    </row>
    <row r="705" spans="1:15" ht="12.75" hidden="1" x14ac:dyDescent="0.2">
      <c r="A705">
        <v>90515</v>
      </c>
      <c r="B705" t="str">
        <f ca="1">VLOOKUP(A705,Import_SuiviGlobal_MigAppliSate!A:I,2,FALSE)</f>
        <v>NICE DUNANT</v>
      </c>
      <c r="C705" t="str">
        <f ca="1">VLOOKUP(A705,Import_SuiviGlobal_MigAppliSate!A:I,3,FALSE)</f>
        <v>U Express</v>
      </c>
      <c r="D705" s="1" t="str">
        <f ca="1">VLOOKUP(A705,Import_SuiviGlobal_MigAppliSate!A:I,4,FALSE)</f>
        <v>Coop U Enseigne Sud</v>
      </c>
      <c r="E705">
        <f ca="1">VLOOKUP(A705,Import_SuiviGlobal_MigAppliSate!A:I,5,FALSE)</f>
        <v>6000</v>
      </c>
      <c r="F705" t="str">
        <f ca="1">VLOOKUP(A705,Import_SuiviGlobal_MigAppliSate!A:I,6,FALSE)</f>
        <v>106 AVENUE HENRI DUNANT</v>
      </c>
      <c r="G705" t="str">
        <f ca="1">VLOOKUP(A705,Import_SuiviGlobal_MigAppliSate!A:I,7,FALSE)</f>
        <v>04.92.07.04.85</v>
      </c>
      <c r="H705" t="str">
        <f ca="1">VLOOKUP(A705,Import_SuiviGlobal_MigAppliSate!A:I,8,FALSE)</f>
        <v>CHAMBELLANT Jean Claude</v>
      </c>
      <c r="I705" t="str">
        <f ca="1">VLOOKUP(A705,Import_SuiviGlobal_MigAppliSate!A:I,9,FALSE)</f>
        <v>jean-claude.chambellant@systeme-u.fr</v>
      </c>
      <c r="J705" s="24" t="str">
        <f ca="1">VLOOKUP(A705,Import_SuiviGlobal_MigAppliSate!A:K,10,FALSE)</f>
        <v>Alexandre Chambellant</v>
      </c>
      <c r="K705" t="str">
        <f ca="1">VLOOKUP(A705,Import_SuiviGlobal_MigAppliSate!A:K,11,FALSE)</f>
        <v/>
      </c>
      <c r="O705" s="1" t="s">
        <v>22</v>
      </c>
    </row>
    <row r="706" spans="1:15" ht="12.75" hidden="1" x14ac:dyDescent="0.2">
      <c r="A706">
        <v>90540</v>
      </c>
      <c r="B706" t="str">
        <f ca="1">VLOOKUP(A706,Import_SuiviGlobal_MigAppliSate!A:I,2,FALSE)</f>
        <v>NICE FRANCE</v>
      </c>
      <c r="C706" t="str">
        <f ca="1">VLOOKUP(A706,Import_SuiviGlobal_MigAppliSate!A:I,3,FALSE)</f>
        <v>U Express</v>
      </c>
      <c r="D706" s="1" t="str">
        <f ca="1">VLOOKUP(A706,Import_SuiviGlobal_MigAppliSate!A:I,4,FALSE)</f>
        <v>Coop U Enseigne Sud</v>
      </c>
      <c r="E706">
        <f ca="1">VLOOKUP(A706,Import_SuiviGlobal_MigAppliSate!A:I,5,FALSE)</f>
        <v>6000</v>
      </c>
      <c r="F706" t="str">
        <f ca="1">VLOOKUP(A706,Import_SuiviGlobal_MigAppliSate!A:I,6,FALSE)</f>
        <v>85-87 RUE DE FRANCE</v>
      </c>
      <c r="G706" t="str">
        <f ca="1">VLOOKUP(A706,Import_SuiviGlobal_MigAppliSate!A:I,7,FALSE)</f>
        <v>04.92.00.91.30</v>
      </c>
      <c r="H706" t="str">
        <f ca="1">VLOOKUP(A706,Import_SuiviGlobal_MigAppliSate!A:I,8,FALSE)</f>
        <v>BOURASSIN BENOIT</v>
      </c>
      <c r="I706" t="str">
        <f ca="1">VLOOKUP(A706,Import_SuiviGlobal_MigAppliSate!A:I,9,FALSE)</f>
        <v>benoit.bourassin@systeme-u.fr</v>
      </c>
      <c r="J706" s="24" t="str">
        <f ca="1">VLOOKUP(A706,Import_SuiviGlobal_MigAppliSate!A:K,10,FALSE)</f>
        <v>M Blachère Arnaud</v>
      </c>
      <c r="K706" t="str">
        <f ca="1">VLOOKUP(A706,Import_SuiviGlobal_MigAppliSate!A:K,11,FALSE)</f>
        <v>uexpress.nicefrance@systeme-u.fr</v>
      </c>
      <c r="O706" s="1" t="s">
        <v>22</v>
      </c>
    </row>
    <row r="707" spans="1:15" ht="12.75" hidden="1" x14ac:dyDescent="0.2">
      <c r="A707">
        <v>90438</v>
      </c>
      <c r="B707" t="str">
        <f ca="1">VLOOKUP(A707,Import_SuiviGlobal_MigAppliSate!A:I,2,FALSE)</f>
        <v>NICE MADELEINE</v>
      </c>
      <c r="C707" t="str">
        <f ca="1">VLOOKUP(A707,Import_SuiviGlobal_MigAppliSate!A:I,3,FALSE)</f>
        <v>Super U</v>
      </c>
      <c r="D707" s="1" t="str">
        <f ca="1">VLOOKUP(A707,Import_SuiviGlobal_MigAppliSate!A:I,4,FALSE)</f>
        <v>Coop U Enseigne Sud</v>
      </c>
      <c r="E707">
        <f ca="1">VLOOKUP(A707,Import_SuiviGlobal_MigAppliSate!A:I,5,FALSE)</f>
        <v>6000</v>
      </c>
      <c r="F707" t="str">
        <f ca="1">VLOOKUP(A707,Import_SuiviGlobal_MigAppliSate!A:I,6,FALSE)</f>
        <v>85 BD DE LA MADELEINE</v>
      </c>
      <c r="G707" t="str">
        <f ca="1">VLOOKUP(A707,Import_SuiviGlobal_MigAppliSate!A:I,7,FALSE)</f>
        <v>04.92.15.90.00</v>
      </c>
      <c r="H707" t="str">
        <f ca="1">VLOOKUP(A707,Import_SuiviGlobal_MigAppliSate!A:I,8,FALSE)</f>
        <v>GANAYE Jean-Michel</v>
      </c>
      <c r="I707" t="str">
        <f ca="1">VLOOKUP(A707,Import_SuiviGlobal_MigAppliSate!A:I,9,FALSE)</f>
        <v>jean-michel.ganaye@systeme-u.fr</v>
      </c>
      <c r="J707" s="24" t="str">
        <f ca="1">VLOOKUP(A707,Import_SuiviGlobal_MigAppliSate!A:K,10,FALSE)</f>
        <v>GANAYE GREGORY</v>
      </c>
      <c r="K707" t="str">
        <f ca="1">VLOOKUP(A707,Import_SuiviGlobal_MigAppliSate!A:K,11,FALSE)</f>
        <v>gregory.ganaye@systeme-u.fr</v>
      </c>
      <c r="O707" s="1" t="s">
        <v>22</v>
      </c>
    </row>
    <row r="708" spans="1:15" ht="12.75" hidden="1" x14ac:dyDescent="0.2">
      <c r="A708">
        <v>90490</v>
      </c>
      <c r="B708" t="str">
        <f ca="1">VLOOKUP(A708,Import_SuiviGlobal_MigAppliSate!A:I,2,FALSE)</f>
        <v>NICE MARGUERITE</v>
      </c>
      <c r="C708" t="str">
        <f ca="1">VLOOKUP(A708,Import_SuiviGlobal_MigAppliSate!A:I,3,FALSE)</f>
        <v>U Express</v>
      </c>
      <c r="D708" s="1" t="str">
        <f ca="1">VLOOKUP(A708,Import_SuiviGlobal_MigAppliSate!A:I,4,FALSE)</f>
        <v>Coop U Enseigne Sud</v>
      </c>
      <c r="E708">
        <f ca="1">VLOOKUP(A708,Import_SuiviGlobal_MigAppliSate!A:I,5,FALSE)</f>
        <v>6200</v>
      </c>
      <c r="F708" t="str">
        <f ca="1">VLOOKUP(A708,Import_SuiviGlobal_MigAppliSate!A:I,6,FALSE)</f>
        <v>57 AVENUE STE MARGUERITE</v>
      </c>
      <c r="G708" t="str">
        <f ca="1">VLOOKUP(A708,Import_SuiviGlobal_MigAppliSate!A:I,7,FALSE)</f>
        <v>04.93.83.09.97</v>
      </c>
      <c r="H708" t="str">
        <f ca="1">VLOOKUP(A708,Import_SuiviGlobal_MigAppliSate!A:I,8,FALSE)</f>
        <v>BOURASSIN Benoit</v>
      </c>
      <c r="I708" t="str">
        <f ca="1">VLOOKUP(A708,Import_SuiviGlobal_MigAppliSate!A:I,9,FALSE)</f>
        <v>benoit.bourassin@systeme-u.fr</v>
      </c>
      <c r="J708" s="24" t="str">
        <f ca="1">VLOOKUP(A708,Import_SuiviGlobal_MigAppliSate!A:K,10,FALSE)</f>
        <v>M Thomas Boquet</v>
      </c>
      <c r="K708" t="str">
        <f ca="1">VLOOKUP(A708,Import_SuiviGlobal_MigAppliSate!A:K,11,FALSE)</f>
        <v>uexpress.nice.directeur@systeme-u.fr</v>
      </c>
      <c r="O708" s="1" t="s">
        <v>22</v>
      </c>
    </row>
    <row r="709" spans="1:15" ht="12.75" hidden="1" x14ac:dyDescent="0.2">
      <c r="A709">
        <v>25983</v>
      </c>
      <c r="B709" t="str">
        <f ca="1">VLOOKUP(A709,Import_SuiviGlobal_MigAppliSate!A:I,2,FALSE)</f>
        <v>NIEPPE</v>
      </c>
      <c r="C709" t="str">
        <f ca="1">VLOOKUP(A709,Import_SuiviGlobal_MigAppliSate!A:I,3,FALSE)</f>
        <v>Hyper U</v>
      </c>
      <c r="D709" s="1" t="str">
        <f ca="1">VLOOKUP(A709,Import_SuiviGlobal_MigAppliSate!A:I,4,FALSE)</f>
        <v>Coop U Enseigne NordOuest</v>
      </c>
      <c r="E709">
        <f ca="1">VLOOKUP(A709,Import_SuiviGlobal_MigAppliSate!A:I,5,FALSE)</f>
        <v>59850</v>
      </c>
      <c r="F709" t="str">
        <f ca="1">VLOOKUP(A709,Import_SuiviGlobal_MigAppliSate!A:I,6,FALSE)</f>
        <v>DREVE DU BAILLY</v>
      </c>
      <c r="G709" t="str">
        <f ca="1">VLOOKUP(A709,Import_SuiviGlobal_MigAppliSate!A:I,7,FALSE)</f>
        <v>03.20.48.53.15</v>
      </c>
      <c r="H709" t="str">
        <f ca="1">VLOOKUP(A709,Import_SuiviGlobal_MigAppliSate!A:I,8,FALSE)</f>
        <v>WILLEPOTTE Marius-Christophe</v>
      </c>
      <c r="I709" t="str">
        <f ca="1">VLOOKUP(A709,Import_SuiviGlobal_MigAppliSate!A:I,9,FALSE)</f>
        <v>marius.willepotte@systeme-u.fr</v>
      </c>
      <c r="J709" s="24" t="str">
        <f ca="1">VLOOKUP(A709,Import_SuiviGlobal_MigAppliSate!A:K,10,FALSE)</f>
        <v>DEKEISTER Damien
Mme WILLEPOTTE</v>
      </c>
      <c r="K709" t="str">
        <f ca="1">VLOOKUP(A709,Import_SuiviGlobal_MigAppliSate!A:K,11,FALSE)</f>
        <v>hyperu.nieppe.direction@systeme-u.fr ,c.willepotte@gmail.com</v>
      </c>
      <c r="O709" s="1" t="s">
        <v>22</v>
      </c>
    </row>
    <row r="710" spans="1:15" ht="12.75" hidden="1" x14ac:dyDescent="0.2">
      <c r="A710">
        <v>36674</v>
      </c>
      <c r="B710" t="str">
        <f ca="1">VLOOKUP(A710,Import_SuiviGlobal_MigAppliSate!A:I,2,FALSE)</f>
        <v>NIEUL</v>
      </c>
      <c r="C710" t="str">
        <f ca="1">VLOOKUP(A710,Import_SuiviGlobal_MigAppliSate!A:I,3,FALSE)</f>
        <v>U Express</v>
      </c>
      <c r="D710" s="1" t="str">
        <f ca="1">VLOOKUP(A710,Import_SuiviGlobal_MigAppliSate!A:I,4,FALSE)</f>
        <v>Coop U Enseigne Ouest</v>
      </c>
      <c r="E710">
        <f ca="1">VLOOKUP(A710,Import_SuiviGlobal_MigAppliSate!A:I,5,FALSE)</f>
        <v>87510</v>
      </c>
      <c r="F710" t="str">
        <f ca="1">VLOOKUP(A710,Import_SuiviGlobal_MigAppliSate!A:I,6,FALSE)</f>
        <v>LES RIVES</v>
      </c>
      <c r="G710" t="str">
        <f ca="1">VLOOKUP(A710,Import_SuiviGlobal_MigAppliSate!A:I,7,FALSE)</f>
        <v>05.55.08.00.20</v>
      </c>
      <c r="H710" t="str">
        <f ca="1">VLOOKUP(A710,Import_SuiviGlobal_MigAppliSate!A:I,8,FALSE)</f>
        <v>PERRIN Nicolas</v>
      </c>
      <c r="I710" t="str">
        <f ca="1">VLOOKUP(A710,Import_SuiviGlobal_MigAppliSate!A:I,9,FALSE)</f>
        <v>nicolas.perrin@systeme-u.fr</v>
      </c>
      <c r="J710" s="24" t="str">
        <f ca="1">VLOOKUP(A710,Import_SuiviGlobal_MigAppliSate!A:K,10,FALSE)</f>
        <v>Aurélien MONNIER</v>
      </c>
      <c r="K710" t="str">
        <f ca="1">VLOOKUP(A710,Import_SuiviGlobal_MigAppliSate!A:K,11,FALSE)</f>
        <v>aurelien.monnier@systeme-u.fr</v>
      </c>
      <c r="O710" s="1" t="s">
        <v>22</v>
      </c>
    </row>
    <row r="711" spans="1:15" ht="12.75" hidden="1" x14ac:dyDescent="0.2">
      <c r="A711">
        <v>36041</v>
      </c>
      <c r="B711" t="str">
        <f ca="1">VLOOKUP(A711,Import_SuiviGlobal_MigAppliSate!A:I,2,FALSE)</f>
        <v>NIEUL-LE DOLENT</v>
      </c>
      <c r="C711" t="str">
        <f ca="1">VLOOKUP(A711,Import_SuiviGlobal_MigAppliSate!A:I,3,FALSE)</f>
        <v>U Express</v>
      </c>
      <c r="D711" s="1" t="str">
        <f ca="1">VLOOKUP(A711,Import_SuiviGlobal_MigAppliSate!A:I,4,FALSE)</f>
        <v>Coop U Enseigne Ouest</v>
      </c>
      <c r="E711">
        <f ca="1">VLOOKUP(A711,Import_SuiviGlobal_MigAppliSate!A:I,5,FALSE)</f>
        <v>85430</v>
      </c>
      <c r="F711" t="str">
        <f ca="1">VLOOKUP(A711,Import_SuiviGlobal_MigAppliSate!A:I,6,FALSE)</f>
        <v>BELLEVUE</v>
      </c>
      <c r="G711" t="str">
        <f ca="1">VLOOKUP(A711,Import_SuiviGlobal_MigAppliSate!A:I,7,FALSE)</f>
        <v>02.51.07.96.81</v>
      </c>
      <c r="H711" t="str">
        <f ca="1">VLOOKUP(A711,Import_SuiviGlobal_MigAppliSate!A:I,8,FALSE)</f>
        <v>MARISSAL Willy</v>
      </c>
      <c r="I711" t="str">
        <f ca="1">VLOOKUP(A711,Import_SuiviGlobal_MigAppliSate!A:I,9,FALSE)</f>
        <v>willy.marissal@systeme-u.fr</v>
      </c>
      <c r="J711" s="24" t="str">
        <f ca="1">VLOOKUP(A711,Import_SuiviGlobal_MigAppliSate!A:K,10,FALSE)</f>
        <v>Richard Catherine</v>
      </c>
      <c r="K711" t="str">
        <f ca="1">VLOOKUP(A711,Import_SuiviGlobal_MigAppliSate!A:K,11,FALSE)</f>
        <v>uexpress.nieulledolent.compta@systeme-u.fr</v>
      </c>
      <c r="O711" s="1" t="s">
        <v>22</v>
      </c>
    </row>
    <row r="712" spans="1:15" ht="12.75" hidden="1" x14ac:dyDescent="0.2">
      <c r="A712">
        <v>38181</v>
      </c>
      <c r="B712" t="str">
        <f ca="1">VLOOKUP(A712,Import_SuiviGlobal_MigAppliSate!A:I,2,FALSE)</f>
        <v>NIEUL-SUR-MER</v>
      </c>
      <c r="C712" t="str">
        <f ca="1">VLOOKUP(A712,Import_SuiviGlobal_MigAppliSate!A:I,3,FALSE)</f>
        <v>Super U</v>
      </c>
      <c r="D712" s="1" t="str">
        <f ca="1">VLOOKUP(A712,Import_SuiviGlobal_MigAppliSate!A:I,4,FALSE)</f>
        <v>Coop U Enseigne Ouest</v>
      </c>
      <c r="E712">
        <f ca="1">VLOOKUP(A712,Import_SuiviGlobal_MigAppliSate!A:I,5,FALSE)</f>
        <v>17137</v>
      </c>
      <c r="F712" t="str">
        <f ca="1">VLOOKUP(A712,Import_SuiviGlobal_MigAppliSate!A:I,6,FALSE)</f>
        <v>LE FIEF ARNAUD</v>
      </c>
      <c r="G712" t="str">
        <f ca="1">VLOOKUP(A712,Import_SuiviGlobal_MigAppliSate!A:I,7,FALSE)</f>
        <v>05.46.37.81.12</v>
      </c>
      <c r="H712" t="str">
        <f ca="1">VLOOKUP(A712,Import_SuiviGlobal_MigAppliSate!A:I,8,FALSE)</f>
        <v>GARREAU Patricia</v>
      </c>
      <c r="I712" t="str">
        <f ca="1">VLOOKUP(A712,Import_SuiviGlobal_MigAppliSate!A:I,9,FALSE)</f>
        <v>patricia.garreau@systeme-u.fr</v>
      </c>
      <c r="J712" s="24" t="str">
        <f ca="1">VLOOKUP(A712,Import_SuiviGlobal_MigAppliSate!A:K,10,FALSE)</f>
        <v>GIGON SEVERINE
Emmanuelle (UPLV)</v>
      </c>
      <c r="K712" t="str">
        <f ca="1">VLOOKUP(A712,Import_SuiviGlobal_MigAppliSate!A:K,11,FALSE)</f>
        <v>superu.nieulsurmer.accueil@systeme-u.fr</v>
      </c>
      <c r="O712" s="1" t="s">
        <v>22</v>
      </c>
    </row>
    <row r="713" spans="1:15" ht="12.75" hidden="1" x14ac:dyDescent="0.2">
      <c r="A713">
        <v>90313</v>
      </c>
      <c r="B713" t="str">
        <f ca="1">VLOOKUP(A713,Import_SuiviGlobal_MigAppliSate!A:I,2,FALSE)</f>
        <v>NIMES LA CIGALE</v>
      </c>
      <c r="C713" t="str">
        <f ca="1">VLOOKUP(A713,Import_SuiviGlobal_MigAppliSate!A:I,3,FALSE)</f>
        <v>U Express</v>
      </c>
      <c r="D713" s="1" t="str">
        <f ca="1">VLOOKUP(A713,Import_SuiviGlobal_MigAppliSate!A:I,4,FALSE)</f>
        <v>Coop U Enseigne Sud</v>
      </c>
      <c r="E713">
        <f ca="1">VLOOKUP(A713,Import_SuiviGlobal_MigAppliSate!A:I,5,FALSE)</f>
        <v>30000</v>
      </c>
      <c r="F713" t="str">
        <f ca="1">VLOOKUP(A713,Import_SuiviGlobal_MigAppliSate!A:I,6,FALSE)</f>
        <v>19 AVENUE PASTEUR PAUL BRUNEL</v>
      </c>
      <c r="G713" t="str">
        <f ca="1">VLOOKUP(A713,Import_SuiviGlobal_MigAppliSate!A:I,7,FALSE)</f>
        <v>04.66.28.80.80</v>
      </c>
      <c r="H713" t="str">
        <f ca="1">VLOOKUP(A713,Import_SuiviGlobal_MigAppliSate!A:I,8,FALSE)</f>
        <v>GUENOUN Michel</v>
      </c>
      <c r="I713" t="str">
        <f ca="1">VLOOKUP(A713,Import_SuiviGlobal_MigAppliSate!A:I,9,FALSE)</f>
        <v>michel.guenoun@systeme-u.fr</v>
      </c>
      <c r="J713" s="24" t="str">
        <f ca="1">VLOOKUP(A713,Import_SuiviGlobal_MigAppliSate!A:K,10,FALSE)</f>
        <v xml:space="preserve"> M. GIBERT (informatique) </v>
      </c>
      <c r="K713" t="str">
        <f ca="1">VLOOKUP(A713,Import_SuiviGlobal_MigAppliSate!A:K,11,FALSE)</f>
        <v>uexpress.nimes.direction@systeme-u.fr,uexpress.nimes.informatique@systeme-u.fr</v>
      </c>
      <c r="O713" s="1" t="s">
        <v>22</v>
      </c>
    </row>
    <row r="714" spans="1:15" ht="12.75" hidden="1" x14ac:dyDescent="0.2">
      <c r="A714">
        <v>32081</v>
      </c>
      <c r="B714" t="str">
        <f ca="1">VLOOKUP(A714,Import_SuiviGlobal_MigAppliSate!A:I,2,FALSE)</f>
        <v>NIORT</v>
      </c>
      <c r="C714" t="str">
        <f ca="1">VLOOKUP(A714,Import_SuiviGlobal_MigAppliSate!A:I,3,FALSE)</f>
        <v>Super U</v>
      </c>
      <c r="D714" s="1" t="str">
        <f ca="1">VLOOKUP(A714,Import_SuiviGlobal_MigAppliSate!A:I,4,FALSE)</f>
        <v>Coop Atlantique</v>
      </c>
      <c r="E714">
        <f ca="1">VLOOKUP(A714,Import_SuiviGlobal_MigAppliSate!A:I,5,FALSE)</f>
        <v>79000</v>
      </c>
      <c r="F714" t="str">
        <f ca="1">VLOOKUP(A714,Import_SuiviGlobal_MigAppliSate!A:I,6,FALSE)</f>
        <v>222 AVENUE DE PARIS</v>
      </c>
      <c r="G714" t="str">
        <f ca="1">VLOOKUP(A714,Import_SuiviGlobal_MigAppliSate!A:I,7,FALSE)</f>
        <v>05.49.33.09.88</v>
      </c>
      <c r="H714" t="str">
        <f ca="1">VLOOKUP(A714,Import_SuiviGlobal_MigAppliSate!A:I,8,FALSE)</f>
        <v>FLAMBARD Hervé</v>
      </c>
      <c r="I714" t="str">
        <f ca="1">VLOOKUP(A714,Import_SuiviGlobal_MigAppliSate!A:I,9,FALSE)</f>
        <v>bertrand.defontaine_coop_su_uex@systeme-u.fr</v>
      </c>
      <c r="J714" s="24" t="str">
        <f ca="1">VLOOKUP(A714,Import_SuiviGlobal_MigAppliSate!A:K,10,FALSE)</f>
        <v>Mr Lhommeau</v>
      </c>
      <c r="K714" t="str">
        <f ca="1">VLOOKUP(A714,Import_SuiviGlobal_MigAppliSate!A:K,11,FALSE)</f>
        <v>superu.niort.direction@systeme-u.fr,nbrigant@coop-atlantique.fr,sjaud@coop-atlantique.fr, jmauroux@coop-atlantique.fr</v>
      </c>
      <c r="L714" s="1" t="s">
        <v>17</v>
      </c>
      <c r="M714" t="s">
        <v>23</v>
      </c>
      <c r="O714" s="1" t="s">
        <v>22</v>
      </c>
    </row>
    <row r="715" spans="1:15" ht="12.75" hidden="1" x14ac:dyDescent="0.2">
      <c r="A715">
        <v>95168</v>
      </c>
      <c r="B715" t="str">
        <f ca="1">VLOOKUP(A715,Import_SuiviGlobal_MigAppliSate!A:I,2,FALSE)</f>
        <v>NOE</v>
      </c>
      <c r="C715" t="str">
        <f ca="1">VLOOKUP(A715,Import_SuiviGlobal_MigAppliSate!A:I,3,FALSE)</f>
        <v>Super U</v>
      </c>
      <c r="D715" s="1" t="str">
        <f ca="1">VLOOKUP(A715,Import_SuiviGlobal_MigAppliSate!A:I,4,FALSE)</f>
        <v>Coop U Enseigne Sud</v>
      </c>
      <c r="E715">
        <f ca="1">VLOOKUP(A715,Import_SuiviGlobal_MigAppliSate!A:I,5,FALSE)</f>
        <v>31410</v>
      </c>
      <c r="F715" t="str">
        <f ca="1">VLOOKUP(A715,Import_SuiviGlobal_MigAppliSate!A:I,6,FALSE)</f>
        <v>RD 617 LA MALADRERIE</v>
      </c>
      <c r="G715" t="str">
        <f ca="1">VLOOKUP(A715,Import_SuiviGlobal_MigAppliSate!A:I,7,FALSE)</f>
        <v>05.61.87.71.30</v>
      </c>
      <c r="H715" t="str">
        <f ca="1">VLOOKUP(A715,Import_SuiviGlobal_MigAppliSate!A:I,8,FALSE)</f>
        <v>BERNOIS Laurent</v>
      </c>
      <c r="I715" t="str">
        <f ca="1">VLOOKUP(A715,Import_SuiviGlobal_MigAppliSate!A:I,9,FALSE)</f>
        <v>laurent.bernois@systeme-u.fr</v>
      </c>
      <c r="J715" s="24" t="str">
        <f ca="1">VLOOKUP(A715,Import_SuiviGlobal_MigAppliSate!A:K,10,FALSE)</f>
        <v>Mathilde (UPLV)</v>
      </c>
      <c r="K715" t="str">
        <f ca="1">VLOOKUP(A715,Import_SuiviGlobal_MigAppliSate!A:K,11,FALSE)</f>
        <v>superu.noe@systeme-u.fr</v>
      </c>
      <c r="L715" s="1" t="s">
        <v>17</v>
      </c>
      <c r="M715" s="1" t="s">
        <v>24</v>
      </c>
      <c r="N715" s="1" t="s">
        <v>29</v>
      </c>
      <c r="O715" s="1" t="s">
        <v>19</v>
      </c>
    </row>
    <row r="716" spans="1:15" ht="12.75" hidden="1" x14ac:dyDescent="0.2">
      <c r="A716">
        <v>65034</v>
      </c>
      <c r="B716" t="str">
        <f ca="1">VLOOKUP(A716,Import_SuiviGlobal_MigAppliSate!A:I,2,FALSE)</f>
        <v>NOGENT</v>
      </c>
      <c r="C716" t="str">
        <f ca="1">VLOOKUP(A716,Import_SuiviGlobal_MigAppliSate!A:I,3,FALSE)</f>
        <v>Super U</v>
      </c>
      <c r="D716" s="1" t="str">
        <f ca="1">VLOOKUP(A716,Import_SuiviGlobal_MigAppliSate!A:I,4,FALSE)</f>
        <v>Coop U Enseigne Est</v>
      </c>
      <c r="E716">
        <f ca="1">VLOOKUP(A716,Import_SuiviGlobal_MigAppliSate!A:I,5,FALSE)</f>
        <v>52800</v>
      </c>
      <c r="F716" t="str">
        <f ca="1">VLOOKUP(A716,Import_SuiviGlobal_MigAppliSate!A:I,6,FALSE)</f>
        <v>RUE AMBROISE PARÉ</v>
      </c>
      <c r="G716" t="str">
        <f ca="1">VLOOKUP(A716,Import_SuiviGlobal_MigAppliSate!A:I,7,FALSE)</f>
        <v>03.25.31.78.79</v>
      </c>
      <c r="H716" t="str">
        <f ca="1">VLOOKUP(A716,Import_SuiviGlobal_MigAppliSate!A:I,8,FALSE)</f>
        <v>LESSERTEUR Julie</v>
      </c>
      <c r="I716" t="str">
        <f ca="1">VLOOKUP(A716,Import_SuiviGlobal_MigAppliSate!A:I,9,FALSE)</f>
        <v>julie.lesserteur@systeme-u.fr</v>
      </c>
      <c r="J716" s="24" t="str">
        <f ca="1">VLOOKUP(A716,Import_SuiviGlobal_MigAppliSate!A:K,10,FALSE)</f>
        <v>LESSERTEUR Raphaël</v>
      </c>
      <c r="K716" t="str">
        <f ca="1">VLOOKUP(A716,Import_SuiviGlobal_MigAppliSate!A:K,11,FALSE)</f>
        <v/>
      </c>
      <c r="O716" s="1" t="s">
        <v>22</v>
      </c>
    </row>
    <row r="717" spans="1:15" ht="12.75" hidden="1" x14ac:dyDescent="0.2">
      <c r="A717">
        <v>32348</v>
      </c>
      <c r="B717" t="str">
        <f ca="1">VLOOKUP(A717,Import_SuiviGlobal_MigAppliSate!A:I,2,FALSE)</f>
        <v>NOIRMOUTIER</v>
      </c>
      <c r="C717" t="str">
        <f ca="1">VLOOKUP(A717,Import_SuiviGlobal_MigAppliSate!A:I,3,FALSE)</f>
        <v>Super U</v>
      </c>
      <c r="D717" s="1" t="str">
        <f ca="1">VLOOKUP(A717,Import_SuiviGlobal_MigAppliSate!A:I,4,FALSE)</f>
        <v>Coop U Enseigne Ouest</v>
      </c>
      <c r="E717">
        <f ca="1">VLOOKUP(A717,Import_SuiviGlobal_MigAppliSate!A:I,5,FALSE)</f>
        <v>85740</v>
      </c>
      <c r="F717" t="str">
        <f ca="1">VLOOKUP(A717,Import_SuiviGlobal_MigAppliSate!A:I,6,FALSE)</f>
        <v>148, ROUTE NATIONALE</v>
      </c>
      <c r="G717" t="str">
        <f ca="1">VLOOKUP(A717,Import_SuiviGlobal_MigAppliSate!A:I,7,FALSE)</f>
        <v>02.51.39.03.94</v>
      </c>
      <c r="H717" t="str">
        <f ca="1">VLOOKUP(A717,Import_SuiviGlobal_MigAppliSate!A:I,8,FALSE)</f>
        <v>BOIDE RPT SAS LES ETIERS Philippe</v>
      </c>
      <c r="I717" t="str">
        <f ca="1">VLOOKUP(A717,Import_SuiviGlobal_MigAppliSate!A:I,9,FALSE)</f>
        <v>philippe.boide@systeme-u.fr</v>
      </c>
      <c r="J717" s="24" t="str">
        <f ca="1">VLOOKUP(A717,Import_SuiviGlobal_MigAppliSate!A:K,10,FALSE)</f>
        <v>DUFIEF Jean-Luc</v>
      </c>
      <c r="K717" t="str">
        <f ca="1">VLOOKUP(A717,Import_SuiviGlobal_MigAppliSate!A:K,11,FALSE)</f>
        <v>superu.noirmoutier@systeme-u.fr</v>
      </c>
      <c r="O717" s="1" t="s">
        <v>22</v>
      </c>
    </row>
    <row r="718" spans="1:15" ht="12.75" hidden="1" x14ac:dyDescent="0.2">
      <c r="A718">
        <v>38591</v>
      </c>
      <c r="B718" t="str">
        <f ca="1">VLOOKUP(A718,Import_SuiviGlobal_MigAppliSate!A:I,2,FALSE)</f>
        <v>NOIRMOUTIER</v>
      </c>
      <c r="C718" t="str">
        <f ca="1">VLOOKUP(A718,Import_SuiviGlobal_MigAppliSate!A:I,3,FALSE)</f>
        <v>U Express</v>
      </c>
      <c r="D718" s="1" t="str">
        <f ca="1">VLOOKUP(A718,Import_SuiviGlobal_MigAppliSate!A:I,4,FALSE)</f>
        <v>Coop U Enseigne Ouest</v>
      </c>
      <c r="E718">
        <f ca="1">VLOOKUP(A718,Import_SuiviGlobal_MigAppliSate!A:I,5,FALSE)</f>
        <v>85330</v>
      </c>
      <c r="F718" t="str">
        <f ca="1">VLOOKUP(A718,Import_SuiviGlobal_MigAppliSate!A:I,6,FALSE)</f>
        <v>3, RUE DU PRÉE AUX DUCS</v>
      </c>
      <c r="G718" t="str">
        <f ca="1">VLOOKUP(A718,Import_SuiviGlobal_MigAppliSate!A:I,7,FALSE)</f>
        <v>02.51.39.77.83</v>
      </c>
      <c r="H718" t="str">
        <f ca="1">VLOOKUP(A718,Import_SuiviGlobal_MigAppliSate!A:I,8,FALSE)</f>
        <v>BORDERE RPT SAS SAME Stéphane</v>
      </c>
      <c r="I718" t="str">
        <f ca="1">VLOOKUP(A718,Import_SuiviGlobal_MigAppliSate!A:I,9,FALSE)</f>
        <v>stephane.bordere@systeme-u.fr</v>
      </c>
      <c r="J718" s="24" t="str">
        <f ca="1">VLOOKUP(A718,Import_SuiviGlobal_MigAppliSate!A:K,10,FALSE)</f>
        <v/>
      </c>
      <c r="K718" t="str">
        <f ca="1">VLOOKUP(A718,Import_SuiviGlobal_MigAppliSate!A:K,11,FALSE)</f>
        <v/>
      </c>
      <c r="O718" s="1" t="s">
        <v>22</v>
      </c>
    </row>
    <row r="719" spans="1:15" ht="12.75" hidden="1" x14ac:dyDescent="0.2">
      <c r="A719">
        <v>22844</v>
      </c>
      <c r="B719" t="str">
        <f ca="1">VLOOKUP(A719,Import_SuiviGlobal_MigAppliSate!A:I,2,FALSE)</f>
        <v>NOISIEL</v>
      </c>
      <c r="C719" t="str">
        <f ca="1">VLOOKUP(A719,Import_SuiviGlobal_MigAppliSate!A:I,3,FALSE)</f>
        <v>Super U</v>
      </c>
      <c r="D719" s="1" t="str">
        <f ca="1">VLOOKUP(A719,Import_SuiviGlobal_MigAppliSate!A:I,4,FALSE)</f>
        <v>Coop U Enseigne NordOuest</v>
      </c>
      <c r="E719">
        <f ca="1">VLOOKUP(A719,Import_SuiviGlobal_MigAppliSate!A:I,5,FALSE)</f>
        <v>77186</v>
      </c>
      <c r="F719" t="str">
        <f ca="1">VLOOKUP(A719,Import_SuiviGlobal_MigAppliSate!A:I,6,FALSE)</f>
        <v>6 ALLÉE BUISSONNIÈRE</v>
      </c>
      <c r="G719" t="str">
        <f ca="1">VLOOKUP(A719,Import_SuiviGlobal_MigAppliSate!A:I,7,FALSE)</f>
        <v>01.60.33.33.33</v>
      </c>
      <c r="H719" t="str">
        <f ca="1">VLOOKUP(A719,Import_SuiviGlobal_MigAppliSate!A:I,8,FALSE)</f>
        <v>PROUX Stéphane</v>
      </c>
      <c r="I719" t="str">
        <f ca="1">VLOOKUP(A719,Import_SuiviGlobal_MigAppliSate!A:I,9,FALSE)</f>
        <v>stephane.proux@systeme-u.fr</v>
      </c>
      <c r="J719" s="24" t="str">
        <f ca="1">VLOOKUP(A719,Import_SuiviGlobal_MigAppliSate!A:K,10,FALSE)</f>
        <v xml:space="preserve">
Mme CROIN
Mme BONATO Gaëlle</v>
      </c>
      <c r="K719" t="str">
        <f ca="1">VLOOKUP(A719,Import_SuiviGlobal_MigAppliSate!A:K,11,FALSE)</f>
        <v>superu.noisiel.comptabilite@systeme-u.fr,superu.noisiel@systeme-u.fr</v>
      </c>
      <c r="O719" s="1" t="s">
        <v>22</v>
      </c>
    </row>
    <row r="720" spans="1:15" ht="12.75" hidden="1" x14ac:dyDescent="0.2">
      <c r="A720">
        <v>26165</v>
      </c>
      <c r="B720" t="str">
        <f ca="1">VLOOKUP(A720,Import_SuiviGlobal_MigAppliSate!A:I,2,FALSE)</f>
        <v>NOISY LE GD CHAMPY</v>
      </c>
      <c r="C720" t="str">
        <f ca="1">VLOOKUP(A720,Import_SuiviGlobal_MigAppliSate!A:I,3,FALSE)</f>
        <v>Super U</v>
      </c>
      <c r="D720" s="1" t="str">
        <f ca="1">VLOOKUP(A720,Import_SuiviGlobal_MigAppliSate!A:I,4,FALSE)</f>
        <v>Coop U Enseigne NordOuest</v>
      </c>
      <c r="E720">
        <f ca="1">VLOOKUP(A720,Import_SuiviGlobal_MigAppliSate!A:I,5,FALSE)</f>
        <v>93160</v>
      </c>
      <c r="F720" t="str">
        <f ca="1">VLOOKUP(A720,Import_SuiviGlobal_MigAppliSate!A:I,6,FALSE)</f>
        <v>5 ALLEE DU BATAILLON HILDEVERT</v>
      </c>
      <c r="G720" t="str">
        <f ca="1">VLOOKUP(A720,Import_SuiviGlobal_MigAppliSate!A:I,7,FALSE)</f>
        <v>01.43.05.62.19</v>
      </c>
      <c r="H720" t="str">
        <f ca="1">VLOOKUP(A720,Import_SuiviGlobal_MigAppliSate!A:I,8,FALSE)</f>
        <v>MONFORT Benoit</v>
      </c>
      <c r="I720" t="str">
        <f ca="1">VLOOKUP(A720,Import_SuiviGlobal_MigAppliSate!A:I,9,FALSE)</f>
        <v>benoit.monfort@systeme-u.fr</v>
      </c>
      <c r="J720" s="24" t="str">
        <f ca="1">VLOOKUP(A720,Import_SuiviGlobal_MigAppliSate!A:K,10,FALSE)</f>
        <v>M LAVERZE</v>
      </c>
      <c r="K720" t="str">
        <f ca="1">VLOOKUP(A720,Import_SuiviGlobal_MigAppliSate!A:K,11,FALSE)</f>
        <v>superu.noisylegrand.champy.direction@systeme-u.fr</v>
      </c>
      <c r="O720" s="1" t="s">
        <v>22</v>
      </c>
    </row>
    <row r="721" spans="1:15" ht="12.75" hidden="1" x14ac:dyDescent="0.2">
      <c r="A721">
        <v>26025</v>
      </c>
      <c r="B721" t="str">
        <f ca="1">VLOOKUP(A721,Import_SuiviGlobal_MigAppliSate!A:I,2,FALSE)</f>
        <v>NOISY LE GD COSSONNEAU-</v>
      </c>
      <c r="C721" t="str">
        <f ca="1">VLOOKUP(A721,Import_SuiviGlobal_MigAppliSate!A:I,3,FALSE)</f>
        <v>Super U</v>
      </c>
      <c r="D721" s="1" t="str">
        <f ca="1">VLOOKUP(A721,Import_SuiviGlobal_MigAppliSate!A:I,4,FALSE)</f>
        <v>Coop U Enseigne NordOuest</v>
      </c>
      <c r="E721">
        <f ca="1">VLOOKUP(A721,Import_SuiviGlobal_MigAppliSate!A:I,5,FALSE)</f>
        <v>93160</v>
      </c>
      <c r="F721" t="str">
        <f ca="1">VLOOKUP(A721,Import_SuiviGlobal_MigAppliSate!A:I,6,FALSE)</f>
        <v>98 AVENUE EMILE COSSONNEAU</v>
      </c>
      <c r="G721" t="str">
        <f ca="1">VLOOKUP(A721,Import_SuiviGlobal_MigAppliSate!A:I,7,FALSE)</f>
        <v>01.43.03.32.25</v>
      </c>
      <c r="H721" t="str">
        <f ca="1">VLOOKUP(A721,Import_SuiviGlobal_MigAppliSate!A:I,8,FALSE)</f>
        <v>BUR Gérard+Marie-Chantal</v>
      </c>
      <c r="I721" t="str">
        <f ca="1">VLOOKUP(A721,Import_SuiviGlobal_MigAppliSate!A:I,9,FALSE)</f>
        <v>gerard.bur@systeme-u.fr</v>
      </c>
      <c r="J721" s="24" t="str">
        <f ca="1">VLOOKUP(A721,Import_SuiviGlobal_MigAppliSate!A:K,10,FALSE)</f>
        <v>Mme HUBLIN</v>
      </c>
      <c r="K721" t="str">
        <f ca="1">VLOOKUP(A721,Import_SuiviGlobal_MigAppliSate!A:K,11,FALSE)</f>
        <v>superu.noisylegrand.cossonneau.direction@systeme-u.fr</v>
      </c>
      <c r="O721" s="1" t="s">
        <v>22</v>
      </c>
    </row>
    <row r="722" spans="1:15" ht="12.75" hidden="1" x14ac:dyDescent="0.2">
      <c r="A722">
        <v>26130</v>
      </c>
      <c r="B722" t="str">
        <f ca="1">VLOOKUP(A722,Import_SuiviGlobal_MigAppliSate!A:I,2,FALSE)</f>
        <v>NOISY LE GD P</v>
      </c>
      <c r="C722" t="str">
        <f ca="1">VLOOKUP(A722,Import_SuiviGlobal_MigAppliSate!A:I,3,FALSE)</f>
        <v>Super U</v>
      </c>
      <c r="D722" s="1" t="str">
        <f ca="1">VLOOKUP(A722,Import_SuiviGlobal_MigAppliSate!A:I,4,FALSE)</f>
        <v>Coop U Enseigne NordOuest</v>
      </c>
      <c r="E722">
        <f ca="1">VLOOKUP(A722,Import_SuiviGlobal_MigAppliSate!A:I,5,FALSE)</f>
        <v>93160</v>
      </c>
      <c r="F722" t="str">
        <f ca="1">VLOOKUP(A722,Import_SuiviGlobal_MigAppliSate!A:I,6,FALSE)</f>
        <v>7 RUE DES HALLES</v>
      </c>
      <c r="G722" t="str">
        <f ca="1">VLOOKUP(A722,Import_SuiviGlobal_MigAppliSate!A:I,7,FALSE)</f>
        <v>01.43.03.02.10</v>
      </c>
      <c r="H722" t="str">
        <f ca="1">VLOOKUP(A722,Import_SuiviGlobal_MigAppliSate!A:I,8,FALSE)</f>
        <v>DELMOTTE Jérôme</v>
      </c>
      <c r="I722" t="str">
        <f ca="1">VLOOKUP(A722,Import_SuiviGlobal_MigAppliSate!A:I,9,FALSE)</f>
        <v>jerome.delmotte@systeme-u.fr</v>
      </c>
      <c r="J722" s="24" t="str">
        <f ca="1">VLOOKUP(A722,Import_SuiviGlobal_MigAppliSate!A:K,10,FALSE)</f>
        <v/>
      </c>
      <c r="K722" t="str">
        <f ca="1">VLOOKUP(A722,Import_SuiviGlobal_MigAppliSate!A:K,11,FALSE)</f>
        <v/>
      </c>
      <c r="O722" s="1" t="s">
        <v>22</v>
      </c>
    </row>
    <row r="723" spans="1:15" ht="12.75" hidden="1" x14ac:dyDescent="0.2">
      <c r="A723">
        <v>28257</v>
      </c>
      <c r="B723" t="str">
        <f ca="1">VLOOKUP(A723,Import_SuiviGlobal_MigAppliSate!A:I,2,FALSE)</f>
        <v>NOISY LE ROI</v>
      </c>
      <c r="C723" t="str">
        <f ca="1">VLOOKUP(A723,Import_SuiviGlobal_MigAppliSate!A:I,3,FALSE)</f>
        <v>Super U</v>
      </c>
      <c r="D723" s="1" t="str">
        <f ca="1">VLOOKUP(A723,Import_SuiviGlobal_MigAppliSate!A:I,4,FALSE)</f>
        <v>Coop U Enseigne NordOuest</v>
      </c>
      <c r="E723">
        <f ca="1">VLOOKUP(A723,Import_SuiviGlobal_MigAppliSate!A:I,5,FALSE)</f>
        <v>78590</v>
      </c>
      <c r="F723" t="str">
        <f ca="1">VLOOKUP(A723,Import_SuiviGlobal_MigAppliSate!A:I,6,FALSE)</f>
        <v>4 RUE ANDRE LE BOURBLAN</v>
      </c>
      <c r="G723" t="str">
        <f ca="1">VLOOKUP(A723,Import_SuiviGlobal_MigAppliSate!A:I,7,FALSE)</f>
        <v>01.34.62.96.56</v>
      </c>
      <c r="H723" t="str">
        <f ca="1">VLOOKUP(A723,Import_SuiviGlobal_MigAppliSate!A:I,8,FALSE)</f>
        <v>SAGEAU Maxime</v>
      </c>
      <c r="I723" t="str">
        <f ca="1">VLOOKUP(A723,Import_SuiviGlobal_MigAppliSate!A:I,9,FALSE)</f>
        <v>maxime.sageau@systeme-u.fr</v>
      </c>
      <c r="J723" s="24" t="str">
        <f ca="1">VLOOKUP(A723,Import_SuiviGlobal_MigAppliSate!A:K,10,FALSE)</f>
        <v>Mr Bredon
Mme ESTEVES (référent magasin)</v>
      </c>
      <c r="K723" t="str">
        <f ca="1">VLOOKUP(A723,Import_SuiviGlobal_MigAppliSate!A:K,11,FALSE)</f>
        <v>info.noisyleroi@gmail.com</v>
      </c>
      <c r="O723" s="1" t="s">
        <v>22</v>
      </c>
    </row>
    <row r="724" spans="1:15" ht="12.75" hidden="1" x14ac:dyDescent="0.2">
      <c r="A724">
        <v>95124</v>
      </c>
      <c r="B724" t="str">
        <f ca="1">VLOOKUP(A724,Import_SuiviGlobal_MigAppliSate!A:I,2,FALSE)</f>
        <v>NONTRON</v>
      </c>
      <c r="C724" t="str">
        <f ca="1">VLOOKUP(A724,Import_SuiviGlobal_MigAppliSate!A:I,3,FALSE)</f>
        <v>Super U</v>
      </c>
      <c r="D724" s="1" t="str">
        <f ca="1">VLOOKUP(A724,Import_SuiviGlobal_MigAppliSate!A:I,4,FALSE)</f>
        <v>Coop U Enseigne Sud</v>
      </c>
      <c r="E724">
        <f ca="1">VLOOKUP(A724,Import_SuiviGlobal_MigAppliSate!A:I,5,FALSE)</f>
        <v>24300</v>
      </c>
      <c r="F724" t="str">
        <f ca="1">VLOOKUP(A724,Import_SuiviGlobal_MigAppliSate!A:I,6,FALSE)</f>
        <v>RUE JULES FERRY BP 3</v>
      </c>
      <c r="G724" t="str">
        <f ca="1">VLOOKUP(A724,Import_SuiviGlobal_MigAppliSate!A:I,7,FALSE)</f>
        <v>05.53.60.93.00</v>
      </c>
      <c r="H724" t="str">
        <f ca="1">VLOOKUP(A724,Import_SuiviGlobal_MigAppliSate!A:I,8,FALSE)</f>
        <v>ET THOMAS PELISSIER CYRIL TREUIL</v>
      </c>
      <c r="I724" t="str">
        <f ca="1">VLOOKUP(A724,Import_SuiviGlobal_MigAppliSate!A:I,9,FALSE)</f>
        <v/>
      </c>
      <c r="J724" s="24" t="str">
        <f ca="1">VLOOKUP(A724,Import_SuiviGlobal_MigAppliSate!A:K,10,FALSE)</f>
        <v>Cyril TREUIL</v>
      </c>
      <c r="K724" t="str">
        <f ca="1">VLOOKUP(A724,Import_SuiviGlobal_MigAppliSate!A:K,11,FALSE)</f>
        <v>cyril.treuil@systeme-u.fr</v>
      </c>
      <c r="O724" s="1" t="s">
        <v>22</v>
      </c>
    </row>
    <row r="725" spans="1:15" ht="12.75" hidden="1" x14ac:dyDescent="0.2">
      <c r="A725">
        <v>32593</v>
      </c>
      <c r="B725" t="str">
        <f ca="1">VLOOKUP(A725,Import_SuiviGlobal_MigAppliSate!A:I,2,FALSE)</f>
        <v>NORT-SUR-ERDRE</v>
      </c>
      <c r="C725" t="str">
        <f ca="1">VLOOKUP(A725,Import_SuiviGlobal_MigAppliSate!A:I,3,FALSE)</f>
        <v>Super U</v>
      </c>
      <c r="D725" s="1" t="str">
        <f ca="1">VLOOKUP(A725,Import_SuiviGlobal_MigAppliSate!A:I,4,FALSE)</f>
        <v>Coop U Enseigne Ouest</v>
      </c>
      <c r="E725">
        <f ca="1">VLOOKUP(A725,Import_SuiviGlobal_MigAppliSate!A:I,5,FALSE)</f>
        <v>44390</v>
      </c>
      <c r="F725" t="str">
        <f ca="1">VLOOKUP(A725,Import_SuiviGlobal_MigAppliSate!A:I,6,FALSE)</f>
        <v>5 RUE DE L'ERDRE</v>
      </c>
      <c r="G725" t="str">
        <f ca="1">VLOOKUP(A725,Import_SuiviGlobal_MigAppliSate!A:I,7,FALSE)</f>
        <v>02.51.12.00.20</v>
      </c>
      <c r="H725" t="str">
        <f ca="1">VLOOKUP(A725,Import_SuiviGlobal_MigAppliSate!A:I,8,FALSE)</f>
        <v>BOURE Christian</v>
      </c>
      <c r="I725" t="str">
        <f ca="1">VLOOKUP(A725,Import_SuiviGlobal_MigAppliSate!A:I,9,FALSE)</f>
        <v>christian.boure@systeme-u.fr</v>
      </c>
      <c r="J725" s="24" t="str">
        <f ca="1">VLOOKUP(A725,Import_SuiviGlobal_MigAppliSate!A:K,10,FALSE)</f>
        <v>Mr Harouet</v>
      </c>
      <c r="K725" t="str">
        <f ca="1">VLOOKUP(A725,Import_SuiviGlobal_MigAppliSate!A:K,11,FALSE)</f>
        <v>superu.nortsurerdre.compta@systeme-u.fr</v>
      </c>
      <c r="O725" s="1" t="s">
        <v>22</v>
      </c>
    </row>
    <row r="726" spans="1:15" ht="12.75" hidden="1" x14ac:dyDescent="0.2">
      <c r="A726">
        <v>95169</v>
      </c>
      <c r="B726" t="str">
        <f ca="1">VLOOKUP(A726,Import_SuiviGlobal_MigAppliSate!A:I,2,FALSE)</f>
        <v>NOTRE DAME DE SANILHAC</v>
      </c>
      <c r="C726" t="str">
        <f ca="1">VLOOKUP(A726,Import_SuiviGlobal_MigAppliSate!A:I,3,FALSE)</f>
        <v>Super U</v>
      </c>
      <c r="D726" s="1" t="str">
        <f ca="1">VLOOKUP(A726,Import_SuiviGlobal_MigAppliSate!A:I,4,FALSE)</f>
        <v>Coop U Enseigne Sud</v>
      </c>
      <c r="E726">
        <f ca="1">VLOOKUP(A726,Import_SuiviGlobal_MigAppliSate!A:I,5,FALSE)</f>
        <v>24660</v>
      </c>
      <c r="F726" t="str">
        <f ca="1">VLOOKUP(A726,Import_SuiviGlobal_MigAppliSate!A:I,6,FALSE)</f>
        <v>ZONE DE CREA VALLEE SUD</v>
      </c>
      <c r="G726" t="str">
        <f ca="1">VLOOKUP(A726,Import_SuiviGlobal_MigAppliSate!A:I,7,FALSE)</f>
        <v>05.53.05.52.80</v>
      </c>
      <c r="H726" t="str">
        <f ca="1">VLOOKUP(A726,Import_SuiviGlobal_MigAppliSate!A:I,8,FALSE)</f>
        <v>PONNELLE David</v>
      </c>
      <c r="I726" t="str">
        <f ca="1">VLOOKUP(A726,Import_SuiviGlobal_MigAppliSate!A:I,9,FALSE)</f>
        <v>david.ponnelle@systeme-u.fr</v>
      </c>
      <c r="J726" s="24" t="str">
        <f ca="1">VLOOKUP(A726,Import_SuiviGlobal_MigAppliSate!A:K,10,FALSE)</f>
        <v/>
      </c>
      <c r="K726" t="str">
        <f ca="1">VLOOKUP(A726,Import_SuiviGlobal_MigAppliSate!A:K,11,FALSE)</f>
        <v/>
      </c>
      <c r="O726" s="1" t="s">
        <v>22</v>
      </c>
    </row>
    <row r="727" spans="1:15" ht="12.75" hidden="1" x14ac:dyDescent="0.2">
      <c r="A727">
        <v>30922</v>
      </c>
      <c r="B727" t="str">
        <f ca="1">VLOOKUP(A727,Import_SuiviGlobal_MigAppliSate!A:I,2,FALSE)</f>
        <v>NOTRE-DAME-DE-MONTS</v>
      </c>
      <c r="C727" t="str">
        <f ca="1">VLOOKUP(A727,Import_SuiviGlobal_MigAppliSate!A:I,3,FALSE)</f>
        <v>U Express</v>
      </c>
      <c r="D727" s="1" t="str">
        <f ca="1">VLOOKUP(A727,Import_SuiviGlobal_MigAppliSate!A:I,4,FALSE)</f>
        <v>Coop U Enseigne Ouest</v>
      </c>
      <c r="E727">
        <f ca="1">VLOOKUP(A727,Import_SuiviGlobal_MigAppliSate!A:I,5,FALSE)</f>
        <v>85690</v>
      </c>
      <c r="F727" t="str">
        <f ca="1">VLOOKUP(A727,Import_SuiviGlobal_MigAppliSate!A:I,6,FALSE)</f>
        <v>ROUTE DU FIEF NOUMOIS</v>
      </c>
      <c r="G727" t="str">
        <f ca="1">VLOOKUP(A727,Import_SuiviGlobal_MigAppliSate!A:I,7,FALSE)</f>
        <v>02.51.59.94.94</v>
      </c>
      <c r="H727" t="str">
        <f ca="1">VLOOKUP(A727,Import_SuiviGlobal_MigAppliSate!A:I,8,FALSE)</f>
        <v>GUERET JéROME</v>
      </c>
      <c r="I727" t="str">
        <f ca="1">VLOOKUP(A727,Import_SuiviGlobal_MigAppliSate!A:I,9,FALSE)</f>
        <v>jerome.gueret@systeme-u.fr</v>
      </c>
      <c r="J727" s="24" t="str">
        <f ca="1">VLOOKUP(A727,Import_SuiviGlobal_MigAppliSate!A:K,10,FALSE)</f>
        <v/>
      </c>
      <c r="K727" t="str">
        <f ca="1">VLOOKUP(A727,Import_SuiviGlobal_MigAppliSate!A:K,11,FALSE)</f>
        <v/>
      </c>
      <c r="O727" s="1" t="s">
        <v>22</v>
      </c>
    </row>
    <row r="728" spans="1:15" ht="12.75" hidden="1" x14ac:dyDescent="0.2">
      <c r="A728">
        <v>90681</v>
      </c>
      <c r="B728" t="str">
        <f ca="1">VLOOKUP(A728,Import_SuiviGlobal_MigAppliSate!A:I,2,FALSE)</f>
        <v>NOVES</v>
      </c>
      <c r="C728" t="str">
        <f ca="1">VLOOKUP(A728,Import_SuiviGlobal_MigAppliSate!A:I,3,FALSE)</f>
        <v>U Express</v>
      </c>
      <c r="D728" s="1" t="str">
        <f ca="1">VLOOKUP(A728,Import_SuiviGlobal_MigAppliSate!A:I,4,FALSE)</f>
        <v>Coop MISTRAL</v>
      </c>
      <c r="E728">
        <f ca="1">VLOOKUP(A728,Import_SuiviGlobal_MigAppliSate!A:I,5,FALSE)</f>
        <v>13550</v>
      </c>
      <c r="F728" t="str">
        <f ca="1">VLOOKUP(A728,Import_SuiviGlobal_MigAppliSate!A:I,6,FALSE)</f>
        <v>PLACE JULES FERRY</v>
      </c>
      <c r="G728" t="str">
        <f ca="1">VLOOKUP(A728,Import_SuiviGlobal_MigAppliSate!A:I,7,FALSE)</f>
        <v>04.32.61.06.91</v>
      </c>
      <c r="H728" t="str">
        <f ca="1">VLOOKUP(A728,Import_SuiviGlobal_MigAppliSate!A:I,8,FALSE)</f>
        <v>DELATTRE Benoit</v>
      </c>
      <c r="I728" t="str">
        <f ca="1">VLOOKUP(A728,Import_SuiviGlobal_MigAppliSate!A:I,9,FALSE)</f>
        <v/>
      </c>
      <c r="J728" s="24" t="str">
        <f ca="1">VLOOKUP(A728,Import_SuiviGlobal_MigAppliSate!A:K,10,FALSE)</f>
        <v>Grégoire Delattre (frère associé)</v>
      </c>
      <c r="K728" t="str">
        <f ca="1">VLOOKUP(A728,Import_SuiviGlobal_MigAppliSate!A:K,11,FALSE)</f>
        <v>delphine.damian@lemistral.fr,helene.mina@lemistral.fr, uexpress.noves@mistral-u.fr</v>
      </c>
      <c r="O728" s="1" t="s">
        <v>22</v>
      </c>
    </row>
    <row r="729" spans="1:15" ht="12.75" hidden="1" x14ac:dyDescent="0.2">
      <c r="A729">
        <v>33166</v>
      </c>
      <c r="B729" t="str">
        <f ca="1">VLOOKUP(A729,Import_SuiviGlobal_MigAppliSate!A:I,2,FALSE)</f>
        <v>NOZAY</v>
      </c>
      <c r="C729" t="str">
        <f ca="1">VLOOKUP(A729,Import_SuiviGlobal_MigAppliSate!A:I,3,FALSE)</f>
        <v>Super U</v>
      </c>
      <c r="D729" s="1" t="str">
        <f ca="1">VLOOKUP(A729,Import_SuiviGlobal_MigAppliSate!A:I,4,FALSE)</f>
        <v>Coop U Enseigne Ouest</v>
      </c>
      <c r="E729">
        <f ca="1">VLOOKUP(A729,Import_SuiviGlobal_MigAppliSate!A:I,5,FALSE)</f>
        <v>44170</v>
      </c>
      <c r="F729" t="str">
        <f ca="1">VLOOKUP(A729,Import_SuiviGlobal_MigAppliSate!A:I,6,FALSE)</f>
        <v>ZONE DU PONTRAIT</v>
      </c>
      <c r="G729" t="str">
        <f ca="1">VLOOKUP(A729,Import_SuiviGlobal_MigAppliSate!A:I,7,FALSE)</f>
        <v>02.40.79.40.90</v>
      </c>
      <c r="H729" t="str">
        <f ca="1">VLOOKUP(A729,Import_SuiviGlobal_MigAppliSate!A:I,8,FALSE)</f>
        <v>VILLETTE Cedric</v>
      </c>
      <c r="I729" t="str">
        <f ca="1">VLOOKUP(A729,Import_SuiviGlobal_MigAppliSate!A:I,9,FALSE)</f>
        <v>cedric.villette@systeme-u.fr</v>
      </c>
      <c r="J729" s="24" t="str">
        <f ca="1">VLOOKUP(A729,Import_SuiviGlobal_MigAppliSate!A:K,10,FALSE)</f>
        <v/>
      </c>
      <c r="K729" t="str">
        <f ca="1">VLOOKUP(A729,Import_SuiviGlobal_MigAppliSate!A:K,11,FALSE)</f>
        <v/>
      </c>
      <c r="O729" s="1" t="s">
        <v>22</v>
      </c>
    </row>
    <row r="730" spans="1:15" ht="12.75" hidden="1" x14ac:dyDescent="0.2">
      <c r="A730">
        <v>90115</v>
      </c>
      <c r="B730" t="str">
        <f ca="1">VLOOKUP(A730,Import_SuiviGlobal_MigAppliSate!A:I,2,FALSE)</f>
        <v>NYONS</v>
      </c>
      <c r="C730" t="str">
        <f ca="1">VLOOKUP(A730,Import_SuiviGlobal_MigAppliSate!A:I,3,FALSE)</f>
        <v>Super U</v>
      </c>
      <c r="D730" s="1" t="str">
        <f ca="1">VLOOKUP(A730,Import_SuiviGlobal_MigAppliSate!A:I,4,FALSE)</f>
        <v>Coop U Enseigne Sud</v>
      </c>
      <c r="E730">
        <f ca="1">VLOOKUP(A730,Import_SuiviGlobal_MigAppliSate!A:I,5,FALSE)</f>
        <v>26110</v>
      </c>
      <c r="F730" t="str">
        <f ca="1">VLOOKUP(A730,Import_SuiviGlobal_MigAppliSate!A:I,6,FALSE)</f>
        <v>ROUTE D ORANGE</v>
      </c>
      <c r="G730" t="str">
        <f ca="1">VLOOKUP(A730,Import_SuiviGlobal_MigAppliSate!A:I,7,FALSE)</f>
        <v>04.75.26.01.21</v>
      </c>
      <c r="H730" t="str">
        <f ca="1">VLOOKUP(A730,Import_SuiviGlobal_MigAppliSate!A:I,8,FALSE)</f>
        <v>RENET Etienne</v>
      </c>
      <c r="I730" t="str">
        <f ca="1">VLOOKUP(A730,Import_SuiviGlobal_MigAppliSate!A:I,9,FALSE)</f>
        <v>brigitte.renet@systeme-u.fr</v>
      </c>
      <c r="J730" s="24" t="str">
        <f ca="1">VLOOKUP(A730,Import_SuiviGlobal_MigAppliSate!A:K,10,FALSE)</f>
        <v>BAYET Alexandra
CLAES Laurent</v>
      </c>
      <c r="K730" t="str">
        <f ca="1">VLOOKUP(A730,Import_SuiviGlobal_MigAppliSate!A:K,11,FALSE)</f>
        <v>superu.nyons.compta@systeme-u.fr,superu.nyons.direction@systeme-u.fr</v>
      </c>
      <c r="O730" s="1" t="s">
        <v>22</v>
      </c>
    </row>
    <row r="731" spans="1:15" ht="12.75" hidden="1" x14ac:dyDescent="0.2">
      <c r="A731">
        <v>68509</v>
      </c>
      <c r="B731" t="str">
        <f ca="1">VLOOKUP(A731,Import_SuiviGlobal_MigAppliSate!A:I,2,FALSE)</f>
        <v>OETING</v>
      </c>
      <c r="C731" t="str">
        <f ca="1">VLOOKUP(A731,Import_SuiviGlobal_MigAppliSate!A:I,3,FALSE)</f>
        <v>Super U</v>
      </c>
      <c r="D731" s="1" t="str">
        <f ca="1">VLOOKUP(A731,Import_SuiviGlobal_MigAppliSate!A:I,4,FALSE)</f>
        <v>Coop U Enseigne Est</v>
      </c>
      <c r="E731">
        <f ca="1">VLOOKUP(A731,Import_SuiviGlobal_MigAppliSate!A:I,5,FALSE)</f>
        <v>57600</v>
      </c>
      <c r="F731" t="str">
        <f ca="1">VLOOKUP(A731,Import_SuiviGlobal_MigAppliSate!A:I,6,FALSE)</f>
        <v>RD 31</v>
      </c>
      <c r="G731" t="str">
        <f ca="1">VLOOKUP(A731,Import_SuiviGlobal_MigAppliSate!A:I,7,FALSE)</f>
        <v>03.87.84.36.10</v>
      </c>
      <c r="H731" t="str">
        <f ca="1">VLOOKUP(A731,Import_SuiviGlobal_MigAppliSate!A:I,8,FALSE)</f>
        <v>GISSINGER Luc</v>
      </c>
      <c r="I731" t="str">
        <f ca="1">VLOOKUP(A731,Import_SuiviGlobal_MigAppliSate!A:I,9,FALSE)</f>
        <v>luc.gissinger@systeme-u.fr</v>
      </c>
      <c r="J731" s="24" t="str">
        <f ca="1">VLOOKUP(A731,Import_SuiviGlobal_MigAppliSate!A:K,10,FALSE)</f>
        <v>M CANDIDO Serge</v>
      </c>
      <c r="K731" t="str">
        <f ca="1">VLOOKUP(A731,Import_SuiviGlobal_MigAppliSate!A:K,11,FALSE)</f>
        <v>superu.oeting.direction@systeme-u.fr</v>
      </c>
      <c r="O731" s="1" t="s">
        <v>22</v>
      </c>
    </row>
    <row r="732" spans="1:15" ht="12.75" hidden="1" x14ac:dyDescent="0.2">
      <c r="A732">
        <v>25649</v>
      </c>
      <c r="B732" t="str">
        <f ca="1">VLOOKUP(A732,Import_SuiviGlobal_MigAppliSate!A:I,2,FALSE)</f>
        <v>OISSEL</v>
      </c>
      <c r="C732" t="str">
        <f ca="1">VLOOKUP(A732,Import_SuiviGlobal_MigAppliSate!A:I,3,FALSE)</f>
        <v>Super U</v>
      </c>
      <c r="D732" s="1" t="str">
        <f ca="1">VLOOKUP(A732,Import_SuiviGlobal_MigAppliSate!A:I,4,FALSE)</f>
        <v>Coop U Enseigne NordOuest</v>
      </c>
      <c r="E732">
        <f ca="1">VLOOKUP(A732,Import_SuiviGlobal_MigAppliSate!A:I,5,FALSE)</f>
        <v>76350</v>
      </c>
      <c r="F732" t="str">
        <f ca="1">VLOOKUP(A732,Import_SuiviGlobal_MigAppliSate!A:I,6,FALSE)</f>
        <v>PLACE FRANCISCO FERRER</v>
      </c>
      <c r="G732" t="str">
        <f ca="1">VLOOKUP(A732,Import_SuiviGlobal_MigAppliSate!A:I,7,FALSE)</f>
        <v>02.35.64.72.44</v>
      </c>
      <c r="H732" t="str">
        <f ca="1">VLOOKUP(A732,Import_SuiviGlobal_MigAppliSate!A:I,8,FALSE)</f>
        <v>BARRE Stéphane</v>
      </c>
      <c r="I732" t="str">
        <f ca="1">VLOOKUP(A732,Import_SuiviGlobal_MigAppliSate!A:I,9,FALSE)</f>
        <v>stephane.barre@systeme-u.fr</v>
      </c>
      <c r="J732" s="24" t="str">
        <f ca="1">VLOOKUP(A732,Import_SuiviGlobal_MigAppliSate!A:K,10,FALSE)</f>
        <v>M. Gouzerh</v>
      </c>
      <c r="K732" t="str">
        <f ca="1">VLOOKUP(A732,Import_SuiviGlobal_MigAppliSate!A:K,11,FALSE)</f>
        <v>superu.oissel@systeme-u.fr,philippe.cappe@coop-cnp.coop</v>
      </c>
      <c r="L732" t="s">
        <v>20</v>
      </c>
      <c r="M732" t="s">
        <v>21</v>
      </c>
      <c r="O732" s="1" t="s">
        <v>22</v>
      </c>
    </row>
    <row r="733" spans="1:15" ht="12.75" x14ac:dyDescent="0.2">
      <c r="A733">
        <v>90505</v>
      </c>
      <c r="B733" t="str">
        <f ca="1">VLOOKUP(A733,Import_SuiviGlobal_MigAppliSate!A:I,2,FALSE)</f>
        <v>OLEMPS</v>
      </c>
      <c r="C733" t="str">
        <f ca="1">VLOOKUP(A733,Import_SuiviGlobal_MigAppliSate!A:I,3,FALSE)</f>
        <v>Super U</v>
      </c>
      <c r="D733" s="1" t="str">
        <f ca="1">VLOOKUP(A733,Import_SuiviGlobal_MigAppliSate!A:I,4,FALSE)</f>
        <v>Coop U Enseigne Sud</v>
      </c>
      <c r="E733">
        <f ca="1">VLOOKUP(A733,Import_SuiviGlobal_MigAppliSate!A:I,5,FALSE)</f>
        <v>12510</v>
      </c>
      <c r="F733" t="str">
        <f ca="1">VLOOKUP(A733,Import_SuiviGlobal_MigAppliSate!A:I,6,FALSE)</f>
        <v>LES HAUTS DE LA MOULINE</v>
      </c>
      <c r="G733" t="str">
        <f ca="1">VLOOKUP(A733,Import_SuiviGlobal_MigAppliSate!A:I,7,FALSE)</f>
        <v>05.65.73.64.30</v>
      </c>
      <c r="H733" t="str">
        <f ca="1">VLOOKUP(A733,Import_SuiviGlobal_MigAppliSate!A:I,8,FALSE)</f>
        <v>VOUTERS Grégory</v>
      </c>
      <c r="I733" t="str">
        <f ca="1">VLOOKUP(A733,Import_SuiviGlobal_MigAppliSate!A:I,9,FALSE)</f>
        <v>gregory.vouters@systeme-u.fr</v>
      </c>
      <c r="J733" s="24" t="str">
        <f ca="1">VLOOKUP(A733,Import_SuiviGlobal_MigAppliSate!A:K,10,FALSE)</f>
        <v xml:space="preserve">De-Nardi  Guy </v>
      </c>
      <c r="K733" t="str">
        <f ca="1">VLOOKUP(A733,Import_SuiviGlobal_MigAppliSate!A:K,11,FALSE)</f>
        <v>uexpress.meyssac.compta@systeme-u.fr</v>
      </c>
      <c r="L733" s="1" t="s">
        <v>17</v>
      </c>
      <c r="M733" s="1" t="s">
        <v>0</v>
      </c>
      <c r="O733" s="1" t="s">
        <v>22</v>
      </c>
    </row>
    <row r="734" spans="1:15" ht="12.75" hidden="1" x14ac:dyDescent="0.2">
      <c r="A734">
        <v>30744</v>
      </c>
      <c r="B734" t="str">
        <f ca="1">VLOOKUP(A734,Import_SuiviGlobal_MigAppliSate!A:I,2,FALSE)</f>
        <v>OLONNE-SUR-MER</v>
      </c>
      <c r="C734" t="str">
        <f ca="1">VLOOKUP(A734,Import_SuiviGlobal_MigAppliSate!A:I,3,FALSE)</f>
        <v>Super U</v>
      </c>
      <c r="D734" s="1" t="str">
        <f ca="1">VLOOKUP(A734,Import_SuiviGlobal_MigAppliSate!A:I,4,FALSE)</f>
        <v>Coop U Enseigne Ouest</v>
      </c>
      <c r="E734">
        <f ca="1">VLOOKUP(A734,Import_SuiviGlobal_MigAppliSate!A:I,5,FALSE)</f>
        <v>85340</v>
      </c>
      <c r="F734" t="str">
        <f ca="1">VLOOKUP(A734,Import_SuiviGlobal_MigAppliSate!A:I,6,FALSE)</f>
        <v>73 RUE DU 8 MAI 1945</v>
      </c>
      <c r="G734" t="str">
        <f ca="1">VLOOKUP(A734,Import_SuiviGlobal_MigAppliSate!A:I,7,FALSE)</f>
        <v>02.51.95.37.25</v>
      </c>
      <c r="H734" t="str">
        <f ca="1">VLOOKUP(A734,Import_SuiviGlobal_MigAppliSate!A:I,8,FALSE)</f>
        <v>THOUZEAU RPT SAS SO LI FIT Lionel</v>
      </c>
      <c r="I734" t="str">
        <f ca="1">VLOOKUP(A734,Import_SuiviGlobal_MigAppliSate!A:I,9,FALSE)</f>
        <v>lionel.thouzeau@systeme-u.fr</v>
      </c>
      <c r="J734" s="24" t="str">
        <f ca="1">VLOOKUP(A734,Import_SuiviGlobal_MigAppliSate!A:K,10,FALSE)</f>
        <v>Rosita BOUCARD</v>
      </c>
      <c r="K734" t="str">
        <f ca="1">VLOOKUP(A734,Import_SuiviGlobal_MigAppliSate!A:K,11,FALSE)</f>
        <v>superu.olonnesurmer.rh@systeme-u.fr</v>
      </c>
      <c r="O734" s="1" t="s">
        <v>22</v>
      </c>
    </row>
    <row r="735" spans="1:15" ht="12.75" hidden="1" x14ac:dyDescent="0.2">
      <c r="A735">
        <v>38266</v>
      </c>
      <c r="B735" t="str">
        <f ca="1">VLOOKUP(A735,Import_SuiviGlobal_MigAppliSate!A:I,2,FALSE)</f>
        <v>ORADOUR-SUR-GLANE</v>
      </c>
      <c r="C735" t="str">
        <f ca="1">VLOOKUP(A735,Import_SuiviGlobal_MigAppliSate!A:I,3,FALSE)</f>
        <v>U Express</v>
      </c>
      <c r="D735" s="1" t="str">
        <f ca="1">VLOOKUP(A735,Import_SuiviGlobal_MigAppliSate!A:I,4,FALSE)</f>
        <v>Coop U Enseigne Ouest</v>
      </c>
      <c r="E735">
        <f ca="1">VLOOKUP(A735,Import_SuiviGlobal_MigAppliSate!A:I,5,FALSE)</f>
        <v>87520</v>
      </c>
      <c r="F735" t="str">
        <f ca="1">VLOOKUP(A735,Import_SuiviGlobal_MigAppliSate!A:I,6,FALSE)</f>
        <v>60, RUE DE LA LANDE</v>
      </c>
      <c r="G735" t="str">
        <f ca="1">VLOOKUP(A735,Import_SuiviGlobal_MigAppliSate!A:I,7,FALSE)</f>
        <v>05.55.43.02.10</v>
      </c>
      <c r="H735" t="str">
        <f ca="1">VLOOKUP(A735,Import_SuiviGlobal_MigAppliSate!A:I,8,FALSE)</f>
        <v>DURIEUX Damien</v>
      </c>
      <c r="I735" t="str">
        <f ca="1">VLOOKUP(A735,Import_SuiviGlobal_MigAppliSate!A:I,9,FALSE)</f>
        <v>damien.durieux@systeme-u.fr</v>
      </c>
      <c r="J735" s="24" t="str">
        <f ca="1">VLOOKUP(A735,Import_SuiviGlobal_MigAppliSate!A:K,10,FALSE)</f>
        <v/>
      </c>
      <c r="K735" t="str">
        <f ca="1">VLOOKUP(A735,Import_SuiviGlobal_MigAppliSate!A:K,11,FALSE)</f>
        <v/>
      </c>
      <c r="O735" s="1" t="s">
        <v>22</v>
      </c>
    </row>
    <row r="736" spans="1:15" ht="12.75" hidden="1" x14ac:dyDescent="0.2">
      <c r="A736">
        <v>38020</v>
      </c>
      <c r="B736" t="str">
        <f ca="1">VLOOKUP(A736,Import_SuiviGlobal_MigAppliSate!A:I,2,FALSE)</f>
        <v>ORADOUR-SUR-VAYRES</v>
      </c>
      <c r="C736" t="str">
        <f ca="1">VLOOKUP(A736,Import_SuiviGlobal_MigAppliSate!A:I,3,FALSE)</f>
        <v>U Express</v>
      </c>
      <c r="D736" s="1" t="str">
        <f ca="1">VLOOKUP(A736,Import_SuiviGlobal_MigAppliSate!A:I,4,FALSE)</f>
        <v>Coop U Enseigne Ouest</v>
      </c>
      <c r="E736">
        <f ca="1">VLOOKUP(A736,Import_SuiviGlobal_MigAppliSate!A:I,5,FALSE)</f>
        <v>87150</v>
      </c>
      <c r="F736" t="str">
        <f ca="1">VLOOKUP(A736,Import_SuiviGlobal_MigAppliSate!A:I,6,FALSE)</f>
        <v>1, RUE JEAN SEGUREL</v>
      </c>
      <c r="G736" t="str">
        <f ca="1">VLOOKUP(A736,Import_SuiviGlobal_MigAppliSate!A:I,7,FALSE)</f>
        <v>05.55.48.83.75</v>
      </c>
      <c r="H736" t="str">
        <f ca="1">VLOOKUP(A736,Import_SuiviGlobal_MigAppliSate!A:I,8,FALSE)</f>
        <v>REMAUD Christian</v>
      </c>
      <c r="I736" t="str">
        <f ca="1">VLOOKUP(A736,Import_SuiviGlobal_MigAppliSate!A:I,9,FALSE)</f>
        <v>christian.remaud@systeme-u.fr</v>
      </c>
      <c r="J736" s="24" t="str">
        <f ca="1">VLOOKUP(A736,Import_SuiviGlobal_MigAppliSate!A:K,10,FALSE)</f>
        <v>FAURE Amélie
VEGNERIE Stéphanie</v>
      </c>
      <c r="K736" t="str">
        <f ca="1">VLOOKUP(A736,Import_SuiviGlobal_MigAppliSate!A:K,11,FALSE)</f>
        <v>uexpress.oradoursurvayres@systeme-u.fr,uexpress.oradoursurvayres.compta@systeme-u.fr</v>
      </c>
      <c r="O736" s="1" t="s">
        <v>22</v>
      </c>
    </row>
    <row r="737" spans="1:15" ht="12.75" hidden="1" x14ac:dyDescent="0.2">
      <c r="A737">
        <v>64003</v>
      </c>
      <c r="B737" t="str">
        <f ca="1">VLOOKUP(A737,Import_SuiviGlobal_MigAppliSate!A:I,2,FALSE)</f>
        <v>ORCHAMPS-VENNES</v>
      </c>
      <c r="C737" t="str">
        <f ca="1">VLOOKUP(A737,Import_SuiviGlobal_MigAppliSate!A:I,3,FALSE)</f>
        <v>U Express</v>
      </c>
      <c r="D737" s="1" t="str">
        <f ca="1">VLOOKUP(A737,Import_SuiviGlobal_MigAppliSate!A:I,4,FALSE)</f>
        <v>Coop U Enseigne Est</v>
      </c>
      <c r="E737">
        <f ca="1">VLOOKUP(A737,Import_SuiviGlobal_MigAppliSate!A:I,5,FALSE)</f>
        <v>25390</v>
      </c>
      <c r="F737" t="str">
        <f ca="1">VLOOKUP(A737,Import_SuiviGlobal_MigAppliSate!A:I,6,FALSE)</f>
        <v>2 RUE DE LA VERDOLLE</v>
      </c>
      <c r="G737" t="str">
        <f ca="1">VLOOKUP(A737,Import_SuiviGlobal_MigAppliSate!A:I,7,FALSE)</f>
        <v>03.81.43.60.69</v>
      </c>
      <c r="H737" t="str">
        <f ca="1">VLOOKUP(A737,Import_SuiviGlobal_MigAppliSate!A:I,8,FALSE)</f>
        <v>ROGNON Anne-lise</v>
      </c>
      <c r="I737" t="str">
        <f ca="1">VLOOKUP(A737,Import_SuiviGlobal_MigAppliSate!A:I,9,FALSE)</f>
        <v>anne-lise.rognon@systeme-u.fr</v>
      </c>
      <c r="J737" s="24" t="str">
        <f ca="1">VLOOKUP(A737,Import_SuiviGlobal_MigAppliSate!A:K,10,FALSE)</f>
        <v/>
      </c>
      <c r="K737" t="str">
        <f ca="1">VLOOKUP(A737,Import_SuiviGlobal_MigAppliSate!A:K,11,FALSE)</f>
        <v/>
      </c>
      <c r="O737" s="1" t="s">
        <v>22</v>
      </c>
    </row>
    <row r="738" spans="1:15" ht="12.75" hidden="1" x14ac:dyDescent="0.2">
      <c r="A738">
        <v>66168</v>
      </c>
      <c r="B738" t="str">
        <f ca="1">VLOOKUP(A738,Import_SuiviGlobal_MigAppliSate!A:I,2,FALSE)</f>
        <v>ORGELET</v>
      </c>
      <c r="C738" t="str">
        <f ca="1">VLOOKUP(A738,Import_SuiviGlobal_MigAppliSate!A:I,3,FALSE)</f>
        <v>Super U</v>
      </c>
      <c r="D738" s="1" t="str">
        <f ca="1">VLOOKUP(A738,Import_SuiviGlobal_MigAppliSate!A:I,4,FALSE)</f>
        <v>Coop U Enseigne Est</v>
      </c>
      <c r="E738">
        <f ca="1">VLOOKUP(A738,Import_SuiviGlobal_MigAppliSate!A:I,5,FALSE)</f>
        <v>39270</v>
      </c>
      <c r="F738" t="str">
        <f ca="1">VLOOKUP(A738,Import_SuiviGlobal_MigAppliSate!A:I,6,FALSE)</f>
        <v>2, RUE DE L'INDUSTRIE</v>
      </c>
      <c r="G738" t="str">
        <f ca="1">VLOOKUP(A738,Import_SuiviGlobal_MigAppliSate!A:I,7,FALSE)</f>
        <v>03.84.25.46.64</v>
      </c>
      <c r="H738" t="str">
        <f ca="1">VLOOKUP(A738,Import_SuiviGlobal_MigAppliSate!A:I,8,FALSE)</f>
        <v>VALLEE RPT SAS VALAMOUR FRANCK</v>
      </c>
      <c r="I738" t="str">
        <f ca="1">VLOOKUP(A738,Import_SuiviGlobal_MigAppliSate!A:I,9,FALSE)</f>
        <v>franck.vallee@systeme-u.fr</v>
      </c>
      <c r="J738" s="24" t="str">
        <f ca="1">VLOOKUP(A738,Import_SuiviGlobal_MigAppliSate!A:K,10,FALSE)</f>
        <v xml:space="preserve">DE MELO ADRIEN </v>
      </c>
      <c r="K738" t="str">
        <f ca="1">VLOOKUP(A738,Import_SuiviGlobal_MigAppliSate!A:K,11,FALSE)</f>
        <v>adrien.demelo@systeme-u.fr</v>
      </c>
      <c r="O738" s="1" t="s">
        <v>22</v>
      </c>
    </row>
    <row r="739" spans="1:15" ht="12.75" hidden="1" x14ac:dyDescent="0.2">
      <c r="A739">
        <v>35692</v>
      </c>
      <c r="B739" t="str">
        <f ca="1">VLOOKUP(A739,Import_SuiviGlobal_MigAppliSate!A:I,2,FALSE)</f>
        <v>ORLEANS</v>
      </c>
      <c r="C739" t="str">
        <f ca="1">VLOOKUP(A739,Import_SuiviGlobal_MigAppliSate!A:I,3,FALSE)</f>
        <v>U Express</v>
      </c>
      <c r="D739" s="1" t="str">
        <f ca="1">VLOOKUP(A739,Import_SuiviGlobal_MigAppliSate!A:I,4,FALSE)</f>
        <v>Coop U Enseigne Ouest</v>
      </c>
      <c r="E739">
        <f ca="1">VLOOKUP(A739,Import_SuiviGlobal_MigAppliSate!A:I,5,FALSE)</f>
        <v>45100</v>
      </c>
      <c r="F739" t="str">
        <f ca="1">VLOOKUP(A739,Import_SuiviGlobal_MigAppliSate!A:I,6,FALSE)</f>
        <v>AVENUE DE LA BOLIÈRE</v>
      </c>
      <c r="G739" t="str">
        <f ca="1">VLOOKUP(A739,Import_SuiviGlobal_MigAppliSate!A:I,7,FALSE)</f>
        <v>02.38.24.08.31</v>
      </c>
      <c r="H739" t="str">
        <f ca="1">VLOOKUP(A739,Import_SuiviGlobal_MigAppliSate!A:I,8,FALSE)</f>
        <v>GIRARD RPT SAS GIRARD Michael</v>
      </c>
      <c r="I739" t="str">
        <f ca="1">VLOOKUP(A739,Import_SuiviGlobal_MigAppliSate!A:I,9,FALSE)</f>
        <v>michael.girard@systeme-u.fr</v>
      </c>
      <c r="J739" s="24" t="str">
        <f ca="1">VLOOKUP(A739,Import_SuiviGlobal_MigAppliSate!A:K,10,FALSE)</f>
        <v/>
      </c>
      <c r="K739" t="str">
        <f ca="1">VLOOKUP(A739,Import_SuiviGlobal_MigAppliSate!A:K,11,FALSE)</f>
        <v/>
      </c>
      <c r="O739" s="1" t="s">
        <v>22</v>
      </c>
    </row>
    <row r="740" spans="1:15" ht="12.75" hidden="1" x14ac:dyDescent="0.2">
      <c r="A740">
        <v>62110</v>
      </c>
      <c r="B740" t="str">
        <f ca="1">VLOOKUP(A740,Import_SuiviGlobal_MigAppliSate!A:I,2,FALSE)</f>
        <v>ORNANS</v>
      </c>
      <c r="C740" t="str">
        <f ca="1">VLOOKUP(A740,Import_SuiviGlobal_MigAppliSate!A:I,3,FALSE)</f>
        <v>U Express</v>
      </c>
      <c r="D740" s="1" t="str">
        <f ca="1">VLOOKUP(A740,Import_SuiviGlobal_MigAppliSate!A:I,4,FALSE)</f>
        <v>Coop U Enseigne Est</v>
      </c>
      <c r="E740">
        <f ca="1">VLOOKUP(A740,Import_SuiviGlobal_MigAppliSate!A:I,5,FALSE)</f>
        <v>25290</v>
      </c>
      <c r="F740" t="str">
        <f ca="1">VLOOKUP(A740,Import_SuiviGlobal_MigAppliSate!A:I,6,FALSE)</f>
        <v>ROUTE DE BESANCON</v>
      </c>
      <c r="G740" t="str">
        <f ca="1">VLOOKUP(A740,Import_SuiviGlobal_MigAppliSate!A:I,7,FALSE)</f>
        <v>03.81.62.15.50</v>
      </c>
      <c r="H740" t="str">
        <f ca="1">VLOOKUP(A740,Import_SuiviGlobal_MigAppliSate!A:I,8,FALSE)</f>
        <v>RUDISULI Philippe</v>
      </c>
      <c r="I740" t="str">
        <f ca="1">VLOOKUP(A740,Import_SuiviGlobal_MigAppliSate!A:I,9,FALSE)</f>
        <v>philippe.rudisuli@systeme-u.fr</v>
      </c>
      <c r="J740" s="24" t="str">
        <f ca="1">VLOOKUP(A740,Import_SuiviGlobal_MigAppliSate!A:K,10,FALSE)</f>
        <v>KANIA Stéphanie</v>
      </c>
      <c r="K740" t="str">
        <f ca="1">VLOOKUP(A740,Import_SuiviGlobal_MigAppliSate!A:K,11,FALSE)</f>
        <v>uexpress.ornans@systeme-u.fr</v>
      </c>
      <c r="O740" s="1" t="s">
        <v>22</v>
      </c>
    </row>
    <row r="741" spans="1:15" ht="12.75" hidden="1" x14ac:dyDescent="0.2">
      <c r="A741">
        <v>95197</v>
      </c>
      <c r="B741" t="str">
        <f ca="1">VLOOKUP(A741,Import_SuiviGlobal_MigAppliSate!A:I,2,FALSE)</f>
        <v>ORTHEZ</v>
      </c>
      <c r="C741" t="str">
        <f ca="1">VLOOKUP(A741,Import_SuiviGlobal_MigAppliSate!A:I,3,FALSE)</f>
        <v>Super U</v>
      </c>
      <c r="D741" s="1" t="str">
        <f ca="1">VLOOKUP(A741,Import_SuiviGlobal_MigAppliSate!A:I,4,FALSE)</f>
        <v>Coop U Enseigne Sud</v>
      </c>
      <c r="E741">
        <f ca="1">VLOOKUP(A741,Import_SuiviGlobal_MigAppliSate!A:I,5,FALSE)</f>
        <v>64300</v>
      </c>
      <c r="F741" t="str">
        <f ca="1">VLOOKUP(A741,Import_SuiviGlobal_MigAppliSate!A:I,6,FALSE)</f>
        <v>ROUTE DE PAU - RN117</v>
      </c>
      <c r="G741" t="str">
        <f ca="1">VLOOKUP(A741,Import_SuiviGlobal_MigAppliSate!A:I,7,FALSE)</f>
        <v>05.59.69.30.31</v>
      </c>
      <c r="H741" t="str">
        <f ca="1">VLOOKUP(A741,Import_SuiviGlobal_MigAppliSate!A:I,8,FALSE)</f>
        <v>BEE Jerome</v>
      </c>
      <c r="I741" t="str">
        <f ca="1">VLOOKUP(A741,Import_SuiviGlobal_MigAppliSate!A:I,9,FALSE)</f>
        <v>jerome.bee@systeme-u.fr</v>
      </c>
      <c r="J741" s="24" t="str">
        <f ca="1">VLOOKUP(A741,Import_SuiviGlobal_MigAppliSate!A:K,10,FALSE)</f>
        <v>LIAUTARD ISABELLE</v>
      </c>
      <c r="K741" t="str">
        <f ca="1">VLOOKUP(A741,Import_SuiviGlobal_MigAppliSate!A:K,11,FALSE)</f>
        <v>superu.orthez.daf@systeme-u.fr</v>
      </c>
      <c r="O741" s="1" t="s">
        <v>22</v>
      </c>
    </row>
    <row r="742" spans="1:15" ht="12.75" hidden="1" x14ac:dyDescent="0.2">
      <c r="A742">
        <v>25223</v>
      </c>
      <c r="B742" t="str">
        <f ca="1">VLOOKUP(A742,Import_SuiviGlobal_MigAppliSate!A:I,2,FALSE)</f>
        <v>OUILLY LE VICOMTE</v>
      </c>
      <c r="C742" t="str">
        <f ca="1">VLOOKUP(A742,Import_SuiviGlobal_MigAppliSate!A:I,3,FALSE)</f>
        <v>Super U</v>
      </c>
      <c r="D742" s="1" t="str">
        <f ca="1">VLOOKUP(A742,Import_SuiviGlobal_MigAppliSate!A:I,4,FALSE)</f>
        <v>Coop U Enseigne NordOuest</v>
      </c>
      <c r="E742">
        <f ca="1">VLOOKUP(A742,Import_SuiviGlobal_MigAppliSate!A:I,5,FALSE)</f>
        <v>14100</v>
      </c>
      <c r="F742" t="str">
        <f ca="1">VLOOKUP(A742,Import_SuiviGlobal_MigAppliSate!A:I,6,FALSE)</f>
        <v>ROUTE DE COQUAINVILLIERS</v>
      </c>
      <c r="G742" t="str">
        <f ca="1">VLOOKUP(A742,Import_SuiviGlobal_MigAppliSate!A:I,7,FALSE)</f>
        <v>02.31.63.08.88</v>
      </c>
      <c r="H742" t="str">
        <f ca="1">VLOOKUP(A742,Import_SuiviGlobal_MigAppliSate!A:I,8,FALSE)</f>
        <v>LEJEUNE Franck</v>
      </c>
      <c r="I742" t="str">
        <f ca="1">VLOOKUP(A742,Import_SuiviGlobal_MigAppliSate!A:I,9,FALSE)</f>
        <v>franck.lejeune@systeme-u.fr</v>
      </c>
      <c r="J742" s="24" t="str">
        <f ca="1">VLOOKUP(A742,Import_SuiviGlobal_MigAppliSate!A:K,10,FALSE)</f>
        <v/>
      </c>
      <c r="K742" t="str">
        <f ca="1">VLOOKUP(A742,Import_SuiviGlobal_MigAppliSate!A:K,11,FALSE)</f>
        <v/>
      </c>
      <c r="O742" s="1" t="s">
        <v>22</v>
      </c>
    </row>
    <row r="743" spans="1:15" ht="12.75" hidden="1" x14ac:dyDescent="0.2">
      <c r="A743">
        <v>21562</v>
      </c>
      <c r="B743" t="str">
        <f ca="1">VLOOKUP(A743,Import_SuiviGlobal_MigAppliSate!A:I,2,FALSE)</f>
        <v>PACY SUR EURE</v>
      </c>
      <c r="C743" t="str">
        <f ca="1">VLOOKUP(A743,Import_SuiviGlobal_MigAppliSate!A:I,3,FALSE)</f>
        <v>Super U</v>
      </c>
      <c r="D743" s="1" t="str">
        <f ca="1">VLOOKUP(A743,Import_SuiviGlobal_MigAppliSate!A:I,4,FALSE)</f>
        <v>Coop U Enseigne NordOuest</v>
      </c>
      <c r="E743">
        <f ca="1">VLOOKUP(A743,Import_SuiviGlobal_MigAppliSate!A:I,5,FALSE)</f>
        <v>27120</v>
      </c>
      <c r="F743" t="str">
        <f ca="1">VLOOKUP(A743,Import_SuiviGlobal_MigAppliSate!A:I,6,FALSE)</f>
        <v>71 RUE MARCEL MOISSON</v>
      </c>
      <c r="G743" t="str">
        <f ca="1">VLOOKUP(A743,Import_SuiviGlobal_MigAppliSate!A:I,7,FALSE)</f>
        <v>02.32.36.76.27</v>
      </c>
      <c r="H743" t="str">
        <f ca="1">VLOOKUP(A743,Import_SuiviGlobal_MigAppliSate!A:I,8,FALSE)</f>
        <v>LEGOUX Benoît</v>
      </c>
      <c r="I743" t="str">
        <f ca="1">VLOOKUP(A743,Import_SuiviGlobal_MigAppliSate!A:I,9,FALSE)</f>
        <v>benoit.legoux@systeme-u.fr</v>
      </c>
      <c r="J743" s="24" t="str">
        <f ca="1">VLOOKUP(A743,Import_SuiviGlobal_MigAppliSate!A:K,10,FALSE)</f>
        <v>Mr Sylvain Aupaix (directeur)</v>
      </c>
      <c r="K743" t="str">
        <f ca="1">VLOOKUP(A743,Import_SuiviGlobal_MigAppliSate!A:K,11,FALSE)</f>
        <v>superupacysureure.direction@gmail.com</v>
      </c>
      <c r="O743" s="1" t="s">
        <v>22</v>
      </c>
    </row>
    <row r="744" spans="1:15" ht="12.75" hidden="1" x14ac:dyDescent="0.2">
      <c r="A744">
        <v>30868</v>
      </c>
      <c r="B744" t="str">
        <f ca="1">VLOOKUP(A744,Import_SuiviGlobal_MigAppliSate!A:I,2,FALSE)</f>
        <v>PAIMBOEUF</v>
      </c>
      <c r="C744" t="str">
        <f ca="1">VLOOKUP(A744,Import_SuiviGlobal_MigAppliSate!A:I,3,FALSE)</f>
        <v>Super U</v>
      </c>
      <c r="D744" s="1" t="str">
        <f ca="1">VLOOKUP(A744,Import_SuiviGlobal_MigAppliSate!A:I,4,FALSE)</f>
        <v>Coop U Enseigne Ouest</v>
      </c>
      <c r="E744">
        <f ca="1">VLOOKUP(A744,Import_SuiviGlobal_MigAppliSate!A:I,5,FALSE)</f>
        <v>44560</v>
      </c>
      <c r="F744" t="str">
        <f ca="1">VLOOKUP(A744,Import_SuiviGlobal_MigAppliSate!A:I,6,FALSE)</f>
        <v>RUE FERREOL PREZELIN</v>
      </c>
      <c r="G744" t="str">
        <f ca="1">VLOOKUP(A744,Import_SuiviGlobal_MigAppliSate!A:I,7,FALSE)</f>
        <v>02.40.27.75.75</v>
      </c>
      <c r="H744" t="str">
        <f ca="1">VLOOKUP(A744,Import_SuiviGlobal_MigAppliSate!A:I,8,FALSE)</f>
        <v>PORCHER RPT SARL EILMOS Gildas</v>
      </c>
      <c r="I744" t="str">
        <f ca="1">VLOOKUP(A744,Import_SuiviGlobal_MigAppliSate!A:I,9,FALSE)</f>
        <v>gildas.porcher@systeme-u.fr</v>
      </c>
      <c r="J744" s="24" t="str">
        <f ca="1">VLOOKUP(A744,Import_SuiviGlobal_MigAppliSate!A:K,10,FALSE)</f>
        <v>POYER Adrien</v>
      </c>
      <c r="K744" t="str">
        <f ca="1">VLOOKUP(A744,Import_SuiviGlobal_MigAppliSate!A:K,11,FALSE)</f>
        <v>adrien.poyer@systeme-u.fr</v>
      </c>
      <c r="O744" s="1" t="s">
        <v>22</v>
      </c>
    </row>
    <row r="745" spans="1:15" ht="12.75" hidden="1" x14ac:dyDescent="0.2">
      <c r="A745">
        <v>96413</v>
      </c>
      <c r="B745" t="str">
        <f ca="1">VLOOKUP(A745,Import_SuiviGlobal_MigAppliSate!A:I,2,FALSE)</f>
        <v>PARENTIS EN BORN</v>
      </c>
      <c r="C745" t="str">
        <f ca="1">VLOOKUP(A745,Import_SuiviGlobal_MigAppliSate!A:I,3,FALSE)</f>
        <v>Super U</v>
      </c>
      <c r="D745" s="1" t="str">
        <f ca="1">VLOOKUP(A745,Import_SuiviGlobal_MigAppliSate!A:I,4,FALSE)</f>
        <v>Coop U Enseigne Sud</v>
      </c>
      <c r="E745">
        <f ca="1">VLOOKUP(A745,Import_SuiviGlobal_MigAppliSate!A:I,5,FALSE)</f>
        <v>40160</v>
      </c>
      <c r="F745" t="str">
        <f ca="1">VLOOKUP(A745,Import_SuiviGlobal_MigAppliSate!A:I,6,FALSE)</f>
        <v>606 AVENUE BREMONTIER</v>
      </c>
      <c r="G745" t="str">
        <f ca="1">VLOOKUP(A745,Import_SuiviGlobal_MigAppliSate!A:I,7,FALSE)</f>
        <v>05.58.78.42.71</v>
      </c>
      <c r="H745" t="str">
        <f ca="1">VLOOKUP(A745,Import_SuiviGlobal_MigAppliSate!A:I,8,FALSE)</f>
        <v>SOULIE Thierry</v>
      </c>
      <c r="I745" t="str">
        <f ca="1">VLOOKUP(A745,Import_SuiviGlobal_MigAppliSate!A:I,9,FALSE)</f>
        <v>thierry.soulie@systeme-u.fr</v>
      </c>
      <c r="J745" s="24" t="str">
        <f ca="1">VLOOKUP(A745,Import_SuiviGlobal_MigAppliSate!A:K,10,FALSE)</f>
        <v>SOULIE Thibaud</v>
      </c>
      <c r="K745" t="str">
        <f ca="1">VLOOKUP(A745,Import_SuiviGlobal_MigAppliSate!A:K,11,FALSE)</f>
        <v>thibaud.soulie@systeme-u.fr</v>
      </c>
      <c r="O745" s="1" t="s">
        <v>22</v>
      </c>
    </row>
    <row r="746" spans="1:15" ht="12.75" hidden="1" x14ac:dyDescent="0.2">
      <c r="A746">
        <v>33794</v>
      </c>
      <c r="B746" t="str">
        <f ca="1">VLOOKUP(A746,Import_SuiviGlobal_MigAppliSate!A:I,2,FALSE)</f>
        <v>PARIGNE-LEVEQUE</v>
      </c>
      <c r="C746" t="str">
        <f ca="1">VLOOKUP(A746,Import_SuiviGlobal_MigAppliSate!A:I,3,FALSE)</f>
        <v>Super U</v>
      </c>
      <c r="D746" s="1" t="str">
        <f ca="1">VLOOKUP(A746,Import_SuiviGlobal_MigAppliSate!A:I,4,FALSE)</f>
        <v>Coop U Enseigne Ouest</v>
      </c>
      <c r="E746">
        <f ca="1">VLOOKUP(A746,Import_SuiviGlobal_MigAppliSate!A:I,5,FALSE)</f>
        <v>72250</v>
      </c>
      <c r="F746" t="str">
        <f ca="1">VLOOKUP(A746,Import_SuiviGlobal_MigAppliSate!A:I,6,FALSE)</f>
        <v>LE RUISSEAU</v>
      </c>
      <c r="G746" t="str">
        <f ca="1">VLOOKUP(A746,Import_SuiviGlobal_MigAppliSate!A:I,7,FALSE)</f>
        <v>02.43.50.31.80</v>
      </c>
      <c r="H746" t="str">
        <f ca="1">VLOOKUP(A746,Import_SuiviGlobal_MigAppliSate!A:I,8,FALSE)</f>
        <v>CHEVALLIER RPT SAS EVEDIS Samuel</v>
      </c>
      <c r="I746" t="str">
        <f ca="1">VLOOKUP(A746,Import_SuiviGlobal_MigAppliSate!A:I,9,FALSE)</f>
        <v>samuel.chevallier@systeme-u.fr</v>
      </c>
      <c r="J746" s="24" t="str">
        <f ca="1">VLOOKUP(A746,Import_SuiviGlobal_MigAppliSate!A:K,10,FALSE)</f>
        <v>Stéphane Oster
Françoise (resp ULIS)</v>
      </c>
      <c r="K746" t="str">
        <f ca="1">VLOOKUP(A746,Import_SuiviGlobal_MigAppliSate!A:K,11,FALSE)</f>
        <v xml:space="preserve">stephane.oster@systeme-u.fr,superu.parigneeveque.administratif@systeme-u.fr </v>
      </c>
      <c r="O746" s="1" t="s">
        <v>22</v>
      </c>
    </row>
    <row r="747" spans="1:15" ht="12.75" hidden="1" x14ac:dyDescent="0.2">
      <c r="A747">
        <v>23220</v>
      </c>
      <c r="B747" t="str">
        <f ca="1">VLOOKUP(A747,Import_SuiviGlobal_MigAppliSate!A:I,2,FALSE)</f>
        <v>PARIS ASSAS</v>
      </c>
      <c r="C747" t="str">
        <f ca="1">VLOOKUP(A747,Import_SuiviGlobal_MigAppliSate!A:I,3,FALSE)</f>
        <v>U Express</v>
      </c>
      <c r="D747" s="1" t="str">
        <f ca="1">VLOOKUP(A747,Import_SuiviGlobal_MigAppliSate!A:I,4,FALSE)</f>
        <v>Coop U Enseigne NordOuest</v>
      </c>
      <c r="E747">
        <f ca="1">VLOOKUP(A747,Import_SuiviGlobal_MigAppliSate!A:I,5,FALSE)</f>
        <v>75006</v>
      </c>
      <c r="F747" t="str">
        <f ca="1">VLOOKUP(A747,Import_SuiviGlobal_MigAppliSate!A:I,6,FALSE)</f>
        <v>1 RUE D'ASSAS</v>
      </c>
      <c r="G747" t="str">
        <f ca="1">VLOOKUP(A747,Import_SuiviGlobal_MigAppliSate!A:I,7,FALSE)</f>
        <v>01.45.44.25.05</v>
      </c>
      <c r="H747" t="str">
        <f ca="1">VLOOKUP(A747,Import_SuiviGlobal_MigAppliSate!A:I,8,FALSE)</f>
        <v>LEVY Sacha</v>
      </c>
      <c r="I747" t="str">
        <f ca="1">VLOOKUP(A747,Import_SuiviGlobal_MigAppliSate!A:I,9,FALSE)</f>
        <v>sacha.levy@systeme-u.fr</v>
      </c>
      <c r="J747" s="24" t="str">
        <f ca="1">VLOOKUP(A747,Import_SuiviGlobal_MigAppliSate!A:K,10,FALSE)</f>
        <v>Mr Deloumeaux</v>
      </c>
      <c r="K747" t="str">
        <f ca="1">VLOOKUP(A747,Import_SuiviGlobal_MigAppliSate!A:K,11,FALSE)</f>
        <v>uexpress.paris.assas@systeme-u.fr</v>
      </c>
      <c r="O747" s="1" t="s">
        <v>22</v>
      </c>
    </row>
    <row r="748" spans="1:15" ht="12.75" hidden="1" x14ac:dyDescent="0.2">
      <c r="A748">
        <v>23158</v>
      </c>
      <c r="B748" t="str">
        <f ca="1">VLOOKUP(A748,Import_SuiviGlobal_MigAppliSate!A:I,2,FALSE)</f>
        <v>PARIS CHAMPIONNET</v>
      </c>
      <c r="C748" t="str">
        <f ca="1">VLOOKUP(A748,Import_SuiviGlobal_MigAppliSate!A:I,3,FALSE)</f>
        <v>U Express</v>
      </c>
      <c r="D748" s="1" t="str">
        <f ca="1">VLOOKUP(A748,Import_SuiviGlobal_MigAppliSate!A:I,4,FALSE)</f>
        <v>Coop U Enseigne NordOuest</v>
      </c>
      <c r="E748">
        <f ca="1">VLOOKUP(A748,Import_SuiviGlobal_MigAppliSate!A:I,5,FALSE)</f>
        <v>75018</v>
      </c>
      <c r="F748" t="str">
        <f ca="1">VLOOKUP(A748,Import_SuiviGlobal_MigAppliSate!A:I,6,FALSE)</f>
        <v>193 RUE CHAMPIONNET</v>
      </c>
      <c r="G748" t="str">
        <f ca="1">VLOOKUP(A748,Import_SuiviGlobal_MigAppliSate!A:I,7,FALSE)</f>
        <v>01.58.60.36.30</v>
      </c>
      <c r="H748" t="str">
        <f ca="1">VLOOKUP(A748,Import_SuiviGlobal_MigAppliSate!A:I,8,FALSE)</f>
        <v>SEGONS Arnaud</v>
      </c>
      <c r="I748" t="str">
        <f ca="1">VLOOKUP(A748,Import_SuiviGlobal_MigAppliSate!A:I,9,FALSE)</f>
        <v>arnaud.segons@systeme-u.fr</v>
      </c>
      <c r="J748" s="24" t="str">
        <f ca="1">VLOOKUP(A748,Import_SuiviGlobal_MigAppliSate!A:K,10,FALSE)</f>
        <v>Mr Arnaud Segons</v>
      </c>
      <c r="K748" t="str">
        <f ca="1">VLOOKUP(A748,Import_SuiviGlobal_MigAppliSate!A:K,11,FALSE)</f>
        <v/>
      </c>
      <c r="O748" s="1" t="s">
        <v>22</v>
      </c>
    </row>
    <row r="749" spans="1:15" ht="12.75" hidden="1" x14ac:dyDescent="0.2">
      <c r="A749">
        <v>21872</v>
      </c>
      <c r="B749" t="str">
        <f ca="1">VLOOKUP(A749,Import_SuiviGlobal_MigAppliSate!A:I,2,FALSE)</f>
        <v>PARIS CLICHY</v>
      </c>
      <c r="C749" t="str">
        <f ca="1">VLOOKUP(A749,Import_SuiviGlobal_MigAppliSate!A:I,3,FALSE)</f>
        <v>Super U</v>
      </c>
      <c r="D749" s="1" t="str">
        <f ca="1">VLOOKUP(A749,Import_SuiviGlobal_MigAppliSate!A:I,4,FALSE)</f>
        <v>Coop U Enseigne NordOuest</v>
      </c>
      <c r="E749">
        <f ca="1">VLOOKUP(A749,Import_SuiviGlobal_MigAppliSate!A:I,5,FALSE)</f>
        <v>75017</v>
      </c>
      <c r="F749" t="str">
        <f ca="1">VLOOKUP(A749,Import_SuiviGlobal_MigAppliSate!A:I,6,FALSE)</f>
        <v>103 AVENUE DE CLICHY</v>
      </c>
      <c r="G749" t="str">
        <f ca="1">VLOOKUP(A749,Import_SuiviGlobal_MigAppliSate!A:I,7,FALSE)</f>
        <v>01.42.28.61.22</v>
      </c>
      <c r="H749" t="str">
        <f ca="1">VLOOKUP(A749,Import_SuiviGlobal_MigAppliSate!A:I,8,FALSE)</f>
        <v>CHARBITH Maurice</v>
      </c>
      <c r="I749" t="str">
        <f ca="1">VLOOKUP(A749,Import_SuiviGlobal_MigAppliSate!A:I,9,FALSE)</f>
        <v>maurice.charbith@systeme-u.fr</v>
      </c>
      <c r="J749" s="24" t="str">
        <f ca="1">VLOOKUP(A749,Import_SuiviGlobal_MigAppliSate!A:K,10,FALSE)</f>
        <v/>
      </c>
      <c r="K749" t="str">
        <f ca="1">VLOOKUP(A749,Import_SuiviGlobal_MigAppliSate!A:K,11,FALSE)</f>
        <v/>
      </c>
      <c r="O749" s="1" t="s">
        <v>22</v>
      </c>
    </row>
    <row r="750" spans="1:15" ht="12.75" hidden="1" x14ac:dyDescent="0.2">
      <c r="A750">
        <v>23875</v>
      </c>
      <c r="B750" t="str">
        <f ca="1">VLOOKUP(A750,Import_SuiviGlobal_MigAppliSate!A:I,2,FALSE)</f>
        <v>PARIS DELAMBRE</v>
      </c>
      <c r="C750" t="str">
        <f ca="1">VLOOKUP(A750,Import_SuiviGlobal_MigAppliSate!A:I,3,FALSE)</f>
        <v>U Express</v>
      </c>
      <c r="D750" s="1" t="str">
        <f ca="1">VLOOKUP(A750,Import_SuiviGlobal_MigAppliSate!A:I,4,FALSE)</f>
        <v>Coop U Enseigne NordOuest</v>
      </c>
      <c r="E750">
        <f ca="1">VLOOKUP(A750,Import_SuiviGlobal_MigAppliSate!A:I,5,FALSE)</f>
        <v>75014</v>
      </c>
      <c r="F750" t="str">
        <f ca="1">VLOOKUP(A750,Import_SuiviGlobal_MigAppliSate!A:I,6,FALSE)</f>
        <v>29 RUE DELAMBRE</v>
      </c>
      <c r="G750" t="str">
        <f ca="1">VLOOKUP(A750,Import_SuiviGlobal_MigAppliSate!A:I,7,FALSE)</f>
        <v>01.43.27.16.01</v>
      </c>
      <c r="H750" t="str">
        <f ca="1">VLOOKUP(A750,Import_SuiviGlobal_MigAppliSate!A:I,8,FALSE)</f>
        <v>WEBER Alexis</v>
      </c>
      <c r="I750" t="str">
        <f ca="1">VLOOKUP(A750,Import_SuiviGlobal_MigAppliSate!A:I,9,FALSE)</f>
        <v>alexis.weber@systeme-u.fr</v>
      </c>
      <c r="J750" s="24" t="str">
        <f ca="1">VLOOKUP(A750,Import_SuiviGlobal_MigAppliSate!A:K,10,FALSE)</f>
        <v/>
      </c>
      <c r="K750" t="str">
        <f ca="1">VLOOKUP(A750,Import_SuiviGlobal_MigAppliSate!A:K,11,FALSE)</f>
        <v/>
      </c>
      <c r="O750" s="1" t="s">
        <v>22</v>
      </c>
    </row>
    <row r="751" spans="1:15" ht="12.75" hidden="1" x14ac:dyDescent="0.2">
      <c r="A751">
        <v>23301</v>
      </c>
      <c r="B751" t="str">
        <f ca="1">VLOOKUP(A751,Import_SuiviGlobal_MigAppliSate!A:I,2,FALSE)</f>
        <v>PARIS DUFRENOY</v>
      </c>
      <c r="C751" t="str">
        <f ca="1">VLOOKUP(A751,Import_SuiviGlobal_MigAppliSate!A:I,3,FALSE)</f>
        <v>U Express</v>
      </c>
      <c r="D751" s="1" t="str">
        <f ca="1">VLOOKUP(A751,Import_SuiviGlobal_MigAppliSate!A:I,4,FALSE)</f>
        <v>Coop U Enseigne NordOuest</v>
      </c>
      <c r="E751">
        <f ca="1">VLOOKUP(A751,Import_SuiviGlobal_MigAppliSate!A:I,5,FALSE)</f>
        <v>75016</v>
      </c>
      <c r="F751" t="str">
        <f ca="1">VLOOKUP(A751,Import_SuiviGlobal_MigAppliSate!A:I,6,FALSE)</f>
        <v>16 RUE DUFRENOY</v>
      </c>
      <c r="G751" t="str">
        <f ca="1">VLOOKUP(A751,Import_SuiviGlobal_MigAppliSate!A:I,7,FALSE)</f>
        <v>09.67.52.27.98</v>
      </c>
      <c r="H751" t="str">
        <f ca="1">VLOOKUP(A751,Import_SuiviGlobal_MigAppliSate!A:I,8,FALSE)</f>
        <v>ATTIGNAC Nathanyel</v>
      </c>
      <c r="I751" t="str">
        <f ca="1">VLOOKUP(A751,Import_SuiviGlobal_MigAppliSate!A:I,9,FALSE)</f>
        <v>nathanyel.attignac@systeme-u.fr</v>
      </c>
      <c r="J751" s="24" t="str">
        <f ca="1">VLOOKUP(A751,Import_SuiviGlobal_MigAppliSate!A:K,10,FALSE)</f>
        <v/>
      </c>
      <c r="K751" t="str">
        <f ca="1">VLOOKUP(A751,Import_SuiviGlobal_MigAppliSate!A:K,11,FALSE)</f>
        <v>uexpress.paris.dufrenoy@systeme-u.fr</v>
      </c>
      <c r="O751" s="1" t="s">
        <v>22</v>
      </c>
    </row>
    <row r="752" spans="1:15" ht="12.75" hidden="1" x14ac:dyDescent="0.2">
      <c r="A752">
        <v>23204</v>
      </c>
      <c r="B752" t="str">
        <f ca="1">VLOOKUP(A752,Import_SuiviGlobal_MigAppliSate!A:I,2,FALSE)</f>
        <v>PARIS FEDERATION</v>
      </c>
      <c r="C752" t="str">
        <f ca="1">VLOOKUP(A752,Import_SuiviGlobal_MigAppliSate!A:I,3,FALSE)</f>
        <v>U Express</v>
      </c>
      <c r="D752" s="1" t="str">
        <f ca="1">VLOOKUP(A752,Import_SuiviGlobal_MigAppliSate!A:I,4,FALSE)</f>
        <v>Coop U Enseigne NordOuest</v>
      </c>
      <c r="E752">
        <f ca="1">VLOOKUP(A752,Import_SuiviGlobal_MigAppliSate!A:I,5,FALSE)</f>
        <v>75015</v>
      </c>
      <c r="F752" t="str">
        <f ca="1">VLOOKUP(A752,Import_SuiviGlobal_MigAppliSate!A:I,6,FALSE)</f>
        <v>50 RUE DE LA FÉDÉRATION</v>
      </c>
      <c r="G752" t="str">
        <f ca="1">VLOOKUP(A752,Import_SuiviGlobal_MigAppliSate!A:I,7,FALSE)</f>
        <v>01.44.59.35.28</v>
      </c>
      <c r="H752" t="str">
        <f ca="1">VLOOKUP(A752,Import_SuiviGlobal_MigAppliSate!A:I,8,FALSE)</f>
        <v>ATTIGNAC Nathanyel</v>
      </c>
      <c r="I752" t="str">
        <f ca="1">VLOOKUP(A752,Import_SuiviGlobal_MigAppliSate!A:I,9,FALSE)</f>
        <v>nathanyel.attignac@systeme-u.fr</v>
      </c>
      <c r="J752" s="24" t="str">
        <f ca="1">VLOOKUP(A752,Import_SuiviGlobal_MigAppliSate!A:K,10,FALSE)</f>
        <v>Mr Brenet</v>
      </c>
      <c r="K752" t="str">
        <f ca="1">VLOOKUP(A752,Import_SuiviGlobal_MigAppliSate!A:K,11,FALSE)</f>
        <v>uexpress.paris.federation@systeme-u.fr</v>
      </c>
      <c r="O752" s="1" t="s">
        <v>22</v>
      </c>
    </row>
    <row r="753" spans="1:15" ht="12.75" x14ac:dyDescent="0.2">
      <c r="A753">
        <v>24057</v>
      </c>
      <c r="B753" t="str">
        <f ca="1">VLOOKUP(A753,Import_SuiviGlobal_MigAppliSate!A:I,2,FALSE)</f>
        <v>PARIS JEMMAPES</v>
      </c>
      <c r="C753" t="str">
        <f ca="1">VLOOKUP(A753,Import_SuiviGlobal_MigAppliSate!A:I,3,FALSE)</f>
        <v>U Express</v>
      </c>
      <c r="D753" s="1" t="str">
        <f ca="1">VLOOKUP(A753,Import_SuiviGlobal_MigAppliSate!A:I,4,FALSE)</f>
        <v>Coop U Enseigne NordOuest</v>
      </c>
      <c r="E753">
        <f ca="1">VLOOKUP(A753,Import_SuiviGlobal_MigAppliSate!A:I,5,FALSE)</f>
        <v>75010</v>
      </c>
      <c r="F753" t="str">
        <f ca="1">VLOOKUP(A753,Import_SuiviGlobal_MigAppliSate!A:I,6,FALSE)</f>
        <v>64 QUAI DE JEMMAPES</v>
      </c>
      <c r="G753" t="str">
        <f ca="1">VLOOKUP(A753,Import_SuiviGlobal_MigAppliSate!A:I,7,FALSE)</f>
        <v>01.40.03.01.24</v>
      </c>
      <c r="H753" t="str">
        <f ca="1">VLOOKUP(A753,Import_SuiviGlobal_MigAppliSate!A:I,8,FALSE)</f>
        <v>ATTIGNAC Nathanyel</v>
      </c>
      <c r="I753" t="str">
        <f ca="1">VLOOKUP(A753,Import_SuiviGlobal_MigAppliSate!A:I,9,FALSE)</f>
        <v>nathanyel.attignac@systeme-u.fr</v>
      </c>
      <c r="J753" s="24" t="str">
        <f ca="1">VLOOKUP(A753,Import_SuiviGlobal_MigAppliSate!A:K,10,FALSE)</f>
        <v>Mlle lydie Belval</v>
      </c>
      <c r="K753" t="str">
        <f ca="1">VLOOKUP(A753,Import_SuiviGlobal_MigAppliSate!A:K,11,FALSE)</f>
        <v>uexpress.paris.jemmapes@systeme-u.fr</v>
      </c>
      <c r="L753" t="s">
        <v>17</v>
      </c>
      <c r="M753" t="s">
        <v>0</v>
      </c>
      <c r="O753" s="1" t="s">
        <v>22</v>
      </c>
    </row>
    <row r="754" spans="1:15" ht="12.75" hidden="1" x14ac:dyDescent="0.2">
      <c r="A754">
        <v>23166</v>
      </c>
      <c r="B754" t="str">
        <f ca="1">VLOOKUP(A754,Import_SuiviGlobal_MigAppliSate!A:I,2,FALSE)</f>
        <v>PARIS MONGE</v>
      </c>
      <c r="C754" t="str">
        <f ca="1">VLOOKUP(A754,Import_SuiviGlobal_MigAppliSate!A:I,3,FALSE)</f>
        <v>U Express</v>
      </c>
      <c r="D754" s="1" t="str">
        <f ca="1">VLOOKUP(A754,Import_SuiviGlobal_MigAppliSate!A:I,4,FALSE)</f>
        <v>Coop U Enseigne NordOuest</v>
      </c>
      <c r="E754">
        <f ca="1">VLOOKUP(A754,Import_SuiviGlobal_MigAppliSate!A:I,5,FALSE)</f>
        <v>75005</v>
      </c>
      <c r="F754" t="str">
        <f ca="1">VLOOKUP(A754,Import_SuiviGlobal_MigAppliSate!A:I,6,FALSE)</f>
        <v>16 RUE MONGE</v>
      </c>
      <c r="G754" t="str">
        <f ca="1">VLOOKUP(A754,Import_SuiviGlobal_MigAppliSate!A:I,7,FALSE)</f>
        <v>01.42.03.94.11</v>
      </c>
      <c r="H754" t="str">
        <f ca="1">VLOOKUP(A754,Import_SuiviGlobal_MigAppliSate!A:I,8,FALSE)</f>
        <v>LEVY Sacha</v>
      </c>
      <c r="I754" t="str">
        <f ca="1">VLOOKUP(A754,Import_SuiviGlobal_MigAppliSate!A:I,9,FALSE)</f>
        <v>sacha.levy@systeme-u.fr</v>
      </c>
      <c r="J754" s="24" t="str">
        <f ca="1">VLOOKUP(A754,Import_SuiviGlobal_MigAppliSate!A:K,10,FALSE)</f>
        <v>Mr Magdalenc 0771219501</v>
      </c>
      <c r="K754" t="str">
        <f ca="1">VLOOKUP(A754,Import_SuiviGlobal_MigAppliSate!A:K,11,FALSE)</f>
        <v>uexpress.parismonge@systeme-u.fr</v>
      </c>
      <c r="O754" s="1" t="s">
        <v>22</v>
      </c>
    </row>
    <row r="755" spans="1:15" ht="12.75" hidden="1" x14ac:dyDescent="0.2">
      <c r="A755">
        <v>24235</v>
      </c>
      <c r="B755" t="str">
        <f ca="1">VLOOKUP(A755,Import_SuiviGlobal_MigAppliSate!A:I,2,FALSE)</f>
        <v>PARIS MONTORGUEIL</v>
      </c>
      <c r="C755" t="str">
        <f ca="1">VLOOKUP(A755,Import_SuiviGlobal_MigAppliSate!A:I,3,FALSE)</f>
        <v>U Express</v>
      </c>
      <c r="D755" s="1" t="str">
        <f ca="1">VLOOKUP(A755,Import_SuiviGlobal_MigAppliSate!A:I,4,FALSE)</f>
        <v>Coop U Enseigne NordOuest</v>
      </c>
      <c r="E755">
        <f ca="1">VLOOKUP(A755,Import_SuiviGlobal_MigAppliSate!A:I,5,FALSE)</f>
        <v>75002</v>
      </c>
      <c r="F755" t="str">
        <f ca="1">VLOOKUP(A755,Import_SuiviGlobal_MigAppliSate!A:I,6,FALSE)</f>
        <v>67 RUE DE MONTORGUEIL</v>
      </c>
      <c r="G755" t="str">
        <f ca="1">VLOOKUP(A755,Import_SuiviGlobal_MigAppliSate!A:I,7,FALSE)</f>
        <v>01.42.36.52.59</v>
      </c>
      <c r="H755" t="str">
        <f ca="1">VLOOKUP(A755,Import_SuiviGlobal_MigAppliSate!A:I,8,FALSE)</f>
        <v>DELATTRE Philippe</v>
      </c>
      <c r="I755" t="str">
        <f ca="1">VLOOKUP(A755,Import_SuiviGlobal_MigAppliSate!A:I,9,FALSE)</f>
        <v>philippe.delattre@systeme-u.fr</v>
      </c>
      <c r="J755" s="24" t="str">
        <f ca="1">VLOOKUP(A755,Import_SuiviGlobal_MigAppliSate!A:K,10,FALSE)</f>
        <v>Mme Claude Debrenne</v>
      </c>
      <c r="K755" t="str">
        <f ca="1">VLOOKUP(A755,Import_SuiviGlobal_MigAppliSate!A:K,11,FALSE)</f>
        <v>uexpress.paris.petitscarreaux@systeme-u.fr</v>
      </c>
      <c r="O755" s="1" t="s">
        <v>22</v>
      </c>
    </row>
    <row r="756" spans="1:15" ht="12.75" hidden="1" x14ac:dyDescent="0.2">
      <c r="A756">
        <v>23816</v>
      </c>
      <c r="B756" t="str">
        <f ca="1">VLOOKUP(A756,Import_SuiviGlobal_MigAppliSate!A:I,2,FALSE)</f>
        <v>PARIS MONTREUIL</v>
      </c>
      <c r="C756" t="str">
        <f ca="1">VLOOKUP(A756,Import_SuiviGlobal_MigAppliSate!A:I,3,FALSE)</f>
        <v>U Express</v>
      </c>
      <c r="D756" s="1" t="str">
        <f ca="1">VLOOKUP(A756,Import_SuiviGlobal_MigAppliSate!A:I,4,FALSE)</f>
        <v>Coop U Enseigne NordOuest</v>
      </c>
      <c r="E756">
        <f ca="1">VLOOKUP(A756,Import_SuiviGlobal_MigAppliSate!A:I,5,FALSE)</f>
        <v>75011</v>
      </c>
      <c r="F756" t="str">
        <f ca="1">VLOOKUP(A756,Import_SuiviGlobal_MigAppliSate!A:I,6,FALSE)</f>
        <v>109 RUE DE MONTREUIL</v>
      </c>
      <c r="G756" t="str">
        <f ca="1">VLOOKUP(A756,Import_SuiviGlobal_MigAppliSate!A:I,7,FALSE)</f>
        <v>01.40.09.51.00</v>
      </c>
      <c r="H756" t="str">
        <f ca="1">VLOOKUP(A756,Import_SuiviGlobal_MigAppliSate!A:I,8,FALSE)</f>
        <v>DELATTRE Philippe</v>
      </c>
      <c r="I756" t="str">
        <f ca="1">VLOOKUP(A756,Import_SuiviGlobal_MigAppliSate!A:I,9,FALSE)</f>
        <v>philippe.delattre@systeme-u.fr</v>
      </c>
      <c r="J756" s="24" t="str">
        <f ca="1">VLOOKUP(A756,Import_SuiviGlobal_MigAppliSate!A:K,10,FALSE)</f>
        <v>Mme DEBRENNE Claude</v>
      </c>
      <c r="K756" t="str">
        <f ca="1">VLOOKUP(A756,Import_SuiviGlobal_MigAppliSate!A:K,11,FALSE)</f>
        <v>uexpress.paris.petitscarreaux@systeme-u.fr</v>
      </c>
      <c r="O756" s="1" t="s">
        <v>22</v>
      </c>
    </row>
    <row r="757" spans="1:15" ht="12.75" hidden="1" x14ac:dyDescent="0.2">
      <c r="A757">
        <v>24642</v>
      </c>
      <c r="B757" t="str">
        <f ca="1">VLOOKUP(A757,Import_SuiviGlobal_MigAppliSate!A:I,2,FALSE)</f>
        <v>PARIS OBERKAMPF</v>
      </c>
      <c r="C757" t="str">
        <f ca="1">VLOOKUP(A757,Import_SuiviGlobal_MigAppliSate!A:I,3,FALSE)</f>
        <v>U Express</v>
      </c>
      <c r="D757" s="1" t="str">
        <f ca="1">VLOOKUP(A757,Import_SuiviGlobal_MigAppliSate!A:I,4,FALSE)</f>
        <v>Coop U Enseigne NordOuest</v>
      </c>
      <c r="E757">
        <f ca="1">VLOOKUP(A757,Import_SuiviGlobal_MigAppliSate!A:I,5,FALSE)</f>
        <v>75011</v>
      </c>
      <c r="F757" t="str">
        <f ca="1">VLOOKUP(A757,Import_SuiviGlobal_MigAppliSate!A:I,6,FALSE)</f>
        <v>46-48 RUE OBERKAMPF</v>
      </c>
      <c r="G757" t="str">
        <f ca="1">VLOOKUP(A757,Import_SuiviGlobal_MigAppliSate!A:I,7,FALSE)</f>
        <v>01.43.57.38.80</v>
      </c>
      <c r="H757" t="str">
        <f ca="1">VLOOKUP(A757,Import_SuiviGlobal_MigAppliSate!A:I,8,FALSE)</f>
        <v>LACAVE Gilles</v>
      </c>
      <c r="I757" t="str">
        <f ca="1">VLOOKUP(A757,Import_SuiviGlobal_MigAppliSate!A:I,9,FALSE)</f>
        <v>gilles.lacave@systeme-u.fr</v>
      </c>
      <c r="J757" s="24" t="str">
        <f ca="1">VLOOKUP(A757,Import_SuiviGlobal_MigAppliSate!A:K,10,FALSE)</f>
        <v>Mr BURGUET Bernard</v>
      </c>
      <c r="K757" t="str">
        <f ca="1">VLOOKUP(A757,Import_SuiviGlobal_MigAppliSate!A:K,11,FALSE)</f>
        <v>uexpress.paris.oberkampf@systeme-u.fr</v>
      </c>
      <c r="L757" t="s">
        <v>17</v>
      </c>
      <c r="M757" t="s">
        <v>24</v>
      </c>
      <c r="N757" s="1" t="s">
        <v>18</v>
      </c>
      <c r="O757" s="1" t="s">
        <v>19</v>
      </c>
    </row>
    <row r="758" spans="1:15" ht="12.75" hidden="1" x14ac:dyDescent="0.2">
      <c r="A758">
        <v>23506</v>
      </c>
      <c r="B758" t="str">
        <f ca="1">VLOOKUP(A758,Import_SuiviGlobal_MigAppliSate!A:I,2,FALSE)</f>
        <v>PARIS ORFILA</v>
      </c>
      <c r="C758" t="str">
        <f ca="1">VLOOKUP(A758,Import_SuiviGlobal_MigAppliSate!A:I,3,FALSE)</f>
        <v>U Express</v>
      </c>
      <c r="D758" s="1" t="str">
        <f ca="1">VLOOKUP(A758,Import_SuiviGlobal_MigAppliSate!A:I,4,FALSE)</f>
        <v>Coop U Enseigne NordOuest</v>
      </c>
      <c r="E758">
        <f ca="1">VLOOKUP(A758,Import_SuiviGlobal_MigAppliSate!A:I,5,FALSE)</f>
        <v>75020</v>
      </c>
      <c r="F758" t="str">
        <f ca="1">VLOOKUP(A758,Import_SuiviGlobal_MigAppliSate!A:I,6,FALSE)</f>
        <v>50 RUE ORFILA</v>
      </c>
      <c r="G758" t="str">
        <f ca="1">VLOOKUP(A758,Import_SuiviGlobal_MigAppliSate!A:I,7,FALSE)</f>
        <v>01.40.33.32.60</v>
      </c>
      <c r="H758" t="str">
        <f ca="1">VLOOKUP(A758,Import_SuiviGlobal_MigAppliSate!A:I,8,FALSE)</f>
        <v>ATTIGNAC Nathanyel</v>
      </c>
      <c r="I758" t="str">
        <f ca="1">VLOOKUP(A758,Import_SuiviGlobal_MigAppliSate!A:I,9,FALSE)</f>
        <v>nathanyel.attignac@systeme-u.fr</v>
      </c>
      <c r="J758" s="24" t="str">
        <f ca="1">VLOOKUP(A758,Import_SuiviGlobal_MigAppliSate!A:K,10,FALSE)</f>
        <v>LEFEVRE Thierry</v>
      </c>
      <c r="K758" t="str">
        <f ca="1">VLOOKUP(A758,Import_SuiviGlobal_MigAppliSate!A:K,11,FALSE)</f>
        <v>uexpress.parisorfila@systeme-u.fr</v>
      </c>
      <c r="L758" t="s">
        <v>20</v>
      </c>
      <c r="M758" t="s">
        <v>21</v>
      </c>
      <c r="O758" s="1" t="s">
        <v>22</v>
      </c>
    </row>
    <row r="759" spans="1:15" ht="12.75" hidden="1" x14ac:dyDescent="0.2">
      <c r="A759">
        <v>24162</v>
      </c>
      <c r="B759" t="str">
        <f ca="1">VLOOKUP(A759,Import_SuiviGlobal_MigAppliSate!A:I,2,FALSE)</f>
        <v>PARIS PAUL BERT</v>
      </c>
      <c r="C759" t="str">
        <f ca="1">VLOOKUP(A759,Import_SuiviGlobal_MigAppliSate!A:I,3,FALSE)</f>
        <v>Super U</v>
      </c>
      <c r="D759" s="1" t="str">
        <f ca="1">VLOOKUP(A759,Import_SuiviGlobal_MigAppliSate!A:I,4,FALSE)</f>
        <v>Coop U Enseigne NordOuest</v>
      </c>
      <c r="E759">
        <f ca="1">VLOOKUP(A759,Import_SuiviGlobal_MigAppliSate!A:I,5,FALSE)</f>
        <v>75011</v>
      </c>
      <c r="F759" t="str">
        <f ca="1">VLOOKUP(A759,Import_SuiviGlobal_MigAppliSate!A:I,6,FALSE)</f>
        <v>14 RUE PAUL BERT</v>
      </c>
      <c r="G759" t="str">
        <f ca="1">VLOOKUP(A759,Import_SuiviGlobal_MigAppliSate!A:I,7,FALSE)</f>
        <v>01.43.79.43.43</v>
      </c>
      <c r="H759" t="str">
        <f ca="1">VLOOKUP(A759,Import_SuiviGlobal_MigAppliSate!A:I,8,FALSE)</f>
        <v>SERERO Claude</v>
      </c>
      <c r="I759" t="str">
        <f ca="1">VLOOKUP(A759,Import_SuiviGlobal_MigAppliSate!A:I,9,FALSE)</f>
        <v>claude.serero@systeme-u.fr</v>
      </c>
      <c r="J759" s="24" t="str">
        <f ca="1">VLOOKUP(A759,Import_SuiviGlobal_MigAppliSate!A:K,10,FALSE)</f>
        <v>Mr Alain GUIDEZ</v>
      </c>
      <c r="K759" t="str">
        <f ca="1">VLOOKUP(A759,Import_SuiviGlobal_MigAppliSate!A:K,11,FALSE)</f>
        <v>superu.paris.paulbert@systeme-u.fr</v>
      </c>
      <c r="O759" s="1" t="s">
        <v>22</v>
      </c>
    </row>
    <row r="760" spans="1:15" ht="12.75" hidden="1" x14ac:dyDescent="0.2">
      <c r="A760">
        <v>24200</v>
      </c>
      <c r="B760" t="str">
        <f ca="1">VLOOKUP(A760,Import_SuiviGlobal_MigAppliSate!A:I,2,FALSE)</f>
        <v>PARIS PETITS CARREAUX</v>
      </c>
      <c r="C760" t="str">
        <f ca="1">VLOOKUP(A760,Import_SuiviGlobal_MigAppliSate!A:I,3,FALSE)</f>
        <v>U Express</v>
      </c>
      <c r="D760" s="1" t="str">
        <f ca="1">VLOOKUP(A760,Import_SuiviGlobal_MigAppliSate!A:I,4,FALSE)</f>
        <v>Coop U Enseigne NordOuest</v>
      </c>
      <c r="E760">
        <f ca="1">VLOOKUP(A760,Import_SuiviGlobal_MigAppliSate!A:I,5,FALSE)</f>
        <v>75002</v>
      </c>
      <c r="F760" t="str">
        <f ca="1">VLOOKUP(A760,Import_SuiviGlobal_MigAppliSate!A:I,6,FALSE)</f>
        <v>15 RUE DES PETITS CARREAUX</v>
      </c>
      <c r="G760" t="str">
        <f ca="1">VLOOKUP(A760,Import_SuiviGlobal_MigAppliSate!A:I,7,FALSE)</f>
        <v>01.42.36.51.00</v>
      </c>
      <c r="H760" t="str">
        <f ca="1">VLOOKUP(A760,Import_SuiviGlobal_MigAppliSate!A:I,8,FALSE)</f>
        <v>DELATTRE Philippe</v>
      </c>
      <c r="I760" t="str">
        <f ca="1">VLOOKUP(A760,Import_SuiviGlobal_MigAppliSate!A:I,9,FALSE)</f>
        <v>philippe.delattre@systeme-u.fr</v>
      </c>
      <c r="J760" s="24" t="str">
        <f ca="1">VLOOKUP(A760,Import_SuiviGlobal_MigAppliSate!A:K,10,FALSE)</f>
        <v>Claude Debrenne</v>
      </c>
      <c r="K760" t="str">
        <f ca="1">VLOOKUP(A760,Import_SuiviGlobal_MigAppliSate!A:K,11,FALSE)</f>
        <v>uexpress.paris.petitscarreaux@systeme-u.fr</v>
      </c>
      <c r="O760" s="1" t="s">
        <v>22</v>
      </c>
    </row>
    <row r="761" spans="1:15" ht="12.75" hidden="1" x14ac:dyDescent="0.2">
      <c r="A761">
        <v>23212</v>
      </c>
      <c r="B761" t="str">
        <f ca="1">VLOOKUP(A761,Import_SuiviGlobal_MigAppliSate!A:I,2,FALSE)</f>
        <v>PARIS ST DIDIER</v>
      </c>
      <c r="C761" t="str">
        <f ca="1">VLOOKUP(A761,Import_SuiviGlobal_MigAppliSate!A:I,3,FALSE)</f>
        <v>U Express</v>
      </c>
      <c r="D761" s="1" t="str">
        <f ca="1">VLOOKUP(A761,Import_SuiviGlobal_MigAppliSate!A:I,4,FALSE)</f>
        <v>Coop U Enseigne NordOuest</v>
      </c>
      <c r="E761">
        <f ca="1">VLOOKUP(A761,Import_SuiviGlobal_MigAppliSate!A:I,5,FALSE)</f>
        <v>75016</v>
      </c>
      <c r="F761" t="str">
        <f ca="1">VLOOKUP(A761,Import_SuiviGlobal_MigAppliSate!A:I,6,FALSE)</f>
        <v>46 BIS RUE SAINT DIDIER</v>
      </c>
      <c r="G761" t="str">
        <f ca="1">VLOOKUP(A761,Import_SuiviGlobal_MigAppliSate!A:I,7,FALSE)</f>
        <v>01.45.53.33.75</v>
      </c>
      <c r="H761" t="str">
        <f ca="1">VLOOKUP(A761,Import_SuiviGlobal_MigAppliSate!A:I,8,FALSE)</f>
        <v>LEVY Sacha</v>
      </c>
      <c r="I761" t="str">
        <f ca="1">VLOOKUP(A761,Import_SuiviGlobal_MigAppliSate!A:I,9,FALSE)</f>
        <v>sacha.levy@systeme-u.fr</v>
      </c>
      <c r="J761" s="24" t="str">
        <f ca="1">VLOOKUP(A761,Import_SuiviGlobal_MigAppliSate!A:K,10,FALSE)</f>
        <v>EL MONTASER Bouchta</v>
      </c>
      <c r="K761" t="str">
        <f ca="1">VLOOKUP(A761,Import_SuiviGlobal_MigAppliSate!A:K,11,FALSE)</f>
        <v>uexpress.paris.saintdidier@systeme-u.fr</v>
      </c>
      <c r="O761" s="1" t="s">
        <v>22</v>
      </c>
    </row>
    <row r="762" spans="1:15" ht="12.75" hidden="1" x14ac:dyDescent="0.2">
      <c r="A762">
        <v>23174</v>
      </c>
      <c r="B762" t="str">
        <f ca="1">VLOOKUP(A762,Import_SuiviGlobal_MigAppliSate!A:I,2,FALSE)</f>
        <v>PARIS TEMPLE</v>
      </c>
      <c r="C762" t="str">
        <f ca="1">VLOOKUP(A762,Import_SuiviGlobal_MigAppliSate!A:I,3,FALSE)</f>
        <v>U Express</v>
      </c>
      <c r="D762" s="1" t="str">
        <f ca="1">VLOOKUP(A762,Import_SuiviGlobal_MigAppliSate!A:I,4,FALSE)</f>
        <v>Coop U Enseigne NordOuest</v>
      </c>
      <c r="E762">
        <f ca="1">VLOOKUP(A762,Import_SuiviGlobal_MigAppliSate!A:I,5,FALSE)</f>
        <v>75003</v>
      </c>
      <c r="F762" t="str">
        <f ca="1">VLOOKUP(A762,Import_SuiviGlobal_MigAppliSate!A:I,6,FALSE)</f>
        <v>109 RUE DU TEMPLE</v>
      </c>
      <c r="G762" t="str">
        <f ca="1">VLOOKUP(A762,Import_SuiviGlobal_MigAppliSate!A:I,7,FALSE)</f>
        <v>01.44.93.72.10</v>
      </c>
      <c r="H762" t="str">
        <f ca="1">VLOOKUP(A762,Import_SuiviGlobal_MigAppliSate!A:I,8,FALSE)</f>
        <v>LEVY Sacha</v>
      </c>
      <c r="I762" t="str">
        <f ca="1">VLOOKUP(A762,Import_SuiviGlobal_MigAppliSate!A:I,9,FALSE)</f>
        <v>sacha.levy@systeme-u.fr</v>
      </c>
      <c r="J762" s="24" t="str">
        <f ca="1">VLOOKUP(A762,Import_SuiviGlobal_MigAppliSate!A:K,10,FALSE)</f>
        <v>M. SMAIL</v>
      </c>
      <c r="K762" t="str">
        <f ca="1">VLOOKUP(A762,Import_SuiviGlobal_MigAppliSate!A:K,11,FALSE)</f>
        <v>uexpress.paris.temple@systeme-u.fr</v>
      </c>
      <c r="O762" s="1" t="s">
        <v>22</v>
      </c>
    </row>
    <row r="763" spans="1:15" ht="12.75" hidden="1" x14ac:dyDescent="0.2">
      <c r="A763">
        <v>23476</v>
      </c>
      <c r="B763" t="str">
        <f ca="1">VLOOKUP(A763,Import_SuiviGlobal_MigAppliSate!A:I,2,FALSE)</f>
        <v>PARIS TOMBE ISSOIRE</v>
      </c>
      <c r="C763" t="str">
        <f ca="1">VLOOKUP(A763,Import_SuiviGlobal_MigAppliSate!A:I,3,FALSE)</f>
        <v>U Express</v>
      </c>
      <c r="D763" s="1" t="str">
        <f ca="1">VLOOKUP(A763,Import_SuiviGlobal_MigAppliSate!A:I,4,FALSE)</f>
        <v>Coop U Enseigne NordOuest</v>
      </c>
      <c r="E763">
        <f ca="1">VLOOKUP(A763,Import_SuiviGlobal_MigAppliSate!A:I,5,FALSE)</f>
        <v>75014</v>
      </c>
      <c r="F763" t="str">
        <f ca="1">VLOOKUP(A763,Import_SuiviGlobal_MigAppliSate!A:I,6,FALSE)</f>
        <v>88 RUE DE LA TOMBE ISSOIRE</v>
      </c>
      <c r="G763" t="str">
        <f ca="1">VLOOKUP(A763,Import_SuiviGlobal_MigAppliSate!A:I,7,FALSE)</f>
        <v>09.67.14.08.89</v>
      </c>
      <c r="H763" t="str">
        <f ca="1">VLOOKUP(A763,Import_SuiviGlobal_MigAppliSate!A:I,8,FALSE)</f>
        <v>BECQ DE FOUQUIERES Arthur</v>
      </c>
      <c r="I763" t="str">
        <f ca="1">VLOOKUP(A763,Import_SuiviGlobal_MigAppliSate!A:I,9,FALSE)</f>
        <v>arthur.defouquieres@systeme-u.fr</v>
      </c>
      <c r="J763" s="24" t="str">
        <f ca="1">VLOOKUP(A763,Import_SuiviGlobal_MigAppliSate!A:K,10,FALSE)</f>
        <v>M. Camal
M. Belacel
M.Aladin</v>
      </c>
      <c r="K763" t="str">
        <f ca="1">VLOOKUP(A763,Import_SuiviGlobal_MigAppliSate!A:K,11,FALSE)</f>
        <v>zbelacel.su@gmail.com</v>
      </c>
      <c r="O763" s="1" t="s">
        <v>22</v>
      </c>
    </row>
    <row r="764" spans="1:15" ht="12.75" x14ac:dyDescent="0.2">
      <c r="A764">
        <v>36815</v>
      </c>
      <c r="B764" t="str">
        <f ca="1">VLOOKUP(A764,Import_SuiviGlobal_MigAppliSate!A:I,2,FALSE)</f>
        <v>PARTHENAY</v>
      </c>
      <c r="C764" t="str">
        <f ca="1">VLOOKUP(A764,Import_SuiviGlobal_MigAppliSate!A:I,3,FALSE)</f>
        <v>Hyper U</v>
      </c>
      <c r="D764" s="1" t="str">
        <f ca="1">VLOOKUP(A764,Import_SuiviGlobal_MigAppliSate!A:I,4,FALSE)</f>
        <v>Coop U Enseigne Ouest</v>
      </c>
      <c r="E764">
        <f ca="1">VLOOKUP(A764,Import_SuiviGlobal_MigAppliSate!A:I,5,FALSE)</f>
        <v>79200</v>
      </c>
      <c r="F764" t="str">
        <f ca="1">VLOOKUP(A764,Import_SuiviGlobal_MigAppliSate!A:I,6,FALSE)</f>
        <v>1 AVENUE FRANCOIS MITTERRAND</v>
      </c>
      <c r="G764" t="str">
        <f ca="1">VLOOKUP(A764,Import_SuiviGlobal_MigAppliSate!A:I,7,FALSE)</f>
        <v>05.49.64.32.22</v>
      </c>
      <c r="H764" t="str">
        <f ca="1">VLOOKUP(A764,Import_SuiviGlobal_MigAppliSate!A:I,8,FALSE)</f>
        <v>LEBOUL RPT SAS FINALEB Jean-Yves</v>
      </c>
      <c r="I764" t="str">
        <f ca="1">VLOOKUP(A764,Import_SuiviGlobal_MigAppliSate!A:I,9,FALSE)</f>
        <v>jean-yves.leboul@systeme-u.fr</v>
      </c>
      <c r="J764" s="24" t="str">
        <f ca="1">VLOOKUP(A764,Import_SuiviGlobal_MigAppliSate!A:K,10,FALSE)</f>
        <v>LAURENTIN XAVIER</v>
      </c>
      <c r="K764" t="str">
        <f ca="1">VLOOKUP(A764,Import_SuiviGlobal_MigAppliSate!A:K,11,FALSE)</f>
        <v>hyperu.parthenay.informatique@systeme-u.fr</v>
      </c>
      <c r="L764" t="s">
        <v>17</v>
      </c>
      <c r="M764" t="s">
        <v>21</v>
      </c>
      <c r="O764" s="1" t="s">
        <v>22</v>
      </c>
    </row>
    <row r="765" spans="1:15" ht="12.75" hidden="1" x14ac:dyDescent="0.2">
      <c r="A765">
        <v>66154</v>
      </c>
      <c r="B765" t="str">
        <f ca="1">VLOOKUP(A765,Import_SuiviGlobal_MigAppliSate!A:I,2,FALSE)</f>
        <v>PASSY</v>
      </c>
      <c r="C765" t="str">
        <f ca="1">VLOOKUP(A765,Import_SuiviGlobal_MigAppliSate!A:I,3,FALSE)</f>
        <v>Super U</v>
      </c>
      <c r="D765" s="1" t="str">
        <f ca="1">VLOOKUP(A765,Import_SuiviGlobal_MigAppliSate!A:I,4,FALSE)</f>
        <v>Coop U Enseigne Est</v>
      </c>
      <c r="E765">
        <f ca="1">VLOOKUP(A765,Import_SuiviGlobal_MigAppliSate!A:I,5,FALSE)</f>
        <v>74190</v>
      </c>
      <c r="F765" t="str">
        <f ca="1">VLOOKUP(A765,Import_SuiviGlobal_MigAppliSate!A:I,6,FALSE)</f>
        <v>91 AVENUE DE MARLIOZ</v>
      </c>
      <c r="G765" t="str">
        <f ca="1">VLOOKUP(A765,Import_SuiviGlobal_MigAppliSate!A:I,7,FALSE)</f>
        <v>04.50.78.20.92</v>
      </c>
      <c r="H765" t="str">
        <f ca="1">VLOOKUP(A765,Import_SuiviGlobal_MigAppliSate!A:I,8,FALSE)</f>
        <v>DI GENNARO Boris</v>
      </c>
      <c r="I765" t="str">
        <f ca="1">VLOOKUP(A765,Import_SuiviGlobal_MigAppliSate!A:I,9,FALSE)</f>
        <v>boris.digennaro@systeme-u.fr</v>
      </c>
      <c r="J765" s="24" t="str">
        <f ca="1">VLOOKUP(A765,Import_SuiviGlobal_MigAppliSate!A:K,10,FALSE)</f>
        <v>Mr Beaufils (Pilote)</v>
      </c>
      <c r="K765" t="str">
        <f ca="1">VLOOKUP(A765,Import_SuiviGlobal_MigAppliSate!A:K,11,FALSE)</f>
        <v>superu.passy.compta@systeme-u.fr</v>
      </c>
      <c r="O765" s="1" t="s">
        <v>22</v>
      </c>
    </row>
    <row r="766" spans="1:15" ht="12.75" hidden="1" x14ac:dyDescent="0.2">
      <c r="A766">
        <v>90481</v>
      </c>
      <c r="B766" t="str">
        <f ca="1">VLOOKUP(A766,Import_SuiviGlobal_MigAppliSate!A:I,2,FALSE)</f>
        <v>PEGOMAS</v>
      </c>
      <c r="C766" t="str">
        <f ca="1">VLOOKUP(A766,Import_SuiviGlobal_MigAppliSate!A:I,3,FALSE)</f>
        <v>Super U</v>
      </c>
      <c r="D766" s="1" t="str">
        <f ca="1">VLOOKUP(A766,Import_SuiviGlobal_MigAppliSate!A:I,4,FALSE)</f>
        <v>Coop U Enseigne Sud</v>
      </c>
      <c r="E766">
        <f ca="1">VLOOKUP(A766,Import_SuiviGlobal_MigAppliSate!A:I,5,FALSE)</f>
        <v>6580</v>
      </c>
      <c r="F766" t="str">
        <f ca="1">VLOOKUP(A766,Import_SuiviGlobal_MigAppliSate!A:I,6,FALSE)</f>
        <v>87 RTE DE LA FENERIE</v>
      </c>
      <c r="G766" t="str">
        <f ca="1">VLOOKUP(A766,Import_SuiviGlobal_MigAppliSate!A:I,7,FALSE)</f>
        <v>04.92.60.20.80</v>
      </c>
      <c r="H766" t="str">
        <f ca="1">VLOOKUP(A766,Import_SuiviGlobal_MigAppliSate!A:I,8,FALSE)</f>
        <v>VERAN Claude</v>
      </c>
      <c r="I766" t="str">
        <f ca="1">VLOOKUP(A766,Import_SuiviGlobal_MigAppliSate!A:I,9,FALSE)</f>
        <v>claude.veran@systeme-u.fr</v>
      </c>
      <c r="J766" s="24" t="str">
        <f ca="1">VLOOKUP(A766,Import_SuiviGlobal_MigAppliSate!A:K,10,FALSE)</f>
        <v>Gregory VERAN / Mme MORONNI</v>
      </c>
      <c r="K766" t="str">
        <f ca="1">VLOOKUP(A766,Import_SuiviGlobal_MigAppliSate!A:K,11,FALSE)</f>
        <v/>
      </c>
      <c r="O766" s="1" t="s">
        <v>22</v>
      </c>
    </row>
    <row r="767" spans="1:15" ht="12.75" hidden="1" x14ac:dyDescent="0.2">
      <c r="A767">
        <v>31438</v>
      </c>
      <c r="B767" t="str">
        <f ca="1">VLOOKUP(A767,Import_SuiviGlobal_MigAppliSate!A:I,2,FALSE)</f>
        <v>PÉRIGUEUX</v>
      </c>
      <c r="C767" t="str">
        <f ca="1">VLOOKUP(A767,Import_SuiviGlobal_MigAppliSate!A:I,3,FALSE)</f>
        <v>Hyper U</v>
      </c>
      <c r="D767" s="1" t="str">
        <f ca="1">VLOOKUP(A767,Import_SuiviGlobal_MigAppliSate!A:I,4,FALSE)</f>
        <v>Coop Atlantique</v>
      </c>
      <c r="E767">
        <f ca="1">VLOOKUP(A767,Import_SuiviGlobal_MigAppliSate!A:I,5,FALSE)</f>
        <v>24750</v>
      </c>
      <c r="F767" t="str">
        <f ca="1">VLOOKUP(A767,Import_SuiviGlobal_MigAppliSate!A:I,6,FALSE)</f>
        <v>CENTRE COMMERCIAL</v>
      </c>
      <c r="G767" t="str">
        <f ca="1">VLOOKUP(A767,Import_SuiviGlobal_MigAppliSate!A:I,7,FALSE)</f>
        <v>05.53.35.89.00</v>
      </c>
      <c r="H767" t="str">
        <f ca="1">VLOOKUP(A767,Import_SuiviGlobal_MigAppliSate!A:I,8,FALSE)</f>
        <v>FLAMBARD Hervé</v>
      </c>
      <c r="I767" t="str">
        <f ca="1">VLOOKUP(A767,Import_SuiviGlobal_MigAppliSate!A:I,9,FALSE)</f>
        <v>laurent.fleury_coop_hu@systeme-u.fr</v>
      </c>
      <c r="J767" s="24" t="str">
        <f ca="1">VLOOKUP(A767,Import_SuiviGlobal_MigAppliSate!A:K,10,FALSE)</f>
        <v>Florent DELBOS</v>
      </c>
      <c r="K767" t="str">
        <f ca="1">VLOOKUP(A767,Import_SuiviGlobal_MigAppliSate!A:K,11,FALSE)</f>
        <v>hyperu.perigueuxboulazac.direction@systeme-u.fr,nbrigant@coop-atlantique.fr,sjaud@coop-atlantique.fr, fdelbos@coop-atlantique.fr</v>
      </c>
      <c r="L767" s="1" t="s">
        <v>17</v>
      </c>
      <c r="M767" t="s">
        <v>23</v>
      </c>
      <c r="O767" s="1" t="s">
        <v>22</v>
      </c>
    </row>
    <row r="768" spans="1:15" ht="12.75" x14ac:dyDescent="0.2">
      <c r="A768">
        <v>90609</v>
      </c>
      <c r="B768" t="str">
        <f ca="1">VLOOKUP(A768,Import_SuiviGlobal_MigAppliSate!A:I,2,FALSE)</f>
        <v>PERNES LES FONTAINES</v>
      </c>
      <c r="C768" t="str">
        <f ca="1">VLOOKUP(A768,Import_SuiviGlobal_MigAppliSate!A:I,3,FALSE)</f>
        <v>U Express</v>
      </c>
      <c r="D768" s="1" t="str">
        <f ca="1">VLOOKUP(A768,Import_SuiviGlobal_MigAppliSate!A:I,4,FALSE)</f>
        <v>Coop MISTRAL</v>
      </c>
      <c r="E768">
        <f ca="1">VLOOKUP(A768,Import_SuiviGlobal_MigAppliSate!A:I,5,FALSE)</f>
        <v>84210</v>
      </c>
      <c r="F768" t="str">
        <f ca="1">VLOOKUP(A768,Import_SuiviGlobal_MigAppliSate!A:I,6,FALSE)</f>
        <v>QUARTIER PREVILLE</v>
      </c>
      <c r="G768" t="str">
        <f ca="1">VLOOKUP(A768,Import_SuiviGlobal_MigAppliSate!A:I,7,FALSE)</f>
        <v>04.90.61.63.34</v>
      </c>
      <c r="H768" t="str">
        <f ca="1">VLOOKUP(A768,Import_SuiviGlobal_MigAppliSate!A:I,8,FALSE)</f>
        <v>MARIANI Vincent et Benjamin</v>
      </c>
      <c r="I768" t="str">
        <f ca="1">VLOOKUP(A768,Import_SuiviGlobal_MigAppliSate!A:I,9,FALSE)</f>
        <v>distribution.pernoise@orange.fr</v>
      </c>
      <c r="J768" s="24" t="str">
        <f ca="1">VLOOKUP(A768,Import_SuiviGlobal_MigAppliSate!A:K,10,FALSE)</f>
        <v/>
      </c>
      <c r="K768" t="str">
        <f ca="1">VLOOKUP(A768,Import_SuiviGlobal_MigAppliSate!A:K,11,FALSE)</f>
        <v>delphine.damian@lemistral.fr,helene.mina@lemistral.fr</v>
      </c>
      <c r="L768" t="s">
        <v>17</v>
      </c>
      <c r="M768" t="s">
        <v>0</v>
      </c>
      <c r="O768" s="1" t="s">
        <v>22</v>
      </c>
    </row>
    <row r="769" spans="1:15" ht="12.75" hidden="1" x14ac:dyDescent="0.2">
      <c r="A769">
        <v>91145</v>
      </c>
      <c r="B769" t="str">
        <f ca="1">VLOOKUP(A769,Import_SuiviGlobal_MigAppliSate!A:I,2,FALSE)</f>
        <v>PERPIGNAN CLEMENCEAU</v>
      </c>
      <c r="C769" t="str">
        <f ca="1">VLOOKUP(A769,Import_SuiviGlobal_MigAppliSate!A:I,3,FALSE)</f>
        <v>U Express</v>
      </c>
      <c r="D769" s="1" t="str">
        <f ca="1">VLOOKUP(A769,Import_SuiviGlobal_MigAppliSate!A:I,4,FALSE)</f>
        <v>Coop MISTRAL</v>
      </c>
      <c r="E769">
        <f ca="1">VLOOKUP(A769,Import_SuiviGlobal_MigAppliSate!A:I,5,FALSE)</f>
        <v>66000</v>
      </c>
      <c r="F769" t="str">
        <f ca="1">VLOOKUP(A769,Import_SuiviGlobal_MigAppliSate!A:I,6,FALSE)</f>
        <v>2 BD CLEMENCEAU</v>
      </c>
      <c r="G769" t="str">
        <f ca="1">VLOOKUP(A769,Import_SuiviGlobal_MigAppliSate!A:I,7,FALSE)</f>
        <v>04.68.29.33.55</v>
      </c>
      <c r="H769" t="str">
        <f ca="1">VLOOKUP(A769,Import_SuiviGlobal_MigAppliSate!A:I,8,FALSE)</f>
        <v>BARES Marc</v>
      </c>
      <c r="I769" t="str">
        <f ca="1">VLOOKUP(A769,Import_SuiviGlobal_MigAppliSate!A:I,9,FALSE)</f>
        <v/>
      </c>
      <c r="J769" s="24" t="str">
        <f ca="1">VLOOKUP(A769,Import_SuiviGlobal_MigAppliSate!A:K,10,FALSE)</f>
        <v>Mr Riguetti</v>
      </c>
      <c r="K769" t="str">
        <f ca="1">VLOOKUP(A769,Import_SuiviGlobal_MigAppliSate!A:K,11,FALSE)</f>
        <v>directeur.uexpress@groupebc.com</v>
      </c>
      <c r="O769" s="1" t="s">
        <v>22</v>
      </c>
    </row>
    <row r="770" spans="1:15" ht="12.75" x14ac:dyDescent="0.2">
      <c r="A770">
        <v>90498</v>
      </c>
      <c r="B770" t="str">
        <f ca="1">VLOOKUP(A770,Import_SuiviGlobal_MigAppliSate!A:I,2,FALSE)</f>
        <v>PERPIGNAN DESNOYES</v>
      </c>
      <c r="C770" t="str">
        <f ca="1">VLOOKUP(A770,Import_SuiviGlobal_MigAppliSate!A:I,3,FALSE)</f>
        <v>Super U</v>
      </c>
      <c r="D770" s="1" t="str">
        <f ca="1">VLOOKUP(A770,Import_SuiviGlobal_MigAppliSate!A:I,4,FALSE)</f>
        <v>Coop U Enseigne Sud</v>
      </c>
      <c r="E770">
        <f ca="1">VLOOKUP(A770,Import_SuiviGlobal_MigAppliSate!A:I,5,FALSE)</f>
        <v>66000</v>
      </c>
      <c r="F770" t="str">
        <f ca="1">VLOOKUP(A770,Import_SuiviGlobal_MigAppliSate!A:I,6,FALSE)</f>
        <v>21 BD JOSEPH DESNOYES</v>
      </c>
      <c r="G770" t="str">
        <f ca="1">VLOOKUP(A770,Import_SuiviGlobal_MigAppliSate!A:I,7,FALSE)</f>
        <v>04.68.61.47.02</v>
      </c>
      <c r="H770" t="str">
        <f ca="1">VLOOKUP(A770,Import_SuiviGlobal_MigAppliSate!A:I,8,FALSE)</f>
        <v>GARA Riadh</v>
      </c>
      <c r="I770" t="str">
        <f ca="1">VLOOKUP(A770,Import_SuiviGlobal_MigAppliSate!A:I,9,FALSE)</f>
        <v>riadh.gara@systeme-u.fr</v>
      </c>
      <c r="J770" s="24" t="str">
        <f ca="1">VLOOKUP(A770,Import_SuiviGlobal_MigAppliSate!A:K,10,FALSE)</f>
        <v>M Didier LOPEZ</v>
      </c>
      <c r="K770" t="str">
        <f ca="1">VLOOKUP(A770,Import_SuiviGlobal_MigAppliSate!A:K,11,FALSE)</f>
        <v>superu.perpignandesnoyes.gestion@systeme-u.fr,superu.perpignandesnoyes.direction@systeme-u.fr</v>
      </c>
      <c r="L770" s="1" t="s">
        <v>17</v>
      </c>
      <c r="M770" s="1" t="s">
        <v>0</v>
      </c>
      <c r="O770" s="1" t="s">
        <v>22</v>
      </c>
    </row>
    <row r="771" spans="1:15" ht="12.75" hidden="1" x14ac:dyDescent="0.2">
      <c r="A771">
        <v>90461</v>
      </c>
      <c r="B771" t="str">
        <f ca="1">VLOOKUP(A771,Import_SuiviGlobal_MigAppliSate!A:I,2,FALSE)</f>
        <v>PERPIGNAN ST ASSISCLE</v>
      </c>
      <c r="C771" t="str">
        <f ca="1">VLOOKUP(A771,Import_SuiviGlobal_MigAppliSate!A:I,3,FALSE)</f>
        <v>U Express</v>
      </c>
      <c r="D771" s="1" t="str">
        <f ca="1">VLOOKUP(A771,Import_SuiviGlobal_MigAppliSate!A:I,4,FALSE)</f>
        <v>Coop U Enseigne Sud</v>
      </c>
      <c r="E771">
        <f ca="1">VLOOKUP(A771,Import_SuiviGlobal_MigAppliSate!A:I,5,FALSE)</f>
        <v>66000</v>
      </c>
      <c r="F771" t="str">
        <f ca="1">VLOOKUP(A771,Import_SuiviGlobal_MigAppliSate!A:I,6,FALSE)</f>
        <v>85,RUE PASCAL MARIE AGASSE</v>
      </c>
      <c r="G771" t="str">
        <f ca="1">VLOOKUP(A771,Import_SuiviGlobal_MigAppliSate!A:I,7,FALSE)</f>
        <v>04.68.56.59.51</v>
      </c>
      <c r="H771" t="str">
        <f ca="1">VLOOKUP(A771,Import_SuiviGlobal_MigAppliSate!A:I,8,FALSE)</f>
        <v>BAZIL Stephane</v>
      </c>
      <c r="I771" t="str">
        <f ca="1">VLOOKUP(A771,Import_SuiviGlobal_MigAppliSate!A:I,9,FALSE)</f>
        <v>stephane.bazil@systeme-u.fr</v>
      </c>
      <c r="J771" s="24" t="str">
        <f ca="1">VLOOKUP(A771,Import_SuiviGlobal_MigAppliSate!A:K,10,FALSE)</f>
        <v/>
      </c>
      <c r="K771" t="str">
        <f ca="1">VLOOKUP(A771,Import_SuiviGlobal_MigAppliSate!A:K,11,FALSE)</f>
        <v/>
      </c>
      <c r="O771" s="1" t="s">
        <v>22</v>
      </c>
    </row>
    <row r="772" spans="1:15" ht="12.75" hidden="1" x14ac:dyDescent="0.2">
      <c r="A772">
        <v>68540</v>
      </c>
      <c r="B772" t="str">
        <f ca="1">VLOOKUP(A772,Import_SuiviGlobal_MigAppliSate!A:I,2,FALSE)</f>
        <v>PERRECY LES FORGES</v>
      </c>
      <c r="C772" t="str">
        <f ca="1">VLOOKUP(A772,Import_SuiviGlobal_MigAppliSate!A:I,3,FALSE)</f>
        <v>U Express</v>
      </c>
      <c r="D772" s="1" t="str">
        <f ca="1">VLOOKUP(A772,Import_SuiviGlobal_MigAppliSate!A:I,4,FALSE)</f>
        <v>Coop U Enseigne Est</v>
      </c>
      <c r="E772">
        <f ca="1">VLOOKUP(A772,Import_SuiviGlobal_MigAppliSate!A:I,5,FALSE)</f>
        <v>71420</v>
      </c>
      <c r="F772" t="str">
        <f ca="1">VLOOKUP(A772,Import_SuiviGlobal_MigAppliSate!A:I,6,FALSE)</f>
        <v>AVENUE FRANCIS PAUTONNIER</v>
      </c>
      <c r="G772" t="str">
        <f ca="1">VLOOKUP(A772,Import_SuiviGlobal_MigAppliSate!A:I,7,FALSE)</f>
        <v>03.85.55.08.41</v>
      </c>
      <c r="H772" t="str">
        <f ca="1">VLOOKUP(A772,Import_SuiviGlobal_MigAppliSate!A:I,8,FALSE)</f>
        <v>BERTO Antonio Carlos</v>
      </c>
      <c r="I772" t="str">
        <f ca="1">VLOOKUP(A772,Import_SuiviGlobal_MigAppliSate!A:I,9,FALSE)</f>
        <v>carlos.berto@systeme-u.fr</v>
      </c>
      <c r="J772" s="24" t="str">
        <f ca="1">VLOOKUP(A772,Import_SuiviGlobal_MigAppliSate!A:K,10,FALSE)</f>
        <v>BERTO Antonio Carlos</v>
      </c>
      <c r="K772" t="str">
        <f ca="1">VLOOKUP(A772,Import_SuiviGlobal_MigAppliSate!A:K,11,FALSE)</f>
        <v>carlos.berto@systeme-u.fr</v>
      </c>
      <c r="L772" t="s">
        <v>20</v>
      </c>
      <c r="M772" t="s">
        <v>21</v>
      </c>
      <c r="O772" s="1" t="s">
        <v>22</v>
      </c>
    </row>
    <row r="773" spans="1:15" ht="12.75" hidden="1" x14ac:dyDescent="0.2">
      <c r="A773">
        <v>66177</v>
      </c>
      <c r="B773" t="str">
        <f ca="1">VLOOKUP(A773,Import_SuiviGlobal_MigAppliSate!A:I,2,FALSE)</f>
        <v>PERREUX</v>
      </c>
      <c r="C773" t="str">
        <f ca="1">VLOOKUP(A773,Import_SuiviGlobal_MigAppliSate!A:I,3,FALSE)</f>
        <v>Super U</v>
      </c>
      <c r="D773" s="1" t="str">
        <f ca="1">VLOOKUP(A773,Import_SuiviGlobal_MigAppliSate!A:I,4,FALSE)</f>
        <v>Coop U Enseigne Est</v>
      </c>
      <c r="E773">
        <f ca="1">VLOOKUP(A773,Import_SuiviGlobal_MigAppliSate!A:I,5,FALSE)</f>
        <v>42120</v>
      </c>
      <c r="F773" t="str">
        <f ca="1">VLOOKUP(A773,Import_SuiviGlobal_MigAppliSate!A:I,6,FALSE)</f>
        <v>1033 RUE DU COMMERCE</v>
      </c>
      <c r="G773" t="str">
        <f ca="1">VLOOKUP(A773,Import_SuiviGlobal_MigAppliSate!A:I,7,FALSE)</f>
        <v>04.77.44.83.93</v>
      </c>
      <c r="H773" t="str">
        <f ca="1">VLOOKUP(A773,Import_SuiviGlobal_MigAppliSate!A:I,8,FALSE)</f>
        <v>LAVAILL Claude</v>
      </c>
      <c r="I773" t="str">
        <f ca="1">VLOOKUP(A773,Import_SuiviGlobal_MigAppliSate!A:I,9,FALSE)</f>
        <v>claude.lavaill@systeme-u.fr</v>
      </c>
      <c r="J773" s="24" t="str">
        <f ca="1">VLOOKUP(A773,Import_SuiviGlobal_MigAppliSate!A:K,10,FALSE)</f>
        <v>LAVAILL Patricia</v>
      </c>
      <c r="K773" t="str">
        <f ca="1">VLOOKUP(A773,Import_SuiviGlobal_MigAppliSate!A:K,11,FALSE)</f>
        <v>patricia.lavaill@systeme-u.fr</v>
      </c>
      <c r="O773" s="1" t="s">
        <v>22</v>
      </c>
    </row>
    <row r="774" spans="1:15" ht="12.75" hidden="1" x14ac:dyDescent="0.2">
      <c r="A774">
        <v>23395</v>
      </c>
      <c r="B774" t="str">
        <f ca="1">VLOOKUP(A774,Import_SuiviGlobal_MigAppliSate!A:I,2,FALSE)</f>
        <v>#N/A</v>
      </c>
      <c r="C774" t="str">
        <f ca="1">VLOOKUP(A774,Import_SuiviGlobal_MigAppliSate!A:I,3,FALSE)</f>
        <v>#N/A</v>
      </c>
      <c r="D774" s="1" t="str">
        <f ca="1">VLOOKUP(A774,Import_SuiviGlobal_MigAppliSate!A:I,4,FALSE)</f>
        <v>#N/A</v>
      </c>
      <c r="E774" t="str">
        <f ca="1">VLOOKUP(A774,Import_SuiviGlobal_MigAppliSate!A:I,5,FALSE)</f>
        <v/>
      </c>
      <c r="F774" t="str">
        <f ca="1">VLOOKUP(A774,Import_SuiviGlobal_MigAppliSate!A:I,6,FALSE)</f>
        <v>#N/A</v>
      </c>
      <c r="G774" t="str">
        <f ca="1">VLOOKUP(A774,Import_SuiviGlobal_MigAppliSate!A:I,7,FALSE)</f>
        <v>#N/A</v>
      </c>
      <c r="H774" t="str">
        <f ca="1">VLOOKUP(A774,Import_SuiviGlobal_MigAppliSate!A:I,8,FALSE)</f>
        <v>#N/A</v>
      </c>
      <c r="I774" t="str">
        <f ca="1">VLOOKUP(A774,Import_SuiviGlobal_MigAppliSate!A:I,9,FALSE)</f>
        <v>#N/A</v>
      </c>
      <c r="J774" s="24" t="str">
        <f ca="1">VLOOKUP(A774,Import_SuiviGlobal_MigAppliSate!A:K,10,FALSE)</f>
        <v/>
      </c>
      <c r="K774" t="str">
        <f ca="1">VLOOKUP(A774,Import_SuiviGlobal_MigAppliSate!A:K,11,FALSE)</f>
        <v/>
      </c>
      <c r="O774" s="1" t="s">
        <v>22</v>
      </c>
    </row>
    <row r="775" spans="1:15" ht="12.75" hidden="1" x14ac:dyDescent="0.2">
      <c r="A775">
        <v>90273</v>
      </c>
      <c r="B775" t="str">
        <f ca="1">VLOOKUP(A775,Import_SuiviGlobal_MigAppliSate!A:I,2,FALSE)</f>
        <v>PERTUIS</v>
      </c>
      <c r="C775" t="str">
        <f ca="1">VLOOKUP(A775,Import_SuiviGlobal_MigAppliSate!A:I,3,FALSE)</f>
        <v>Hyper U</v>
      </c>
      <c r="D775" s="1" t="str">
        <f ca="1">VLOOKUP(A775,Import_SuiviGlobal_MigAppliSate!A:I,4,FALSE)</f>
        <v>Coop U Enseigne Sud</v>
      </c>
      <c r="E775">
        <f ca="1">VLOOKUP(A775,Import_SuiviGlobal_MigAppliSate!A:I,5,FALSE)</f>
        <v>84120</v>
      </c>
      <c r="F775" t="str">
        <f ca="1">VLOOKUP(A775,Import_SuiviGlobal_MigAppliSate!A:I,6,FALSE)</f>
        <v>CENTRE COMMERCIAL DU LUBERON</v>
      </c>
      <c r="G775" t="str">
        <f ca="1">VLOOKUP(A775,Import_SuiviGlobal_MigAppliSate!A:I,7,FALSE)</f>
        <v>04.90.09.32.00</v>
      </c>
      <c r="H775" t="str">
        <f ca="1">VLOOKUP(A775,Import_SuiviGlobal_MigAppliSate!A:I,8,FALSE)</f>
        <v>ET GERARD BAUDE NICOLAS DEVOLDER</v>
      </c>
      <c r="I775" t="str">
        <f ca="1">VLOOKUP(A775,Import_SuiviGlobal_MigAppliSate!A:I,9,FALSE)</f>
        <v>nicolas.devolder@systeme-u.fr</v>
      </c>
      <c r="J775" s="24" t="str">
        <f ca="1">VLOOKUP(A775,Import_SuiviGlobal_MigAppliSate!A:K,10,FALSE)</f>
        <v>MAYEN Stéphanie</v>
      </c>
      <c r="K775" t="str">
        <f ca="1">VLOOKUP(A775,Import_SuiviGlobal_MigAppliSate!A:K,11,FALSE)</f>
        <v>hyperu.pertuis.informatique@systeme-u.fr</v>
      </c>
      <c r="O775" s="1" t="s">
        <v>22</v>
      </c>
    </row>
    <row r="776" spans="1:15" ht="12.75" hidden="1" x14ac:dyDescent="0.2">
      <c r="A776">
        <v>90573</v>
      </c>
      <c r="B776" t="str">
        <f ca="1">VLOOKUP(A776,Import_SuiviGlobal_MigAppliSate!A:I,2,FALSE)</f>
        <v>PERTUIS LES PRES VERTS</v>
      </c>
      <c r="C776" t="str">
        <f ca="1">VLOOKUP(A776,Import_SuiviGlobal_MigAppliSate!A:I,3,FALSE)</f>
        <v>U Express</v>
      </c>
      <c r="D776" s="1" t="str">
        <f ca="1">VLOOKUP(A776,Import_SuiviGlobal_MigAppliSate!A:I,4,FALSE)</f>
        <v>Coop U Enseigne Sud</v>
      </c>
      <c r="E776">
        <f ca="1">VLOOKUP(A776,Import_SuiviGlobal_MigAppliSate!A:I,5,FALSE)</f>
        <v>84120</v>
      </c>
      <c r="F776" t="str">
        <f ca="1">VLOOKUP(A776,Import_SuiviGlobal_MigAppliSate!A:I,6,FALSE)</f>
        <v>1110 ROUTE D'AIX</v>
      </c>
      <c r="G776" t="str">
        <f ca="1">VLOOKUP(A776,Import_SuiviGlobal_MigAppliSate!A:I,7,FALSE)</f>
        <v>04.90.08.87.53</v>
      </c>
      <c r="H776" t="str">
        <f ca="1">VLOOKUP(A776,Import_SuiviGlobal_MigAppliSate!A:I,8,FALSE)</f>
        <v>ET GERARD BAUDE NICOLAS DEVOLDER</v>
      </c>
      <c r="I776" t="str">
        <f ca="1">VLOOKUP(A776,Import_SuiviGlobal_MigAppliSate!A:I,9,FALSE)</f>
        <v>nicolas.devolder@systeme-u.fr</v>
      </c>
      <c r="J776" s="24" t="str">
        <f ca="1">VLOOKUP(A776,Import_SuiviGlobal_MigAppliSate!A:K,10,FALSE)</f>
        <v>GRAU Frederic</v>
      </c>
      <c r="K776" t="str">
        <f ca="1">VLOOKUP(A776,Import_SuiviGlobal_MigAppliSate!A:K,11,FALSE)</f>
        <v>grau.frederic@gmail.com</v>
      </c>
      <c r="O776" s="1" t="s">
        <v>22</v>
      </c>
    </row>
    <row r="777" spans="1:15" ht="12.75" hidden="1" x14ac:dyDescent="0.2">
      <c r="A777">
        <v>37280</v>
      </c>
      <c r="B777" t="str">
        <f ca="1">VLOOKUP(A777,Import_SuiviGlobal_MigAppliSate!A:I,2,FALSE)</f>
        <v>PETIT BOURG</v>
      </c>
      <c r="C777" t="str">
        <f ca="1">VLOOKUP(A777,Import_SuiviGlobal_MigAppliSate!A:I,3,FALSE)</f>
        <v>Super U</v>
      </c>
      <c r="D777" s="1" t="str">
        <f ca="1">VLOOKUP(A777,Import_SuiviGlobal_MigAppliSate!A:I,4,FALSE)</f>
        <v>Coop U Enseigne Ouest</v>
      </c>
      <c r="E777">
        <f ca="1">VLOOKUP(A777,Import_SuiviGlobal_MigAppliSate!A:I,5,FALSE)</f>
        <v>97170</v>
      </c>
      <c r="F777" t="str">
        <f ca="1">VLOOKUP(A777,Import_SuiviGlobal_MigAppliSate!A:I,6,FALSE)</f>
        <v>SUPER U ZAC DE COLIN</v>
      </c>
      <c r="G777" t="str">
        <f ca="1">VLOOKUP(A777,Import_SuiviGlobal_MigAppliSate!A:I,7,FALSE)</f>
        <v>05.90.38.82.45</v>
      </c>
      <c r="H777" t="str">
        <f ca="1">VLOOKUP(A777,Import_SuiviGlobal_MigAppliSate!A:I,8,FALSE)</f>
        <v>CLAIRVILLE Félix</v>
      </c>
      <c r="I777" t="str">
        <f ca="1">VLOOKUP(A777,Import_SuiviGlobal_MigAppliSate!A:I,9,FALSE)</f>
        <v>felix.clairville@systeme-u.fr</v>
      </c>
      <c r="J777" s="24" t="str">
        <f ca="1">VLOOKUP(A777,Import_SuiviGlobal_MigAppliSate!A:K,10,FALSE)</f>
        <v>LAVITAL Jocelyn</v>
      </c>
      <c r="K777" t="str">
        <f ca="1">VLOOKUP(A777,Import_SuiviGlobal_MigAppliSate!A:K,11,FALSE)</f>
        <v>superu.petitbourg.direction@systeme-u.fr,martine.crevecoeur@systeme-u.fr</v>
      </c>
      <c r="O777" s="1" t="s">
        <v>22</v>
      </c>
    </row>
    <row r="778" spans="1:15" ht="12.75" hidden="1" x14ac:dyDescent="0.2">
      <c r="A778">
        <v>37970</v>
      </c>
      <c r="B778" t="str">
        <f ca="1">VLOOKUP(A778,Import_SuiviGlobal_MigAppliSate!A:I,2,FALSE)</f>
        <v>PETIT CANAL</v>
      </c>
      <c r="C778" t="str">
        <f ca="1">VLOOKUP(A778,Import_SuiviGlobal_MigAppliSate!A:I,3,FALSE)</f>
        <v>Super U</v>
      </c>
      <c r="D778" s="1" t="str">
        <f ca="1">VLOOKUP(A778,Import_SuiviGlobal_MigAppliSate!A:I,4,FALSE)</f>
        <v>Coop U Enseigne Ouest</v>
      </c>
      <c r="E778">
        <f ca="1">VLOOKUP(A778,Import_SuiviGlobal_MigAppliSate!A:I,5,FALSE)</f>
        <v>97131</v>
      </c>
      <c r="F778" t="str">
        <f ca="1">VLOOKUP(A778,Import_SuiviGlobal_MigAppliSate!A:I,6,FALSE)</f>
        <v>BAZIN</v>
      </c>
      <c r="G778" t="str">
        <f ca="1">VLOOKUP(A778,Import_SuiviGlobal_MigAppliSate!A:I,7,FALSE)</f>
        <v>05.90.82.23.87</v>
      </c>
      <c r="H778" t="str">
        <f ca="1">VLOOKUP(A778,Import_SuiviGlobal_MigAppliSate!A:I,8,FALSE)</f>
        <v>LUCE Raymond</v>
      </c>
      <c r="I778" t="str">
        <f ca="1">VLOOKUP(A778,Import_SuiviGlobal_MigAppliSate!A:I,9,FALSE)</f>
        <v>yohann.luce@systeme-u.fr</v>
      </c>
      <c r="J778" s="24" t="str">
        <f ca="1">VLOOKUP(A778,Import_SuiviGlobal_MigAppliSate!A:K,10,FALSE)</f>
        <v/>
      </c>
      <c r="K778" t="str">
        <f ca="1">VLOOKUP(A778,Import_SuiviGlobal_MigAppliSate!A:K,11,FALSE)</f>
        <v>superu.petitcanal@systeme-u.fr ,martine.crevecoeur@systeme-u.fr, patrickdlm18@gmail.com</v>
      </c>
      <c r="O778" s="1" t="s">
        <v>22</v>
      </c>
    </row>
    <row r="779" spans="1:15" ht="12.75" hidden="1" x14ac:dyDescent="0.2">
      <c r="A779">
        <v>60944</v>
      </c>
      <c r="B779" t="str">
        <f ca="1">VLOOKUP(A779,Import_SuiviGlobal_MigAppliSate!A:I,2,FALSE)</f>
        <v>PFASTATT</v>
      </c>
      <c r="C779" t="str">
        <f ca="1">VLOOKUP(A779,Import_SuiviGlobal_MigAppliSate!A:I,3,FALSE)</f>
        <v>Super U</v>
      </c>
      <c r="D779" s="1" t="str">
        <f ca="1">VLOOKUP(A779,Import_SuiviGlobal_MigAppliSate!A:I,4,FALSE)</f>
        <v>Coop U Enseigne Est</v>
      </c>
      <c r="E779">
        <f ca="1">VLOOKUP(A779,Import_SuiviGlobal_MigAppliSate!A:I,5,FALSE)</f>
        <v>68120</v>
      </c>
      <c r="F779" t="str">
        <f ca="1">VLOOKUP(A779,Import_SuiviGlobal_MigAppliSate!A:I,6,FALSE)</f>
        <v>146 rue de Richwiller</v>
      </c>
      <c r="G779" t="str">
        <f ca="1">VLOOKUP(A779,Import_SuiviGlobal_MigAppliSate!A:I,7,FALSE)</f>
        <v>03.89.52.13.37</v>
      </c>
      <c r="H779" t="str">
        <f ca="1">VLOOKUP(A779,Import_SuiviGlobal_MigAppliSate!A:I,8,FALSE)</f>
        <v>DUMEL Olivier</v>
      </c>
      <c r="I779" t="str">
        <f ca="1">VLOOKUP(A779,Import_SuiviGlobal_MigAppliSate!A:I,9,FALSE)</f>
        <v>olivier.dumel@systeme-u.fr</v>
      </c>
      <c r="J779" s="24" t="str">
        <f ca="1">VLOOKUP(A779,Import_SuiviGlobal_MigAppliSate!A:K,10,FALSE)</f>
        <v>Myriam Colombo</v>
      </c>
      <c r="K779" t="str">
        <f ca="1">VLOOKUP(A779,Import_SuiviGlobal_MigAppliSate!A:K,11,FALSE)</f>
        <v>superu.pfastatt.administratif@systeme-u.fr, superu.pfastatt.qualite_hygiene@systeme-u.fr</v>
      </c>
      <c r="O779" s="1" t="s">
        <v>22</v>
      </c>
    </row>
    <row r="780" spans="1:15" ht="12.75" hidden="1" x14ac:dyDescent="0.2">
      <c r="A780">
        <v>90583</v>
      </c>
      <c r="B780" t="str">
        <f ca="1">VLOOKUP(A780,Import_SuiviGlobal_MigAppliSate!A:I,2,FALSE)</f>
        <v>PIERREFEU DU VAR</v>
      </c>
      <c r="C780" t="str">
        <f ca="1">VLOOKUP(A780,Import_SuiviGlobal_MigAppliSate!A:I,3,FALSE)</f>
        <v>Super U</v>
      </c>
      <c r="D780" s="1" t="str">
        <f ca="1">VLOOKUP(A780,Import_SuiviGlobal_MigAppliSate!A:I,4,FALSE)</f>
        <v>Coop U Enseigne Sud</v>
      </c>
      <c r="E780">
        <f ca="1">VLOOKUP(A780,Import_SuiviGlobal_MigAppliSate!A:I,5,FALSE)</f>
        <v>83390</v>
      </c>
      <c r="F780" t="str">
        <f ca="1">VLOOKUP(A780,Import_SuiviGlobal_MigAppliSate!A:I,6,FALSE)</f>
        <v>AVENUE FREDERIC MISTRAL</v>
      </c>
      <c r="G780" t="str">
        <f ca="1">VLOOKUP(A780,Import_SuiviGlobal_MigAppliSate!A:I,7,FALSE)</f>
        <v>04.94.48.73.60</v>
      </c>
      <c r="H780" t="str">
        <f ca="1">VLOOKUP(A780,Import_SuiviGlobal_MigAppliSate!A:I,8,FALSE)</f>
        <v>BIDET Jean-Jacques</v>
      </c>
      <c r="I780" t="str">
        <f ca="1">VLOOKUP(A780,Import_SuiviGlobal_MigAppliSate!A:I,9,FALSE)</f>
        <v>jean-jacques.bidet@systeme-u.fr</v>
      </c>
      <c r="J780" s="24" t="str">
        <f ca="1">VLOOKUP(A780,Import_SuiviGlobal_MigAppliSate!A:K,10,FALSE)</f>
        <v/>
      </c>
      <c r="K780" t="str">
        <f ca="1">VLOOKUP(A780,Import_SuiviGlobal_MigAppliSate!A:K,11,FALSE)</f>
        <v/>
      </c>
      <c r="O780" s="1" t="s">
        <v>22</v>
      </c>
    </row>
    <row r="781" spans="1:15" ht="12.75" x14ac:dyDescent="0.2">
      <c r="A781">
        <v>90574</v>
      </c>
      <c r="B781" t="str">
        <f ca="1">VLOOKUP(A781,Import_SuiviGlobal_MigAppliSate!A:I,2,FALSE)</f>
        <v>PIGNAN</v>
      </c>
      <c r="C781" t="str">
        <f ca="1">VLOOKUP(A781,Import_SuiviGlobal_MigAppliSate!A:I,3,FALSE)</f>
        <v>Super U</v>
      </c>
      <c r="D781" s="1" t="str">
        <f ca="1">VLOOKUP(A781,Import_SuiviGlobal_MigAppliSate!A:I,4,FALSE)</f>
        <v>Coop U Enseigne Sud</v>
      </c>
      <c r="E781">
        <f ca="1">VLOOKUP(A781,Import_SuiviGlobal_MigAppliSate!A:I,5,FALSE)</f>
        <v>34570</v>
      </c>
      <c r="F781" t="str">
        <f ca="1">VLOOKUP(A781,Import_SuiviGlobal_MigAppliSate!A:I,6,FALSE)</f>
        <v>ZAC ST ESTEVE</v>
      </c>
      <c r="G781" t="str">
        <f ca="1">VLOOKUP(A781,Import_SuiviGlobal_MigAppliSate!A:I,7,FALSE)</f>
        <v>04.67.71.71.71</v>
      </c>
      <c r="H781" t="str">
        <f ca="1">VLOOKUP(A781,Import_SuiviGlobal_MigAppliSate!A:I,8,FALSE)</f>
        <v>RUBIO Marie</v>
      </c>
      <c r="I781" t="str">
        <f ca="1">VLOOKUP(A781,Import_SuiviGlobal_MigAppliSate!A:I,9,FALSE)</f>
        <v>marie.rubio@systeme-u.fr</v>
      </c>
      <c r="J781" s="24" t="str">
        <f ca="1">VLOOKUP(A781,Import_SuiviGlobal_MigAppliSate!A:K,10,FALSE)</f>
        <v/>
      </c>
      <c r="K781" t="str">
        <f ca="1">VLOOKUP(A781,Import_SuiviGlobal_MigAppliSate!A:K,11,FALSE)</f>
        <v/>
      </c>
      <c r="L781" t="s">
        <v>17</v>
      </c>
      <c r="M781" t="s">
        <v>0</v>
      </c>
      <c r="O781" s="1" t="s">
        <v>22</v>
      </c>
    </row>
    <row r="782" spans="1:15" ht="12.75" hidden="1" x14ac:dyDescent="0.2">
      <c r="A782">
        <v>95179</v>
      </c>
      <c r="B782" t="str">
        <f ca="1">VLOOKUP(A782,Import_SuiviGlobal_MigAppliSate!A:I,2,FALSE)</f>
        <v>PINEUILH</v>
      </c>
      <c r="C782" t="str">
        <f ca="1">VLOOKUP(A782,Import_SuiviGlobal_MigAppliSate!A:I,3,FALSE)</f>
        <v>Super U</v>
      </c>
      <c r="D782" s="1" t="str">
        <f ca="1">VLOOKUP(A782,Import_SuiviGlobal_MigAppliSate!A:I,4,FALSE)</f>
        <v>Coop U Enseigne Sud</v>
      </c>
      <c r="E782">
        <f ca="1">VLOOKUP(A782,Import_SuiviGlobal_MigAppliSate!A:I,5,FALSE)</f>
        <v>33220</v>
      </c>
      <c r="F782" t="str">
        <f ca="1">VLOOKUP(A782,Import_SuiviGlobal_MigAppliSate!A:I,6,FALSE)</f>
        <v>15 AV DU MARECHAL JUIN</v>
      </c>
      <c r="G782" t="str">
        <f ca="1">VLOOKUP(A782,Import_SuiviGlobal_MigAppliSate!A:I,7,FALSE)</f>
        <v>05.57.48.11.30</v>
      </c>
      <c r="H782" t="str">
        <f ca="1">VLOOKUP(A782,Import_SuiviGlobal_MigAppliSate!A:I,8,FALSE)</f>
        <v>MAGAGNIN Stephane</v>
      </c>
      <c r="I782" t="str">
        <f ca="1">VLOOKUP(A782,Import_SuiviGlobal_MigAppliSate!A:I,9,FALSE)</f>
        <v>stephane.magagnin@systeme-u.fr</v>
      </c>
      <c r="J782" s="24" t="str">
        <f ca="1">VLOOKUP(A782,Import_SuiviGlobal_MigAppliSate!A:K,10,FALSE)</f>
        <v>Sylvie NOUJAREDE</v>
      </c>
      <c r="K782" t="str">
        <f ca="1">VLOOKUP(A782,Import_SuiviGlobal_MigAppliSate!A:K,11,FALSE)</f>
        <v>superu.pineuilh.compta@systeme-u.fr</v>
      </c>
      <c r="O782" s="1" t="s">
        <v>22</v>
      </c>
    </row>
    <row r="783" spans="1:15" ht="12.75" hidden="1" x14ac:dyDescent="0.2">
      <c r="A783">
        <v>90625</v>
      </c>
      <c r="B783" t="str">
        <f ca="1">VLOOKUP(A783,Import_SuiviGlobal_MigAppliSate!A:I,2,FALSE)</f>
        <v>PIOLENC</v>
      </c>
      <c r="C783" t="str">
        <f ca="1">VLOOKUP(A783,Import_SuiviGlobal_MigAppliSate!A:I,3,FALSE)</f>
        <v>U Express</v>
      </c>
      <c r="D783" s="1" t="str">
        <f ca="1">VLOOKUP(A783,Import_SuiviGlobal_MigAppliSate!A:I,4,FALSE)</f>
        <v>Coop MISTRAL</v>
      </c>
      <c r="E783">
        <f ca="1">VLOOKUP(A783,Import_SuiviGlobal_MigAppliSate!A:I,5,FALSE)</f>
        <v>84420</v>
      </c>
      <c r="F783" t="str">
        <f ca="1">VLOOKUP(A783,Import_SuiviGlobal_MigAppliSate!A:I,6,FALSE)</f>
        <v>PLACE DU PLANET</v>
      </c>
      <c r="G783" t="str">
        <f ca="1">VLOOKUP(A783,Import_SuiviGlobal_MigAppliSate!A:I,7,FALSE)</f>
        <v>04.90.29.79.79</v>
      </c>
      <c r="H783" t="str">
        <f ca="1">VLOOKUP(A783,Import_SuiviGlobal_MigAppliSate!A:I,8,FALSE)</f>
        <v>ET MARIANI HERVE BOTTEAU STEPHANE</v>
      </c>
      <c r="I783" t="str">
        <f ca="1">VLOOKUP(A783,Import_SuiviGlobal_MigAppliSate!A:I,9,FALSE)</f>
        <v>uexpress.piolenc@mistral-u.fr</v>
      </c>
      <c r="J783" s="24" t="str">
        <f ca="1">VLOOKUP(A783,Import_SuiviGlobal_MigAppliSate!A:K,10,FALSE)</f>
        <v>M.Mariani</v>
      </c>
      <c r="K783" t="str">
        <f ca="1">VLOOKUP(A783,Import_SuiviGlobal_MigAppliSate!A:K,11,FALSE)</f>
        <v>delphine.damian@lemistral.fr,helene.mina@lemistral.fr</v>
      </c>
      <c r="O783" s="1" t="s">
        <v>22</v>
      </c>
    </row>
    <row r="784" spans="1:15" ht="12.75" hidden="1" x14ac:dyDescent="0.2">
      <c r="A784">
        <v>31732</v>
      </c>
      <c r="B784" t="str">
        <f ca="1">VLOOKUP(A784,Import_SuiviGlobal_MigAppliSate!A:I,2,FALSE)</f>
        <v>PIPRIAC</v>
      </c>
      <c r="C784" t="str">
        <f ca="1">VLOOKUP(A784,Import_SuiviGlobal_MigAppliSate!A:I,3,FALSE)</f>
        <v>Super U</v>
      </c>
      <c r="D784" s="1" t="str">
        <f ca="1">VLOOKUP(A784,Import_SuiviGlobal_MigAppliSate!A:I,4,FALSE)</f>
        <v>Coop U Enseigne Ouest</v>
      </c>
      <c r="E784">
        <f ca="1">VLOOKUP(A784,Import_SuiviGlobal_MigAppliSate!A:I,5,FALSE)</f>
        <v>35550</v>
      </c>
      <c r="F784" t="str">
        <f ca="1">VLOOKUP(A784,Import_SuiviGlobal_MigAppliSate!A:I,6,FALSE)</f>
        <v>47 AVENUE DE L AVENIR</v>
      </c>
      <c r="G784" t="str">
        <f ca="1">VLOOKUP(A784,Import_SuiviGlobal_MigAppliSate!A:I,7,FALSE)</f>
        <v>02.99.34.46.06</v>
      </c>
      <c r="H784" t="str">
        <f ca="1">VLOOKUP(A784,Import_SuiviGlobal_MigAppliSate!A:I,8,FALSE)</f>
        <v>BERTIN BOUVIER RPT ANNEE GEST Vanessa</v>
      </c>
      <c r="I784" t="str">
        <f ca="1">VLOOKUP(A784,Import_SuiviGlobal_MigAppliSate!A:I,9,FALSE)</f>
        <v>vanessa.bertin@systeme-u.fr</v>
      </c>
      <c r="J784" s="24" t="str">
        <f ca="1">VLOOKUP(A784,Import_SuiviGlobal_MigAppliSate!A:K,10,FALSE)</f>
        <v>BOUVIER Vanessa</v>
      </c>
      <c r="K784" t="str">
        <f ca="1">VLOOKUP(A784,Import_SuiviGlobal_MigAppliSate!A:K,11,FALSE)</f>
        <v/>
      </c>
      <c r="O784" s="1" t="s">
        <v>22</v>
      </c>
    </row>
    <row r="785" spans="1:18" ht="12.75" hidden="1" x14ac:dyDescent="0.2">
      <c r="A785">
        <v>33727</v>
      </c>
      <c r="B785" t="str">
        <f ca="1">VLOOKUP(A785,Import_SuiviGlobal_MigAppliSate!A:I,2,FALSE)</f>
        <v>PLABENNEC</v>
      </c>
      <c r="C785" t="str">
        <f ca="1">VLOOKUP(A785,Import_SuiviGlobal_MigAppliSate!A:I,3,FALSE)</f>
        <v>Super U</v>
      </c>
      <c r="D785" s="1" t="str">
        <f ca="1">VLOOKUP(A785,Import_SuiviGlobal_MigAppliSate!A:I,4,FALSE)</f>
        <v>Coop U Enseigne Ouest</v>
      </c>
      <c r="E785">
        <f ca="1">VLOOKUP(A785,Import_SuiviGlobal_MigAppliSate!A:I,5,FALSE)</f>
        <v>29860</v>
      </c>
      <c r="F785" t="str">
        <f ca="1">VLOOKUP(A785,Import_SuiviGlobal_MigAppliSate!A:I,6,FALSE)</f>
        <v>14 RUE MARCEL BOUGUEN</v>
      </c>
      <c r="G785" t="str">
        <f ca="1">VLOOKUP(A785,Import_SuiviGlobal_MigAppliSate!A:I,7,FALSE)</f>
        <v>02.98.37.60.74</v>
      </c>
      <c r="H785" t="str">
        <f ca="1">VLOOKUP(A785,Import_SuiviGlobal_MigAppliSate!A:I,8,FALSE)</f>
        <v>BONSIGNE RPT SARL MS2B Bruno</v>
      </c>
      <c r="I785" t="str">
        <f ca="1">VLOOKUP(A785,Import_SuiviGlobal_MigAppliSate!A:I,9,FALSE)</f>
        <v>bruno.bonsigne@systeme-u.fr</v>
      </c>
      <c r="J785" s="24" t="str">
        <f ca="1">VLOOKUP(A785,Import_SuiviGlobal_MigAppliSate!A:K,10,FALSE)</f>
        <v>Mme Ferreira (comptable - Pilote)</v>
      </c>
      <c r="K785" t="str">
        <f ca="1">VLOOKUP(A785,Import_SuiviGlobal_MigAppliSate!A:K,11,FALSE)</f>
        <v>superu.plabennec.compta1@systeme-u.fr</v>
      </c>
      <c r="O785" s="1" t="s">
        <v>22</v>
      </c>
    </row>
    <row r="786" spans="1:18" ht="12.75" hidden="1" x14ac:dyDescent="0.2">
      <c r="A786">
        <v>37939</v>
      </c>
      <c r="B786" t="str">
        <f ca="1">VLOOKUP(A786,Import_SuiviGlobal_MigAppliSate!A:I,2,FALSE)</f>
        <v>PLACE D ARMES</v>
      </c>
      <c r="C786" t="str">
        <f ca="1">VLOOKUP(A786,Import_SuiviGlobal_MigAppliSate!A:I,3,FALSE)</f>
        <v>Hyper U</v>
      </c>
      <c r="D786" s="1" t="str">
        <f ca="1">VLOOKUP(A786,Import_SuiviGlobal_MigAppliSate!A:I,4,FALSE)</f>
        <v>Coop U Enseigne Ouest</v>
      </c>
      <c r="E786">
        <f ca="1">VLOOKUP(A786,Import_SuiviGlobal_MigAppliSate!A:I,5,FALSE)</f>
        <v>97232</v>
      </c>
      <c r="F786" t="str">
        <f ca="1">VLOOKUP(A786,Import_SuiviGlobal_MigAppliSate!A:I,6,FALSE)</f>
        <v>4, CENTRE COMM. PLACE D ARMES</v>
      </c>
      <c r="G786" t="str">
        <f ca="1">VLOOKUP(A786,Import_SuiviGlobal_MigAppliSate!A:I,7,FALSE)</f>
        <v>05.96.30.03.30</v>
      </c>
      <c r="H786" t="str">
        <f ca="1">VLOOKUP(A786,Import_SuiviGlobal_MigAppliSate!A:I,8,FALSE)</f>
        <v>PARFAIT Robert</v>
      </c>
      <c r="I786" t="str">
        <f ca="1">VLOOKUP(A786,Import_SuiviGlobal_MigAppliSate!A:I,9,FALSE)</f>
        <v>robert.parfait@systeme-u.fr</v>
      </c>
      <c r="J786" s="24" t="str">
        <f ca="1">VLOOKUP(A786,Import_SuiviGlobal_MigAppliSate!A:K,10,FALSE)</f>
        <v>ALBERT Julie</v>
      </c>
      <c r="K786" t="str">
        <f ca="1">VLOOKUP(A786,Import_SuiviGlobal_MigAppliSate!A:K,11,FALSE)</f>
        <v>julie.albert@uantilles.com,martine.crevecoeur@systeme-u.fr</v>
      </c>
      <c r="O786" s="1" t="s">
        <v>22</v>
      </c>
    </row>
    <row r="787" spans="1:18" ht="12.75" hidden="1" x14ac:dyDescent="0.2">
      <c r="A787">
        <v>33840</v>
      </c>
      <c r="B787" t="str">
        <f ca="1">VLOOKUP(A787,Import_SuiviGlobal_MigAppliSate!A:I,2,FALSE)</f>
        <v>PLANCOET</v>
      </c>
      <c r="C787" t="str">
        <f ca="1">VLOOKUP(A787,Import_SuiviGlobal_MigAppliSate!A:I,3,FALSE)</f>
        <v>Hyper U</v>
      </c>
      <c r="D787" s="1" t="str">
        <f ca="1">VLOOKUP(A787,Import_SuiviGlobal_MigAppliSate!A:I,4,FALSE)</f>
        <v>Coop U Enseigne Ouest</v>
      </c>
      <c r="E787">
        <f ca="1">VLOOKUP(A787,Import_SuiviGlobal_MigAppliSate!A:I,5,FALSE)</f>
        <v>22130</v>
      </c>
      <c r="F787" t="str">
        <f ca="1">VLOOKUP(A787,Import_SuiviGlobal_MigAppliSate!A:I,6,FALSE)</f>
        <v>RUE DU CONNETABLE DE CLISSON</v>
      </c>
      <c r="G787" t="str">
        <f ca="1">VLOOKUP(A787,Import_SuiviGlobal_MigAppliSate!A:I,7,FALSE)</f>
        <v>02.96.89.40.10</v>
      </c>
      <c r="H787" t="str">
        <f ca="1">VLOOKUP(A787,Import_SuiviGlobal_MigAppliSate!A:I,8,FALSE)</f>
        <v>RAFFRAY RPT SAS LHR FINANCES Samuel</v>
      </c>
      <c r="I787" t="str">
        <f ca="1">VLOOKUP(A787,Import_SuiviGlobal_MigAppliSate!A:I,9,FALSE)</f>
        <v>samuel.raffray@systeme-u.fr</v>
      </c>
      <c r="J787" s="24" t="str">
        <f ca="1">VLOOKUP(A787,Import_SuiviGlobal_MigAppliSate!A:K,10,FALSE)</f>
        <v>Stéphane LECUYER
Guillaume BOUGET</v>
      </c>
      <c r="K787" t="str">
        <f ca="1">VLOOKUP(A787,Import_SuiviGlobal_MigAppliSate!A:K,11,FALSE)</f>
        <v>stephane.lecuyer@systeme-u.fr,guillaume.bouget@systeme-u.fr</v>
      </c>
      <c r="O787" s="1" t="s">
        <v>22</v>
      </c>
    </row>
    <row r="788" spans="1:18" ht="12.75" hidden="1" x14ac:dyDescent="0.2">
      <c r="A788" s="16">
        <v>90168</v>
      </c>
      <c r="B788" s="16" t="str">
        <f ca="1">VLOOKUP(A788,Import_SuiviGlobal_MigAppliSate!A:I,2,FALSE)</f>
        <v>PLASCASSIER DE GRASSE</v>
      </c>
      <c r="C788" s="16" t="str">
        <f ca="1">VLOOKUP(A788,Import_SuiviGlobal_MigAppliSate!A:I,3,FALSE)</f>
        <v>Super U</v>
      </c>
      <c r="D788" s="17" t="str">
        <f ca="1">VLOOKUP(A788,Import_SuiviGlobal_MigAppliSate!A:I,4,FALSE)</f>
        <v>Coop U Enseigne Sud</v>
      </c>
      <c r="E788" s="16">
        <f ca="1">VLOOKUP(A788,Import_SuiviGlobal_MigAppliSate!A:I,5,FALSE)</f>
        <v>6130</v>
      </c>
      <c r="F788" s="16" t="str">
        <f ca="1">VLOOKUP(A788,Import_SuiviGlobal_MigAppliSate!A:I,6,FALSE)</f>
        <v>28 ROUTE DE VALBONNE</v>
      </c>
      <c r="G788" s="16" t="str">
        <f ca="1">VLOOKUP(A788,Import_SuiviGlobal_MigAppliSate!A:I,7,FALSE)</f>
        <v>04.93.40.57.00</v>
      </c>
      <c r="H788" s="16" t="str">
        <f ca="1">VLOOKUP(A788,Import_SuiviGlobal_MigAppliSate!A:I,8,FALSE)</f>
        <v>BOURASSIN Benoit</v>
      </c>
      <c r="I788" s="16" t="str">
        <f ca="1">VLOOKUP(A788,Import_SuiviGlobal_MigAppliSate!A:I,9,FALSE)</f>
        <v>clement.bourassin@systeme-u.fr</v>
      </c>
      <c r="J788" s="25" t="str">
        <f ca="1">VLOOKUP(A788,Import_SuiviGlobal_MigAppliSate!A:K,10,FALSE)</f>
        <v>Thomas BOQUET</v>
      </c>
      <c r="K788" s="16" t="str">
        <f ca="1">VLOOKUP(A788,Import_SuiviGlobal_MigAppliSate!A:K,11,FALSE)</f>
        <v>superu.plascassier@systeme-u.fr</v>
      </c>
      <c r="L788" s="17" t="s">
        <v>17</v>
      </c>
      <c r="M788" s="17" t="s">
        <v>24</v>
      </c>
      <c r="N788" s="17" t="s">
        <v>18</v>
      </c>
      <c r="O788" s="17" t="s">
        <v>19</v>
      </c>
      <c r="P788" s="15"/>
      <c r="Q788" s="18"/>
      <c r="R788" s="18"/>
    </row>
    <row r="789" spans="1:18" ht="12.75" hidden="1" x14ac:dyDescent="0.2">
      <c r="A789">
        <v>95195</v>
      </c>
      <c r="B789" t="str">
        <f ca="1">VLOOKUP(A789,Import_SuiviGlobal_MigAppliSate!A:I,2,FALSE)</f>
        <v>PLEAUX</v>
      </c>
      <c r="C789" t="str">
        <f ca="1">VLOOKUP(A789,Import_SuiviGlobal_MigAppliSate!A:I,3,FALSE)</f>
        <v>U Express</v>
      </c>
      <c r="D789" s="1" t="str">
        <f ca="1">VLOOKUP(A789,Import_SuiviGlobal_MigAppliSate!A:I,4,FALSE)</f>
        <v>Coop U Enseigne Sud</v>
      </c>
      <c r="E789">
        <f ca="1">VLOOKUP(A789,Import_SuiviGlobal_MigAppliSate!A:I,5,FALSE)</f>
        <v>15700</v>
      </c>
      <c r="F789" t="str">
        <f ca="1">VLOOKUP(A789,Import_SuiviGlobal_MigAppliSate!A:I,6,FALSE)</f>
        <v>27 RUE DU BOURNAT</v>
      </c>
      <c r="G789" t="str">
        <f ca="1">VLOOKUP(A789,Import_SuiviGlobal_MigAppliSate!A:I,7,FALSE)</f>
        <v>04.71.40.44.78</v>
      </c>
      <c r="H789" t="str">
        <f ca="1">VLOOKUP(A789,Import_SuiviGlobal_MigAppliSate!A:I,8,FALSE)</f>
        <v>DUCLAUX Odile</v>
      </c>
      <c r="I789" t="str">
        <f ca="1">VLOOKUP(A789,Import_SuiviGlobal_MigAppliSate!A:I,9,FALSE)</f>
        <v>david.rolot@systeme-u.fr</v>
      </c>
      <c r="J789" s="24" t="str">
        <f ca="1">VLOOKUP(A789,Import_SuiviGlobal_MigAppliSate!A:K,10,FALSE)</f>
        <v>Lassudrie Caroline - Duclaux Odile</v>
      </c>
      <c r="K789" t="str">
        <f ca="1">VLOOKUP(A789,Import_SuiviGlobal_MigAppliSate!A:K,11,FALSE)</f>
        <v>uexpress.pleaux.direction@systeme-u.fr</v>
      </c>
      <c r="O789" s="1" t="s">
        <v>22</v>
      </c>
    </row>
    <row r="790" spans="1:18" ht="12.75" hidden="1" x14ac:dyDescent="0.2">
      <c r="A790">
        <v>32852</v>
      </c>
      <c r="B790" t="str">
        <f ca="1">VLOOKUP(A790,Import_SuiviGlobal_MigAppliSate!A:I,2,FALSE)</f>
        <v>PLELAN-LE GRAND</v>
      </c>
      <c r="C790" t="str">
        <f ca="1">VLOOKUP(A790,Import_SuiviGlobal_MigAppliSate!A:I,3,FALSE)</f>
        <v>Super U</v>
      </c>
      <c r="D790" s="1" t="str">
        <f ca="1">VLOOKUP(A790,Import_SuiviGlobal_MigAppliSate!A:I,4,FALSE)</f>
        <v>Coop U Enseigne Ouest</v>
      </c>
      <c r="E790">
        <f ca="1">VLOOKUP(A790,Import_SuiviGlobal_MigAppliSate!A:I,5,FALSE)</f>
        <v>35380</v>
      </c>
      <c r="F790" t="str">
        <f ca="1">VLOOKUP(A790,Import_SuiviGlobal_MigAppliSate!A:I,6,FALSE)</f>
        <v>RUE DE LA VALLÉE DU CAST</v>
      </c>
      <c r="G790" t="str">
        <f ca="1">VLOOKUP(A790,Import_SuiviGlobal_MigAppliSate!A:I,7,FALSE)</f>
        <v>02.99.06.97.48</v>
      </c>
      <c r="H790" t="str">
        <f ca="1">VLOOKUP(A790,Import_SuiviGlobal_MigAppliSate!A:I,8,FALSE)</f>
        <v>PERRIER RPT SARL P.G. FINANCES David</v>
      </c>
      <c r="I790" t="str">
        <f ca="1">VLOOKUP(A790,Import_SuiviGlobal_MigAppliSate!A:I,9,FALSE)</f>
        <v>david.perrier@systeme-u.fr</v>
      </c>
      <c r="J790" s="24" t="str">
        <f ca="1">VLOOKUP(A790,Import_SuiviGlobal_MigAppliSate!A:K,10,FALSE)</f>
        <v>Morgane PERRIER</v>
      </c>
      <c r="K790" t="str">
        <f ca="1">VLOOKUP(A790,Import_SuiviGlobal_MigAppliSate!A:K,11,FALSE)</f>
        <v>morgane.perrier@systeme-u.fr</v>
      </c>
      <c r="O790" s="1" t="s">
        <v>22</v>
      </c>
    </row>
    <row r="791" spans="1:18" ht="12.75" hidden="1" x14ac:dyDescent="0.2">
      <c r="A791">
        <v>35339</v>
      </c>
      <c r="B791" t="str">
        <f ca="1">VLOOKUP(A791,Import_SuiviGlobal_MigAppliSate!A:I,2,FALSE)</f>
        <v>PLEMET</v>
      </c>
      <c r="C791" t="str">
        <f ca="1">VLOOKUP(A791,Import_SuiviGlobal_MigAppliSate!A:I,3,FALSE)</f>
        <v>Super U</v>
      </c>
      <c r="D791" s="1" t="str">
        <f ca="1">VLOOKUP(A791,Import_SuiviGlobal_MigAppliSate!A:I,4,FALSE)</f>
        <v>Coop U Enseigne Ouest</v>
      </c>
      <c r="E791">
        <f ca="1">VLOOKUP(A791,Import_SuiviGlobal_MigAppliSate!A:I,5,FALSE)</f>
        <v>22210</v>
      </c>
      <c r="F791" t="str">
        <f ca="1">VLOOKUP(A791,Import_SuiviGlobal_MigAppliSate!A:I,6,FALSE)</f>
        <v>RUE DE LA LIBERTÉ</v>
      </c>
      <c r="G791" t="str">
        <f ca="1">VLOOKUP(A791,Import_SuiviGlobal_MigAppliSate!A:I,7,FALSE)</f>
        <v>02.96.25.73.40</v>
      </c>
      <c r="H791" t="str">
        <f ca="1">VLOOKUP(A791,Import_SuiviGlobal_MigAppliSate!A:I,8,FALSE)</f>
        <v>CADORET Alain</v>
      </c>
      <c r="I791" t="str">
        <f ca="1">VLOOKUP(A791,Import_SuiviGlobal_MigAppliSate!A:I,9,FALSE)</f>
        <v>alain.cadoret@systeme-u.fr</v>
      </c>
      <c r="J791" s="24" t="str">
        <f ca="1">VLOOKUP(A791,Import_SuiviGlobal_MigAppliSate!A:K,10,FALSE)</f>
        <v/>
      </c>
      <c r="K791" t="str">
        <f ca="1">VLOOKUP(A791,Import_SuiviGlobal_MigAppliSate!A:K,11,FALSE)</f>
        <v/>
      </c>
      <c r="O791" s="1" t="s">
        <v>22</v>
      </c>
    </row>
    <row r="792" spans="1:18" ht="12.75" hidden="1" x14ac:dyDescent="0.2">
      <c r="A792">
        <v>37978</v>
      </c>
      <c r="B792" t="str">
        <f ca="1">VLOOKUP(A792,Import_SuiviGlobal_MigAppliSate!A:I,2,FALSE)</f>
        <v>PLERGUER</v>
      </c>
      <c r="C792" t="str">
        <f ca="1">VLOOKUP(A792,Import_SuiviGlobal_MigAppliSate!A:I,3,FALSE)</f>
        <v>U Express</v>
      </c>
      <c r="D792" s="1" t="str">
        <f ca="1">VLOOKUP(A792,Import_SuiviGlobal_MigAppliSate!A:I,4,FALSE)</f>
        <v>Coop U Enseigne Ouest</v>
      </c>
      <c r="E792">
        <f ca="1">VLOOKUP(A792,Import_SuiviGlobal_MigAppliSate!A:I,5,FALSE)</f>
        <v>35540</v>
      </c>
      <c r="F792" t="str">
        <f ca="1">VLOOKUP(A792,Import_SuiviGlobal_MigAppliSate!A:I,6,FALSE)</f>
        <v>LE PUITS SALIOU</v>
      </c>
      <c r="G792" t="str">
        <f ca="1">VLOOKUP(A792,Import_SuiviGlobal_MigAppliSate!A:I,7,FALSE)</f>
        <v>02.99.58.94.18</v>
      </c>
      <c r="H792" t="str">
        <f ca="1">VLOOKUP(A792,Import_SuiviGlobal_MigAppliSate!A:I,8,FALSE)</f>
        <v>LESOUEF Christian</v>
      </c>
      <c r="I792" t="str">
        <f ca="1">VLOOKUP(A792,Import_SuiviGlobal_MigAppliSate!A:I,9,FALSE)</f>
        <v>christian.lesouef@systeme-u.fr</v>
      </c>
      <c r="J792" s="24" t="str">
        <f ca="1">VLOOKUP(A792,Import_SuiviGlobal_MigAppliSate!A:K,10,FALSE)</f>
        <v/>
      </c>
      <c r="K792" t="str">
        <f ca="1">VLOOKUP(A792,Import_SuiviGlobal_MigAppliSate!A:K,11,FALSE)</f>
        <v/>
      </c>
      <c r="O792" s="1" t="s">
        <v>22</v>
      </c>
    </row>
    <row r="793" spans="1:18" ht="12.75" hidden="1" x14ac:dyDescent="0.2">
      <c r="A793">
        <v>33883</v>
      </c>
      <c r="B793" t="str">
        <f ca="1">VLOOKUP(A793,Import_SuiviGlobal_MigAppliSate!A:I,2,FALSE)</f>
        <v>PLESTIN-LES GREVES</v>
      </c>
      <c r="C793" t="str">
        <f ca="1">VLOOKUP(A793,Import_SuiviGlobal_MigAppliSate!A:I,3,FALSE)</f>
        <v>Super U</v>
      </c>
      <c r="D793" s="1" t="str">
        <f ca="1">VLOOKUP(A793,Import_SuiviGlobal_MigAppliSate!A:I,4,FALSE)</f>
        <v>Coop U Enseigne Ouest</v>
      </c>
      <c r="E793">
        <f ca="1">VLOOKUP(A793,Import_SuiviGlobal_MigAppliSate!A:I,5,FALSE)</f>
        <v>22310</v>
      </c>
      <c r="F793" t="str">
        <f ca="1">VLOOKUP(A793,Import_SuiviGlobal_MigAppliSate!A:I,6,FALSE)</f>
        <v>RUE DES CLOS</v>
      </c>
      <c r="G793" t="str">
        <f ca="1">VLOOKUP(A793,Import_SuiviGlobal_MigAppliSate!A:I,7,FALSE)</f>
        <v>02.96.54.18.18</v>
      </c>
      <c r="H793" t="str">
        <f ca="1">VLOOKUP(A793,Import_SuiviGlobal_MigAppliSate!A:I,8,FALSE)</f>
        <v>BOTHOREL RPT FINANCIERE CB Christine</v>
      </c>
      <c r="I793" t="str">
        <f ca="1">VLOOKUP(A793,Import_SuiviGlobal_MigAppliSate!A:I,9,FALSE)</f>
        <v>christine.bothorel@systeme-u.fr</v>
      </c>
      <c r="J793" s="24" t="str">
        <f ca="1">VLOOKUP(A793,Import_SuiviGlobal_MigAppliSate!A:K,10,FALSE)</f>
        <v>MAILLET Didier
MADEC Mireille</v>
      </c>
      <c r="K793" t="str">
        <f ca="1">VLOOKUP(A793,Import_SuiviGlobal_MigAppliSate!A:K,11,FALSE)</f>
        <v>superu.plestinlesgreves.direction@systeme-u.fr,superu.plestinlesgreves.informatique@systeme-u.fr</v>
      </c>
      <c r="O793" s="1" t="s">
        <v>22</v>
      </c>
    </row>
    <row r="794" spans="1:18" ht="12.75" hidden="1" x14ac:dyDescent="0.2">
      <c r="A794">
        <v>35568</v>
      </c>
      <c r="B794" t="str">
        <f ca="1">VLOOKUP(A794,Import_SuiviGlobal_MigAppliSate!A:I,2,FALSE)</f>
        <v>PLEUBIAN</v>
      </c>
      <c r="C794" t="str">
        <f ca="1">VLOOKUP(A794,Import_SuiviGlobal_MigAppliSate!A:I,3,FALSE)</f>
        <v>U Express</v>
      </c>
      <c r="D794" s="1" t="str">
        <f ca="1">VLOOKUP(A794,Import_SuiviGlobal_MigAppliSate!A:I,4,FALSE)</f>
        <v>Coop U Enseigne Ouest</v>
      </c>
      <c r="E794">
        <f ca="1">VLOOKUP(A794,Import_SuiviGlobal_MigAppliSate!A:I,5,FALSE)</f>
        <v>22610</v>
      </c>
      <c r="F794" t="str">
        <f ca="1">VLOOKUP(A794,Import_SuiviGlobal_MigAppliSate!A:I,6,FALSE)</f>
        <v>24 ROUTE DE L'ARMOR</v>
      </c>
      <c r="G794" t="str">
        <f ca="1">VLOOKUP(A794,Import_SuiviGlobal_MigAppliSate!A:I,7,FALSE)</f>
        <v>02.96.22.89.10</v>
      </c>
      <c r="H794" t="str">
        <f ca="1">VLOOKUP(A794,Import_SuiviGlobal_MigAppliSate!A:I,8,FALSE)</f>
        <v>BOIVIN Franck</v>
      </c>
      <c r="I794" t="str">
        <f ca="1">VLOOKUP(A794,Import_SuiviGlobal_MigAppliSate!A:I,9,FALSE)</f>
        <v>franck.boivin@systeme-u.fr</v>
      </c>
      <c r="J794" s="24" t="str">
        <f ca="1">VLOOKUP(A794,Import_SuiviGlobal_MigAppliSate!A:K,10,FALSE)</f>
        <v>BOURDIN Franck</v>
      </c>
      <c r="K794" t="str">
        <f ca="1">VLOOKUP(A794,Import_SuiviGlobal_MigAppliSate!A:K,11,FALSE)</f>
        <v>franck.bourdin@systeme-u.fr</v>
      </c>
      <c r="O794" s="1" t="s">
        <v>22</v>
      </c>
    </row>
    <row r="795" spans="1:18" ht="12.75" hidden="1" x14ac:dyDescent="0.2">
      <c r="A795">
        <v>33573</v>
      </c>
      <c r="B795" t="str">
        <f ca="1">VLOOKUP(A795,Import_SuiviGlobal_MigAppliSate!A:I,2,FALSE)</f>
        <v>PLEURTUIT</v>
      </c>
      <c r="C795" t="str">
        <f ca="1">VLOOKUP(A795,Import_SuiviGlobal_MigAppliSate!A:I,3,FALSE)</f>
        <v>Super U</v>
      </c>
      <c r="D795" s="1" t="str">
        <f ca="1">VLOOKUP(A795,Import_SuiviGlobal_MigAppliSate!A:I,4,FALSE)</f>
        <v>Coop U Enseigne Ouest</v>
      </c>
      <c r="E795">
        <f ca="1">VLOOKUP(A795,Import_SuiviGlobal_MigAppliSate!A:I,5,FALSE)</f>
        <v>35730</v>
      </c>
      <c r="F795" t="str">
        <f ca="1">VLOOKUP(A795,Import_SuiviGlobal_MigAppliSate!A:I,6,FALSE)</f>
        <v>2, RUE DES TERRES NEUVAS</v>
      </c>
      <c r="G795" t="str">
        <f ca="1">VLOOKUP(A795,Import_SuiviGlobal_MigAppliSate!A:I,7,FALSE)</f>
        <v>02.99.88.41.28</v>
      </c>
      <c r="H795" t="str">
        <f ca="1">VLOOKUP(A795,Import_SuiviGlobal_MigAppliSate!A:I,8,FALSE)</f>
        <v>RAFFRAY RPT SAS LHR FINANCES Véronique</v>
      </c>
      <c r="I795" t="str">
        <f ca="1">VLOOKUP(A795,Import_SuiviGlobal_MigAppliSate!A:I,9,FALSE)</f>
        <v>veronique.raffray@systeme-u.fr</v>
      </c>
      <c r="J795" s="24" t="str">
        <f ca="1">VLOOKUP(A795,Import_SuiviGlobal_MigAppliSate!A:K,10,FALSE)</f>
        <v>HEUZE Véronique</v>
      </c>
      <c r="K795" t="str">
        <f ca="1">VLOOKUP(A795,Import_SuiviGlobal_MigAppliSate!A:K,11,FALSE)</f>
        <v>superu.pleurtuit.gescom@systeme-u.fr</v>
      </c>
      <c r="O795" s="1" t="s">
        <v>22</v>
      </c>
    </row>
    <row r="796" spans="1:18" ht="12.75" hidden="1" x14ac:dyDescent="0.2">
      <c r="A796">
        <v>33980</v>
      </c>
      <c r="B796" t="str">
        <f ca="1">VLOOKUP(A796,Import_SuiviGlobal_MigAppliSate!A:I,2,FALSE)</f>
        <v>PLEYBER-CHRIST</v>
      </c>
      <c r="C796" t="str">
        <f ca="1">VLOOKUP(A796,Import_SuiviGlobal_MigAppliSate!A:I,3,FALSE)</f>
        <v>Super U</v>
      </c>
      <c r="D796" s="1" t="str">
        <f ca="1">VLOOKUP(A796,Import_SuiviGlobal_MigAppliSate!A:I,4,FALSE)</f>
        <v>Coop U Enseigne Ouest</v>
      </c>
      <c r="E796">
        <f ca="1">VLOOKUP(A796,Import_SuiviGlobal_MigAppliSate!A:I,5,FALSE)</f>
        <v>29410</v>
      </c>
      <c r="F796" t="str">
        <f ca="1">VLOOKUP(A796,Import_SuiviGlobal_MigAppliSate!A:I,6,FALSE)</f>
        <v>ZA LA JUSTICE</v>
      </c>
      <c r="G796" t="str">
        <f ca="1">VLOOKUP(A796,Import_SuiviGlobal_MigAppliSate!A:I,7,FALSE)</f>
        <v>02.98.78.40.31</v>
      </c>
      <c r="H796" t="str">
        <f ca="1">VLOOKUP(A796,Import_SuiviGlobal_MigAppliSate!A:I,8,FALSE)</f>
        <v>MARTEIL Alain</v>
      </c>
      <c r="I796" t="str">
        <f ca="1">VLOOKUP(A796,Import_SuiviGlobal_MigAppliSate!A:I,9,FALSE)</f>
        <v>alain.marteil@systeme-u.fr</v>
      </c>
      <c r="J796" s="24" t="str">
        <f ca="1">VLOOKUP(A796,Import_SuiviGlobal_MigAppliSate!A:K,10,FALSE)</f>
        <v>MARTEIL Alice</v>
      </c>
      <c r="K796" t="str">
        <f ca="1">VLOOKUP(A796,Import_SuiviGlobal_MigAppliSate!A:K,11,FALSE)</f>
        <v>superu.pleyberchrist.rh@systeme-u.fr</v>
      </c>
      <c r="O796" s="1" t="s">
        <v>22</v>
      </c>
    </row>
    <row r="797" spans="1:18" ht="12.75" hidden="1" x14ac:dyDescent="0.2">
      <c r="A797">
        <v>33011</v>
      </c>
      <c r="B797" t="str">
        <f ca="1">VLOOKUP(A797,Import_SuiviGlobal_MigAppliSate!A:I,2,FALSE)</f>
        <v>PLIANE LE GOSIER</v>
      </c>
      <c r="C797" t="str">
        <f ca="1">VLOOKUP(A797,Import_SuiviGlobal_MigAppliSate!A:I,3,FALSE)</f>
        <v>Super U</v>
      </c>
      <c r="D797" s="1" t="str">
        <f ca="1">VLOOKUP(A797,Import_SuiviGlobal_MigAppliSate!A:I,4,FALSE)</f>
        <v>Coop U Enseigne Ouest</v>
      </c>
      <c r="E797">
        <f ca="1">VLOOKUP(A797,Import_SuiviGlobal_MigAppliSate!A:I,5,FALSE)</f>
        <v>97190</v>
      </c>
      <c r="F797" t="str">
        <f ca="1">VLOOKUP(A797,Import_SuiviGlobal_MigAppliSate!A:I,6,FALSE)</f>
        <v>CARREFOUR PLIANE</v>
      </c>
      <c r="G797" t="str">
        <f ca="1">VLOOKUP(A797,Import_SuiviGlobal_MigAppliSate!A:I,7,FALSE)</f>
        <v>05.90.84.54.54</v>
      </c>
      <c r="H797" t="str">
        <f ca="1">VLOOKUP(A797,Import_SuiviGlobal_MigAppliSate!A:I,8,FALSE)</f>
        <v>PARFAIT ROBERT</v>
      </c>
      <c r="I797" t="str">
        <f ca="1">VLOOKUP(A797,Import_SuiviGlobal_MigAppliSate!A:I,9,FALSE)</f>
        <v>robert.parfait@systeme-u.fr</v>
      </c>
      <c r="J797" s="24" t="str">
        <f ca="1">VLOOKUP(A797,Import_SuiviGlobal_MigAppliSate!A:K,10,FALSE)</f>
        <v>david minot</v>
      </c>
      <c r="K797" t="str">
        <f ca="1">VLOOKUP(A797,Import_SuiviGlobal_MigAppliSate!A:K,11,FALSE)</f>
        <v>julie.albert@uantilles.com,martine.crevecoeur@systeme-u.fr</v>
      </c>
      <c r="L797" t="s">
        <v>20</v>
      </c>
      <c r="M797" t="s">
        <v>21</v>
      </c>
      <c r="O797" s="1" t="s">
        <v>22</v>
      </c>
    </row>
    <row r="798" spans="1:18" ht="12.75" hidden="1" x14ac:dyDescent="0.2">
      <c r="A798">
        <v>36092</v>
      </c>
      <c r="B798" t="str">
        <f ca="1">VLOOKUP(A798,Import_SuiviGlobal_MigAppliSate!A:I,2,FALSE)</f>
        <v>PLOBANNALEC</v>
      </c>
      <c r="C798" t="str">
        <f ca="1">VLOOKUP(A798,Import_SuiviGlobal_MigAppliSate!A:I,3,FALSE)</f>
        <v>Super U</v>
      </c>
      <c r="D798" s="1" t="str">
        <f ca="1">VLOOKUP(A798,Import_SuiviGlobal_MigAppliSate!A:I,4,FALSE)</f>
        <v>Coop U Enseigne Ouest</v>
      </c>
      <c r="E798">
        <f ca="1">VLOOKUP(A798,Import_SuiviGlobal_MigAppliSate!A:I,5,FALSE)</f>
        <v>29740</v>
      </c>
      <c r="F798" t="str">
        <f ca="1">VLOOKUP(A798,Import_SuiviGlobal_MigAppliSate!A:I,6,FALSE)</f>
        <v>ROUTE DE LESCONIL</v>
      </c>
      <c r="G798" t="str">
        <f ca="1">VLOOKUP(A798,Import_SuiviGlobal_MigAppliSate!A:I,7,FALSE)</f>
        <v>02.98.87.89.90</v>
      </c>
      <c r="H798" t="str">
        <f ca="1">VLOOKUP(A798,Import_SuiviGlobal_MigAppliSate!A:I,8,FALSE)</f>
        <v>HILY RPT SARL YH Yann</v>
      </c>
      <c r="I798" t="str">
        <f ca="1">VLOOKUP(A798,Import_SuiviGlobal_MigAppliSate!A:I,9,FALSE)</f>
        <v>yann.hily@systeme-u.fr</v>
      </c>
      <c r="J798" s="24" t="str">
        <f ca="1">VLOOKUP(A798,Import_SuiviGlobal_MigAppliSate!A:K,10,FALSE)</f>
        <v>CREARCH FLORENCE</v>
      </c>
      <c r="K798" t="str">
        <f ca="1">VLOOKUP(A798,Import_SuiviGlobal_MigAppliSate!A:K,11,FALSE)</f>
        <v>superu.plobannalec.affichage@systeme-u.fr</v>
      </c>
      <c r="O798" s="1" t="s">
        <v>22</v>
      </c>
    </row>
    <row r="799" spans="1:18" ht="12.75" hidden="1" x14ac:dyDescent="0.2">
      <c r="A799">
        <v>38834</v>
      </c>
      <c r="B799" t="str">
        <f ca="1">VLOOKUP(A799,Import_SuiviGlobal_MigAppliSate!A:I,2,FALSE)</f>
        <v>PLOERMEL</v>
      </c>
      <c r="C799" t="str">
        <f ca="1">VLOOKUP(A799,Import_SuiviGlobal_MigAppliSate!A:I,3,FALSE)</f>
        <v>Super U</v>
      </c>
      <c r="D799" s="1" t="str">
        <f ca="1">VLOOKUP(A799,Import_SuiviGlobal_MigAppliSate!A:I,4,FALSE)</f>
        <v>Coop U Enseigne Ouest</v>
      </c>
      <c r="E799">
        <f ca="1">VLOOKUP(A799,Import_SuiviGlobal_MigAppliSate!A:I,5,FALSE)</f>
        <v>56800</v>
      </c>
      <c r="F799" t="str">
        <f ca="1">VLOOKUP(A799,Import_SuiviGlobal_MigAppliSate!A:I,6,FALSE)</f>
        <v>Z.A. SAINT DENIS</v>
      </c>
      <c r="G799" t="str">
        <f ca="1">VLOOKUP(A799,Import_SuiviGlobal_MigAppliSate!A:I,7,FALSE)</f>
        <v>02.97.74.18.60</v>
      </c>
      <c r="H799" t="str">
        <f ca="1">VLOOKUP(A799,Import_SuiviGlobal_MigAppliSate!A:I,8,FALSE)</f>
        <v>LE DEVEDEC RPT SARL LD FINANCE Guillaume</v>
      </c>
      <c r="I799" t="str">
        <f ca="1">VLOOKUP(A799,Import_SuiviGlobal_MigAppliSate!A:I,9,FALSE)</f>
        <v>guillaume.ledevedec@systeme-u.fr</v>
      </c>
      <c r="J799" s="24" t="str">
        <f ca="1">VLOOKUP(A799,Import_SuiviGlobal_MigAppliSate!A:K,10,FALSE)</f>
        <v>LEROUX Nicolas</v>
      </c>
      <c r="K799" t="str">
        <f ca="1">VLOOKUP(A799,Import_SuiviGlobal_MigAppliSate!A:K,11,FALSE)</f>
        <v>superu.ploermel.direction@systeme-u.fr</v>
      </c>
      <c r="O799" s="1" t="s">
        <v>22</v>
      </c>
    </row>
    <row r="800" spans="1:18" ht="12.75" hidden="1" x14ac:dyDescent="0.2">
      <c r="A800">
        <v>38931</v>
      </c>
      <c r="B800" t="str">
        <f ca="1">VLOOKUP(A800,Import_SuiviGlobal_MigAppliSate!A:I,2,FALSE)</f>
        <v>PLOGONNEC</v>
      </c>
      <c r="C800" t="str">
        <f ca="1">VLOOKUP(A800,Import_SuiviGlobal_MigAppliSate!A:I,3,FALSE)</f>
        <v>Super U</v>
      </c>
      <c r="D800" s="1" t="str">
        <f ca="1">VLOOKUP(A800,Import_SuiviGlobal_MigAppliSate!A:I,4,FALSE)</f>
        <v>Coop U Enseigne Ouest</v>
      </c>
      <c r="E800">
        <f ca="1">VLOOKUP(A800,Import_SuiviGlobal_MigAppliSate!A:I,5,FALSE)</f>
        <v>29180</v>
      </c>
      <c r="F800" t="str">
        <f ca="1">VLOOKUP(A800,Import_SuiviGlobal_MigAppliSate!A:I,6,FALSE)</f>
        <v>ZONE DE BOUTEFELEC</v>
      </c>
      <c r="G800" t="str">
        <f ca="1">VLOOKUP(A800,Import_SuiviGlobal_MigAppliSate!A:I,7,FALSE)</f>
        <v>02.98.91.70.26</v>
      </c>
      <c r="H800" t="str">
        <f ca="1">VLOOKUP(A800,Import_SuiviGlobal_MigAppliSate!A:I,8,FALSE)</f>
        <v>PHILIPPE Erwan</v>
      </c>
      <c r="I800" t="str">
        <f ca="1">VLOOKUP(A800,Import_SuiviGlobal_MigAppliSate!A:I,9,FALSE)</f>
        <v>erwan.philippe@systeme-u.fr</v>
      </c>
      <c r="J800" s="24" t="str">
        <f ca="1">VLOOKUP(A800,Import_SuiviGlobal_MigAppliSate!A:K,10,FALSE)</f>
        <v>LE PORH Solenn</v>
      </c>
      <c r="K800" t="str">
        <f ca="1">VLOOKUP(A800,Import_SuiviGlobal_MigAppliSate!A:K,11,FALSE)</f>
        <v xml:space="preserve">superu.plogonnec.rh@systeme-u.fr																				
</v>
      </c>
      <c r="O800" s="1" t="s">
        <v>22</v>
      </c>
    </row>
    <row r="801" spans="1:15" ht="12.75" hidden="1" x14ac:dyDescent="0.2">
      <c r="A801">
        <v>35959</v>
      </c>
      <c r="B801" t="str">
        <f ca="1">VLOOKUP(A801,Import_SuiviGlobal_MigAppliSate!A:I,2,FALSE)</f>
        <v>PLOUARET</v>
      </c>
      <c r="C801" t="str">
        <f ca="1">VLOOKUP(A801,Import_SuiviGlobal_MigAppliSate!A:I,3,FALSE)</f>
        <v>U Express</v>
      </c>
      <c r="D801" s="1" t="str">
        <f ca="1">VLOOKUP(A801,Import_SuiviGlobal_MigAppliSate!A:I,4,FALSE)</f>
        <v>Coop U Enseigne Ouest</v>
      </c>
      <c r="E801">
        <f ca="1">VLOOKUP(A801,Import_SuiviGlobal_MigAppliSate!A:I,5,FALSE)</f>
        <v>22420</v>
      </c>
      <c r="F801" t="str">
        <f ca="1">VLOOKUP(A801,Import_SuiviGlobal_MigAppliSate!A:I,6,FALSE)</f>
        <v>22 PLACE DE L'EGLISE</v>
      </c>
      <c r="G801" t="str">
        <f ca="1">VLOOKUP(A801,Import_SuiviGlobal_MigAppliSate!A:I,7,FALSE)</f>
        <v>02.96.46.64.90</v>
      </c>
      <c r="H801" t="str">
        <f ca="1">VLOOKUP(A801,Import_SuiviGlobal_MigAppliSate!A:I,8,FALSE)</f>
        <v>TILLY Jean-Louis</v>
      </c>
      <c r="I801" t="str">
        <f ca="1">VLOOKUP(A801,Import_SuiviGlobal_MigAppliSate!A:I,9,FALSE)</f>
        <v>jean-louis.tilly@systeme-u.fr</v>
      </c>
      <c r="J801" s="24" t="str">
        <f ca="1">VLOOKUP(A801,Import_SuiviGlobal_MigAppliSate!A:K,10,FALSE)</f>
        <v/>
      </c>
      <c r="K801" t="str">
        <f ca="1">VLOOKUP(A801,Import_SuiviGlobal_MigAppliSate!A:K,11,FALSE)</f>
        <v/>
      </c>
      <c r="O801" s="1" t="s">
        <v>22</v>
      </c>
    </row>
    <row r="802" spans="1:15" ht="12.75" hidden="1" x14ac:dyDescent="0.2">
      <c r="A802">
        <v>39717</v>
      </c>
      <c r="B802" t="str">
        <f ca="1">VLOOKUP(A802,Import_SuiviGlobal_MigAppliSate!A:I,2,FALSE)</f>
        <v>PLOUARZEL</v>
      </c>
      <c r="C802" t="str">
        <f ca="1">VLOOKUP(A802,Import_SuiviGlobal_MigAppliSate!A:I,3,FALSE)</f>
        <v>Super U</v>
      </c>
      <c r="D802" s="1" t="str">
        <f ca="1">VLOOKUP(A802,Import_SuiviGlobal_MigAppliSate!A:I,4,FALSE)</f>
        <v>Coop U Enseigne Ouest</v>
      </c>
      <c r="E802">
        <f ca="1">VLOOKUP(A802,Import_SuiviGlobal_MigAppliSate!A:I,5,FALSE)</f>
        <v>29810</v>
      </c>
      <c r="F802" t="str">
        <f ca="1">VLOOKUP(A802,Import_SuiviGlobal_MigAppliSate!A:I,6,FALSE)</f>
        <v>LIEUDIT MENEZ CRENN</v>
      </c>
      <c r="G802" t="str">
        <f ca="1">VLOOKUP(A802,Import_SuiviGlobal_MigAppliSate!A:I,7,FALSE)</f>
        <v>02.98.89.68.22</v>
      </c>
      <c r="H802" t="str">
        <f ca="1">VLOOKUP(A802,Import_SuiviGlobal_MigAppliSate!A:I,8,FALSE)</f>
        <v>LEQUET Yannick</v>
      </c>
      <c r="I802" t="str">
        <f ca="1">VLOOKUP(A802,Import_SuiviGlobal_MigAppliSate!A:I,9,FALSE)</f>
        <v>yannick.lequet@systeme-u.fr</v>
      </c>
      <c r="J802" s="24" t="str">
        <f ca="1">VLOOKUP(A802,Import_SuiviGlobal_MigAppliSate!A:K,10,FALSE)</f>
        <v>LEQUET Veronique</v>
      </c>
      <c r="K802" t="str">
        <f ca="1">VLOOKUP(A802,Import_SuiviGlobal_MigAppliSate!A:K,11,FALSE)</f>
        <v>superu.plouarzel.informatique@systeme-u.fr,veronique.lequet@systeme-u.fr</v>
      </c>
      <c r="O802" s="1" t="s">
        <v>22</v>
      </c>
    </row>
    <row r="803" spans="1:15" ht="12.75" hidden="1" x14ac:dyDescent="0.2">
      <c r="A803">
        <v>37390</v>
      </c>
      <c r="B803" t="str">
        <f ca="1">VLOOKUP(A803,Import_SuiviGlobal_MigAppliSate!A:I,2,FALSE)</f>
        <v>PLOUENAN</v>
      </c>
      <c r="C803" t="str">
        <f ca="1">VLOOKUP(A803,Import_SuiviGlobal_MigAppliSate!A:I,3,FALSE)</f>
        <v>U Express</v>
      </c>
      <c r="D803" s="1" t="str">
        <f ca="1">VLOOKUP(A803,Import_SuiviGlobal_MigAppliSate!A:I,4,FALSE)</f>
        <v>Coop U Enseigne Ouest</v>
      </c>
      <c r="E803">
        <f ca="1">VLOOKUP(A803,Import_SuiviGlobal_MigAppliSate!A:I,5,FALSE)</f>
        <v>29420</v>
      </c>
      <c r="F803" t="str">
        <f ca="1">VLOOKUP(A803,Import_SuiviGlobal_MigAppliSate!A:I,6,FALSE)</f>
        <v>BEL AIR</v>
      </c>
      <c r="G803" t="str">
        <f ca="1">VLOOKUP(A803,Import_SuiviGlobal_MigAppliSate!A:I,7,FALSE)</f>
        <v>02.98.69.58.25</v>
      </c>
      <c r="H803" t="str">
        <f ca="1">VLOOKUP(A803,Import_SuiviGlobal_MigAppliSate!A:I,8,FALSE)</f>
        <v>ABOMNES Erwan</v>
      </c>
      <c r="I803" t="str">
        <f ca="1">VLOOKUP(A803,Import_SuiviGlobal_MigAppliSate!A:I,9,FALSE)</f>
        <v>erwan.abomnes@systeme-u.fr</v>
      </c>
      <c r="J803" s="24" t="str">
        <f ca="1">VLOOKUP(A803,Import_SuiviGlobal_MigAppliSate!A:K,10,FALSE)</f>
        <v>LE SAOUT Anne-Laure</v>
      </c>
      <c r="K803" t="str">
        <f ca="1">VLOOKUP(A803,Import_SuiviGlobal_MigAppliSate!A:K,11,FALSE)</f>
        <v>uexpress.plouenan.compta@systeme-u.fr</v>
      </c>
      <c r="O803" s="1" t="s">
        <v>22</v>
      </c>
    </row>
    <row r="804" spans="1:15" ht="12.75" x14ac:dyDescent="0.2">
      <c r="A804">
        <v>31708</v>
      </c>
      <c r="B804" t="str">
        <f ca="1">VLOOKUP(A804,Import_SuiviGlobal_MigAppliSate!A:I,2,FALSE)</f>
        <v>PLOUER-SUR-RANCE</v>
      </c>
      <c r="C804" t="str">
        <f ca="1">VLOOKUP(A804,Import_SuiviGlobal_MigAppliSate!A:I,3,FALSE)</f>
        <v>Super U</v>
      </c>
      <c r="D804" s="1" t="str">
        <f ca="1">VLOOKUP(A804,Import_SuiviGlobal_MigAppliSate!A:I,4,FALSE)</f>
        <v>Coop U Enseigne Ouest</v>
      </c>
      <c r="E804">
        <f ca="1">VLOOKUP(A804,Import_SuiviGlobal_MigAppliSate!A:I,5,FALSE)</f>
        <v>22490</v>
      </c>
      <c r="F804" t="str">
        <f ca="1">VLOOKUP(A804,Import_SuiviGlobal_MigAppliSate!A:I,6,FALSE)</f>
        <v>ZONE ARTISANALE LES LANDES</v>
      </c>
      <c r="G804" t="str">
        <f ca="1">VLOOKUP(A804,Import_SuiviGlobal_MigAppliSate!A:I,7,FALSE)</f>
        <v>02.96.89.10.30</v>
      </c>
      <c r="H804" t="str">
        <f ca="1">VLOOKUP(A804,Import_SuiviGlobal_MigAppliSate!A:I,8,FALSE)</f>
        <v>PRIGENT RPT FINANCIERE PLOUER Michel</v>
      </c>
      <c r="I804" t="str">
        <f ca="1">VLOOKUP(A804,Import_SuiviGlobal_MigAppliSate!A:I,9,FALSE)</f>
        <v>michel.prigent@systeme-u.fr</v>
      </c>
      <c r="J804" s="24" t="str">
        <f ca="1">VLOOKUP(A804,Import_SuiviGlobal_MigAppliSate!A:K,10,FALSE)</f>
        <v>ALLANIC Amandine</v>
      </c>
      <c r="K804" t="str">
        <f ca="1">VLOOKUP(A804,Import_SuiviGlobal_MigAppliSate!A:K,11,FALSE)</f>
        <v>superu.plouersurrance@systeme-u.fr</v>
      </c>
      <c r="L804" t="s">
        <v>17</v>
      </c>
      <c r="M804" t="s">
        <v>0</v>
      </c>
      <c r="O804" s="1" t="s">
        <v>22</v>
      </c>
    </row>
    <row r="805" spans="1:15" ht="12.75" hidden="1" x14ac:dyDescent="0.2">
      <c r="A805">
        <v>32410</v>
      </c>
      <c r="B805" t="str">
        <f ca="1">VLOOKUP(A805,Import_SuiviGlobal_MigAppliSate!A:I,2,FALSE)</f>
        <v>PLOUGASTEL</v>
      </c>
      <c r="C805" t="str">
        <f ca="1">VLOOKUP(A805,Import_SuiviGlobal_MigAppliSate!A:I,3,FALSE)</f>
        <v>Super U</v>
      </c>
      <c r="D805" s="1" t="str">
        <f ca="1">VLOOKUP(A805,Import_SuiviGlobal_MigAppliSate!A:I,4,FALSE)</f>
        <v>Coop U Enseigne Ouest</v>
      </c>
      <c r="E805">
        <f ca="1">VLOOKUP(A805,Import_SuiviGlobal_MigAppliSate!A:I,5,FALSE)</f>
        <v>29470</v>
      </c>
      <c r="F805" t="str">
        <f ca="1">VLOOKUP(A805,Import_SuiviGlobal_MigAppliSate!A:I,6,FALSE)</f>
        <v>64 AVENUE DU GÉNÉRAL DE GAULLE</v>
      </c>
      <c r="G805" t="str">
        <f ca="1">VLOOKUP(A805,Import_SuiviGlobal_MigAppliSate!A:I,7,FALSE)</f>
        <v>02.98.40.38.86</v>
      </c>
      <c r="H805" t="str">
        <f ca="1">VLOOKUP(A805,Import_SuiviGlobal_MigAppliSate!A:I,8,FALSE)</f>
        <v>LE BOURHIS RPT SOFINABER Michel</v>
      </c>
      <c r="I805" t="str">
        <f ca="1">VLOOKUP(A805,Import_SuiviGlobal_MigAppliSate!A:I,9,FALSE)</f>
        <v>michel.le-bourhis@systeme-u.fr</v>
      </c>
      <c r="J805" s="24" t="str">
        <f ca="1">VLOOKUP(A805,Import_SuiviGlobal_MigAppliSate!A:K,10,FALSE)</f>
        <v>Madame Dujarrier</v>
      </c>
      <c r="K805" t="str">
        <f ca="1">VLOOKUP(A805,Import_SuiviGlobal_MigAppliSate!A:K,11,FALSE)</f>
        <v>superu.plougasteldaoulas@systeme-u.fr</v>
      </c>
      <c r="O805" s="1" t="s">
        <v>22</v>
      </c>
    </row>
    <row r="806" spans="1:15" ht="12.75" hidden="1" x14ac:dyDescent="0.2">
      <c r="A806">
        <v>34049</v>
      </c>
      <c r="B806" t="str">
        <f ca="1">VLOOKUP(A806,Import_SuiviGlobal_MigAppliSate!A:I,2,FALSE)</f>
        <v>PLOUHARNEL</v>
      </c>
      <c r="C806" t="str">
        <f ca="1">VLOOKUP(A806,Import_SuiviGlobal_MigAppliSate!A:I,3,FALSE)</f>
        <v>Super U</v>
      </c>
      <c r="D806" s="1" t="str">
        <f ca="1">VLOOKUP(A806,Import_SuiviGlobal_MigAppliSate!A:I,4,FALSE)</f>
        <v>Coop U Enseigne Ouest</v>
      </c>
      <c r="E806">
        <f ca="1">VLOOKUP(A806,Import_SuiviGlobal_MigAppliSate!A:I,5,FALSE)</f>
        <v>56340</v>
      </c>
      <c r="F806" t="str">
        <f ca="1">VLOOKUP(A806,Import_SuiviGlobal_MigAppliSate!A:I,6,FALSE)</f>
        <v>ROND POINT DE L OCEAN</v>
      </c>
      <c r="G806" t="str">
        <f ca="1">VLOOKUP(A806,Import_SuiviGlobal_MigAppliSate!A:I,7,FALSE)</f>
        <v>02.97.52.31.41</v>
      </c>
      <c r="H806" t="str">
        <f ca="1">VLOOKUP(A806,Import_SuiviGlobal_MigAppliSate!A:I,8,FALSE)</f>
        <v>FLOCH RPT HOLDING OCEANE Jean-Philippe</v>
      </c>
      <c r="I806" t="str">
        <f ca="1">VLOOKUP(A806,Import_SuiviGlobal_MigAppliSate!A:I,9,FALSE)</f>
        <v>anne-marie.floch@systeme-u.fr</v>
      </c>
      <c r="J806" s="24" t="str">
        <f ca="1">VLOOKUP(A806,Import_SuiviGlobal_MigAppliSate!A:K,10,FALSE)</f>
        <v>Corine Floch</v>
      </c>
      <c r="K806" t="str">
        <f ca="1">VLOOKUP(A806,Import_SuiviGlobal_MigAppliSate!A:K,11,FALSE)</f>
        <v>corine.floch@hotmail.fr</v>
      </c>
      <c r="O806" s="1" t="s">
        <v>22</v>
      </c>
    </row>
    <row r="807" spans="1:15" ht="12.75" hidden="1" x14ac:dyDescent="0.2">
      <c r="A807">
        <v>35487</v>
      </c>
      <c r="B807" t="str">
        <f ca="1">VLOOKUP(A807,Import_SuiviGlobal_MigAppliSate!A:I,2,FALSE)</f>
        <v>PLUVIGNER</v>
      </c>
      <c r="C807" t="str">
        <f ca="1">VLOOKUP(A807,Import_SuiviGlobal_MigAppliSate!A:I,3,FALSE)</f>
        <v>Super U</v>
      </c>
      <c r="D807" s="1" t="str">
        <f ca="1">VLOOKUP(A807,Import_SuiviGlobal_MigAppliSate!A:I,4,FALSE)</f>
        <v>Coop U Enseigne Ouest</v>
      </c>
      <c r="E807">
        <f ca="1">VLOOKUP(A807,Import_SuiviGlobal_MigAppliSate!A:I,5,FALSE)</f>
        <v>56330</v>
      </c>
      <c r="F807" t="str">
        <f ca="1">VLOOKUP(A807,Import_SuiviGlobal_MigAppliSate!A:I,6,FALSE)</f>
        <v>RUE ABBÉ LE MARECHAL</v>
      </c>
      <c r="G807" t="str">
        <f ca="1">VLOOKUP(A807,Import_SuiviGlobal_MigAppliSate!A:I,7,FALSE)</f>
        <v>02.97.24.70.03</v>
      </c>
      <c r="H807" t="str">
        <f ca="1">VLOOKUP(A807,Import_SuiviGlobal_MigAppliSate!A:I,8,FALSE)</f>
        <v>SAINT JALMES RPT SARL MARIEL Carl</v>
      </c>
      <c r="I807" t="str">
        <f ca="1">VLOOKUP(A807,Import_SuiviGlobal_MigAppliSate!A:I,9,FALSE)</f>
        <v>carl.saintjalmes@systeme-u.fr</v>
      </c>
      <c r="J807" s="24" t="str">
        <f ca="1">VLOOKUP(A807,Import_SuiviGlobal_MigAppliSate!A:K,10,FALSE)</f>
        <v>MARTIN Jean-René</v>
      </c>
      <c r="K807" t="str">
        <f ca="1">VLOOKUP(A807,Import_SuiviGlobal_MigAppliSate!A:K,11,FALSE)</f>
        <v>jean-rene.martin@systeme-u.fr</v>
      </c>
      <c r="O807" s="1" t="s">
        <v>22</v>
      </c>
    </row>
    <row r="808" spans="1:15" ht="12.75" hidden="1" x14ac:dyDescent="0.2">
      <c r="A808">
        <v>95121</v>
      </c>
      <c r="B808" t="str">
        <f ca="1">VLOOKUP(A808,Import_SuiviGlobal_MigAppliSate!A:I,2,FALSE)</f>
        <v>PODENSAC</v>
      </c>
      <c r="C808" t="str">
        <f ca="1">VLOOKUP(A808,Import_SuiviGlobal_MigAppliSate!A:I,3,FALSE)</f>
        <v>Super U</v>
      </c>
      <c r="D808" s="1" t="str">
        <f ca="1">VLOOKUP(A808,Import_SuiviGlobal_MigAppliSate!A:I,4,FALSE)</f>
        <v>Coop U Enseigne Sud</v>
      </c>
      <c r="E808">
        <f ca="1">VLOOKUP(A808,Import_SuiviGlobal_MigAppliSate!A:I,5,FALSE)</f>
        <v>33720</v>
      </c>
      <c r="F808" t="str">
        <f ca="1">VLOOKUP(A808,Import_SuiviGlobal_MigAppliSate!A:I,6,FALSE)</f>
        <v>CC SUPER U RN 113</v>
      </c>
      <c r="G808" t="str">
        <f ca="1">VLOOKUP(A808,Import_SuiviGlobal_MigAppliSate!A:I,7,FALSE)</f>
        <v>05.56.27.23.00</v>
      </c>
      <c r="H808" t="str">
        <f ca="1">VLOOKUP(A808,Import_SuiviGlobal_MigAppliSate!A:I,8,FALSE)</f>
        <v>GAYFFIER Elie-Jacques</v>
      </c>
      <c r="I808" t="str">
        <f ca="1">VLOOKUP(A808,Import_SuiviGlobal_MigAppliSate!A:I,9,FALSE)</f>
        <v>elie-jacques.gayffier@systeme-u.fr</v>
      </c>
      <c r="J808" s="24" t="str">
        <f ca="1">VLOOKUP(A808,Import_SuiviGlobal_MigAppliSate!A:K,10,FALSE)</f>
        <v>M. CUIN</v>
      </c>
      <c r="K808" t="str">
        <f ca="1">VLOOKUP(A808,Import_SuiviGlobal_MigAppliSate!A:K,11,FALSE)</f>
        <v>superu.podensac.direction@systeme-u.fr</v>
      </c>
      <c r="O808" s="1" t="s">
        <v>22</v>
      </c>
    </row>
    <row r="809" spans="1:15" ht="12.75" hidden="1" x14ac:dyDescent="0.2">
      <c r="A809">
        <v>35223</v>
      </c>
      <c r="B809" t="str">
        <f ca="1">VLOOKUP(A809,Import_SuiviGlobal_MigAppliSate!A:I,2,FALSE)</f>
        <v>POINTE/PITRE BERGEVIN</v>
      </c>
      <c r="C809" t="str">
        <f ca="1">VLOOKUP(A809,Import_SuiviGlobal_MigAppliSate!A:I,3,FALSE)</f>
        <v>Super U</v>
      </c>
      <c r="D809" s="1" t="str">
        <f ca="1">VLOOKUP(A809,Import_SuiviGlobal_MigAppliSate!A:I,4,FALSE)</f>
        <v>Coop U Enseigne Ouest</v>
      </c>
      <c r="E809">
        <f ca="1">VLOOKUP(A809,Import_SuiviGlobal_MigAppliSate!A:I,5,FALSE)</f>
        <v>97110</v>
      </c>
      <c r="F809" t="str">
        <f ca="1">VLOOKUP(A809,Import_SuiviGlobal_MigAppliSate!A:I,6,FALSE)</f>
        <v>101, RÉSIDENCE GASTON VIENS</v>
      </c>
      <c r="G809" t="str">
        <f ca="1">VLOOKUP(A809,Import_SuiviGlobal_MigAppliSate!A:I,7,FALSE)</f>
        <v>05.90.83.05.77</v>
      </c>
      <c r="H809" t="str">
        <f ca="1">VLOOKUP(A809,Import_SuiviGlobal_MigAppliSate!A:I,8,FALSE)</f>
        <v>CLAIRVILLE Félix</v>
      </c>
      <c r="I809" t="str">
        <f ca="1">VLOOKUP(A809,Import_SuiviGlobal_MigAppliSate!A:I,9,FALSE)</f>
        <v>felix.clairville@systeme-u.fr</v>
      </c>
      <c r="J809" s="24" t="str">
        <f ca="1">VLOOKUP(A809,Import_SuiviGlobal_MigAppliSate!A:K,10,FALSE)</f>
        <v>AKO Aliette</v>
      </c>
      <c r="K809" t="str">
        <f ca="1">VLOOKUP(A809,Import_SuiviGlobal_MigAppliSate!A:K,11,FALSE)</f>
        <v>superu.pointeapitre.direction@systeme-u.fr,martine.crevecoeur@systeme-u.fr</v>
      </c>
      <c r="O809" s="1" t="s">
        <v>22</v>
      </c>
    </row>
    <row r="810" spans="1:15" ht="12.75" hidden="1" x14ac:dyDescent="0.2">
      <c r="A810">
        <v>38234</v>
      </c>
      <c r="B810" t="str">
        <f ca="1">VLOOKUP(A810,Import_SuiviGlobal_MigAppliSate!A:I,2,FALSE)</f>
        <v>POINTE/PITRE CHANZY</v>
      </c>
      <c r="C810" t="str">
        <f ca="1">VLOOKUP(A810,Import_SuiviGlobal_MigAppliSate!A:I,3,FALSE)</f>
        <v>U Express</v>
      </c>
      <c r="D810" s="1" t="str">
        <f ca="1">VLOOKUP(A810,Import_SuiviGlobal_MigAppliSate!A:I,4,FALSE)</f>
        <v>Coop U Enseigne Ouest</v>
      </c>
      <c r="E810">
        <f ca="1">VLOOKUP(A810,Import_SuiviGlobal_MigAppliSate!A:I,5,FALSE)</f>
        <v>97110</v>
      </c>
      <c r="F810" t="str">
        <f ca="1">VLOOKUP(A810,Import_SuiviGlobal_MigAppliSate!A:I,6,FALSE)</f>
        <v>72, RUE JEAN JAURÈS</v>
      </c>
      <c r="G810" t="str">
        <f ca="1">VLOOKUP(A810,Import_SuiviGlobal_MigAppliSate!A:I,7,FALSE)</f>
        <v>05.90.21.38.39</v>
      </c>
      <c r="H810" t="str">
        <f ca="1">VLOOKUP(A810,Import_SuiviGlobal_MigAppliSate!A:I,8,FALSE)</f>
        <v>CLAIRVILLE Félix</v>
      </c>
      <c r="I810" t="str">
        <f ca="1">VLOOKUP(A810,Import_SuiviGlobal_MigAppliSate!A:I,9,FALSE)</f>
        <v>felix.clairville@systeme-u.fr</v>
      </c>
      <c r="J810" s="24" t="str">
        <f ca="1">VLOOKUP(A810,Import_SuiviGlobal_MigAppliSate!A:K,10,FALSE)</f>
        <v>GALVANI Fabien</v>
      </c>
      <c r="K810" t="str">
        <f ca="1">VLOOKUP(A810,Import_SuiviGlobal_MigAppliSate!A:K,11,FALSE)</f>
        <v>uexpress.chanzy.eldph@systeme-u.fr,martine.crevecoeur@systeme-u.fr,uexpress.chanzy.direction@systeme-u.fr</v>
      </c>
      <c r="O810" s="1" t="s">
        <v>22</v>
      </c>
    </row>
    <row r="811" spans="1:15" ht="12.75" hidden="1" x14ac:dyDescent="0.2">
      <c r="A811">
        <v>38046</v>
      </c>
      <c r="B811" t="str">
        <f ca="1">VLOOKUP(A811,Import_SuiviGlobal_MigAppliSate!A:I,2,FALSE)</f>
        <v>POINTE/PITRE ST JULE</v>
      </c>
      <c r="C811" t="str">
        <f ca="1">VLOOKUP(A811,Import_SuiviGlobal_MigAppliSate!A:I,3,FALSE)</f>
        <v>Super U</v>
      </c>
      <c r="D811" s="1" t="str">
        <f ca="1">VLOOKUP(A811,Import_SuiviGlobal_MigAppliSate!A:I,4,FALSE)</f>
        <v>Coop U Enseigne Ouest</v>
      </c>
      <c r="E811">
        <f ca="1">VLOOKUP(A811,Import_SuiviGlobal_MigAppliSate!A:I,5,FALSE)</f>
        <v>97110</v>
      </c>
      <c r="F811" t="str">
        <f ca="1">VLOOKUP(A811,Import_SuiviGlobal_MigAppliSate!A:I,6,FALSE)</f>
        <v>6 PLACE DES CITÉS UNIES</v>
      </c>
      <c r="G811" t="str">
        <f ca="1">VLOOKUP(A811,Import_SuiviGlobal_MigAppliSate!A:I,7,FALSE)</f>
        <v>05.90.48.74.80</v>
      </c>
      <c r="H811" t="str">
        <f ca="1">VLOOKUP(A811,Import_SuiviGlobal_MigAppliSate!A:I,8,FALSE)</f>
        <v>CLAIRVILLE Félix</v>
      </c>
      <c r="I811" t="str">
        <f ca="1">VLOOKUP(A811,Import_SuiviGlobal_MigAppliSate!A:I,9,FALSE)</f>
        <v>felix.clairville@systeme-u.fr</v>
      </c>
      <c r="J811" s="24" t="str">
        <f ca="1">VLOOKUP(A811,Import_SuiviGlobal_MigAppliSate!A:K,10,FALSE)</f>
        <v>BRINVILLIER Marie-Annie</v>
      </c>
      <c r="K811" t="str">
        <f ca="1">VLOOKUP(A811,Import_SuiviGlobal_MigAppliSate!A:K,11,FALSE)</f>
        <v>superu.saintjules.direction@systeme-u.fr,martine.crevecoeur@systeme-u.fr</v>
      </c>
      <c r="O811" s="1" t="s">
        <v>22</v>
      </c>
    </row>
    <row r="812" spans="1:15" ht="12.75" hidden="1" x14ac:dyDescent="0.2">
      <c r="A812">
        <v>34181</v>
      </c>
      <c r="B812" t="str">
        <f ca="1">VLOOKUP(A812,Import_SuiviGlobal_MigAppliSate!A:I,2,FALSE)</f>
        <v>POITIERS COURONNERIE</v>
      </c>
      <c r="C812" t="str">
        <f ca="1">VLOOKUP(A812,Import_SuiviGlobal_MigAppliSate!A:I,3,FALSE)</f>
        <v>U Express</v>
      </c>
      <c r="D812" s="1" t="str">
        <f ca="1">VLOOKUP(A812,Import_SuiviGlobal_MigAppliSate!A:I,4,FALSE)</f>
        <v>Coop Atlantique</v>
      </c>
      <c r="E812">
        <f ca="1">VLOOKUP(A812,Import_SuiviGlobal_MigAppliSate!A:I,5,FALSE)</f>
        <v>86000</v>
      </c>
      <c r="F812" t="str">
        <f ca="1">VLOOKUP(A812,Import_SuiviGlobal_MigAppliSate!A:I,6,FALSE)</f>
        <v>PLACE DE PROVENCE</v>
      </c>
      <c r="G812" t="str">
        <f ca="1">VLOOKUP(A812,Import_SuiviGlobal_MigAppliSate!A:I,7,FALSE)</f>
        <v>05.49.47.53.75</v>
      </c>
      <c r="H812" t="str">
        <f ca="1">VLOOKUP(A812,Import_SuiviGlobal_MigAppliSate!A:I,8,FALSE)</f>
        <v>FLAMBARD Hervé</v>
      </c>
      <c r="I812" t="str">
        <f ca="1">VLOOKUP(A812,Import_SuiviGlobal_MigAppliSate!A:I,9,FALSE)</f>
        <v>bertrand.defontaine_coop_su_uex@systeme-u.fr</v>
      </c>
      <c r="J812" s="24" t="str">
        <f ca="1">VLOOKUP(A812,Import_SuiviGlobal_MigAppliSate!A:K,10,FALSE)</f>
        <v>Daniel MORILLON</v>
      </c>
      <c r="K812" t="str">
        <f ca="1">VLOOKUP(A812,Import_SuiviGlobal_MigAppliSate!A:K,11,FALSE)</f>
        <v>uexpress.poitierslescouronneries.direction@systeme-u.fr,nbrigant@coop-atlantique.fr,sjaud@coop-atlantique.fr</v>
      </c>
      <c r="O812" s="1" t="s">
        <v>22</v>
      </c>
    </row>
    <row r="813" spans="1:15" ht="12.75" hidden="1" x14ac:dyDescent="0.2">
      <c r="A813">
        <v>34179</v>
      </c>
      <c r="B813" t="str">
        <f ca="1">VLOOKUP(A813,Import_SuiviGlobal_MigAppliSate!A:I,2,FALSE)</f>
        <v>POITIERS MERMOZ</v>
      </c>
      <c r="C813" t="str">
        <f ca="1">VLOOKUP(A813,Import_SuiviGlobal_MigAppliSate!A:I,3,FALSE)</f>
        <v>U Express</v>
      </c>
      <c r="D813" s="1" t="str">
        <f ca="1">VLOOKUP(A813,Import_SuiviGlobal_MigAppliSate!A:I,4,FALSE)</f>
        <v>Coop Atlantique</v>
      </c>
      <c r="E813">
        <f ca="1">VLOOKUP(A813,Import_SuiviGlobal_MigAppliSate!A:I,5,FALSE)</f>
        <v>86000</v>
      </c>
      <c r="F813" t="str">
        <f ca="1">VLOOKUP(A813,Import_SuiviGlobal_MigAppliSate!A:I,6,FALSE)</f>
        <v>101 RUE JEAN MERMOZ</v>
      </c>
      <c r="G813" t="str">
        <f ca="1">VLOOKUP(A813,Import_SuiviGlobal_MigAppliSate!A:I,7,FALSE)</f>
        <v>05.49.58.24.49</v>
      </c>
      <c r="H813" t="str">
        <f ca="1">VLOOKUP(A813,Import_SuiviGlobal_MigAppliSate!A:I,8,FALSE)</f>
        <v>FLAMBARD Hervé</v>
      </c>
      <c r="I813" t="str">
        <f ca="1">VLOOKUP(A813,Import_SuiviGlobal_MigAppliSate!A:I,9,FALSE)</f>
        <v>bertrand.defontaine_coop_su_uex@systeme-u.fr</v>
      </c>
      <c r="J813" s="24" t="str">
        <f ca="1">VLOOKUP(A813,Import_SuiviGlobal_MigAppliSate!A:K,10,FALSE)</f>
        <v>Valentin Coquilleau ou Mme Charpentron</v>
      </c>
      <c r="K813" t="str">
        <f ca="1">VLOOKUP(A813,Import_SuiviGlobal_MigAppliSate!A:K,11,FALSE)</f>
        <v>uexpress.poitiersmermoz.direction@systeme-u.fr,nbrigant@coop-atlantique.fr,sjaud@coop-atlantique.fr</v>
      </c>
      <c r="O813" s="1" t="s">
        <v>22</v>
      </c>
    </row>
    <row r="814" spans="1:15" ht="12.75" hidden="1" x14ac:dyDescent="0.2">
      <c r="A814">
        <v>37831</v>
      </c>
      <c r="B814" t="str">
        <f ca="1">VLOOKUP(A814,Import_SuiviGlobal_MigAppliSate!A:I,2,FALSE)</f>
        <v>POITIERS SUD</v>
      </c>
      <c r="C814" t="str">
        <f ca="1">VLOOKUP(A814,Import_SuiviGlobal_MigAppliSate!A:I,3,FALSE)</f>
        <v>Super U</v>
      </c>
      <c r="D814" s="1" t="str">
        <f ca="1">VLOOKUP(A814,Import_SuiviGlobal_MigAppliSate!A:I,4,FALSE)</f>
        <v>Coop U Enseigne Ouest</v>
      </c>
      <c r="E814">
        <f ca="1">VLOOKUP(A814,Import_SuiviGlobal_MigAppliSate!A:I,5,FALSE)</f>
        <v>86000</v>
      </c>
      <c r="F814" t="str">
        <f ca="1">VLOOKUP(A814,Import_SuiviGlobal_MigAppliSate!A:I,6,FALSE)</f>
        <v>91, AVENUE DU 8 MAI 1945</v>
      </c>
      <c r="G814" t="str">
        <f ca="1">VLOOKUP(A814,Import_SuiviGlobal_MigAppliSate!A:I,7,FALSE)</f>
        <v>05.49.88.45.71</v>
      </c>
      <c r="H814" t="str">
        <f ca="1">VLOOKUP(A814,Import_SuiviGlobal_MigAppliSate!A:I,8,FALSE)</f>
        <v>COUTURIER Jacques</v>
      </c>
      <c r="I814" t="str">
        <f ca="1">VLOOKUP(A814,Import_SuiviGlobal_MigAppliSate!A:I,9,FALSE)</f>
        <v>jacques.couturier@systeme-u.fr</v>
      </c>
      <c r="J814" s="24" t="str">
        <f ca="1">VLOOKUP(A814,Import_SuiviGlobal_MigAppliSate!A:K,10,FALSE)</f>
        <v>COUTURIER Gil</v>
      </c>
      <c r="K814" t="str">
        <f ca="1">VLOOKUP(A814,Import_SuiviGlobal_MigAppliSate!A:K,11,FALSE)</f>
        <v>superu.poitierssud.direction@systeme-u.fr, superu.poitierssud@systeme-u.fr</v>
      </c>
      <c r="O814" s="1" t="s">
        <v>22</v>
      </c>
    </row>
    <row r="815" spans="1:15" ht="12.75" hidden="1" x14ac:dyDescent="0.2">
      <c r="A815">
        <v>90533</v>
      </c>
      <c r="B815" t="str">
        <f ca="1">VLOOKUP(A815,Import_SuiviGlobal_MigAppliSate!A:I,2,FALSE)</f>
        <v>POMEROLS</v>
      </c>
      <c r="C815" t="str">
        <f ca="1">VLOOKUP(A815,Import_SuiviGlobal_MigAppliSate!A:I,3,FALSE)</f>
        <v>Super U</v>
      </c>
      <c r="D815" s="1" t="str">
        <f ca="1">VLOOKUP(A815,Import_SuiviGlobal_MigAppliSate!A:I,4,FALSE)</f>
        <v>Coop U Enseigne Sud</v>
      </c>
      <c r="E815">
        <f ca="1">VLOOKUP(A815,Import_SuiviGlobal_MigAppliSate!A:I,5,FALSE)</f>
        <v>34810</v>
      </c>
      <c r="F815" t="str">
        <f ca="1">VLOOKUP(A815,Import_SuiviGlobal_MigAppliSate!A:I,6,FALSE)</f>
        <v>CHEMIN DE PORTOU</v>
      </c>
      <c r="G815" t="str">
        <f ca="1">VLOOKUP(A815,Import_SuiviGlobal_MigAppliSate!A:I,7,FALSE)</f>
        <v>04.67.00.86.80</v>
      </c>
      <c r="H815" t="str">
        <f ca="1">VLOOKUP(A815,Import_SuiviGlobal_MigAppliSate!A:I,8,FALSE)</f>
        <v>PROU Sebastien</v>
      </c>
      <c r="I815" t="str">
        <f ca="1">VLOOKUP(A815,Import_SuiviGlobal_MigAppliSate!A:I,9,FALSE)</f>
        <v>sebastien.prou@systeme-u.fr</v>
      </c>
      <c r="J815" s="24" t="str">
        <f ca="1">VLOOKUP(A815,Import_SuiviGlobal_MigAppliSate!A:K,10,FALSE)</f>
        <v>M. MARAIS (directeur)
Mme Bro (UPLV)</v>
      </c>
      <c r="K815" t="str">
        <f ca="1">VLOOKUP(A815,Import_SuiviGlobal_MigAppliSate!A:K,11,FALSE)</f>
        <v>superu.pomerols.direction@systeme-u.fr, superu.pomerols.informatique@systeme-u.fr</v>
      </c>
      <c r="O815" s="1" t="s">
        <v>22</v>
      </c>
    </row>
    <row r="816" spans="1:15" ht="12.75" hidden="1" x14ac:dyDescent="0.2">
      <c r="A816">
        <v>23719</v>
      </c>
      <c r="B816" t="str">
        <f ca="1">VLOOKUP(A816,Import_SuiviGlobal_MigAppliSate!A:I,2,FALSE)</f>
        <v>PONT AUDEMER</v>
      </c>
      <c r="C816" t="str">
        <f ca="1">VLOOKUP(A816,Import_SuiviGlobal_MigAppliSate!A:I,3,FALSE)</f>
        <v>U Express</v>
      </c>
      <c r="D816" s="1" t="str">
        <f ca="1">VLOOKUP(A816,Import_SuiviGlobal_MigAppliSate!A:I,4,FALSE)</f>
        <v>Coop U Enseigne NordOuest</v>
      </c>
      <c r="E816">
        <f ca="1">VLOOKUP(A816,Import_SuiviGlobal_MigAppliSate!A:I,5,FALSE)</f>
        <v>27500</v>
      </c>
      <c r="F816" t="str">
        <f ca="1">VLOOKUP(A816,Import_SuiviGlobal_MigAppliSate!A:I,6,FALSE)</f>
        <v>48 PLACE DU GENERAL DE GAULLE</v>
      </c>
      <c r="G816" t="str">
        <f ca="1">VLOOKUP(A816,Import_SuiviGlobal_MigAppliSate!A:I,7,FALSE)</f>
        <v>02.32.42.53.21</v>
      </c>
      <c r="H816" t="str">
        <f ca="1">VLOOKUP(A816,Import_SuiviGlobal_MigAppliSate!A:I,8,FALSE)</f>
        <v>VALPARAISO Gil</v>
      </c>
      <c r="I816" t="str">
        <f ca="1">VLOOKUP(A816,Import_SuiviGlobal_MigAppliSate!A:I,9,FALSE)</f>
        <v>gil.valparaiso@systeme-u.fr</v>
      </c>
      <c r="J816" s="24" t="str">
        <f ca="1">VLOOKUP(A816,Import_SuiviGlobal_MigAppliSate!A:K,10,FALSE)</f>
        <v>Mme Charles</v>
      </c>
      <c r="K816" t="str">
        <f ca="1">VLOOKUP(A816,Import_SuiviGlobal_MigAppliSate!A:K,11,FALSE)</f>
        <v>uexpress.pontaudemer.administratif@systeme-u.fr</v>
      </c>
      <c r="O816" s="1" t="s">
        <v>22</v>
      </c>
    </row>
    <row r="817" spans="1:15" ht="12.75" hidden="1" x14ac:dyDescent="0.2">
      <c r="A817">
        <v>66051</v>
      </c>
      <c r="B817" t="str">
        <f ca="1">VLOOKUP(A817,Import_SuiviGlobal_MigAppliSate!A:I,2,FALSE)</f>
        <v>PONT D'AIN</v>
      </c>
      <c r="C817" t="str">
        <f ca="1">VLOOKUP(A817,Import_SuiviGlobal_MigAppliSate!A:I,3,FALSE)</f>
        <v>Super U</v>
      </c>
      <c r="D817" s="1" t="str">
        <f ca="1">VLOOKUP(A817,Import_SuiviGlobal_MigAppliSate!A:I,4,FALSE)</f>
        <v>Coop U Enseigne Est</v>
      </c>
      <c r="E817">
        <f ca="1">VLOOKUP(A817,Import_SuiviGlobal_MigAppliSate!A:I,5,FALSE)</f>
        <v>1160</v>
      </c>
      <c r="F817" t="str">
        <f ca="1">VLOOKUP(A817,Import_SuiviGlobal_MigAppliSate!A:I,6,FALSE)</f>
        <v>LIEU DIT 'AUX TARPETS'</v>
      </c>
      <c r="G817" t="str">
        <f ca="1">VLOOKUP(A817,Import_SuiviGlobal_MigAppliSate!A:I,7,FALSE)</f>
        <v>04.74.39.11.97</v>
      </c>
      <c r="H817" t="str">
        <f ca="1">VLOOKUP(A817,Import_SuiviGlobal_MigAppliSate!A:I,8,FALSE)</f>
        <v>FREYDIER Jean-Marc</v>
      </c>
      <c r="I817" t="str">
        <f ca="1">VLOOKUP(A817,Import_SuiviGlobal_MigAppliSate!A:I,9,FALSE)</f>
        <v>jean-marc.freydier@systeme-u.fr</v>
      </c>
      <c r="J817" s="24" t="str">
        <f ca="1">VLOOKUP(A817,Import_SuiviGlobal_MigAppliSate!A:K,10,FALSE)</f>
        <v>PAUPIN Nathalie</v>
      </c>
      <c r="K817" t="str">
        <f ca="1">VLOOKUP(A817,Import_SuiviGlobal_MigAppliSate!A:K,11,FALSE)</f>
        <v>superu.pontdain.eldph@systeme-u.fr</v>
      </c>
      <c r="O817" s="1" t="s">
        <v>22</v>
      </c>
    </row>
    <row r="818" spans="1:15" ht="12.75" hidden="1" x14ac:dyDescent="0.2">
      <c r="A818">
        <v>66149</v>
      </c>
      <c r="B818" t="str">
        <f ca="1">VLOOKUP(A818,Import_SuiviGlobal_MigAppliSate!A:I,2,FALSE)</f>
        <v>PONT DE BEAUVOISIN</v>
      </c>
      <c r="C818" t="str">
        <f ca="1">VLOOKUP(A818,Import_SuiviGlobal_MigAppliSate!A:I,3,FALSE)</f>
        <v>Hyper U</v>
      </c>
      <c r="D818" s="1" t="str">
        <f ca="1">VLOOKUP(A818,Import_SuiviGlobal_MigAppliSate!A:I,4,FALSE)</f>
        <v>Coop U Enseigne Est</v>
      </c>
      <c r="E818">
        <f ca="1">VLOOKUP(A818,Import_SuiviGlobal_MigAppliSate!A:I,5,FALSE)</f>
        <v>73330</v>
      </c>
      <c r="F818" t="str">
        <f ca="1">VLOOKUP(A818,Import_SuiviGlobal_MigAppliSate!A:I,6,FALSE)</f>
        <v>LIEU DIT L'ECURÉE</v>
      </c>
      <c r="G818" t="str">
        <f ca="1">VLOOKUP(A818,Import_SuiviGlobal_MigAppliSate!A:I,7,FALSE)</f>
        <v>04.76.37.38.39</v>
      </c>
      <c r="H818" t="str">
        <f ca="1">VLOOKUP(A818,Import_SuiviGlobal_MigAppliSate!A:I,8,FALSE)</f>
        <v>THEVENIN Laurent</v>
      </c>
      <c r="I818" t="str">
        <f ca="1">VLOOKUP(A818,Import_SuiviGlobal_MigAppliSate!A:I,9,FALSE)</f>
        <v>laurent.thevenin@systeme-u.fr</v>
      </c>
      <c r="J818" s="24" t="str">
        <f ca="1">VLOOKUP(A818,Import_SuiviGlobal_MigAppliSate!A:K,10,FALSE)</f>
        <v>Monsieur PERRAT (comptable)
Mr Fuzillé (directeur)</v>
      </c>
      <c r="K818" t="str">
        <f ca="1">VLOOKUP(A818,Import_SuiviGlobal_MigAppliSate!A:K,11,FALSE)</f>
        <v>hyperu.pontdebeauvoisin.direction@systeme-u.fr, hyperu.pontdebeauvoisin.compta@systeme-u.fr</v>
      </c>
      <c r="O818" s="1" t="s">
        <v>22</v>
      </c>
    </row>
    <row r="819" spans="1:15" ht="12.75" hidden="1" x14ac:dyDescent="0.2">
      <c r="A819">
        <v>68553</v>
      </c>
      <c r="B819" t="str">
        <f ca="1">VLOOKUP(A819,Import_SuiviGlobal_MigAppliSate!A:I,2,FALSE)</f>
        <v>PONT DU CHATEAU</v>
      </c>
      <c r="C819" t="str">
        <f ca="1">VLOOKUP(A819,Import_SuiviGlobal_MigAppliSate!A:I,3,FALSE)</f>
        <v>Super U</v>
      </c>
      <c r="D819" s="1" t="str">
        <f ca="1">VLOOKUP(A819,Import_SuiviGlobal_MigAppliSate!A:I,4,FALSE)</f>
        <v>Coop U Enseigne Est</v>
      </c>
      <c r="E819">
        <f ca="1">VLOOKUP(A819,Import_SuiviGlobal_MigAppliSate!A:I,5,FALSE)</f>
        <v>63430</v>
      </c>
      <c r="F819" t="str">
        <f ca="1">VLOOKUP(A819,Import_SuiviGlobal_MigAppliSate!A:I,6,FALSE)</f>
        <v>24 AVENUE DE LYON</v>
      </c>
      <c r="G819" t="str">
        <f ca="1">VLOOKUP(A819,Import_SuiviGlobal_MigAppliSate!A:I,7,FALSE)</f>
        <v>04.73.60.42.80</v>
      </c>
      <c r="H819" t="str">
        <f ca="1">VLOOKUP(A819,Import_SuiviGlobal_MigAppliSate!A:I,8,FALSE)</f>
        <v>VILLE Laurent</v>
      </c>
      <c r="I819" t="str">
        <f ca="1">VLOOKUP(A819,Import_SuiviGlobal_MigAppliSate!A:I,9,FALSE)</f>
        <v>laurent.ville@systeme-u.fr</v>
      </c>
      <c r="J819" s="24" t="str">
        <f ca="1">VLOOKUP(A819,Import_SuiviGlobal_MigAppliSate!A:K,10,FALSE)</f>
        <v>CHALVIDAN NICOLAS</v>
      </c>
      <c r="K819" t="str">
        <f ca="1">VLOOKUP(A819,Import_SuiviGlobal_MigAppliSate!A:K,11,FALSE)</f>
        <v>superu.pont-du-chateau.compta@systeme-u.fr</v>
      </c>
      <c r="O819" s="1" t="s">
        <v>22</v>
      </c>
    </row>
    <row r="820" spans="1:15" ht="12.75" hidden="1" x14ac:dyDescent="0.2">
      <c r="A820">
        <v>37188</v>
      </c>
      <c r="B820" t="str">
        <f ca="1">VLOOKUP(A820,Import_SuiviGlobal_MigAppliSate!A:I,2,FALSE)</f>
        <v>PONT PEAN</v>
      </c>
      <c r="C820" t="str">
        <f ca="1">VLOOKUP(A820,Import_SuiviGlobal_MigAppliSate!A:I,3,FALSE)</f>
        <v>U Express</v>
      </c>
      <c r="D820" s="1" t="str">
        <f ca="1">VLOOKUP(A820,Import_SuiviGlobal_MigAppliSate!A:I,4,FALSE)</f>
        <v>Coop U Enseigne Ouest</v>
      </c>
      <c r="E820">
        <f ca="1">VLOOKUP(A820,Import_SuiviGlobal_MigAppliSate!A:I,5,FALSE)</f>
        <v>35131</v>
      </c>
      <c r="F820" t="str">
        <f ca="1">VLOOKUP(A820,Import_SuiviGlobal_MigAppliSate!A:I,6,FALSE)</f>
        <v>31 AVENUE DU CHEMIN VERT</v>
      </c>
      <c r="G820" t="str">
        <f ca="1">VLOOKUP(A820,Import_SuiviGlobal_MigAppliSate!A:I,7,FALSE)</f>
        <v>02.99.05.78.05</v>
      </c>
      <c r="H820" t="str">
        <f ca="1">VLOOKUP(A820,Import_SuiviGlobal_MigAppliSate!A:I,8,FALSE)</f>
        <v>BILY Damien</v>
      </c>
      <c r="I820" t="str">
        <f ca="1">VLOOKUP(A820,Import_SuiviGlobal_MigAppliSate!A:I,9,FALSE)</f>
        <v>damien.bily@systeme-u.fr</v>
      </c>
      <c r="J820" s="24" t="str">
        <f ca="1">VLOOKUP(A820,Import_SuiviGlobal_MigAppliSate!A:K,10,FALSE)</f>
        <v>Mme BILY</v>
      </c>
      <c r="K820" t="str">
        <f ca="1">VLOOKUP(A820,Import_SuiviGlobal_MigAppliSate!A:K,11,FALSE)</f>
        <v>damien.bily@systeme-u.fr</v>
      </c>
      <c r="O820" s="1" t="s">
        <v>22</v>
      </c>
    </row>
    <row r="821" spans="1:15" ht="12.75" hidden="1" x14ac:dyDescent="0.2">
      <c r="A821">
        <v>39369</v>
      </c>
      <c r="B821" t="str">
        <f ca="1">VLOOKUP(A821,Import_SuiviGlobal_MigAppliSate!A:I,2,FALSE)</f>
        <v>PONT-CROIX</v>
      </c>
      <c r="C821" t="str">
        <f ca="1">VLOOKUP(A821,Import_SuiviGlobal_MigAppliSate!A:I,3,FALSE)</f>
        <v>Super U</v>
      </c>
      <c r="D821" s="1" t="str">
        <f ca="1">VLOOKUP(A821,Import_SuiviGlobal_MigAppliSate!A:I,4,FALSE)</f>
        <v>Coop U Enseigne Ouest</v>
      </c>
      <c r="E821">
        <f ca="1">VLOOKUP(A821,Import_SuiviGlobal_MigAppliSate!A:I,5,FALSE)</f>
        <v>29790</v>
      </c>
      <c r="F821" t="str">
        <f ca="1">VLOOKUP(A821,Import_SuiviGlobal_MigAppliSate!A:I,6,FALSE)</f>
        <v>10, RUE DE LA LIBERTÉ</v>
      </c>
      <c r="G821" t="str">
        <f ca="1">VLOOKUP(A821,Import_SuiviGlobal_MigAppliSate!A:I,7,FALSE)</f>
        <v>02.98.70.48.57</v>
      </c>
      <c r="H821" t="str">
        <f ca="1">VLOOKUP(A821,Import_SuiviGlobal_MigAppliSate!A:I,8,FALSE)</f>
        <v>DESITTER Pierre</v>
      </c>
      <c r="I821" t="str">
        <f ca="1">VLOOKUP(A821,Import_SuiviGlobal_MigAppliSate!A:I,9,FALSE)</f>
        <v>pierre.desitter@systeme-u.fr</v>
      </c>
      <c r="J821" s="24" t="str">
        <f ca="1">VLOOKUP(A821,Import_SuiviGlobal_MigAppliSate!A:K,10,FALSE)</f>
        <v xml:space="preserve">Mr Masson </v>
      </c>
      <c r="K821" t="str">
        <f ca="1">VLOOKUP(A821,Import_SuiviGlobal_MigAppliSate!A:K,11,FALSE)</f>
        <v/>
      </c>
      <c r="O821" s="1" t="s">
        <v>22</v>
      </c>
    </row>
    <row r="822" spans="1:15" ht="12.75" hidden="1" x14ac:dyDescent="0.2">
      <c r="A822">
        <v>31236</v>
      </c>
      <c r="B822" t="str">
        <f ca="1">VLOOKUP(A822,Import_SuiviGlobal_MigAppliSate!A:I,2,FALSE)</f>
        <v>PONT-L'ABBE</v>
      </c>
      <c r="C822" t="str">
        <f ca="1">VLOOKUP(A822,Import_SuiviGlobal_MigAppliSate!A:I,3,FALSE)</f>
        <v>U Express</v>
      </c>
      <c r="D822" s="1" t="str">
        <f ca="1">VLOOKUP(A822,Import_SuiviGlobal_MigAppliSate!A:I,4,FALSE)</f>
        <v>Coop U Enseigne Ouest</v>
      </c>
      <c r="E822">
        <f ca="1">VLOOKUP(A822,Import_SuiviGlobal_MigAppliSate!A:I,5,FALSE)</f>
        <v>29120</v>
      </c>
      <c r="F822" t="str">
        <f ca="1">VLOOKUP(A822,Import_SuiviGlobal_MigAppliSate!A:I,6,FALSE)</f>
        <v>2, RUE ROGER SIGNOR</v>
      </c>
      <c r="G822" t="str">
        <f ca="1">VLOOKUP(A822,Import_SuiviGlobal_MigAppliSate!A:I,7,FALSE)</f>
        <v>02.98.87.08.59</v>
      </c>
      <c r="H822" t="str">
        <f ca="1">VLOOKUP(A822,Import_SuiviGlobal_MigAppliSate!A:I,8,FALSE)</f>
        <v>GAREL RPT SARL LORIDIS Jean christian</v>
      </c>
      <c r="I822" t="str">
        <f ca="1">VLOOKUP(A822,Import_SuiviGlobal_MigAppliSate!A:I,9,FALSE)</f>
        <v>jean-christian.garel@systeme-u.fr</v>
      </c>
      <c r="J822" s="24" t="str">
        <f ca="1">VLOOKUP(A822,Import_SuiviGlobal_MigAppliSate!A:K,10,FALSE)</f>
        <v>GAREL Florence</v>
      </c>
      <c r="K822" t="str">
        <f ca="1">VLOOKUP(A822,Import_SuiviGlobal_MigAppliSate!A:K,11,FALSE)</f>
        <v>uexpress.pontlabbe@systeme-u.fr</v>
      </c>
      <c r="O822" s="1" t="s">
        <v>22</v>
      </c>
    </row>
    <row r="823" spans="1:15" ht="12.75" x14ac:dyDescent="0.2">
      <c r="A823">
        <v>31023</v>
      </c>
      <c r="B823" t="str">
        <f ca="1">VLOOKUP(A823,Import_SuiviGlobal_MigAppliSate!A:I,2,FALSE)</f>
        <v>PONT-SCORFF</v>
      </c>
      <c r="C823" t="str">
        <f ca="1">VLOOKUP(A823,Import_SuiviGlobal_MigAppliSate!A:I,3,FALSE)</f>
        <v>Super U</v>
      </c>
      <c r="D823" s="1" t="str">
        <f ca="1">VLOOKUP(A823,Import_SuiviGlobal_MigAppliSate!A:I,4,FALSE)</f>
        <v>Coop U Enseigne Ouest</v>
      </c>
      <c r="E823">
        <f ca="1">VLOOKUP(A823,Import_SuiviGlobal_MigAppliSate!A:I,5,FALSE)</f>
        <v>56620</v>
      </c>
      <c r="F823" t="str">
        <f ca="1">VLOOKUP(A823,Import_SuiviGlobal_MigAppliSate!A:I,6,FALSE)</f>
        <v>KERPUS</v>
      </c>
      <c r="G823" t="str">
        <f ca="1">VLOOKUP(A823,Import_SuiviGlobal_MigAppliSate!A:I,7,FALSE)</f>
        <v>02.97.32.61.38</v>
      </c>
      <c r="H823" t="str">
        <f ca="1">VLOOKUP(A823,Import_SuiviGlobal_MigAppliSate!A:I,8,FALSE)</f>
        <v>PRODHOMME RPT SARL SOFICRI Christian</v>
      </c>
      <c r="I823" t="str">
        <f ca="1">VLOOKUP(A823,Import_SuiviGlobal_MigAppliSate!A:I,9,FALSE)</f>
        <v>christian.prodhomme@systeme-u.fr</v>
      </c>
      <c r="J823" s="24" t="str">
        <f ca="1">VLOOKUP(A823,Import_SuiviGlobal_MigAppliSate!A:K,10,FALSE)</f>
        <v>Mr albres
Mme Bocher</v>
      </c>
      <c r="K823" t="str">
        <f ca="1">VLOOKUP(A823,Import_SuiviGlobal_MigAppliSate!A:K,11,FALSE)</f>
        <v>superu.pontscorff.direction@systeme-u.fr</v>
      </c>
      <c r="L823" s="1" t="s">
        <v>17</v>
      </c>
      <c r="M823" t="s">
        <v>0</v>
      </c>
      <c r="O823" s="1" t="s">
        <v>22</v>
      </c>
    </row>
    <row r="824" spans="1:15" ht="12.75" hidden="1" x14ac:dyDescent="0.2">
      <c r="A824">
        <v>31457</v>
      </c>
      <c r="B824" t="str">
        <f ca="1">VLOOKUP(A824,Import_SuiviGlobal_MigAppliSate!A:I,2,FALSE)</f>
        <v>PONT-ST-MARTIN</v>
      </c>
      <c r="C824" t="str">
        <f ca="1">VLOOKUP(A824,Import_SuiviGlobal_MigAppliSate!A:I,3,FALSE)</f>
        <v>Super U</v>
      </c>
      <c r="D824" s="1" t="str">
        <f ca="1">VLOOKUP(A824,Import_SuiviGlobal_MigAppliSate!A:I,4,FALSE)</f>
        <v>Coop U Enseigne Ouest</v>
      </c>
      <c r="E824">
        <f ca="1">VLOOKUP(A824,Import_SuiviGlobal_MigAppliSate!A:I,5,FALSE)</f>
        <v>44860</v>
      </c>
      <c r="F824" t="str">
        <f ca="1">VLOOKUP(A824,Import_SuiviGlobal_MigAppliSate!A:I,6,FALSE)</f>
        <v>RUE DES VIGNES</v>
      </c>
      <c r="G824" t="str">
        <f ca="1">VLOOKUP(A824,Import_SuiviGlobal_MigAppliSate!A:I,7,FALSE)</f>
        <v>02.40.26.81.64</v>
      </c>
      <c r="H824" t="str">
        <f ca="1">VLOOKUP(A824,Import_SuiviGlobal_MigAppliSate!A:I,8,FALSE)</f>
        <v>POYER Emilie</v>
      </c>
      <c r="I824" t="str">
        <f ca="1">VLOOKUP(A824,Import_SuiviGlobal_MigAppliSate!A:I,9,FALSE)</f>
        <v>emilie.poyer@systeme-u.fr</v>
      </c>
      <c r="J824" s="24" t="str">
        <f ca="1">VLOOKUP(A824,Import_SuiviGlobal_MigAppliSate!A:K,10,FALSE)</f>
        <v>Madame Bertet</v>
      </c>
      <c r="K824" t="str">
        <f ca="1">VLOOKUP(A824,Import_SuiviGlobal_MigAppliSate!A:K,11,FALSE)</f>
        <v>superu.pontsaintmartin@systeme-u.fr</v>
      </c>
      <c r="O824" s="1" t="s">
        <v>22</v>
      </c>
    </row>
    <row r="825" spans="1:15" ht="12.75" hidden="1" x14ac:dyDescent="0.2">
      <c r="A825">
        <v>63206</v>
      </c>
      <c r="B825" t="str">
        <f ca="1">VLOOKUP(A825,Import_SuiviGlobal_MigAppliSate!A:I,2,FALSE)</f>
        <v>PONTARLIER</v>
      </c>
      <c r="C825" t="str">
        <f ca="1">VLOOKUP(A825,Import_SuiviGlobal_MigAppliSate!A:I,3,FALSE)</f>
        <v>Hyper U</v>
      </c>
      <c r="D825" s="1" t="str">
        <f ca="1">VLOOKUP(A825,Import_SuiviGlobal_MigAppliSate!A:I,4,FALSE)</f>
        <v>Coop U Enseigne Est</v>
      </c>
      <c r="E825">
        <f ca="1">VLOOKUP(A825,Import_SuiviGlobal_MigAppliSate!A:I,5,FALSE)</f>
        <v>25300</v>
      </c>
      <c r="F825" t="str">
        <f ca="1">VLOOKUP(A825,Import_SuiviGlobal_MigAppliSate!A:I,6,FALSE)</f>
        <v>1 ROUTE DE BESANÇON</v>
      </c>
      <c r="G825" t="str">
        <f ca="1">VLOOKUP(A825,Import_SuiviGlobal_MigAppliSate!A:I,7,FALSE)</f>
        <v>03.81.46.72.47</v>
      </c>
      <c r="H825" t="str">
        <f ca="1">VLOOKUP(A825,Import_SuiviGlobal_MigAppliSate!A:I,8,FALSE)</f>
        <v>GAGNEPAIN David</v>
      </c>
      <c r="I825" t="str">
        <f ca="1">VLOOKUP(A825,Import_SuiviGlobal_MigAppliSate!A:I,9,FALSE)</f>
        <v>david.gagnepain@systeme-u.fr</v>
      </c>
      <c r="J825" s="24" t="str">
        <f ca="1">VLOOKUP(A825,Import_SuiviGlobal_MigAppliSate!A:K,10,FALSE)</f>
        <v>Mme Paqarizi
Mme GENTELET</v>
      </c>
      <c r="K825" t="str">
        <f ca="1">VLOOKUP(A825,Import_SuiviGlobal_MigAppliSate!A:K,11,FALSE)</f>
        <v>hyperu.pontarlier.direction@systeme-u.fr</v>
      </c>
      <c r="O825" s="1" t="s">
        <v>22</v>
      </c>
    </row>
    <row r="826" spans="1:15" ht="12.75" hidden="1" x14ac:dyDescent="0.2">
      <c r="A826">
        <v>66049</v>
      </c>
      <c r="B826" t="str">
        <f ca="1">VLOOKUP(A826,Import_SuiviGlobal_MigAppliSate!A:I,2,FALSE)</f>
        <v>PONTCHARRA</v>
      </c>
      <c r="C826" t="str">
        <f ca="1">VLOOKUP(A826,Import_SuiviGlobal_MigAppliSate!A:I,3,FALSE)</f>
        <v>Super U</v>
      </c>
      <c r="D826" s="1" t="str">
        <f ca="1">VLOOKUP(A826,Import_SuiviGlobal_MigAppliSate!A:I,4,FALSE)</f>
        <v>Coop U Enseigne Est</v>
      </c>
      <c r="E826">
        <f ca="1">VLOOKUP(A826,Import_SuiviGlobal_MigAppliSate!A:I,5,FALSE)</f>
        <v>38530</v>
      </c>
      <c r="F826" t="str">
        <f ca="1">VLOOKUP(A826,Import_SuiviGlobal_MigAppliSate!A:I,6,FALSE)</f>
        <v>Avenue de la Gare</v>
      </c>
      <c r="G826" t="str">
        <f ca="1">VLOOKUP(A826,Import_SuiviGlobal_MigAppliSate!A:I,7,FALSE)</f>
        <v>04.76.97.96.90</v>
      </c>
      <c r="H826" t="str">
        <f ca="1">VLOOKUP(A826,Import_SuiviGlobal_MigAppliSate!A:I,8,FALSE)</f>
        <v>ANDRE RPT SAS STPA Pascal</v>
      </c>
      <c r="I826" t="str">
        <f ca="1">VLOOKUP(A826,Import_SuiviGlobal_MigAppliSate!A:I,9,FALSE)</f>
        <v>pascal.andre@systeme-u.fr</v>
      </c>
      <c r="J826" s="24" t="str">
        <f ca="1">VLOOKUP(A826,Import_SuiviGlobal_MigAppliSate!A:K,10,FALSE)</f>
        <v>Mr Dacosta</v>
      </c>
      <c r="K826" t="str">
        <f ca="1">VLOOKUP(A826,Import_SuiviGlobal_MigAppliSate!A:K,11,FALSE)</f>
        <v>superu.pontcharra.direction@systeme-u.fr</v>
      </c>
      <c r="O826" s="1" t="s">
        <v>22</v>
      </c>
    </row>
    <row r="827" spans="1:15" ht="12.75" hidden="1" x14ac:dyDescent="0.2">
      <c r="A827">
        <v>90258</v>
      </c>
      <c r="B827" t="str">
        <f ca="1">VLOOKUP(A827,Import_SuiviGlobal_MigAppliSate!A:I,2,FALSE)</f>
        <v>PONTE LECCIA</v>
      </c>
      <c r="C827" t="str">
        <f ca="1">VLOOKUP(A827,Import_SuiviGlobal_MigAppliSate!A:I,3,FALSE)</f>
        <v>Super U</v>
      </c>
      <c r="D827" s="1" t="str">
        <f ca="1">VLOOKUP(A827,Import_SuiviGlobal_MigAppliSate!A:I,4,FALSE)</f>
        <v>Coop U Enseigne Sud</v>
      </c>
      <c r="E827">
        <f ca="1">VLOOKUP(A827,Import_SuiviGlobal_MigAppliSate!A:I,5,FALSE)</f>
        <v>20218</v>
      </c>
      <c r="F827" t="str">
        <f ca="1">VLOOKUP(A827,Import_SuiviGlobal_MigAppliSate!A:I,6,FALSE)</f>
        <v>PONTE LECCIA</v>
      </c>
      <c r="G827" t="str">
        <f ca="1">VLOOKUP(A827,Import_SuiviGlobal_MigAppliSate!A:I,7,FALSE)</f>
        <v>04.95.47.70.00</v>
      </c>
      <c r="H827" t="str">
        <f ca="1">VLOOKUP(A827,Import_SuiviGlobal_MigAppliSate!A:I,8,FALSE)</f>
        <v>PAYEN Gabriel</v>
      </c>
      <c r="I827" t="str">
        <f ca="1">VLOOKUP(A827,Import_SuiviGlobal_MigAppliSate!A:I,9,FALSE)</f>
        <v>gabriel.payen@systeme-u.fr</v>
      </c>
      <c r="J827" s="24" t="str">
        <f ca="1">VLOOKUP(A827,Import_SuiviGlobal_MigAppliSate!A:K,10,FALSE)</f>
        <v>CASAROMANI CELINE</v>
      </c>
      <c r="K827" t="str">
        <f ca="1">VLOOKUP(A827,Import_SuiviGlobal_MigAppliSate!A:K,11,FALSE)</f>
        <v>celine.superu@gmail.com</v>
      </c>
      <c r="O827" s="1" t="s">
        <v>22</v>
      </c>
    </row>
    <row r="828" spans="1:15" ht="12.75" hidden="1" x14ac:dyDescent="0.2">
      <c r="A828">
        <v>38745</v>
      </c>
      <c r="B828" t="str">
        <f ca="1">VLOOKUP(A828,Import_SuiviGlobal_MigAppliSate!A:I,2,FALSE)</f>
        <v>PONTIVY</v>
      </c>
      <c r="C828" t="str">
        <f ca="1">VLOOKUP(A828,Import_SuiviGlobal_MigAppliSate!A:I,3,FALSE)</f>
        <v>Super U</v>
      </c>
      <c r="D828" s="1" t="str">
        <f ca="1">VLOOKUP(A828,Import_SuiviGlobal_MigAppliSate!A:I,4,FALSE)</f>
        <v>Coop U Enseigne Ouest</v>
      </c>
      <c r="E828">
        <f ca="1">VLOOKUP(A828,Import_SuiviGlobal_MigAppliSate!A:I,5,FALSE)</f>
        <v>56300</v>
      </c>
      <c r="F828" t="str">
        <f ca="1">VLOOKUP(A828,Import_SuiviGlobal_MigAppliSate!A:I,6,FALSE)</f>
        <v>35, RUE DU GÉNÉRAL QUINIVET</v>
      </c>
      <c r="G828" t="str">
        <f ca="1">VLOOKUP(A828,Import_SuiviGlobal_MigAppliSate!A:I,7,FALSE)</f>
        <v>02.97.25.19.75</v>
      </c>
      <c r="H828" t="str">
        <f ca="1">VLOOKUP(A828,Import_SuiviGlobal_MigAppliSate!A:I,8,FALSE)</f>
        <v>MASSICOT RPT SAS MARITHYS Thierry</v>
      </c>
      <c r="I828" t="str">
        <f ca="1">VLOOKUP(A828,Import_SuiviGlobal_MigAppliSate!A:I,9,FALSE)</f>
        <v>thierry.massicot@systeme-u.fr</v>
      </c>
      <c r="J828" s="24" t="str">
        <f ca="1">VLOOKUP(A828,Import_SuiviGlobal_MigAppliSate!A:K,10,FALSE)</f>
        <v>Mme GUYOT</v>
      </c>
      <c r="K828" t="str">
        <f ca="1">VLOOKUP(A828,Import_SuiviGlobal_MigAppliSate!A:K,11,FALSE)</f>
        <v>superu.pontivy.compta@systeme-u.fr</v>
      </c>
      <c r="O828" s="1" t="s">
        <v>22</v>
      </c>
    </row>
    <row r="829" spans="1:15" ht="12.75" hidden="1" x14ac:dyDescent="0.2">
      <c r="A829">
        <v>32909</v>
      </c>
      <c r="B829" t="str">
        <f ca="1">VLOOKUP(A829,Import_SuiviGlobal_MigAppliSate!A:I,2,FALSE)</f>
        <v>PORNIC CENTRE</v>
      </c>
      <c r="C829" t="str">
        <f ca="1">VLOOKUP(A829,Import_SuiviGlobal_MigAppliSate!A:I,3,FALSE)</f>
        <v>U Express</v>
      </c>
      <c r="D829" s="1" t="str">
        <f ca="1">VLOOKUP(A829,Import_SuiviGlobal_MigAppliSate!A:I,4,FALSE)</f>
        <v>Coop U Enseigne Ouest</v>
      </c>
      <c r="E829">
        <f ca="1">VLOOKUP(A829,Import_SuiviGlobal_MigAppliSate!A:I,5,FALSE)</f>
        <v>44210</v>
      </c>
      <c r="F829" t="str">
        <f ca="1">VLOOKUP(A829,Import_SuiviGlobal_MigAppliSate!A:I,6,FALSE)</f>
        <v>48, RUE DU GAL DE GAULLE</v>
      </c>
      <c r="G829" t="str">
        <f ca="1">VLOOKUP(A829,Import_SuiviGlobal_MigAppliSate!A:I,7,FALSE)</f>
        <v>02.40.82.03.39</v>
      </c>
      <c r="H829" t="str">
        <f ca="1">VLOOKUP(A829,Import_SuiviGlobal_MigAppliSate!A:I,8,FALSE)</f>
        <v>THOUZEAU Philippe</v>
      </c>
      <c r="I829" t="str">
        <f ca="1">VLOOKUP(A829,Import_SuiviGlobal_MigAppliSate!A:I,9,FALSE)</f>
        <v>charlene.thouzeau@systeme-u.fr</v>
      </c>
      <c r="J829" s="24" t="str">
        <f ca="1">VLOOKUP(A829,Import_SuiviGlobal_MigAppliSate!A:K,10,FALSE)</f>
        <v>MARCHAND Ludovic</v>
      </c>
      <c r="K829" t="str">
        <f ca="1">VLOOKUP(A829,Import_SuiviGlobal_MigAppliSate!A:K,11,FALSE)</f>
        <v>uexpress.porniccentre.compta3@systeme-u.fr</v>
      </c>
      <c r="O829" s="1" t="s">
        <v>22</v>
      </c>
    </row>
    <row r="830" spans="1:15" ht="12.75" hidden="1" x14ac:dyDescent="0.2">
      <c r="A830">
        <v>33123</v>
      </c>
      <c r="B830" t="str">
        <f ca="1">VLOOKUP(A830,Import_SuiviGlobal_MigAppliSate!A:I,2,FALSE)</f>
        <v>PORNIC OUEST</v>
      </c>
      <c r="C830" t="str">
        <f ca="1">VLOOKUP(A830,Import_SuiviGlobal_MigAppliSate!A:I,3,FALSE)</f>
        <v>Super U</v>
      </c>
      <c r="D830" s="1" t="str">
        <f ca="1">VLOOKUP(A830,Import_SuiviGlobal_MigAppliSate!A:I,4,FALSE)</f>
        <v>Coop U Enseigne Ouest</v>
      </c>
      <c r="E830">
        <f ca="1">VLOOKUP(A830,Import_SuiviGlobal_MigAppliSate!A:I,5,FALSE)</f>
        <v>44210</v>
      </c>
      <c r="F830" t="str">
        <f ca="1">VLOOKUP(A830,Import_SuiviGlobal_MigAppliSate!A:I,6,FALSE)</f>
        <v>ROUTE DE LA PLAINE</v>
      </c>
      <c r="G830" t="str">
        <f ca="1">VLOOKUP(A830,Import_SuiviGlobal_MigAppliSate!A:I,7,FALSE)</f>
        <v>02.51.74.00.10</v>
      </c>
      <c r="H830" t="str">
        <f ca="1">VLOOKUP(A830,Import_SuiviGlobal_MigAppliSate!A:I,8,FALSE)</f>
        <v>THOUZEAU RPT SAS SOPARVIL Marine</v>
      </c>
      <c r="I830" t="str">
        <f ca="1">VLOOKUP(A830,Import_SuiviGlobal_MigAppliSate!A:I,9,FALSE)</f>
        <v>marine.thouzeau@systeme-u.fr</v>
      </c>
      <c r="J830" s="24" t="str">
        <f ca="1">VLOOKUP(A830,Import_SuiviGlobal_MigAppliSate!A:K,10,FALSE)</f>
        <v>Mr Querry</v>
      </c>
      <c r="K830" t="str">
        <f ca="1">VLOOKUP(A830,Import_SuiviGlobal_MigAppliSate!A:K,11,FALSE)</f>
        <v>superu.pornicouest.administratif@systeme-u.fr</v>
      </c>
      <c r="O830" s="1" t="s">
        <v>22</v>
      </c>
    </row>
    <row r="831" spans="1:15" ht="12.75" hidden="1" x14ac:dyDescent="0.2">
      <c r="A831">
        <v>22992</v>
      </c>
      <c r="B831" t="str">
        <f ca="1">VLOOKUP(A831,Import_SuiviGlobal_MigAppliSate!A:I,2,FALSE)</f>
        <v>PORT EN BESSIN</v>
      </c>
      <c r="C831" t="str">
        <f ca="1">VLOOKUP(A831,Import_SuiviGlobal_MigAppliSate!A:I,3,FALSE)</f>
        <v>U Express</v>
      </c>
      <c r="D831" s="1" t="str">
        <f ca="1">VLOOKUP(A831,Import_SuiviGlobal_MigAppliSate!A:I,4,FALSE)</f>
        <v>Coop U Enseigne NordOuest</v>
      </c>
      <c r="E831">
        <f ca="1">VLOOKUP(A831,Import_SuiviGlobal_MigAppliSate!A:I,5,FALSE)</f>
        <v>14520</v>
      </c>
      <c r="F831" t="str">
        <f ca="1">VLOOKUP(A831,Import_SuiviGlobal_MigAppliSate!A:I,6,FALSE)</f>
        <v>IMPASSE DES GOËLANDS</v>
      </c>
      <c r="G831" t="str">
        <f ca="1">VLOOKUP(A831,Import_SuiviGlobal_MigAppliSate!A:I,7,FALSE)</f>
        <v>02.31.51.79.79</v>
      </c>
      <c r="H831" t="str">
        <f ca="1">VLOOKUP(A831,Import_SuiviGlobal_MigAppliSate!A:I,8,FALSE)</f>
        <v>RIVIERE Mathieu</v>
      </c>
      <c r="I831" t="str">
        <f ca="1">VLOOKUP(A831,Import_SuiviGlobal_MigAppliSate!A:I,9,FALSE)</f>
        <v>mathieu.riviere@systeme-u.fr</v>
      </c>
      <c r="J831" s="24" t="str">
        <f ca="1">VLOOKUP(A831,Import_SuiviGlobal_MigAppliSate!A:K,10,FALSE)</f>
        <v>Léger Sarah
Cloé Le Chevalier</v>
      </c>
      <c r="K831" t="str">
        <f ca="1">VLOOKUP(A831,Import_SuiviGlobal_MigAppliSate!A:K,11,FALSE)</f>
        <v>superu.portenbessinhuppain@systeme-u.fr</v>
      </c>
      <c r="O831" s="1" t="s">
        <v>22</v>
      </c>
    </row>
    <row r="832" spans="1:15" ht="12.75" hidden="1" x14ac:dyDescent="0.2">
      <c r="A832">
        <v>90229</v>
      </c>
      <c r="B832" t="str">
        <f ca="1">VLOOKUP(A832,Import_SuiviGlobal_MigAppliSate!A:I,2,FALSE)</f>
        <v>PORT LA NOUVELLE</v>
      </c>
      <c r="C832" t="str">
        <f ca="1">VLOOKUP(A832,Import_SuiviGlobal_MigAppliSate!A:I,3,FALSE)</f>
        <v>Super U</v>
      </c>
      <c r="D832" s="1" t="str">
        <f ca="1">VLOOKUP(A832,Import_SuiviGlobal_MigAppliSate!A:I,4,FALSE)</f>
        <v>Coop U Enseigne Sud</v>
      </c>
      <c r="E832">
        <f ca="1">VLOOKUP(A832,Import_SuiviGlobal_MigAppliSate!A:I,5,FALSE)</f>
        <v>11210</v>
      </c>
      <c r="F832" t="str">
        <f ca="1">VLOOKUP(A832,Import_SuiviGlobal_MigAppliSate!A:I,6,FALSE)</f>
        <v>BOULEVARD GENERAL DE GAULLE</v>
      </c>
      <c r="G832" t="str">
        <f ca="1">VLOOKUP(A832,Import_SuiviGlobal_MigAppliSate!A:I,7,FALSE)</f>
        <v>04.68.48.57.10</v>
      </c>
      <c r="H832" t="str">
        <f ca="1">VLOOKUP(A832,Import_SuiviGlobal_MigAppliSate!A:I,8,FALSE)</f>
        <v>GAGNEUX Sophie</v>
      </c>
      <c r="I832" t="str">
        <f ca="1">VLOOKUP(A832,Import_SuiviGlobal_MigAppliSate!A:I,9,FALSE)</f>
        <v>sophie.gagneux@systeme-u.fr</v>
      </c>
      <c r="J832" s="24" t="str">
        <f ca="1">VLOOKUP(A832,Import_SuiviGlobal_MigAppliSate!A:K,10,FALSE)</f>
        <v>Gagneux Pascal</v>
      </c>
      <c r="K832" t="str">
        <f ca="1">VLOOKUP(A832,Import_SuiviGlobal_MigAppliSate!A:K,11,FALSE)</f>
        <v>Pascal.gagneux@systeme-u.fr</v>
      </c>
      <c r="O832" s="1" t="s">
        <v>22</v>
      </c>
    </row>
    <row r="833" spans="1:15" ht="12.75" hidden="1" x14ac:dyDescent="0.2">
      <c r="A833">
        <v>33816</v>
      </c>
      <c r="B833" t="str">
        <f ca="1">VLOOKUP(A833,Import_SuiviGlobal_MigAppliSate!A:I,2,FALSE)</f>
        <v>POUANCE</v>
      </c>
      <c r="C833" t="str">
        <f ca="1">VLOOKUP(A833,Import_SuiviGlobal_MigAppliSate!A:I,3,FALSE)</f>
        <v>Super U</v>
      </c>
      <c r="D833" s="1" t="str">
        <f ca="1">VLOOKUP(A833,Import_SuiviGlobal_MigAppliSate!A:I,4,FALSE)</f>
        <v>Coop U Enseigne Ouest</v>
      </c>
      <c r="E833">
        <f ca="1">VLOOKUP(A833,Import_SuiviGlobal_MigAppliSate!A:I,5,FALSE)</f>
        <v>49420</v>
      </c>
      <c r="F833" t="str">
        <f ca="1">VLOOKUP(A833,Import_SuiviGlobal_MigAppliSate!A:I,6,FALSE)</f>
        <v>5, RUE DE LA GRANDE PRÉE</v>
      </c>
      <c r="G833" t="str">
        <f ca="1">VLOOKUP(A833,Import_SuiviGlobal_MigAppliSate!A:I,7,FALSE)</f>
        <v>02.41.92.45.19</v>
      </c>
      <c r="H833" t="str">
        <f ca="1">VLOOKUP(A833,Import_SuiviGlobal_MigAppliSate!A:I,8,FALSE)</f>
        <v>GROSBOIS Arnaud</v>
      </c>
      <c r="I833" t="str">
        <f ca="1">VLOOKUP(A833,Import_SuiviGlobal_MigAppliSate!A:I,9,FALSE)</f>
        <v>arnaud.grosbois@systeme-u.fr</v>
      </c>
      <c r="J833" s="24" t="str">
        <f ca="1">VLOOKUP(A833,Import_SuiviGlobal_MigAppliSate!A:K,10,FALSE)</f>
        <v/>
      </c>
      <c r="K833" t="str">
        <f ca="1">VLOOKUP(A833,Import_SuiviGlobal_MigAppliSate!A:K,11,FALSE)</f>
        <v/>
      </c>
      <c r="O833" s="1" t="s">
        <v>22</v>
      </c>
    </row>
    <row r="834" spans="1:15" ht="12.75" hidden="1" x14ac:dyDescent="0.2">
      <c r="A834">
        <v>62088</v>
      </c>
      <c r="B834" t="str">
        <f ca="1">VLOOKUP(A834,Import_SuiviGlobal_MigAppliSate!A:I,2,FALSE)</f>
        <v>POUILLEY LES VIGNES</v>
      </c>
      <c r="C834" t="str">
        <f ca="1">VLOOKUP(A834,Import_SuiviGlobal_MigAppliSate!A:I,3,FALSE)</f>
        <v>Super U</v>
      </c>
      <c r="D834" s="1" t="str">
        <f ca="1">VLOOKUP(A834,Import_SuiviGlobal_MigAppliSate!A:I,4,FALSE)</f>
        <v>Coop U Enseigne Est</v>
      </c>
      <c r="E834">
        <f ca="1">VLOOKUP(A834,Import_SuiviGlobal_MigAppliSate!A:I,5,FALSE)</f>
        <v>25115</v>
      </c>
      <c r="F834" t="str">
        <f ca="1">VLOOKUP(A834,Import_SuiviGlobal_MigAppliSate!A:I,6,FALSE)</f>
        <v>Zone artisanale</v>
      </c>
      <c r="G834" t="str">
        <f ca="1">VLOOKUP(A834,Import_SuiviGlobal_MigAppliSate!A:I,7,FALSE)</f>
        <v>03.81.60.23.23</v>
      </c>
      <c r="H834" t="str">
        <f ca="1">VLOOKUP(A834,Import_SuiviGlobal_MigAppliSate!A:I,8,FALSE)</f>
        <v>DUPREZ RPT SAS D.B.H Olivier</v>
      </c>
      <c r="I834" t="str">
        <f ca="1">VLOOKUP(A834,Import_SuiviGlobal_MigAppliSate!A:I,9,FALSE)</f>
        <v>olivier.duprez@systeme-u.fr</v>
      </c>
      <c r="J834" s="24" t="str">
        <f ca="1">VLOOKUP(A834,Import_SuiviGlobal_MigAppliSate!A:K,10,FALSE)</f>
        <v>M. BAULIER</v>
      </c>
      <c r="K834" t="str">
        <f ca="1">VLOOKUP(A834,Import_SuiviGlobal_MigAppliSate!A:K,11,FALSE)</f>
        <v>gerald.baulier@systeme-u.fr</v>
      </c>
      <c r="O834" s="1" t="s">
        <v>22</v>
      </c>
    </row>
    <row r="835" spans="1:15" ht="12.75" hidden="1" x14ac:dyDescent="0.2">
      <c r="A835">
        <v>62127</v>
      </c>
      <c r="B835" t="str">
        <f ca="1">VLOOKUP(A835,Import_SuiviGlobal_MigAppliSate!A:I,2,FALSE)</f>
        <v>POUILLY EN AUXOIS</v>
      </c>
      <c r="C835" t="str">
        <f ca="1">VLOOKUP(A835,Import_SuiviGlobal_MigAppliSate!A:I,3,FALSE)</f>
        <v>Super U</v>
      </c>
      <c r="D835" s="1" t="str">
        <f ca="1">VLOOKUP(A835,Import_SuiviGlobal_MigAppliSate!A:I,4,FALSE)</f>
        <v>Coop U Enseigne Est</v>
      </c>
      <c r="E835">
        <f ca="1">VLOOKUP(A835,Import_SuiviGlobal_MigAppliSate!A:I,5,FALSE)</f>
        <v>21320</v>
      </c>
      <c r="F835" t="str">
        <f ca="1">VLOOKUP(A835,Import_SuiviGlobal_MigAppliSate!A:I,6,FALSE)</f>
        <v>8 RUE SERGENT MAZEAU</v>
      </c>
      <c r="G835" t="str">
        <f ca="1">VLOOKUP(A835,Import_SuiviGlobal_MigAppliSate!A:I,7,FALSE)</f>
        <v>03.80.90.81.88</v>
      </c>
      <c r="H835" t="str">
        <f ca="1">VLOOKUP(A835,Import_SuiviGlobal_MigAppliSate!A:I,8,FALSE)</f>
        <v>MERCEY Emmanuelle</v>
      </c>
      <c r="I835" t="str">
        <f ca="1">VLOOKUP(A835,Import_SuiviGlobal_MigAppliSate!A:I,9,FALSE)</f>
        <v>emmanuelle.mercey@systeme-u.fr</v>
      </c>
      <c r="J835" s="24" t="str">
        <f ca="1">VLOOKUP(A835,Import_SuiviGlobal_MigAppliSate!A:K,10,FALSE)</f>
        <v/>
      </c>
      <c r="K835" t="str">
        <f ca="1">VLOOKUP(A835,Import_SuiviGlobal_MigAppliSate!A:K,11,FALSE)</f>
        <v/>
      </c>
      <c r="L835" t="s">
        <v>20</v>
      </c>
      <c r="M835" t="s">
        <v>21</v>
      </c>
      <c r="O835" s="1" t="s">
        <v>22</v>
      </c>
    </row>
    <row r="836" spans="1:15" ht="12.75" hidden="1" x14ac:dyDescent="0.2">
      <c r="A836">
        <v>90801</v>
      </c>
      <c r="B836" t="str">
        <f ca="1">VLOOKUP(A836,Import_SuiviGlobal_MigAppliSate!A:I,2,FALSE)</f>
        <v>POURRIERES BASTIDES</v>
      </c>
      <c r="C836" t="str">
        <f ca="1">VLOOKUP(A836,Import_SuiviGlobal_MigAppliSate!A:I,3,FALSE)</f>
        <v>U Express</v>
      </c>
      <c r="D836" s="1" t="str">
        <f ca="1">VLOOKUP(A836,Import_SuiviGlobal_MigAppliSate!A:I,4,FALSE)</f>
        <v>Coop MISTRAL</v>
      </c>
      <c r="E836">
        <f ca="1">VLOOKUP(A836,Import_SuiviGlobal_MigAppliSate!A:I,5,FALSE)</f>
        <v>83910</v>
      </c>
      <c r="F836" t="str">
        <f ca="1">VLOOKUP(A836,Import_SuiviGlobal_MigAppliSate!A:I,6,FALSE)</f>
        <v>AVENUE DES BASTIDES</v>
      </c>
      <c r="G836" t="str">
        <f ca="1">VLOOKUP(A836,Import_SuiviGlobal_MigAppliSate!A:I,7,FALSE)</f>
        <v>04.94.78.47.57</v>
      </c>
      <c r="H836" t="str">
        <f ca="1">VLOOKUP(A836,Import_SuiviGlobal_MigAppliSate!A:I,8,FALSE)</f>
        <v>KHAOUANI JIBRIL</v>
      </c>
      <c r="I836" t="str">
        <f ca="1">VLOOKUP(A836,Import_SuiviGlobal_MigAppliSate!A:I,9,FALSE)</f>
        <v>uexpress.pourrieres@mistral-u.fr</v>
      </c>
      <c r="J836" s="24" t="str">
        <f ca="1">VLOOKUP(A836,Import_SuiviGlobal_MigAppliSate!A:K,10,FALSE)</f>
        <v/>
      </c>
      <c r="K836" t="str">
        <f ca="1">VLOOKUP(A836,Import_SuiviGlobal_MigAppliSate!A:K,11,FALSE)</f>
        <v/>
      </c>
      <c r="O836" s="1" t="s">
        <v>22</v>
      </c>
    </row>
    <row r="837" spans="1:15" ht="12.75" hidden="1" x14ac:dyDescent="0.2">
      <c r="A837">
        <v>65459</v>
      </c>
      <c r="B837" t="str">
        <f ca="1">VLOOKUP(A837,Import_SuiviGlobal_MigAppliSate!A:I,2,FALSE)</f>
        <v>POUXEUX</v>
      </c>
      <c r="C837" t="str">
        <f ca="1">VLOOKUP(A837,Import_SuiviGlobal_MigAppliSate!A:I,3,FALSE)</f>
        <v>Super U</v>
      </c>
      <c r="D837" s="1" t="str">
        <f ca="1">VLOOKUP(A837,Import_SuiviGlobal_MigAppliSate!A:I,4,FALSE)</f>
        <v>Coop U Enseigne Est</v>
      </c>
      <c r="E837">
        <f ca="1">VLOOKUP(A837,Import_SuiviGlobal_MigAppliSate!A:I,5,FALSE)</f>
        <v>88550</v>
      </c>
      <c r="F837" t="str">
        <f ca="1">VLOOKUP(A837,Import_SuiviGlobal_MigAppliSate!A:I,6,FALSE)</f>
        <v>ROUTE DE REMIREMONT ZA LES SAVRONS</v>
      </c>
      <c r="G837" t="str">
        <f ca="1">VLOOKUP(A837,Import_SuiviGlobal_MigAppliSate!A:I,7,FALSE)</f>
        <v>03.29.36.91.92</v>
      </c>
      <c r="H837" t="str">
        <f ca="1">VLOOKUP(A837,Import_SuiviGlobal_MigAppliSate!A:I,8,FALSE)</f>
        <v>CLAUDEL Sylvain</v>
      </c>
      <c r="I837" t="str">
        <f ca="1">VLOOKUP(A837,Import_SuiviGlobal_MigAppliSate!A:I,9,FALSE)</f>
        <v>sylvain.claudel@systeme-u.fr</v>
      </c>
      <c r="J837" s="24" t="str">
        <f ca="1">VLOOKUP(A837,Import_SuiviGlobal_MigAppliSate!A:K,10,FALSE)</f>
        <v>Mr Taillandier (directeur)</v>
      </c>
      <c r="K837" t="str">
        <f ca="1">VLOOKUP(A837,Import_SuiviGlobal_MigAppliSate!A:K,11,FALSE)</f>
        <v>superu.pouxeux@systeme-u.fr</v>
      </c>
      <c r="O837" s="1" t="s">
        <v>22</v>
      </c>
    </row>
    <row r="838" spans="1:15" ht="12.75" hidden="1" x14ac:dyDescent="0.2">
      <c r="A838">
        <v>32976</v>
      </c>
      <c r="B838" t="str">
        <f ca="1">VLOOKUP(A838,Import_SuiviGlobal_MigAppliSate!A:I,2,FALSE)</f>
        <v>POUZAUGES</v>
      </c>
      <c r="C838" t="str">
        <f ca="1">VLOOKUP(A838,Import_SuiviGlobal_MigAppliSate!A:I,3,FALSE)</f>
        <v>Super U</v>
      </c>
      <c r="D838" s="1" t="str">
        <f ca="1">VLOOKUP(A838,Import_SuiviGlobal_MigAppliSate!A:I,4,FALSE)</f>
        <v>Coop U Enseigne Ouest</v>
      </c>
      <c r="E838">
        <f ca="1">VLOOKUP(A838,Import_SuiviGlobal_MigAppliSate!A:I,5,FALSE)</f>
        <v>85700</v>
      </c>
      <c r="F838" t="str">
        <f ca="1">VLOOKUP(A838,Import_SuiviGlobal_MigAppliSate!A:I,6,FALSE)</f>
        <v>RUE CHARLES LARGETEAU</v>
      </c>
      <c r="G838" t="str">
        <f ca="1">VLOOKUP(A838,Import_SuiviGlobal_MigAppliSate!A:I,7,FALSE)</f>
        <v>02.51.57.53.53</v>
      </c>
      <c r="H838" t="str">
        <f ca="1">VLOOKUP(A838,Import_SuiviGlobal_MigAppliSate!A:I,8,FALSE)</f>
        <v>BAZANTAY RPT SARL MCN DISTRI Philippe</v>
      </c>
      <c r="I838" t="str">
        <f ca="1">VLOOKUP(A838,Import_SuiviGlobal_MigAppliSate!A:I,9,FALSE)</f>
        <v>philippe.bazantay@systeme-u.fr</v>
      </c>
      <c r="J838" s="24" t="str">
        <f ca="1">VLOOKUP(A838,Import_SuiviGlobal_MigAppliSate!A:K,10,FALSE)</f>
        <v>M. CHAIGNEAU
Mme BRILLOUET</v>
      </c>
      <c r="K838" t="str">
        <f ca="1">VLOOKUP(A838,Import_SuiviGlobal_MigAppliSate!A:K,11,FALSE)</f>
        <v>superu.pouzauges.compta@systeme-u.fr,superu.pouzauges@systeme-u.fr</v>
      </c>
      <c r="O838" s="1" t="s">
        <v>22</v>
      </c>
    </row>
    <row r="839" spans="1:15" ht="12.75" hidden="1" x14ac:dyDescent="0.2">
      <c r="A839">
        <v>90200</v>
      </c>
      <c r="B839" t="str">
        <f ca="1">VLOOKUP(A839,Import_SuiviGlobal_MigAppliSate!A:I,2,FALSE)</f>
        <v>PRADES</v>
      </c>
      <c r="C839" t="str">
        <f ca="1">VLOOKUP(A839,Import_SuiviGlobal_MigAppliSate!A:I,3,FALSE)</f>
        <v>Super U</v>
      </c>
      <c r="D839" s="1" t="str">
        <f ca="1">VLOOKUP(A839,Import_SuiviGlobal_MigAppliSate!A:I,4,FALSE)</f>
        <v>Coop U Enseigne Sud</v>
      </c>
      <c r="E839">
        <f ca="1">VLOOKUP(A839,Import_SuiviGlobal_MigAppliSate!A:I,5,FALSE)</f>
        <v>66500</v>
      </c>
      <c r="F839" t="str">
        <f ca="1">VLOOKUP(A839,Import_SuiviGlobal_MigAppliSate!A:I,6,FALSE)</f>
        <v>CC LA GRANDE ROCADE</v>
      </c>
      <c r="G839" t="str">
        <f ca="1">VLOOKUP(A839,Import_SuiviGlobal_MigAppliSate!A:I,7,FALSE)</f>
        <v>04.68.05.46.30</v>
      </c>
      <c r="H839" t="str">
        <f ca="1">VLOOKUP(A839,Import_SuiviGlobal_MigAppliSate!A:I,8,FALSE)</f>
        <v>ELLUL Marc</v>
      </c>
      <c r="I839" t="str">
        <f ca="1">VLOOKUP(A839,Import_SuiviGlobal_MigAppliSate!A:I,9,FALSE)</f>
        <v>marc.ellul@systeme-u.fr</v>
      </c>
      <c r="J839" s="24" t="str">
        <f ca="1">VLOOKUP(A839,Import_SuiviGlobal_MigAppliSate!A:K,10,FALSE)</f>
        <v>M. PONS</v>
      </c>
      <c r="K839" t="str">
        <f ca="1">VLOOKUP(A839,Import_SuiviGlobal_MigAppliSate!A:K,11,FALSE)</f>
        <v>superu.prades.direction@systeme-u.fr</v>
      </c>
      <c r="L839" s="1" t="s">
        <v>20</v>
      </c>
      <c r="M839" s="1" t="s">
        <v>27</v>
      </c>
      <c r="O839" s="1" t="s">
        <v>22</v>
      </c>
    </row>
    <row r="840" spans="1:15" ht="12.75" hidden="1" x14ac:dyDescent="0.2">
      <c r="A840">
        <v>38060</v>
      </c>
      <c r="B840" t="str">
        <f ca="1">VLOOKUP(A840,Import_SuiviGlobal_MigAppliSate!A:I,2,FALSE)</f>
        <v>PRE-EN-PAIL</v>
      </c>
      <c r="C840" t="str">
        <f ca="1">VLOOKUP(A840,Import_SuiviGlobal_MigAppliSate!A:I,3,FALSE)</f>
        <v>Super U</v>
      </c>
      <c r="D840" s="1" t="str">
        <f ca="1">VLOOKUP(A840,Import_SuiviGlobal_MigAppliSate!A:I,4,FALSE)</f>
        <v>Coop U Enseigne Ouest</v>
      </c>
      <c r="E840">
        <f ca="1">VLOOKUP(A840,Import_SuiviGlobal_MigAppliSate!A:I,5,FALSE)</f>
        <v>53140</v>
      </c>
      <c r="F840" t="str">
        <f ca="1">VLOOKUP(A840,Import_SuiviGlobal_MigAppliSate!A:I,6,FALSE)</f>
        <v>ZONE NORMANDIE MAINE</v>
      </c>
      <c r="G840" t="str">
        <f ca="1">VLOOKUP(A840,Import_SuiviGlobal_MigAppliSate!A:I,7,FALSE)</f>
        <v>02.43.03.05.59</v>
      </c>
      <c r="H840" t="str">
        <f ca="1">VLOOKUP(A840,Import_SuiviGlobal_MigAppliSate!A:I,8,FALSE)</f>
        <v>BOURDAIS Philippe</v>
      </c>
      <c r="I840" t="str">
        <f ca="1">VLOOKUP(A840,Import_SuiviGlobal_MigAppliSate!A:I,9,FALSE)</f>
        <v>philippe.bourdais@systeme-u.fr</v>
      </c>
      <c r="J840" s="24" t="str">
        <f ca="1">VLOOKUP(A840,Import_SuiviGlobal_MigAppliSate!A:K,10,FALSE)</f>
        <v>Bourdais Thomas</v>
      </c>
      <c r="K840" t="str">
        <f ca="1">VLOOKUP(A840,Import_SuiviGlobal_MigAppliSate!A:K,11,FALSE)</f>
        <v>thomas.bourdais@systeme-u.fr</v>
      </c>
      <c r="O840" s="1" t="s">
        <v>22</v>
      </c>
    </row>
    <row r="841" spans="1:15" ht="12.75" hidden="1" x14ac:dyDescent="0.2">
      <c r="A841">
        <v>66167</v>
      </c>
      <c r="B841" t="str">
        <f ca="1">VLOOKUP(A841,Import_SuiviGlobal_MigAppliSate!A:I,2,FALSE)</f>
        <v>PRINGY</v>
      </c>
      <c r="C841" t="str">
        <f ca="1">VLOOKUP(A841,Import_SuiviGlobal_MigAppliSate!A:I,3,FALSE)</f>
        <v>Super U</v>
      </c>
      <c r="D841" s="1" t="str">
        <f ca="1">VLOOKUP(A841,Import_SuiviGlobal_MigAppliSate!A:I,4,FALSE)</f>
        <v>Coop U Enseigne Est</v>
      </c>
      <c r="E841">
        <f ca="1">VLOOKUP(A841,Import_SuiviGlobal_MigAppliSate!A:I,5,FALSE)</f>
        <v>74370</v>
      </c>
      <c r="F841" t="str">
        <f ca="1">VLOOKUP(A841,Import_SuiviGlobal_MigAppliSate!A:I,6,FALSE)</f>
        <v>93 ROUTE DE LA RAVOIRE</v>
      </c>
      <c r="G841" t="str">
        <f ca="1">VLOOKUP(A841,Import_SuiviGlobal_MigAppliSate!A:I,7,FALSE)</f>
        <v>04.50.27.23.31</v>
      </c>
      <c r="H841" t="str">
        <f ca="1">VLOOKUP(A841,Import_SuiviGlobal_MigAppliSate!A:I,8,FALSE)</f>
        <v>DERONZIER Eric</v>
      </c>
      <c r="I841" t="str">
        <f ca="1">VLOOKUP(A841,Import_SuiviGlobal_MigAppliSate!A:I,9,FALSE)</f>
        <v>eric.deronzier@systeme-u.fr</v>
      </c>
      <c r="J841" s="24" t="str">
        <f ca="1">VLOOKUP(A841,Import_SuiviGlobal_MigAppliSate!A:K,10,FALSE)</f>
        <v>France</v>
      </c>
      <c r="K841" t="str">
        <f ca="1">VLOOKUP(A841,Import_SuiviGlobal_MigAppliSate!A:K,11,FALSE)</f>
        <v>superu.pringy.compta@systeme-u.fr</v>
      </c>
      <c r="O841" s="1" t="s">
        <v>22</v>
      </c>
    </row>
    <row r="842" spans="1:15" ht="12.75" x14ac:dyDescent="0.2">
      <c r="A842">
        <v>62303</v>
      </c>
      <c r="B842" t="str">
        <f ca="1">VLOOKUP(A842,Import_SuiviGlobal_MigAppliSate!A:I,2,FALSE)</f>
        <v>PRISSE</v>
      </c>
      <c r="C842" t="str">
        <f ca="1">VLOOKUP(A842,Import_SuiviGlobal_MigAppliSate!A:I,3,FALSE)</f>
        <v>Super U</v>
      </c>
      <c r="D842" s="1" t="str">
        <f ca="1">VLOOKUP(A842,Import_SuiviGlobal_MigAppliSate!A:I,4,FALSE)</f>
        <v>Coop U Enseigne Est</v>
      </c>
      <c r="E842">
        <f ca="1">VLOOKUP(A842,Import_SuiviGlobal_MigAppliSate!A:I,5,FALSE)</f>
        <v>71960</v>
      </c>
      <c r="F842" t="str">
        <f ca="1">VLOOKUP(A842,Import_SuiviGlobal_MigAppliSate!A:I,6,FALSE)</f>
        <v>ZA LE PRÉ DE LIT</v>
      </c>
      <c r="G842" t="str">
        <f ca="1">VLOOKUP(A842,Import_SuiviGlobal_MigAppliSate!A:I,7,FALSE)</f>
        <v>03.85.50.91.11</v>
      </c>
      <c r="H842" t="str">
        <f ca="1">VLOOKUP(A842,Import_SuiviGlobal_MigAppliSate!A:I,8,FALSE)</f>
        <v>DEPELLEY Patrick</v>
      </c>
      <c r="I842" t="str">
        <f ca="1">VLOOKUP(A842,Import_SuiviGlobal_MigAppliSate!A:I,9,FALSE)</f>
        <v>patrick.depelley@systeme-u.fr</v>
      </c>
      <c r="J842" s="24" t="str">
        <f ca="1">VLOOKUP(A842,Import_SuiviGlobal_MigAppliSate!A:K,10,FALSE)</f>
        <v>Anthony Vincent</v>
      </c>
      <c r="K842" t="str">
        <f ca="1">VLOOKUP(A842,Import_SuiviGlobal_MigAppliSate!A:K,11,FALSE)</f>
        <v>superu.prisse.direction@systeme-u.fr</v>
      </c>
      <c r="L842" t="s">
        <v>17</v>
      </c>
      <c r="M842" t="s">
        <v>0</v>
      </c>
      <c r="O842" s="1" t="s">
        <v>22</v>
      </c>
    </row>
    <row r="843" spans="1:15" ht="12.75" hidden="1" x14ac:dyDescent="0.2">
      <c r="A843">
        <v>37796</v>
      </c>
      <c r="B843" t="str">
        <f ca="1">VLOOKUP(A843,Import_SuiviGlobal_MigAppliSate!A:I,2,FALSE)</f>
        <v>PRUNIERS-EN-SOLOGNE</v>
      </c>
      <c r="C843" t="str">
        <f ca="1">VLOOKUP(A843,Import_SuiviGlobal_MigAppliSate!A:I,3,FALSE)</f>
        <v>Super U</v>
      </c>
      <c r="D843" s="1" t="str">
        <f ca="1">VLOOKUP(A843,Import_SuiviGlobal_MigAppliSate!A:I,4,FALSE)</f>
        <v>Coop U Enseigne Ouest</v>
      </c>
      <c r="E843">
        <f ca="1">VLOOKUP(A843,Import_SuiviGlobal_MigAppliSate!A:I,5,FALSE)</f>
        <v>41200</v>
      </c>
      <c r="F843" t="str">
        <f ca="1">VLOOKUP(A843,Import_SuiviGlobal_MigAppliSate!A:I,6,FALSE)</f>
        <v>LA BRIGAUDIÈRE</v>
      </c>
      <c r="G843" t="str">
        <f ca="1">VLOOKUP(A843,Import_SuiviGlobal_MigAppliSate!A:I,7,FALSE)</f>
        <v>02.54.96.83.18</v>
      </c>
      <c r="H843" t="str">
        <f ca="1">VLOOKUP(A843,Import_SuiviGlobal_MigAppliSate!A:I,8,FALSE)</f>
        <v>LAURIERE Jonathan</v>
      </c>
      <c r="I843" t="str">
        <f ca="1">VLOOKUP(A843,Import_SuiviGlobal_MigAppliSate!A:I,9,FALSE)</f>
        <v>jonathan.lauriere@systeme-u.fr</v>
      </c>
      <c r="J843" s="24" t="str">
        <f ca="1">VLOOKUP(A843,Import_SuiviGlobal_MigAppliSate!A:K,10,FALSE)</f>
        <v/>
      </c>
      <c r="K843" t="str">
        <f ca="1">VLOOKUP(A843,Import_SuiviGlobal_MigAppliSate!A:K,11,FALSE)</f>
        <v/>
      </c>
      <c r="O843" s="1" t="s">
        <v>22</v>
      </c>
    </row>
    <row r="844" spans="1:15" ht="12.75" hidden="1" x14ac:dyDescent="0.2">
      <c r="A844">
        <v>90632</v>
      </c>
      <c r="B844" t="str">
        <f ca="1">VLOOKUP(A844,Import_SuiviGlobal_MigAppliSate!A:I,2,FALSE)</f>
        <v>PUY ST MARTIN</v>
      </c>
      <c r="C844" t="str">
        <f ca="1">VLOOKUP(A844,Import_SuiviGlobal_MigAppliSate!A:I,3,FALSE)</f>
        <v>U Express</v>
      </c>
      <c r="D844" s="1" t="str">
        <f ca="1">VLOOKUP(A844,Import_SuiviGlobal_MigAppliSate!A:I,4,FALSE)</f>
        <v>Coop MISTRAL</v>
      </c>
      <c r="E844">
        <f ca="1">VLOOKUP(A844,Import_SuiviGlobal_MigAppliSate!A:I,5,FALSE)</f>
        <v>26450</v>
      </c>
      <c r="F844" t="str">
        <f ca="1">VLOOKUP(A844,Import_SuiviGlobal_MigAppliSate!A:I,6,FALSE)</f>
        <v>ZA ROUTE DE CLEON D ANDRAN</v>
      </c>
      <c r="G844" t="str">
        <f ca="1">VLOOKUP(A844,Import_SuiviGlobal_MigAppliSate!A:I,7,FALSE)</f>
        <v>04.75.90.42.49</v>
      </c>
      <c r="H844" t="str">
        <f ca="1">VLOOKUP(A844,Import_SuiviGlobal_MigAppliSate!A:I,8,FALSE)</f>
        <v>VERRIER Yohan</v>
      </c>
      <c r="I844" t="str">
        <f ca="1">VLOOKUP(A844,Import_SuiviGlobal_MigAppliSate!A:I,9,FALSE)</f>
        <v/>
      </c>
      <c r="J844" s="24" t="str">
        <f ca="1">VLOOKUP(A844,Import_SuiviGlobal_MigAppliSate!A:K,10,FALSE)</f>
        <v/>
      </c>
      <c r="K844" t="str">
        <f ca="1">VLOOKUP(A844,Import_SuiviGlobal_MigAppliSate!A:K,11,FALSE)</f>
        <v>delphine.damian@lemistral.fr,helene.mina@lemistral.fr</v>
      </c>
      <c r="O844" s="1" t="s">
        <v>22</v>
      </c>
    </row>
    <row r="845" spans="1:15" ht="12.75" x14ac:dyDescent="0.2">
      <c r="A845">
        <v>90422</v>
      </c>
      <c r="B845" t="str">
        <f ca="1">VLOOKUP(A845,Import_SuiviGlobal_MigAppliSate!A:I,2,FALSE)</f>
        <v>PUYVERT</v>
      </c>
      <c r="C845" t="str">
        <f ca="1">VLOOKUP(A845,Import_SuiviGlobal_MigAppliSate!A:I,3,FALSE)</f>
        <v>Super U</v>
      </c>
      <c r="D845" s="1" t="str">
        <f ca="1">VLOOKUP(A845,Import_SuiviGlobal_MigAppliSate!A:I,4,FALSE)</f>
        <v>Coop U Enseigne Sud</v>
      </c>
      <c r="E845">
        <f ca="1">VLOOKUP(A845,Import_SuiviGlobal_MigAppliSate!A:I,5,FALSE)</f>
        <v>84160</v>
      </c>
      <c r="F845" t="str">
        <f ca="1">VLOOKUP(A845,Import_SuiviGlobal_MigAppliSate!A:I,6,FALSE)</f>
        <v>CTRE COMM DU LUBERON</v>
      </c>
      <c r="G845" t="str">
        <f ca="1">VLOOKUP(A845,Import_SuiviGlobal_MigAppliSate!A:I,7,FALSE)</f>
        <v>04.90.08.40.73</v>
      </c>
      <c r="H845" t="str">
        <f ca="1">VLOOKUP(A845,Import_SuiviGlobal_MigAppliSate!A:I,8,FALSE)</f>
        <v>DEVOLDER NICOLAS</v>
      </c>
      <c r="I845" t="str">
        <f ca="1">VLOOKUP(A845,Import_SuiviGlobal_MigAppliSate!A:I,9,FALSE)</f>
        <v>nicolas.devolder@systeme-u.fr</v>
      </c>
      <c r="J845" s="24" t="str">
        <f ca="1">VLOOKUP(A845,Import_SuiviGlobal_MigAppliSate!A:K,10,FALSE)</f>
        <v xml:space="preserve">(Mme Sonia BARTHELEMY) Laurence CHOLLET </v>
      </c>
      <c r="K845" t="str">
        <f ca="1">VLOOKUP(A845,Import_SuiviGlobal_MigAppliSate!A:K,11,FALSE)</f>
        <v>superu.puyvert.compta@systeme-u.fr,superu.puyvert.caisse@systeme-u.fr</v>
      </c>
      <c r="L845" t="s">
        <v>17</v>
      </c>
      <c r="M845" t="s">
        <v>0</v>
      </c>
      <c r="O845" s="1" t="s">
        <v>22</v>
      </c>
    </row>
    <row r="846" spans="1:15" ht="12.75" hidden="1" x14ac:dyDescent="0.2">
      <c r="A846">
        <v>32151</v>
      </c>
      <c r="B846" t="str">
        <f ca="1">VLOOKUP(A846,Import_SuiviGlobal_MigAppliSate!A:I,2,FALSE)</f>
        <v>QUIBERON</v>
      </c>
      <c r="C846" t="str">
        <f ca="1">VLOOKUP(A846,Import_SuiviGlobal_MigAppliSate!A:I,3,FALSE)</f>
        <v>Super U</v>
      </c>
      <c r="D846" s="1" t="str">
        <f ca="1">VLOOKUP(A846,Import_SuiviGlobal_MigAppliSate!A:I,4,FALSE)</f>
        <v>Coop U Enseigne Ouest</v>
      </c>
      <c r="E846">
        <f ca="1">VLOOKUP(A846,Import_SuiviGlobal_MigAppliSate!A:I,5,FALSE)</f>
        <v>56170</v>
      </c>
      <c r="F846" t="str">
        <f ca="1">VLOOKUP(A846,Import_SuiviGlobal_MigAppliSate!A:I,6,FALSE)</f>
        <v>116 RUE DU PORT DE PÊCHE</v>
      </c>
      <c r="G846" t="str">
        <f ca="1">VLOOKUP(A846,Import_SuiviGlobal_MigAppliSate!A:I,7,FALSE)</f>
        <v>02.97.30.42.09</v>
      </c>
      <c r="H846" t="str">
        <f ca="1">VLOOKUP(A846,Import_SuiviGlobal_MigAppliSate!A:I,8,FALSE)</f>
        <v>RABARD Frédéric</v>
      </c>
      <c r="I846" t="str">
        <f ca="1">VLOOKUP(A846,Import_SuiviGlobal_MigAppliSate!A:I,9,FALSE)</f>
        <v>frederic.rabard@systeme-u.fr</v>
      </c>
      <c r="J846" s="24" t="str">
        <f ca="1">VLOOKUP(A846,Import_SuiviGlobal_MigAppliSate!A:K,10,FALSE)</f>
        <v xml:space="preserve">Mme TOAMASSACCI
</v>
      </c>
      <c r="K846" t="str">
        <f ca="1">VLOOKUP(A846,Import_SuiviGlobal_MigAppliSate!A:K,11,FALSE)</f>
        <v>superu.quiberon@systeme-u.fr</v>
      </c>
      <c r="O846" s="1" t="s">
        <v>22</v>
      </c>
    </row>
    <row r="847" spans="1:15" ht="12.75" hidden="1" x14ac:dyDescent="0.2">
      <c r="A847">
        <v>35094</v>
      </c>
      <c r="B847" t="str">
        <f ca="1">VLOOKUP(A847,Import_SuiviGlobal_MigAppliSate!A:I,2,FALSE)</f>
        <v>QUIMPER</v>
      </c>
      <c r="C847" t="str">
        <f ca="1">VLOOKUP(A847,Import_SuiviGlobal_MigAppliSate!A:I,3,FALSE)</f>
        <v>U Express</v>
      </c>
      <c r="D847" s="1" t="str">
        <f ca="1">VLOOKUP(A847,Import_SuiviGlobal_MigAppliSate!A:I,4,FALSE)</f>
        <v>Coop U Enseigne Ouest</v>
      </c>
      <c r="E847">
        <f ca="1">VLOOKUP(A847,Import_SuiviGlobal_MigAppliSate!A:I,5,FALSE)</f>
        <v>29000</v>
      </c>
      <c r="F847" t="str">
        <f ca="1">VLOOKUP(A847,Import_SuiviGlobal_MigAppliSate!A:I,6,FALSE)</f>
        <v>82, QUAI DE L'ODET</v>
      </c>
      <c r="G847" t="str">
        <f ca="1">VLOOKUP(A847,Import_SuiviGlobal_MigAppliSate!A:I,7,FALSE)</f>
        <v>02.98.53.43.83</v>
      </c>
      <c r="H847" t="str">
        <f ca="1">VLOOKUP(A847,Import_SuiviGlobal_MigAppliSate!A:I,8,FALSE)</f>
        <v>SEVERE JOCELYNE</v>
      </c>
      <c r="I847" t="str">
        <f ca="1">VLOOKUP(A847,Import_SuiviGlobal_MigAppliSate!A:I,9,FALSE)</f>
        <v>jocelyne.severe@systeme-u.fr</v>
      </c>
      <c r="J847" s="24" t="str">
        <f ca="1">VLOOKUP(A847,Import_SuiviGlobal_MigAppliSate!A:K,10,FALSE)</f>
        <v>SEVERE Marianne</v>
      </c>
      <c r="K847" t="str">
        <f ca="1">VLOOKUP(A847,Import_SuiviGlobal_MigAppliSate!A:K,11,FALSE)</f>
        <v>marianne.severe@systeme-u.fr</v>
      </c>
      <c r="O847" s="1" t="s">
        <v>22</v>
      </c>
    </row>
    <row r="848" spans="1:15" ht="12.75" hidden="1" x14ac:dyDescent="0.2">
      <c r="A848">
        <v>38826</v>
      </c>
      <c r="B848" t="str">
        <f ca="1">VLOOKUP(A848,Import_SuiviGlobal_MigAppliSate!A:I,2,FALSE)</f>
        <v>REDON</v>
      </c>
      <c r="C848" t="str">
        <f ca="1">VLOOKUP(A848,Import_SuiviGlobal_MigAppliSate!A:I,3,FALSE)</f>
        <v>U Express</v>
      </c>
      <c r="D848" s="1" t="str">
        <f ca="1">VLOOKUP(A848,Import_SuiviGlobal_MigAppliSate!A:I,4,FALSE)</f>
        <v>Coop U Enseigne Ouest</v>
      </c>
      <c r="E848">
        <f ca="1">VLOOKUP(A848,Import_SuiviGlobal_MigAppliSate!A:I,5,FALSE)</f>
        <v>35600</v>
      </c>
      <c r="F848" t="str">
        <f ca="1">VLOOKUP(A848,Import_SuiviGlobal_MigAppliSate!A:I,6,FALSE)</f>
        <v>PLACE DU PARC- ANGER</v>
      </c>
      <c r="G848" t="str">
        <f ca="1">VLOOKUP(A848,Import_SuiviGlobal_MigAppliSate!A:I,7,FALSE)</f>
        <v>02.99.71.11.35</v>
      </c>
      <c r="H848" t="str">
        <f ca="1">VLOOKUP(A848,Import_SuiviGlobal_MigAppliSate!A:I,8,FALSE)</f>
        <v>LE GUILLANT RPT SARL LOCALIM Serge</v>
      </c>
      <c r="I848" t="str">
        <f ca="1">VLOOKUP(A848,Import_SuiviGlobal_MigAppliSate!A:I,9,FALSE)</f>
        <v>serge.leguillant@systeme-u.fr</v>
      </c>
      <c r="J848" s="24" t="str">
        <f ca="1">VLOOKUP(A848,Import_SuiviGlobal_MigAppliSate!A:K,10,FALSE)</f>
        <v xml:space="preserve">
OGER Benjamin
HUBERT Lydia</v>
      </c>
      <c r="K848" t="str">
        <f ca="1">VLOOKUP(A848,Import_SuiviGlobal_MigAppliSate!A:K,11,FALSE)</f>
        <v>uexpress.redon.compta@systeme-u.fr</v>
      </c>
      <c r="O848" s="1" t="s">
        <v>22</v>
      </c>
    </row>
    <row r="849" spans="1:15" ht="12.75" hidden="1" x14ac:dyDescent="0.2">
      <c r="A849">
        <v>90525</v>
      </c>
      <c r="B849" t="str">
        <f ca="1">VLOOKUP(A849,Import_SuiviGlobal_MigAppliSate!A:I,2,FALSE)</f>
        <v>REGUSSE</v>
      </c>
      <c r="C849" t="str">
        <f ca="1">VLOOKUP(A849,Import_SuiviGlobal_MigAppliSate!A:I,3,FALSE)</f>
        <v>Super U</v>
      </c>
      <c r="D849" s="1" t="str">
        <f ca="1">VLOOKUP(A849,Import_SuiviGlobal_MigAppliSate!A:I,4,FALSE)</f>
        <v>Coop U Enseigne Sud</v>
      </c>
      <c r="E849">
        <f ca="1">VLOOKUP(A849,Import_SuiviGlobal_MigAppliSate!A:I,5,FALSE)</f>
        <v>83630</v>
      </c>
      <c r="F849" t="str">
        <f ca="1">VLOOKUP(A849,Import_SuiviGlobal_MigAppliSate!A:I,6,FALSE)</f>
        <v>CC LES CLOUOS</v>
      </c>
      <c r="G849" t="str">
        <f ca="1">VLOOKUP(A849,Import_SuiviGlobal_MigAppliSate!A:I,7,FALSE)</f>
        <v>04.94.60.41.90</v>
      </c>
      <c r="H849" t="str">
        <f ca="1">VLOOKUP(A849,Import_SuiviGlobal_MigAppliSate!A:I,8,FALSE)</f>
        <v>KAPPLER Pierre</v>
      </c>
      <c r="I849" t="str">
        <f ca="1">VLOOKUP(A849,Import_SuiviGlobal_MigAppliSate!A:I,9,FALSE)</f>
        <v>pierre.kappler@systeme-u.fr</v>
      </c>
      <c r="J849" s="24" t="str">
        <f ca="1">VLOOKUP(A849,Import_SuiviGlobal_MigAppliSate!A:K,10,FALSE)</f>
        <v>Isabelle ou Célia</v>
      </c>
      <c r="K849" t="str">
        <f ca="1">VLOOKUP(A849,Import_SuiviGlobal_MigAppliSate!A:K,11,FALSE)</f>
        <v>superu.regusse.accueil@systeme-u.fr, superu.regusse.compta@systeme-u.fr</v>
      </c>
      <c r="O849" s="1" t="s">
        <v>22</v>
      </c>
    </row>
    <row r="850" spans="1:15" ht="12.75" hidden="1" x14ac:dyDescent="0.2">
      <c r="A850">
        <v>65461</v>
      </c>
      <c r="B850" t="str">
        <f ca="1">VLOOKUP(A850,Import_SuiviGlobal_MigAppliSate!A:I,2,FALSE)</f>
        <v>REIMS COURCELLES</v>
      </c>
      <c r="C850" t="str">
        <f ca="1">VLOOKUP(A850,Import_SuiviGlobal_MigAppliSate!A:I,3,FALSE)</f>
        <v>U Express</v>
      </c>
      <c r="D850" s="1" t="str">
        <f ca="1">VLOOKUP(A850,Import_SuiviGlobal_MigAppliSate!A:I,4,FALSE)</f>
        <v>Coop U Enseigne Est</v>
      </c>
      <c r="E850">
        <f ca="1">VLOOKUP(A850,Import_SuiviGlobal_MigAppliSate!A:I,5,FALSE)</f>
        <v>51100</v>
      </c>
      <c r="F850" t="str">
        <f ca="1">VLOOKUP(A850,Import_SuiviGlobal_MigAppliSate!A:I,6,FALSE)</f>
        <v>108 RUE MONT D'ARENE</v>
      </c>
      <c r="G850" t="str">
        <f ca="1">VLOOKUP(A850,Import_SuiviGlobal_MigAppliSate!A:I,7,FALSE)</f>
        <v>03.26.88.24.04</v>
      </c>
      <c r="H850" t="str">
        <f ca="1">VLOOKUP(A850,Import_SuiviGlobal_MigAppliSate!A:I,8,FALSE)</f>
        <v>BRESSON RPT SAS VERTEX INVEST Antoine</v>
      </c>
      <c r="I850" t="str">
        <f ca="1">VLOOKUP(A850,Import_SuiviGlobal_MigAppliSate!A:I,9,FALSE)</f>
        <v>antoine.bresson@systeme-u.fr</v>
      </c>
      <c r="J850" s="24" t="str">
        <f ca="1">VLOOKUP(A850,Import_SuiviGlobal_MigAppliSate!A:K,10,FALSE)</f>
        <v>DEMESSANCE Vincent</v>
      </c>
      <c r="K850" t="str">
        <f ca="1">VLOOKUP(A850,Import_SuiviGlobal_MigAppliSate!A:K,11,FALSE)</f>
        <v>uexpress.reims.direction@systeme-u.fr</v>
      </c>
      <c r="O850" s="1" t="s">
        <v>22</v>
      </c>
    </row>
    <row r="851" spans="1:15" ht="12.75" x14ac:dyDescent="0.2">
      <c r="A851">
        <v>68533</v>
      </c>
      <c r="B851" t="str">
        <f ca="1">VLOOKUP(A851,Import_SuiviGlobal_MigAppliSate!A:I,2,FALSE)</f>
        <v>REIMS VILLAGE</v>
      </c>
      <c r="C851" t="str">
        <f ca="1">VLOOKUP(A851,Import_SuiviGlobal_MigAppliSate!A:I,3,FALSE)</f>
        <v>Hyper U</v>
      </c>
      <c r="D851" s="1" t="str">
        <f ca="1">VLOOKUP(A851,Import_SuiviGlobal_MigAppliSate!A:I,4,FALSE)</f>
        <v>Coop U Enseigne Est</v>
      </c>
      <c r="E851">
        <f ca="1">VLOOKUP(A851,Import_SuiviGlobal_MigAppliSate!A:I,5,FALSE)</f>
        <v>51100</v>
      </c>
      <c r="F851" t="str">
        <f ca="1">VLOOKUP(A851,Import_SuiviGlobal_MigAppliSate!A:I,6,FALSE)</f>
        <v>RUE JACQUES DE LA GIRAUDIERE</v>
      </c>
      <c r="G851" t="str">
        <f ca="1">VLOOKUP(A851,Import_SuiviGlobal_MigAppliSate!A:I,7,FALSE)</f>
        <v>03.52.62.62.72</v>
      </c>
      <c r="H851" t="str">
        <f ca="1">VLOOKUP(A851,Import_SuiviGlobal_MigAppliSate!A:I,8,FALSE)</f>
        <v>MACHET Alexandre</v>
      </c>
      <c r="I851" t="str">
        <f ca="1">VLOOKUP(A851,Import_SuiviGlobal_MigAppliSate!A:I,9,FALSE)</f>
        <v>alexandre.machet@systeme-u.fr</v>
      </c>
      <c r="J851" s="24" t="str">
        <f ca="1">VLOOKUP(A851,Import_SuiviGlobal_MigAppliSate!A:K,10,FALSE)</f>
        <v>Mme Machet</v>
      </c>
      <c r="K851" t="str">
        <f ca="1">VLOOKUP(A851,Import_SuiviGlobal_MigAppliSate!A:K,11,FALSE)</f>
        <v>sylvie.machet@systeme-u.fr</v>
      </c>
      <c r="L851" t="s">
        <v>17</v>
      </c>
      <c r="M851" t="s">
        <v>0</v>
      </c>
      <c r="N851" s="1" t="s">
        <v>18</v>
      </c>
      <c r="O851" s="1" t="s">
        <v>19</v>
      </c>
    </row>
    <row r="852" spans="1:15" ht="12.75" hidden="1" x14ac:dyDescent="0.2">
      <c r="A852">
        <v>37345</v>
      </c>
      <c r="B852" t="str">
        <f ca="1">VLOOKUP(A852,Import_SuiviGlobal_MigAppliSate!A:I,2,FALSE)</f>
        <v>RENNES BEAUREGARD</v>
      </c>
      <c r="C852" t="str">
        <f ca="1">VLOOKUP(A852,Import_SuiviGlobal_MigAppliSate!A:I,3,FALSE)</f>
        <v>U Express</v>
      </c>
      <c r="D852" s="1" t="str">
        <f ca="1">VLOOKUP(A852,Import_SuiviGlobal_MigAppliSate!A:I,4,FALSE)</f>
        <v>Coop U Enseigne Ouest</v>
      </c>
      <c r="E852">
        <f ca="1">VLOOKUP(A852,Import_SuiviGlobal_MigAppliSate!A:I,5,FALSE)</f>
        <v>35000</v>
      </c>
      <c r="F852" t="str">
        <f ca="1">VLOOKUP(A852,Import_SuiviGlobal_MigAppliSate!A:I,6,FALSE)</f>
        <v>14, AVENUE DE CUCILLE</v>
      </c>
      <c r="G852" t="str">
        <f ca="1">VLOOKUP(A852,Import_SuiviGlobal_MigAppliSate!A:I,7,FALSE)</f>
        <v>02.23.42.35.40</v>
      </c>
      <c r="H852" t="str">
        <f ca="1">VLOOKUP(A852,Import_SuiviGlobal_MigAppliSate!A:I,8,FALSE)</f>
        <v>GOUSSET RPT FGH FINANCES Franck</v>
      </c>
      <c r="I852" t="str">
        <f ca="1">VLOOKUP(A852,Import_SuiviGlobal_MigAppliSate!A:I,9,FALSE)</f>
        <v>franck.gousset@systeme-u.fr</v>
      </c>
      <c r="J852" s="24" t="str">
        <f ca="1">VLOOKUP(A852,Import_SuiviGlobal_MigAppliSate!A:K,10,FALSE)</f>
        <v>Freddy REGNARD</v>
      </c>
      <c r="K852" t="str">
        <f ca="1">VLOOKUP(A852,Import_SuiviGlobal_MigAppliSate!A:K,11,FALSE)</f>
        <v>uexpress.rennesbeauregard@systeme-u.fr</v>
      </c>
      <c r="O852" s="1" t="s">
        <v>22</v>
      </c>
    </row>
    <row r="853" spans="1:15" ht="12.75" hidden="1" x14ac:dyDescent="0.2">
      <c r="A853">
        <v>37366</v>
      </c>
      <c r="B853" t="str">
        <f ca="1">VLOOKUP(A853,Import_SuiviGlobal_MigAppliSate!A:I,2,FALSE)</f>
        <v>RENNES BREST</v>
      </c>
      <c r="C853" t="str">
        <f ca="1">VLOOKUP(A853,Import_SuiviGlobal_MigAppliSate!A:I,3,FALSE)</f>
        <v>U Express</v>
      </c>
      <c r="D853" s="1" t="str">
        <f ca="1">VLOOKUP(A853,Import_SuiviGlobal_MigAppliSate!A:I,4,FALSE)</f>
        <v>Coop U Enseigne Ouest</v>
      </c>
      <c r="E853">
        <f ca="1">VLOOKUP(A853,Import_SuiviGlobal_MigAppliSate!A:I,5,FALSE)</f>
        <v>35000</v>
      </c>
      <c r="F853" t="str">
        <f ca="1">VLOOKUP(A853,Import_SuiviGlobal_MigAppliSate!A:I,6,FALSE)</f>
        <v>21 RUE DE BREST</v>
      </c>
      <c r="G853" t="str">
        <f ca="1">VLOOKUP(A853,Import_SuiviGlobal_MigAppliSate!A:I,7,FALSE)</f>
        <v>02.99.14.31.10</v>
      </c>
      <c r="H853" t="str">
        <f ca="1">VLOOKUP(A853,Import_SuiviGlobal_MigAppliSate!A:I,8,FALSE)</f>
        <v>LANGLOIS RPT SARL DU PARC Rémy</v>
      </c>
      <c r="I853" t="str">
        <f ca="1">VLOOKUP(A853,Import_SuiviGlobal_MigAppliSate!A:I,9,FALSE)</f>
        <v>remy.langlois@systeme-u.fr</v>
      </c>
      <c r="J853" s="24" t="str">
        <f ca="1">VLOOKUP(A853,Import_SuiviGlobal_MigAppliSate!A:K,10,FALSE)</f>
        <v>Mme Sabrina LOLLIVIER</v>
      </c>
      <c r="K853" t="str">
        <f ca="1">VLOOKUP(A853,Import_SuiviGlobal_MigAppliSate!A:K,11,FALSE)</f>
        <v>uexpress.rennesbrest.compta1@systeme-u.fr</v>
      </c>
      <c r="O853" s="1" t="s">
        <v>22</v>
      </c>
    </row>
    <row r="854" spans="1:15" ht="12.75" hidden="1" x14ac:dyDescent="0.2">
      <c r="A854">
        <v>38354</v>
      </c>
      <c r="B854" t="str">
        <f ca="1">VLOOKUP(A854,Import_SuiviGlobal_MigAppliSate!A:I,2,FALSE)</f>
        <v>RENNES FOUGERES</v>
      </c>
      <c r="C854" t="str">
        <f ca="1">VLOOKUP(A854,Import_SuiviGlobal_MigAppliSate!A:I,3,FALSE)</f>
        <v>Super U</v>
      </c>
      <c r="D854" s="1" t="str">
        <f ca="1">VLOOKUP(A854,Import_SuiviGlobal_MigAppliSate!A:I,4,FALSE)</f>
        <v>Coop U Enseigne Ouest</v>
      </c>
      <c r="E854">
        <f ca="1">VLOOKUP(A854,Import_SuiviGlobal_MigAppliSate!A:I,5,FALSE)</f>
        <v>35000</v>
      </c>
      <c r="F854" t="str">
        <f ca="1">VLOOKUP(A854,Import_SuiviGlobal_MigAppliSate!A:I,6,FALSE)</f>
        <v>205, RUE DE FOUGÈRES</v>
      </c>
      <c r="G854" t="str">
        <f ca="1">VLOOKUP(A854,Import_SuiviGlobal_MigAppliSate!A:I,7,FALSE)</f>
        <v>02.99.36.04.26</v>
      </c>
      <c r="H854" t="str">
        <f ca="1">VLOOKUP(A854,Import_SuiviGlobal_MigAppliSate!A:I,8,FALSE)</f>
        <v>GUILLEMOT RPT SA NOGINVEST Rémi</v>
      </c>
      <c r="I854" t="str">
        <f ca="1">VLOOKUP(A854,Import_SuiviGlobal_MigAppliSate!A:I,9,FALSE)</f>
        <v>remi.guillemot@systeme-u.fr</v>
      </c>
      <c r="J854" s="24" t="str">
        <f ca="1">VLOOKUP(A854,Import_SuiviGlobal_MigAppliSate!A:K,10,FALSE)</f>
        <v>GEFFROY STEPHANE</v>
      </c>
      <c r="K854" t="str">
        <f ca="1">VLOOKUP(A854,Import_SuiviGlobal_MigAppliSate!A:K,11,FALSE)</f>
        <v>stephane.geffroy@systeme-u.fr</v>
      </c>
      <c r="O854" s="1" t="s">
        <v>22</v>
      </c>
    </row>
    <row r="855" spans="1:15" ht="12.75" hidden="1" x14ac:dyDescent="0.2">
      <c r="A855">
        <v>30272</v>
      </c>
      <c r="B855" t="str">
        <f ca="1">VLOOKUP(A855,Import_SuiviGlobal_MigAppliSate!A:I,2,FALSE)</f>
        <v>RENNES GROS CHENE</v>
      </c>
      <c r="C855" t="str">
        <f ca="1">VLOOKUP(A855,Import_SuiviGlobal_MigAppliSate!A:I,3,FALSE)</f>
        <v>U Express</v>
      </c>
      <c r="D855" s="1" t="str">
        <f ca="1">VLOOKUP(A855,Import_SuiviGlobal_MigAppliSate!A:I,4,FALSE)</f>
        <v>Coop U Enseigne Ouest</v>
      </c>
      <c r="E855">
        <f ca="1">VLOOKUP(A855,Import_SuiviGlobal_MigAppliSate!A:I,5,FALSE)</f>
        <v>35700</v>
      </c>
      <c r="F855" t="str">
        <f ca="1">VLOOKUP(A855,Import_SuiviGlobal_MigAppliSate!A:I,6,FALSE)</f>
        <v>12, PLACE DU GROS CHÊNE</v>
      </c>
      <c r="G855" t="str">
        <f ca="1">VLOOKUP(A855,Import_SuiviGlobal_MigAppliSate!A:I,7,FALSE)</f>
        <v>02.99.63.14.02</v>
      </c>
      <c r="H855" t="str">
        <f ca="1">VLOOKUP(A855,Import_SuiviGlobal_MigAppliSate!A:I,8,FALSE)</f>
        <v>GUILLEMOT RPT SA NOGINVEST Remi</v>
      </c>
      <c r="I855" t="str">
        <f ca="1">VLOOKUP(A855,Import_SuiviGlobal_MigAppliSate!A:I,9,FALSE)</f>
        <v>remi.guillemot@systeme-u.fr</v>
      </c>
      <c r="J855" s="24" t="str">
        <f ca="1">VLOOKUP(A855,Import_SuiviGlobal_MigAppliSate!A:K,10,FALSE)</f>
        <v>COLLIN grégory</v>
      </c>
      <c r="K855" t="str">
        <f ca="1">VLOOKUP(A855,Import_SuiviGlobal_MigAppliSate!A:K,11,FALSE)</f>
        <v>gregory.collin@systeme-u.fr</v>
      </c>
      <c r="O855" s="1" t="s">
        <v>22</v>
      </c>
    </row>
    <row r="856" spans="1:15" ht="12.75" hidden="1" x14ac:dyDescent="0.2">
      <c r="A856">
        <v>38672</v>
      </c>
      <c r="B856" t="str">
        <f ca="1">VLOOKUP(A856,Import_SuiviGlobal_MigAppliSate!A:I,2,FALSE)</f>
        <v>RENNES HOCHE</v>
      </c>
      <c r="C856" t="str">
        <f ca="1">VLOOKUP(A856,Import_SuiviGlobal_MigAppliSate!A:I,3,FALSE)</f>
        <v>U Express</v>
      </c>
      <c r="D856" s="1" t="str">
        <f ca="1">VLOOKUP(A856,Import_SuiviGlobal_MigAppliSate!A:I,4,FALSE)</f>
        <v>Coop U Enseigne Ouest</v>
      </c>
      <c r="E856">
        <f ca="1">VLOOKUP(A856,Import_SuiviGlobal_MigAppliSate!A:I,5,FALSE)</f>
        <v>35000</v>
      </c>
      <c r="F856" t="str">
        <f ca="1">VLOOKUP(A856,Import_SuiviGlobal_MigAppliSate!A:I,6,FALSE)</f>
        <v>10 PLACE HOCHE</v>
      </c>
      <c r="G856" t="str">
        <f ca="1">VLOOKUP(A856,Import_SuiviGlobal_MigAppliSate!A:I,7,FALSE)</f>
        <v>02.23.21.10.60</v>
      </c>
      <c r="H856" t="str">
        <f ca="1">VLOOKUP(A856,Import_SuiviGlobal_MigAppliSate!A:I,8,FALSE)</f>
        <v>GOUSSET RPT FGH FINANCES Franck</v>
      </c>
      <c r="I856" t="str">
        <f ca="1">VLOOKUP(A856,Import_SuiviGlobal_MigAppliSate!A:I,9,FALSE)</f>
        <v>franck.gousset@systeme-u.fr</v>
      </c>
      <c r="J856" s="24" t="str">
        <f ca="1">VLOOKUP(A856,Import_SuiviGlobal_MigAppliSate!A:K,10,FALSE)</f>
        <v>Sébastien LEPAGE</v>
      </c>
      <c r="K856" t="str">
        <f ca="1">VLOOKUP(A856,Import_SuiviGlobal_MigAppliSate!A:K,11,FALSE)</f>
        <v>uexpress.renneshoche@systeme-u.fr</v>
      </c>
      <c r="O856" s="1" t="s">
        <v>22</v>
      </c>
    </row>
    <row r="857" spans="1:15" ht="12.75" hidden="1" x14ac:dyDescent="0.2">
      <c r="A857">
        <v>37910</v>
      </c>
      <c r="B857" t="str">
        <f ca="1">VLOOKUP(A857,Import_SuiviGlobal_MigAppliSate!A:I,2,FALSE)</f>
        <v>RENNES LIBERTE</v>
      </c>
      <c r="C857" t="str">
        <f ca="1">VLOOKUP(A857,Import_SuiviGlobal_MigAppliSate!A:I,3,FALSE)</f>
        <v>U Express</v>
      </c>
      <c r="D857" s="1" t="str">
        <f ca="1">VLOOKUP(A857,Import_SuiviGlobal_MigAppliSate!A:I,4,FALSE)</f>
        <v>Coop U Enseigne Ouest</v>
      </c>
      <c r="E857">
        <f ca="1">VLOOKUP(A857,Import_SuiviGlobal_MigAppliSate!A:I,5,FALSE)</f>
        <v>35000</v>
      </c>
      <c r="F857" t="str">
        <f ca="1">VLOOKUP(A857,Import_SuiviGlobal_MigAppliSate!A:I,6,FALSE)</f>
        <v>27-31 RUE POULLAIN DUPARC</v>
      </c>
      <c r="G857" t="str">
        <f ca="1">VLOOKUP(A857,Import_SuiviGlobal_MigAppliSate!A:I,7,FALSE)</f>
        <v>02.99.53.53.63</v>
      </c>
      <c r="H857" t="str">
        <f ca="1">VLOOKUP(A857,Import_SuiviGlobal_MigAppliSate!A:I,8,FALSE)</f>
        <v>TROTEL Damien</v>
      </c>
      <c r="I857" t="str">
        <f ca="1">VLOOKUP(A857,Import_SuiviGlobal_MigAppliSate!A:I,9,FALSE)</f>
        <v>damien.trotel@systeme-u.fr</v>
      </c>
      <c r="J857" s="24" t="str">
        <f ca="1">VLOOKUP(A857,Import_SuiviGlobal_MigAppliSate!A:K,10,FALSE)</f>
        <v/>
      </c>
      <c r="K857" t="str">
        <f ca="1">VLOOKUP(A857,Import_SuiviGlobal_MigAppliSate!A:K,11,FALSE)</f>
        <v/>
      </c>
      <c r="O857" s="1" t="s">
        <v>22</v>
      </c>
    </row>
    <row r="858" spans="1:15" ht="12.75" hidden="1" x14ac:dyDescent="0.2">
      <c r="A858">
        <v>32879</v>
      </c>
      <c r="B858" t="str">
        <f ca="1">VLOOKUP(A858,Import_SuiviGlobal_MigAppliSate!A:I,2,FALSE)</f>
        <v>RENNES SARAH BERNHARDT</v>
      </c>
      <c r="C858" t="str">
        <f ca="1">VLOOKUP(A858,Import_SuiviGlobal_MigAppliSate!A:I,3,FALSE)</f>
        <v>Super U</v>
      </c>
      <c r="D858" s="1" t="str">
        <f ca="1">VLOOKUP(A858,Import_SuiviGlobal_MigAppliSate!A:I,4,FALSE)</f>
        <v>Coop U Enseigne Ouest</v>
      </c>
      <c r="E858">
        <f ca="1">VLOOKUP(A858,Import_SuiviGlobal_MigAppliSate!A:I,5,FALSE)</f>
        <v>35200</v>
      </c>
      <c r="F858" t="str">
        <f ca="1">VLOOKUP(A858,Import_SuiviGlobal_MigAppliSate!A:I,6,FALSE)</f>
        <v>7, BOULEVARD DE L'YSER</v>
      </c>
      <c r="G858" t="str">
        <f ca="1">VLOOKUP(A858,Import_SuiviGlobal_MigAppliSate!A:I,7,FALSE)</f>
        <v>02.99.53.66.66</v>
      </c>
      <c r="H858" t="str">
        <f ca="1">VLOOKUP(A858,Import_SuiviGlobal_MigAppliSate!A:I,8,FALSE)</f>
        <v>CARDINAL Nicolas</v>
      </c>
      <c r="I858" t="str">
        <f ca="1">VLOOKUP(A858,Import_SuiviGlobal_MigAppliSate!A:I,9,FALSE)</f>
        <v>nicolas.cardinal@systeme-u.fr</v>
      </c>
      <c r="J858" s="24" t="str">
        <f ca="1">VLOOKUP(A858,Import_SuiviGlobal_MigAppliSate!A:K,10,FALSE)</f>
        <v>Christian CARDINAL
MOREL Virgnie</v>
      </c>
      <c r="K858" t="str">
        <f ca="1">VLOOKUP(A858,Import_SuiviGlobal_MigAppliSate!A:K,11,FALSE)</f>
        <v>ccardinal58@gmail.com,superu.rennessarahbernhardt@systeme-u.fr</v>
      </c>
      <c r="O858" s="1" t="s">
        <v>22</v>
      </c>
    </row>
    <row r="859" spans="1:15" ht="12.75" hidden="1" x14ac:dyDescent="0.2">
      <c r="A859">
        <v>33565</v>
      </c>
      <c r="B859" t="str">
        <f ca="1">VLOOKUP(A859,Import_SuiviGlobal_MigAppliSate!A:I,2,FALSE)</f>
        <v>RENNES ST JACQUES</v>
      </c>
      <c r="C859" t="str">
        <f ca="1">VLOOKUP(A859,Import_SuiviGlobal_MigAppliSate!A:I,3,FALSE)</f>
        <v>Super U</v>
      </c>
      <c r="D859" s="1" t="str">
        <f ca="1">VLOOKUP(A859,Import_SuiviGlobal_MigAppliSate!A:I,4,FALSE)</f>
        <v>Coop U Enseigne Ouest</v>
      </c>
      <c r="E859">
        <f ca="1">VLOOKUP(A859,Import_SuiviGlobal_MigAppliSate!A:I,5,FALSE)</f>
        <v>35136</v>
      </c>
      <c r="F859" t="str">
        <f ca="1">VLOOKUP(A859,Import_SuiviGlobal_MigAppliSate!A:I,6,FALSE)</f>
        <v>256, RUE DE NANTES</v>
      </c>
      <c r="G859" t="str">
        <f ca="1">VLOOKUP(A859,Import_SuiviGlobal_MigAppliSate!A:I,7,FALSE)</f>
        <v>02.99.65.14.36</v>
      </c>
      <c r="H859" t="str">
        <f ca="1">VLOOKUP(A859,Import_SuiviGlobal_MigAppliSate!A:I,8,FALSE)</f>
        <v>FERRE RPT SARL HOLDING FERRE Loic</v>
      </c>
      <c r="I859" t="str">
        <f ca="1">VLOOKUP(A859,Import_SuiviGlobal_MigAppliSate!A:I,9,FALSE)</f>
        <v>loic.ferre@systeme-u.fr</v>
      </c>
      <c r="J859" s="24" t="str">
        <f ca="1">VLOOKUP(A859,Import_SuiviGlobal_MigAppliSate!A:K,10,FALSE)</f>
        <v>Sophie FERRE</v>
      </c>
      <c r="K859" t="str">
        <f ca="1">VLOOKUP(A859,Import_SuiviGlobal_MigAppliSate!A:K,11,FALSE)</f>
        <v>sophie.ferre@systeme-u.fr</v>
      </c>
      <c r="O859" s="1" t="s">
        <v>22</v>
      </c>
    </row>
    <row r="860" spans="1:15" ht="12.75" hidden="1" x14ac:dyDescent="0.2">
      <c r="A860">
        <v>38246</v>
      </c>
      <c r="B860" t="str">
        <f ca="1">VLOOKUP(A860,Import_SuiviGlobal_MigAppliSate!A:I,2,FALSE)</f>
        <v>RENNES ST-HELIER</v>
      </c>
      <c r="C860" t="str">
        <f ca="1">VLOOKUP(A860,Import_SuiviGlobal_MigAppliSate!A:I,3,FALSE)</f>
        <v>U Express</v>
      </c>
      <c r="D860" s="1" t="str">
        <f ca="1">VLOOKUP(A860,Import_SuiviGlobal_MigAppliSate!A:I,4,FALSE)</f>
        <v>Coop U Enseigne Ouest</v>
      </c>
      <c r="E860">
        <f ca="1">VLOOKUP(A860,Import_SuiviGlobal_MigAppliSate!A:I,5,FALSE)</f>
        <v>35000</v>
      </c>
      <c r="F860" t="str">
        <f ca="1">VLOOKUP(A860,Import_SuiviGlobal_MigAppliSate!A:I,6,FALSE)</f>
        <v>75, RUE SAINT-HÉLIER</v>
      </c>
      <c r="G860" t="str">
        <f ca="1">VLOOKUP(A860,Import_SuiviGlobal_MigAppliSate!A:I,7,FALSE)</f>
        <v>02.99.31.40.40</v>
      </c>
      <c r="H860" t="str">
        <f ca="1">VLOOKUP(A860,Import_SuiviGlobal_MigAppliSate!A:I,8,FALSE)</f>
        <v>VETTIER Eric</v>
      </c>
      <c r="I860" t="str">
        <f ca="1">VLOOKUP(A860,Import_SuiviGlobal_MigAppliSate!A:I,9,FALSE)</f>
        <v>eric.vettier@systeme-u.fr</v>
      </c>
      <c r="J860" s="24" t="str">
        <f ca="1">VLOOKUP(A860,Import_SuiviGlobal_MigAppliSate!A:K,10,FALSE)</f>
        <v>kernin sébastien</v>
      </c>
      <c r="K860" t="str">
        <f ca="1">VLOOKUP(A860,Import_SuiviGlobal_MigAppliSate!A:K,11,FALSE)</f>
        <v>uexpress.rennessainthelier@systeme-u.fr</v>
      </c>
      <c r="O860" s="1" t="s">
        <v>22</v>
      </c>
    </row>
    <row r="861" spans="1:15" ht="12.75" hidden="1" x14ac:dyDescent="0.2">
      <c r="A861">
        <v>32429</v>
      </c>
      <c r="B861" t="str">
        <f ca="1">VLOOKUP(A861,Import_SuiviGlobal_MigAppliSate!A:I,2,FALSE)</f>
        <v>RETIERS</v>
      </c>
      <c r="C861" t="str">
        <f ca="1">VLOOKUP(A861,Import_SuiviGlobal_MigAppliSate!A:I,3,FALSE)</f>
        <v>Super U</v>
      </c>
      <c r="D861" s="1" t="str">
        <f ca="1">VLOOKUP(A861,Import_SuiviGlobal_MigAppliSate!A:I,4,FALSE)</f>
        <v>Coop U Enseigne Ouest</v>
      </c>
      <c r="E861">
        <f ca="1">VLOOKUP(A861,Import_SuiviGlobal_MigAppliSate!A:I,5,FALSE)</f>
        <v>35240</v>
      </c>
      <c r="F861" t="str">
        <f ca="1">VLOOKUP(A861,Import_SuiviGlobal_MigAppliSate!A:I,6,FALSE)</f>
        <v>43 RUE AUGUSTE PAVIE</v>
      </c>
      <c r="G861" t="str">
        <f ca="1">VLOOKUP(A861,Import_SuiviGlobal_MigAppliSate!A:I,7,FALSE)</f>
        <v>02.99.43.50.75</v>
      </c>
      <c r="H861" t="str">
        <f ca="1">VLOOKUP(A861,Import_SuiviGlobal_MigAppliSate!A:I,8,FALSE)</f>
        <v>BARRE Olivier</v>
      </c>
      <c r="I861" t="str">
        <f ca="1">VLOOKUP(A861,Import_SuiviGlobal_MigAppliSate!A:I,9,FALSE)</f>
        <v>olivier.barre@systeme-u.fr</v>
      </c>
      <c r="J861" s="24" t="str">
        <f ca="1">VLOOKUP(A861,Import_SuiviGlobal_MigAppliSate!A:K,10,FALSE)</f>
        <v>SOURDRIL Sylvie</v>
      </c>
      <c r="K861" t="str">
        <f ca="1">VLOOKUP(A861,Import_SuiviGlobal_MigAppliSate!A:K,11,FALSE)</f>
        <v>superu.retiers@systeme-u.fr</v>
      </c>
      <c r="O861" s="1" t="s">
        <v>22</v>
      </c>
    </row>
    <row r="862" spans="1:15" ht="12.75" hidden="1" x14ac:dyDescent="0.2">
      <c r="A862">
        <v>39105</v>
      </c>
      <c r="B862" t="str">
        <f ca="1">VLOOKUP(A862,Import_SuiviGlobal_MigAppliSate!A:I,2,FALSE)</f>
        <v>REZE GALARNIERE</v>
      </c>
      <c r="C862" t="str">
        <f ca="1">VLOOKUP(A862,Import_SuiviGlobal_MigAppliSate!A:I,3,FALSE)</f>
        <v>Super U</v>
      </c>
      <c r="D862" s="1" t="str">
        <f ca="1">VLOOKUP(A862,Import_SuiviGlobal_MigAppliSate!A:I,4,FALSE)</f>
        <v>Coop U Enseigne Ouest</v>
      </c>
      <c r="E862">
        <f ca="1">VLOOKUP(A862,Import_SuiviGlobal_MigAppliSate!A:I,5,FALSE)</f>
        <v>44400</v>
      </c>
      <c r="F862" t="str">
        <f ca="1">VLOOKUP(A862,Import_SuiviGlobal_MigAppliSate!A:I,6,FALSE)</f>
        <v>22, RUE DE LA GALARNIÈRE</v>
      </c>
      <c r="G862" t="str">
        <f ca="1">VLOOKUP(A862,Import_SuiviGlobal_MigAppliSate!A:I,7,FALSE)</f>
        <v>02.40.13.18.19</v>
      </c>
      <c r="H862" t="str">
        <f ca="1">VLOOKUP(A862,Import_SuiviGlobal_MigAppliSate!A:I,8,FALSE)</f>
        <v>ONNEE Benoît</v>
      </c>
      <c r="I862" t="str">
        <f ca="1">VLOOKUP(A862,Import_SuiviGlobal_MigAppliSate!A:I,9,FALSE)</f>
        <v>benoit.onnee@systeme-u.fr</v>
      </c>
      <c r="J862" s="24" t="str">
        <f ca="1">VLOOKUP(A862,Import_SuiviGlobal_MigAppliSate!A:K,10,FALSE)</f>
        <v xml:space="preserve">NOGUEIRA Melida </v>
      </c>
      <c r="K862" t="str">
        <f ca="1">VLOOKUP(A862,Import_SuiviGlobal_MigAppliSate!A:K,11,FALSE)</f>
        <v>superu.rezelagalarniere.affichage@systeme-u.fr</v>
      </c>
      <c r="O862" s="1" t="s">
        <v>22</v>
      </c>
    </row>
    <row r="863" spans="1:15" ht="12.75" hidden="1" x14ac:dyDescent="0.2">
      <c r="A863">
        <v>60200</v>
      </c>
      <c r="B863" t="str">
        <f ca="1">VLOOKUP(A863,Import_SuiviGlobal_MigAppliSate!A:I,2,FALSE)</f>
        <v>RIEDISHEIM</v>
      </c>
      <c r="C863" t="str">
        <f ca="1">VLOOKUP(A863,Import_SuiviGlobal_MigAppliSate!A:I,3,FALSE)</f>
        <v>Super U</v>
      </c>
      <c r="D863" s="1" t="str">
        <f ca="1">VLOOKUP(A863,Import_SuiviGlobal_MigAppliSate!A:I,4,FALSE)</f>
        <v>Coop U Enseigne Est</v>
      </c>
      <c r="E863">
        <f ca="1">VLOOKUP(A863,Import_SuiviGlobal_MigAppliSate!A:I,5,FALSE)</f>
        <v>68400</v>
      </c>
      <c r="F863" t="str">
        <f ca="1">VLOOKUP(A863,Import_SuiviGlobal_MigAppliSate!A:I,6,FALSE)</f>
        <v>6 Rue du stade</v>
      </c>
      <c r="G863" t="str">
        <f ca="1">VLOOKUP(A863,Import_SuiviGlobal_MigAppliSate!A:I,7,FALSE)</f>
        <v>03.89.54.45.64</v>
      </c>
      <c r="H863" t="str">
        <f ca="1">VLOOKUP(A863,Import_SuiviGlobal_MigAppliSate!A:I,8,FALSE)</f>
        <v>MARQUIS RPT SAS V4ML&amp;C Vincent</v>
      </c>
      <c r="I863" t="str">
        <f ca="1">VLOOKUP(A863,Import_SuiviGlobal_MigAppliSate!A:I,9,FALSE)</f>
        <v>vincent.marquis@systeme-u.fr</v>
      </c>
      <c r="J863" s="24" t="str">
        <f ca="1">VLOOKUP(A863,Import_SuiviGlobal_MigAppliSate!A:K,10,FALSE)</f>
        <v>RISS  Gisèle</v>
      </c>
      <c r="K863" t="str">
        <f ca="1">VLOOKUP(A863,Import_SuiviGlobal_MigAppliSate!A:K,11,FALSE)</f>
        <v>superu.riedisheim.directeur@systeme-u.fr</v>
      </c>
      <c r="O863" s="1" t="s">
        <v>22</v>
      </c>
    </row>
    <row r="864" spans="1:15" ht="12.75" hidden="1" x14ac:dyDescent="0.2">
      <c r="A864">
        <v>95458</v>
      </c>
      <c r="B864" t="str">
        <f ca="1">VLOOKUP(A864,Import_SuiviGlobal_MigAppliSate!A:I,2,FALSE)</f>
        <v>RIEUPEYROUX</v>
      </c>
      <c r="C864" t="str">
        <f ca="1">VLOOKUP(A864,Import_SuiviGlobal_MigAppliSate!A:I,3,FALSE)</f>
        <v>U Express</v>
      </c>
      <c r="D864" s="1" t="str">
        <f ca="1">VLOOKUP(A864,Import_SuiviGlobal_MigAppliSate!A:I,4,FALSE)</f>
        <v>Coop UPSO</v>
      </c>
      <c r="E864">
        <f ca="1">VLOOKUP(A864,Import_SuiviGlobal_MigAppliSate!A:I,5,FALSE)</f>
        <v>12240</v>
      </c>
      <c r="F864" t="str">
        <f ca="1">VLOOKUP(A864,Import_SuiviGlobal_MigAppliSate!A:I,6,FALSE)</f>
        <v>5 AVENUE DU ROUERGUE SUP UTILE</v>
      </c>
      <c r="G864" t="str">
        <f ca="1">VLOOKUP(A864,Import_SuiviGlobal_MigAppliSate!A:I,7,FALSE)</f>
        <v>05.65.65.52.09</v>
      </c>
      <c r="H864" t="str">
        <f ca="1">VLOOKUP(A864,Import_SuiviGlobal_MigAppliSate!A:I,8,FALSE)</f>
        <v>THEMINES Jean-Luc</v>
      </c>
      <c r="I864" t="str">
        <f ca="1">VLOOKUP(A864,Import_SuiviGlobal_MigAppliSate!A:I,9,FALSE)</f>
        <v>jean-luc.themines@systeme-u.fr</v>
      </c>
      <c r="J864" s="24" t="str">
        <f ca="1">VLOOKUP(A864,Import_SuiviGlobal_MigAppliSate!A:K,10,FALSE)</f>
        <v/>
      </c>
      <c r="K864" t="str">
        <f ca="1">VLOOKUP(A864,Import_SuiviGlobal_MigAppliSate!A:K,11,FALSE)</f>
        <v/>
      </c>
      <c r="O864" s="1" t="s">
        <v>22</v>
      </c>
    </row>
    <row r="865" spans="1:15" ht="12.75" hidden="1" x14ac:dyDescent="0.2">
      <c r="A865">
        <v>95457</v>
      </c>
      <c r="B865" t="str">
        <f ca="1">VLOOKUP(A865,Import_SuiviGlobal_MigAppliSate!A:I,2,FALSE)</f>
        <v>RIGNAC</v>
      </c>
      <c r="C865" t="str">
        <f ca="1">VLOOKUP(A865,Import_SuiviGlobal_MigAppliSate!A:I,3,FALSE)</f>
        <v>U Express</v>
      </c>
      <c r="D865" s="1" t="str">
        <f ca="1">VLOOKUP(A865,Import_SuiviGlobal_MigAppliSate!A:I,4,FALSE)</f>
        <v>Coop UPSO</v>
      </c>
      <c r="E865">
        <f ca="1">VLOOKUP(A865,Import_SuiviGlobal_MigAppliSate!A:I,5,FALSE)</f>
        <v>12390</v>
      </c>
      <c r="F865" t="str">
        <f ca="1">VLOOKUP(A865,Import_SuiviGlobal_MigAppliSate!A:I,6,FALSE)</f>
        <v>ROND POINT DE LA CASSAGNE</v>
      </c>
      <c r="G865" t="str">
        <f ca="1">VLOOKUP(A865,Import_SuiviGlobal_MigAppliSate!A:I,7,FALSE)</f>
        <v>05.65.64.44.44</v>
      </c>
      <c r="H865" t="str">
        <f ca="1">VLOOKUP(A865,Import_SuiviGlobal_MigAppliSate!A:I,8,FALSE)</f>
        <v>THEMINES Jean-Luc</v>
      </c>
      <c r="I865" t="str">
        <f ca="1">VLOOKUP(A865,Import_SuiviGlobal_MigAppliSate!A:I,9,FALSE)</f>
        <v>jean-luc.themines@systeme-u.fr</v>
      </c>
      <c r="J865" s="24" t="str">
        <f ca="1">VLOOKUP(A865,Import_SuiviGlobal_MigAppliSate!A:K,10,FALSE)</f>
        <v>ARIES ALINE</v>
      </c>
      <c r="K865" t="str">
        <f ca="1">VLOOKUP(A865,Import_SuiviGlobal_MigAppliSate!A:K,11,FALSE)</f>
        <v>rignac.distrib@orange.fr</v>
      </c>
      <c r="O865" s="1" t="s">
        <v>22</v>
      </c>
    </row>
    <row r="866" spans="1:15" ht="12.75" hidden="1" x14ac:dyDescent="0.2">
      <c r="A866">
        <v>38094</v>
      </c>
      <c r="B866" t="str">
        <f ca="1">VLOOKUP(A866,Import_SuiviGlobal_MigAppliSate!A:I,2,FALSE)</f>
        <v>RIVEDOUX PLAGE</v>
      </c>
      <c r="C866" t="str">
        <f ca="1">VLOOKUP(A866,Import_SuiviGlobal_MigAppliSate!A:I,3,FALSE)</f>
        <v>U Express</v>
      </c>
      <c r="D866" s="1" t="str">
        <f ca="1">VLOOKUP(A866,Import_SuiviGlobal_MigAppliSate!A:I,4,FALSE)</f>
        <v>Coop U Enseigne Ouest</v>
      </c>
      <c r="E866">
        <f ca="1">VLOOKUP(A866,Import_SuiviGlobal_MigAppliSate!A:I,5,FALSE)</f>
        <v>17940</v>
      </c>
      <c r="F866" t="str">
        <f ca="1">VLOOKUP(A866,Import_SuiviGlobal_MigAppliSate!A:I,6,FALSE)</f>
        <v>360 AVENUE GUSTAVE PERREAU</v>
      </c>
      <c r="G866" t="str">
        <f ca="1">VLOOKUP(A866,Import_SuiviGlobal_MigAppliSate!A:I,7,FALSE)</f>
        <v>05.46.67.17.20</v>
      </c>
      <c r="H866" t="str">
        <f ca="1">VLOOKUP(A866,Import_SuiviGlobal_MigAppliSate!A:I,8,FALSE)</f>
        <v>MOTTE Baptiste</v>
      </c>
      <c r="I866" t="str">
        <f ca="1">VLOOKUP(A866,Import_SuiviGlobal_MigAppliSate!A:I,9,FALSE)</f>
        <v>baptiste.motte@systeme-u.fr</v>
      </c>
      <c r="J866" s="24" t="str">
        <f ca="1">VLOOKUP(A866,Import_SuiviGlobal_MigAppliSate!A:K,10,FALSE)</f>
        <v/>
      </c>
      <c r="K866" t="str">
        <f ca="1">VLOOKUP(A866,Import_SuiviGlobal_MigAppliSate!A:K,11,FALSE)</f>
        <v/>
      </c>
      <c r="O866" s="1" t="s">
        <v>22</v>
      </c>
    </row>
    <row r="867" spans="1:15" ht="12.75" hidden="1" x14ac:dyDescent="0.2">
      <c r="A867">
        <v>90519</v>
      </c>
      <c r="B867" t="str">
        <f ca="1">VLOOKUP(A867,Import_SuiviGlobal_MigAppliSate!A:I,2,FALSE)</f>
        <v>ROCBARON</v>
      </c>
      <c r="C867" t="str">
        <f ca="1">VLOOKUP(A867,Import_SuiviGlobal_MigAppliSate!A:I,3,FALSE)</f>
        <v>Super U</v>
      </c>
      <c r="D867" s="1" t="str">
        <f ca="1">VLOOKUP(A867,Import_SuiviGlobal_MigAppliSate!A:I,4,FALSE)</f>
        <v>Coop U Enseigne Sud</v>
      </c>
      <c r="E867">
        <f ca="1">VLOOKUP(A867,Import_SuiviGlobal_MigAppliSate!A:I,5,FALSE)</f>
        <v>83136</v>
      </c>
      <c r="F867" t="str">
        <f ca="1">VLOOKUP(A867,Import_SuiviGlobal_MigAppliSate!A:I,6,FALSE)</f>
        <v>ZAC DU FRAY REDON</v>
      </c>
      <c r="G867" t="str">
        <f ca="1">VLOOKUP(A867,Import_SuiviGlobal_MigAppliSate!A:I,7,FALSE)</f>
        <v>04.94.72.88.88</v>
      </c>
      <c r="H867" t="str">
        <f ca="1">VLOOKUP(A867,Import_SuiviGlobal_MigAppliSate!A:I,8,FALSE)</f>
        <v>HUCHETTE Angelique</v>
      </c>
      <c r="I867" t="str">
        <f ca="1">VLOOKUP(A867,Import_SuiviGlobal_MigAppliSate!A:I,9,FALSE)</f>
        <v>angelique.huchette@systeme-u.fr</v>
      </c>
      <c r="J867" s="24" t="str">
        <f ca="1">VLOOKUP(A867,Import_SuiviGlobal_MigAppliSate!A:K,10,FALSE)</f>
        <v>SUIHLI Mehrez</v>
      </c>
      <c r="K867" t="str">
        <f ca="1">VLOOKUP(A867,Import_SuiviGlobal_MigAppliSate!A:K,11,FALSE)</f>
        <v>superu.rocbaron.direction@systeme-u.fr</v>
      </c>
      <c r="O867" s="1" t="s">
        <v>22</v>
      </c>
    </row>
    <row r="868" spans="1:15" ht="12.75" hidden="1" x14ac:dyDescent="0.2">
      <c r="A868">
        <v>68508</v>
      </c>
      <c r="B868" t="str">
        <f ca="1">VLOOKUP(A868,Import_SuiviGlobal_MigAppliSate!A:I,2,FALSE)</f>
        <v>ROCHE LEZ BEAUPRE</v>
      </c>
      <c r="C868" t="str">
        <f ca="1">VLOOKUP(A868,Import_SuiviGlobal_MigAppliSate!A:I,3,FALSE)</f>
        <v>Super U</v>
      </c>
      <c r="D868" s="1" t="str">
        <f ca="1">VLOOKUP(A868,Import_SuiviGlobal_MigAppliSate!A:I,4,FALSE)</f>
        <v>Coop U Enseigne Est</v>
      </c>
      <c r="E868">
        <f ca="1">VLOOKUP(A868,Import_SuiviGlobal_MigAppliSate!A:I,5,FALSE)</f>
        <v>25220</v>
      </c>
      <c r="F868" t="str">
        <f ca="1">VLOOKUP(A868,Import_SuiviGlobal_MigAppliSate!A:I,6,FALSE)</f>
        <v>Zone Artisanale des Prés Chalots</v>
      </c>
      <c r="G868" t="str">
        <f ca="1">VLOOKUP(A868,Import_SuiviGlobal_MigAppliSate!A:I,7,FALSE)</f>
        <v>03.81.55.44.85</v>
      </c>
      <c r="H868" t="str">
        <f ca="1">VLOOKUP(A868,Import_SuiviGlobal_MigAppliSate!A:I,8,FALSE)</f>
        <v>NEUVILLE Geoffroy</v>
      </c>
      <c r="I868" t="str">
        <f ca="1">VLOOKUP(A868,Import_SuiviGlobal_MigAppliSate!A:I,9,FALSE)</f>
        <v>geoffroy.neuville@systeme-u.fr</v>
      </c>
      <c r="J868" s="24" t="str">
        <f ca="1">VLOOKUP(A868,Import_SuiviGlobal_MigAppliSate!A:K,10,FALSE)</f>
        <v/>
      </c>
      <c r="K868" t="str">
        <f ca="1">VLOOKUP(A868,Import_SuiviGlobal_MigAppliSate!A:K,11,FALSE)</f>
        <v/>
      </c>
      <c r="O868" s="1" t="s">
        <v>22</v>
      </c>
    </row>
    <row r="869" spans="1:15" ht="12.75" x14ac:dyDescent="0.2">
      <c r="A869">
        <v>90629</v>
      </c>
      <c r="B869" t="str">
        <f ca="1">VLOOKUP(A869,Import_SuiviGlobal_MigAppliSate!A:I,2,FALSE)</f>
        <v>ROCHEFORT DU GARD</v>
      </c>
      <c r="C869" t="str">
        <f ca="1">VLOOKUP(A869,Import_SuiviGlobal_MigAppliSate!A:I,3,FALSE)</f>
        <v>U Express</v>
      </c>
      <c r="D869" s="1" t="str">
        <f ca="1">VLOOKUP(A869,Import_SuiviGlobal_MigAppliSate!A:I,4,FALSE)</f>
        <v>Coop MISTRAL</v>
      </c>
      <c r="E869">
        <f ca="1">VLOOKUP(A869,Import_SuiviGlobal_MigAppliSate!A:I,5,FALSE)</f>
        <v>30650</v>
      </c>
      <c r="F869" t="str">
        <f ca="1">VLOOKUP(A869,Import_SuiviGlobal_MigAppliSate!A:I,6,FALSE)</f>
        <v>QUARTIER LE BARRI</v>
      </c>
      <c r="G869" t="str">
        <f ca="1">VLOOKUP(A869,Import_SuiviGlobal_MigAppliSate!A:I,7,FALSE)</f>
        <v>04.90.31.77.02</v>
      </c>
      <c r="H869" t="str">
        <f ca="1">VLOOKUP(A869,Import_SuiviGlobal_MigAppliSate!A:I,8,FALSE)</f>
        <v>GARCIA Daniel et Carine</v>
      </c>
      <c r="I869" t="str">
        <f ca="1">VLOOKUP(A869,Import_SuiviGlobal_MigAppliSate!A:I,9,FALSE)</f>
        <v>uexpress.rochefort@mistral-u.fr</v>
      </c>
      <c r="J869" s="24" t="str">
        <f ca="1">VLOOKUP(A869,Import_SuiviGlobal_MigAppliSate!A:K,10,FALSE)</f>
        <v/>
      </c>
      <c r="K869" t="str">
        <f ca="1">VLOOKUP(A869,Import_SuiviGlobal_MigAppliSate!A:K,11,FALSE)</f>
        <v>delphine.damian@lemistral.fr,helene.mina@lemistral.fr</v>
      </c>
      <c r="L869" t="s">
        <v>17</v>
      </c>
      <c r="M869" t="s">
        <v>0</v>
      </c>
      <c r="O869" s="1" t="s">
        <v>22</v>
      </c>
    </row>
    <row r="870" spans="1:15" ht="12.75" hidden="1" x14ac:dyDescent="0.2">
      <c r="A870">
        <v>21805</v>
      </c>
      <c r="B870" t="str">
        <f ca="1">VLOOKUP(A870,Import_SuiviGlobal_MigAppliSate!A:I,2,FALSE)</f>
        <v>ROCQUENCOURT</v>
      </c>
      <c r="C870" t="str">
        <f ca="1">VLOOKUP(A870,Import_SuiviGlobal_MigAppliSate!A:I,3,FALSE)</f>
        <v>U Express</v>
      </c>
      <c r="D870" s="1" t="str">
        <f ca="1">VLOOKUP(A870,Import_SuiviGlobal_MigAppliSate!A:I,4,FALSE)</f>
        <v>Coop U Enseigne NordOuest</v>
      </c>
      <c r="E870">
        <f ca="1">VLOOKUP(A870,Import_SuiviGlobal_MigAppliSate!A:I,5,FALSE)</f>
        <v>78150</v>
      </c>
      <c r="F870" t="str">
        <f ca="1">VLOOKUP(A870,Import_SuiviGlobal_MigAppliSate!A:I,6,FALSE)</f>
        <v>25 RUE DES ERABLES</v>
      </c>
      <c r="G870" t="str">
        <f ca="1">VLOOKUP(A870,Import_SuiviGlobal_MigAppliSate!A:I,7,FALSE)</f>
        <v>01.39.55.09.81</v>
      </c>
      <c r="H870" t="str">
        <f ca="1">VLOOKUP(A870,Import_SuiviGlobal_MigAppliSate!A:I,8,FALSE)</f>
        <v>GEORGELIN Jean-Yves</v>
      </c>
      <c r="I870" t="str">
        <f ca="1">VLOOKUP(A870,Import_SuiviGlobal_MigAppliSate!A:I,9,FALSE)</f>
        <v/>
      </c>
      <c r="J870" s="24" t="str">
        <f ca="1">VLOOKUP(A870,Import_SuiviGlobal_MigAppliSate!A:K,10,FALSE)</f>
        <v>DIAZ Virginie</v>
      </c>
      <c r="K870" t="str">
        <f ca="1">VLOOKUP(A870,Import_SuiviGlobal_MigAppliSate!A:K,11,FALSE)</f>
        <v>uexpress.rocquencourt@systeme-u.fr</v>
      </c>
      <c r="O870" s="1" t="s">
        <v>22</v>
      </c>
    </row>
    <row r="871" spans="1:15" ht="12.75" x14ac:dyDescent="0.2">
      <c r="A871">
        <v>90611</v>
      </c>
      <c r="B871" t="str">
        <f ca="1">VLOOKUP(A871,Import_SuiviGlobal_MigAppliSate!A:I,2,FALSE)</f>
        <v>ROGNONAS</v>
      </c>
      <c r="C871" t="str">
        <f ca="1">VLOOKUP(A871,Import_SuiviGlobal_MigAppliSate!A:I,3,FALSE)</f>
        <v>U Express</v>
      </c>
      <c r="D871" s="1" t="str">
        <f ca="1">VLOOKUP(A871,Import_SuiviGlobal_MigAppliSate!A:I,4,FALSE)</f>
        <v>Coop MISTRAL</v>
      </c>
      <c r="E871">
        <f ca="1">VLOOKUP(A871,Import_SuiviGlobal_MigAppliSate!A:I,5,FALSE)</f>
        <v>13870</v>
      </c>
      <c r="F871" t="str">
        <f ca="1">VLOOKUP(A871,Import_SuiviGlobal_MigAppliSate!A:I,6,FALSE)</f>
        <v>25 ROUTE D AVIGNON</v>
      </c>
      <c r="G871" t="str">
        <f ca="1">VLOOKUP(A871,Import_SuiviGlobal_MigAppliSate!A:I,7,FALSE)</f>
        <v>04.90.94.81.34</v>
      </c>
      <c r="H871" t="str">
        <f ca="1">VLOOKUP(A871,Import_SuiviGlobal_MigAppliSate!A:I,8,FALSE)</f>
        <v>MARIANI Olivier</v>
      </c>
      <c r="I871" t="str">
        <f ca="1">VLOOKUP(A871,Import_SuiviGlobal_MigAppliSate!A:I,9,FALSE)</f>
        <v>uexpressrognonas@orange.fr</v>
      </c>
      <c r="J871" s="24" t="str">
        <f ca="1">VLOOKUP(A871,Import_SuiviGlobal_MigAppliSate!A:K,10,FALSE)</f>
        <v/>
      </c>
      <c r="K871" t="str">
        <f ca="1">VLOOKUP(A871,Import_SuiviGlobal_MigAppliSate!A:K,11,FALSE)</f>
        <v>delphine.damian@lemistral.fr,helene.mina@lemistral.fr</v>
      </c>
      <c r="L871" t="s">
        <v>17</v>
      </c>
      <c r="M871" t="s">
        <v>0</v>
      </c>
      <c r="O871" s="1" t="s">
        <v>22</v>
      </c>
    </row>
    <row r="872" spans="1:15" ht="12.75" x14ac:dyDescent="0.2">
      <c r="A872">
        <v>60020</v>
      </c>
      <c r="B872" t="str">
        <f ca="1">VLOOKUP(A872,Import_SuiviGlobal_MigAppliSate!A:I,2,FALSE)</f>
        <v>ROHRBACH LES BITCHE</v>
      </c>
      <c r="C872" t="str">
        <f ca="1">VLOOKUP(A872,Import_SuiviGlobal_MigAppliSate!A:I,3,FALSE)</f>
        <v>Super U</v>
      </c>
      <c r="D872" s="1" t="str">
        <f ca="1">VLOOKUP(A872,Import_SuiviGlobal_MigAppliSate!A:I,4,FALSE)</f>
        <v>Coop U Enseigne Est</v>
      </c>
      <c r="E872">
        <f ca="1">VLOOKUP(A872,Import_SuiviGlobal_MigAppliSate!A:I,5,FALSE)</f>
        <v>57410</v>
      </c>
      <c r="F872" t="str">
        <f ca="1">VLOOKUP(A872,Import_SuiviGlobal_MigAppliSate!A:I,6,FALSE)</f>
        <v>ROUTE DE STRASBOURG</v>
      </c>
      <c r="G872" t="str">
        <f ca="1">VLOOKUP(A872,Import_SuiviGlobal_MigAppliSate!A:I,7,FALSE)</f>
        <v>03.87.09.79.09</v>
      </c>
      <c r="H872" t="str">
        <f ca="1">VLOOKUP(A872,Import_SuiviGlobal_MigAppliSate!A:I,8,FALSE)</f>
        <v>GAUB Jean-Luc</v>
      </c>
      <c r="I872" t="str">
        <f ca="1">VLOOKUP(A872,Import_SuiviGlobal_MigAppliSate!A:I,9,FALSE)</f>
        <v>jean-luc.gaub@systeme-u.fr</v>
      </c>
      <c r="J872" s="24" t="str">
        <f ca="1">VLOOKUP(A872,Import_SuiviGlobal_MigAppliSate!A:K,10,FALSE)</f>
        <v/>
      </c>
      <c r="K872" t="str">
        <f ca="1">VLOOKUP(A872,Import_SuiviGlobal_MigAppliSate!A:K,11,FALSE)</f>
        <v/>
      </c>
      <c r="L872" t="s">
        <v>17</v>
      </c>
      <c r="M872" t="s">
        <v>0</v>
      </c>
      <c r="O872" s="1" t="s">
        <v>22</v>
      </c>
    </row>
    <row r="873" spans="1:15" ht="12.75" hidden="1" x14ac:dyDescent="0.2">
      <c r="A873">
        <v>23840</v>
      </c>
      <c r="B873" t="str">
        <f ca="1">VLOOKUP(A873,Import_SuiviGlobal_MigAppliSate!A:I,2,FALSE)</f>
        <v>ROISSY EN BRIE</v>
      </c>
      <c r="C873" t="str">
        <f ca="1">VLOOKUP(A873,Import_SuiviGlobal_MigAppliSate!A:I,3,FALSE)</f>
        <v>Super U</v>
      </c>
      <c r="D873" s="1" t="str">
        <f ca="1">VLOOKUP(A873,Import_SuiviGlobal_MigAppliSate!A:I,4,FALSE)</f>
        <v>Coop U Enseigne NordOuest</v>
      </c>
      <c r="E873">
        <f ca="1">VLOOKUP(A873,Import_SuiviGlobal_MigAppliSate!A:I,5,FALSE)</f>
        <v>77680</v>
      </c>
      <c r="F873" t="str">
        <f ca="1">VLOOKUP(A873,Import_SuiviGlobal_MigAppliSate!A:I,6,FALSE)</f>
        <v>2 RUE DE LA CANARDERIE</v>
      </c>
      <c r="G873" t="str">
        <f ca="1">VLOOKUP(A873,Import_SuiviGlobal_MigAppliSate!A:I,7,FALSE)</f>
        <v>01.60.34.03.40</v>
      </c>
      <c r="H873" t="str">
        <f ca="1">VLOOKUP(A873,Import_SuiviGlobal_MigAppliSate!A:I,8,FALSE)</f>
        <v>PROUX Stéphane</v>
      </c>
      <c r="I873" t="str">
        <f ca="1">VLOOKUP(A873,Import_SuiviGlobal_MigAppliSate!A:I,9,FALSE)</f>
        <v>stephane.proux@systeme-u.fr</v>
      </c>
      <c r="J873" s="24" t="str">
        <f ca="1">VLOOKUP(A873,Import_SuiviGlobal_MigAppliSate!A:K,10,FALSE)</f>
        <v>M. L'HUILIER
Mme CROIN</v>
      </c>
      <c r="K873" t="str">
        <f ca="1">VLOOKUP(A873,Import_SuiviGlobal_MigAppliSate!A:K,11,FALSE)</f>
        <v>lolita.croin@systeme-u.fr</v>
      </c>
      <c r="O873" s="1" t="s">
        <v>22</v>
      </c>
    </row>
    <row r="874" spans="1:15" ht="12.75" hidden="1" x14ac:dyDescent="0.2">
      <c r="A874">
        <v>90477</v>
      </c>
      <c r="B874" t="str">
        <f ca="1">VLOOKUP(A874,Import_SuiviGlobal_MigAppliSate!A:I,2,FALSE)</f>
        <v>ROMANS</v>
      </c>
      <c r="C874" t="str">
        <f ca="1">VLOOKUP(A874,Import_SuiviGlobal_MigAppliSate!A:I,3,FALSE)</f>
        <v>Hyper U</v>
      </c>
      <c r="D874" s="1" t="str">
        <f ca="1">VLOOKUP(A874,Import_SuiviGlobal_MigAppliSate!A:I,4,FALSE)</f>
        <v>Coop U Enseigne Sud</v>
      </c>
      <c r="E874">
        <f ca="1">VLOOKUP(A874,Import_SuiviGlobal_MigAppliSate!A:I,5,FALSE)</f>
        <v>26109</v>
      </c>
      <c r="F874" t="str">
        <f ca="1">VLOOKUP(A874,Import_SuiviGlobal_MigAppliSate!A:I,6,FALSE)</f>
        <v>ROUTE DE LYON BP 187</v>
      </c>
      <c r="G874" t="str">
        <f ca="1">VLOOKUP(A874,Import_SuiviGlobal_MigAppliSate!A:I,7,FALSE)</f>
        <v>04.75.70.82.00</v>
      </c>
      <c r="H874" t="str">
        <f ca="1">VLOOKUP(A874,Import_SuiviGlobal_MigAppliSate!A:I,8,FALSE)</f>
        <v>DOIRE Philippe</v>
      </c>
      <c r="I874" t="str">
        <f ca="1">VLOOKUP(A874,Import_SuiviGlobal_MigAppliSate!A:I,9,FALSE)</f>
        <v>philippe.doire@systeme-u.fr</v>
      </c>
      <c r="J874" s="24" t="str">
        <f ca="1">VLOOKUP(A874,Import_SuiviGlobal_MigAppliSate!A:K,10,FALSE)</f>
        <v>DOIRE Gary</v>
      </c>
      <c r="K874" t="str">
        <f ca="1">VLOOKUP(A874,Import_SuiviGlobal_MigAppliSate!A:K,11,FALSE)</f>
        <v>gary.doire@systeme-u.fr</v>
      </c>
      <c r="O874" s="1" t="s">
        <v>22</v>
      </c>
    </row>
    <row r="875" spans="1:15" ht="12.75" hidden="1" x14ac:dyDescent="0.2">
      <c r="A875">
        <v>90456</v>
      </c>
      <c r="B875" t="str">
        <f ca="1">VLOOKUP(A875,Import_SuiviGlobal_MigAppliSate!A:I,2,FALSE)</f>
        <v>ROMANS GAMBETTA</v>
      </c>
      <c r="C875" t="str">
        <f ca="1">VLOOKUP(A875,Import_SuiviGlobal_MigAppliSate!A:I,3,FALSE)</f>
        <v>Super U</v>
      </c>
      <c r="D875" s="1" t="str">
        <f ca="1">VLOOKUP(A875,Import_SuiviGlobal_MigAppliSate!A:I,4,FALSE)</f>
        <v>Coop U Enseigne Sud</v>
      </c>
      <c r="E875">
        <f ca="1">VLOOKUP(A875,Import_SuiviGlobal_MigAppliSate!A:I,5,FALSE)</f>
        <v>26100</v>
      </c>
      <c r="F875" t="str">
        <f ca="1">VLOOKUP(A875,Import_SuiviGlobal_MigAppliSate!A:I,6,FALSE)</f>
        <v>56 AVENUE GAMBETTA</v>
      </c>
      <c r="G875" t="str">
        <f ca="1">VLOOKUP(A875,Import_SuiviGlobal_MigAppliSate!A:I,7,FALSE)</f>
        <v>04.75.70.53.54</v>
      </c>
      <c r="H875" t="str">
        <f ca="1">VLOOKUP(A875,Import_SuiviGlobal_MigAppliSate!A:I,8,FALSE)</f>
        <v xml:space="preserve">BEDROSSIAN David </v>
      </c>
      <c r="I875" t="str">
        <f ca="1">VLOOKUP(A875,Import_SuiviGlobal_MigAppliSate!A:I,9,FALSE)</f>
        <v>david.bedrossian@systeme-u.fr</v>
      </c>
      <c r="J875" s="24" t="str">
        <f ca="1">VLOOKUP(A875,Import_SuiviGlobal_MigAppliSate!A:K,10,FALSE)</f>
        <v/>
      </c>
      <c r="K875" t="str">
        <f ca="1">VLOOKUP(A875,Import_SuiviGlobal_MigAppliSate!A:K,11,FALSE)</f>
        <v/>
      </c>
      <c r="L875" s="1" t="s">
        <v>20</v>
      </c>
      <c r="M875" s="1" t="s">
        <v>27</v>
      </c>
      <c r="O875" s="1" t="s">
        <v>22</v>
      </c>
    </row>
    <row r="876" spans="1:15" ht="12.75" hidden="1" x14ac:dyDescent="0.2">
      <c r="A876">
        <v>31821</v>
      </c>
      <c r="B876" t="str">
        <f ca="1">VLOOKUP(A876,Import_SuiviGlobal_MigAppliSate!A:I,2,FALSE)</f>
        <v>ROMILLE</v>
      </c>
      <c r="C876" t="str">
        <f ca="1">VLOOKUP(A876,Import_SuiviGlobal_MigAppliSate!A:I,3,FALSE)</f>
        <v>Super U</v>
      </c>
      <c r="D876" s="1" t="str">
        <f ca="1">VLOOKUP(A876,Import_SuiviGlobal_MigAppliSate!A:I,4,FALSE)</f>
        <v>Coop U Enseigne Ouest</v>
      </c>
      <c r="E876">
        <f ca="1">VLOOKUP(A876,Import_SuiviGlobal_MigAppliSate!A:I,5,FALSE)</f>
        <v>35850</v>
      </c>
      <c r="F876" t="str">
        <f ca="1">VLOOKUP(A876,Import_SuiviGlobal_MigAppliSate!A:I,6,FALSE)</f>
        <v>2, RUE DE BROCÉLIANDE</v>
      </c>
      <c r="G876" t="str">
        <f ca="1">VLOOKUP(A876,Import_SuiviGlobal_MigAppliSate!A:I,7,FALSE)</f>
        <v>02.99.68.28.30</v>
      </c>
      <c r="H876" t="str">
        <f ca="1">VLOOKUP(A876,Import_SuiviGlobal_MigAppliSate!A:I,8,FALSE)</f>
        <v>VANDERKELEN RPT SARL VANDER Romain</v>
      </c>
      <c r="I876" t="str">
        <f ca="1">VLOOKUP(A876,Import_SuiviGlobal_MigAppliSate!A:I,9,FALSE)</f>
        <v>romain.vanderkelen@systeme-u.fr</v>
      </c>
      <c r="J876" s="24" t="str">
        <f ca="1">VLOOKUP(A876,Import_SuiviGlobal_MigAppliSate!A:K,10,FALSE)</f>
        <v/>
      </c>
      <c r="K876" t="str">
        <f ca="1">VLOOKUP(A876,Import_SuiviGlobal_MigAppliSate!A:K,11,FALSE)</f>
        <v/>
      </c>
      <c r="O876" s="1" t="s">
        <v>22</v>
      </c>
    </row>
    <row r="877" spans="1:15" ht="12.75" hidden="1" x14ac:dyDescent="0.2">
      <c r="A877">
        <v>90470</v>
      </c>
      <c r="B877" t="str">
        <f ca="1">VLOOKUP(A877,Import_SuiviGlobal_MigAppliSate!A:I,2,FALSE)</f>
        <v>ROQUEBRUNE CAP</v>
      </c>
      <c r="C877" t="str">
        <f ca="1">VLOOKUP(A877,Import_SuiviGlobal_MigAppliSate!A:I,3,FALSE)</f>
        <v>U Express</v>
      </c>
      <c r="D877" s="1" t="str">
        <f ca="1">VLOOKUP(A877,Import_SuiviGlobal_MigAppliSate!A:I,4,FALSE)</f>
        <v>Coop U Enseigne Sud</v>
      </c>
      <c r="E877">
        <f ca="1">VLOOKUP(A877,Import_SuiviGlobal_MigAppliSate!A:I,5,FALSE)</f>
        <v>6190</v>
      </c>
      <c r="F877" t="str">
        <f ca="1">VLOOKUP(A877,Import_SuiviGlobal_MigAppliSate!A:I,6,FALSE)</f>
        <v>20 AV MARECHAL FOCH</v>
      </c>
      <c r="G877" t="str">
        <f ca="1">VLOOKUP(A877,Import_SuiviGlobal_MigAppliSate!A:I,7,FALSE)</f>
        <v>04.93.35.92.80</v>
      </c>
      <c r="H877" t="str">
        <f ca="1">VLOOKUP(A877,Import_SuiviGlobal_MigAppliSate!A:I,8,FALSE)</f>
        <v>MARIOTTI Christian</v>
      </c>
      <c r="I877" t="str">
        <f ca="1">VLOOKUP(A877,Import_SuiviGlobal_MigAppliSate!A:I,9,FALSE)</f>
        <v>christian.mariotti@systeme-u.fr</v>
      </c>
      <c r="J877" s="24" t="str">
        <f ca="1">VLOOKUP(A877,Import_SuiviGlobal_MigAppliSate!A:K,10,FALSE)</f>
        <v>MARIOTTI CEDRIC</v>
      </c>
      <c r="K877" t="str">
        <f ca="1">VLOOKUP(A877,Import_SuiviGlobal_MigAppliSate!A:K,11,FALSE)</f>
        <v>cedric.mariotti@systeme-u.fr</v>
      </c>
      <c r="O877" s="1" t="s">
        <v>22</v>
      </c>
    </row>
    <row r="878" spans="1:15" ht="12.75" hidden="1" x14ac:dyDescent="0.2">
      <c r="A878">
        <v>23573</v>
      </c>
      <c r="B878" t="str">
        <f ca="1">VLOOKUP(A878,Import_SuiviGlobal_MigAppliSate!A:I,2,FALSE)</f>
        <v>ROSNY SUR SEINE</v>
      </c>
      <c r="C878" t="str">
        <f ca="1">VLOOKUP(A878,Import_SuiviGlobal_MigAppliSate!A:I,3,FALSE)</f>
        <v>U Express</v>
      </c>
      <c r="D878" s="1" t="str">
        <f ca="1">VLOOKUP(A878,Import_SuiviGlobal_MigAppliSate!A:I,4,FALSE)</f>
        <v>Coop U Enseigne NordOuest</v>
      </c>
      <c r="E878">
        <f ca="1">VLOOKUP(A878,Import_SuiviGlobal_MigAppliSate!A:I,5,FALSE)</f>
        <v>78710</v>
      </c>
      <c r="F878" t="str">
        <f ca="1">VLOOKUP(A878,Import_SuiviGlobal_MigAppliSate!A:I,6,FALSE)</f>
        <v>12 GRAND PLACE</v>
      </c>
      <c r="G878" t="str">
        <f ca="1">VLOOKUP(A878,Import_SuiviGlobal_MigAppliSate!A:I,7,FALSE)</f>
        <v>01.30.98.98.10</v>
      </c>
      <c r="H878" t="str">
        <f ca="1">VLOOKUP(A878,Import_SuiviGlobal_MigAppliSate!A:I,8,FALSE)</f>
        <v>SCHOUTTETEN Géry</v>
      </c>
      <c r="I878" t="str">
        <f ca="1">VLOOKUP(A878,Import_SuiviGlobal_MigAppliSate!A:I,9,FALSE)</f>
        <v>gery.schoutteten@systeme-u.fr</v>
      </c>
      <c r="J878" s="24" t="str">
        <f ca="1">VLOOKUP(A878,Import_SuiviGlobal_MigAppliSate!A:K,10,FALSE)</f>
        <v>HACQUIN Karine</v>
      </c>
      <c r="K878" t="str">
        <f ca="1">VLOOKUP(A878,Import_SuiviGlobal_MigAppliSate!A:K,11,FALSE)</f>
        <v>uexpress.rosnysurseine@systeme-u.fr</v>
      </c>
      <c r="L878" t="s">
        <v>20</v>
      </c>
      <c r="M878" s="1" t="s">
        <v>21</v>
      </c>
      <c r="O878" s="1" t="s">
        <v>22</v>
      </c>
    </row>
    <row r="879" spans="1:15" ht="12.75" hidden="1" x14ac:dyDescent="0.2">
      <c r="A879">
        <v>31961</v>
      </c>
      <c r="B879" t="str">
        <f ca="1">VLOOKUP(A879,Import_SuiviGlobal_MigAppliSate!A:I,2,FALSE)</f>
        <v>ROSPORDEN</v>
      </c>
      <c r="C879" t="str">
        <f ca="1">VLOOKUP(A879,Import_SuiviGlobal_MigAppliSate!A:I,3,FALSE)</f>
        <v>Super U</v>
      </c>
      <c r="D879" s="1" t="str">
        <f ca="1">VLOOKUP(A879,Import_SuiviGlobal_MigAppliSate!A:I,4,FALSE)</f>
        <v>Coop U Enseigne Ouest</v>
      </c>
      <c r="E879">
        <f ca="1">VLOOKUP(A879,Import_SuiviGlobal_MigAppliSate!A:I,5,FALSE)</f>
        <v>29140</v>
      </c>
      <c r="F879" t="str">
        <f ca="1">VLOOKUP(A879,Import_SuiviGlobal_MigAppliSate!A:I,6,FALSE)</f>
        <v>ROUTE DE QUIMPER</v>
      </c>
      <c r="G879" t="str">
        <f ca="1">VLOOKUP(A879,Import_SuiviGlobal_MigAppliSate!A:I,7,FALSE)</f>
        <v>02.98.59.25.14</v>
      </c>
      <c r="H879" t="str">
        <f ca="1">VLOOKUP(A879,Import_SuiviGlobal_MigAppliSate!A:I,8,FALSE)</f>
        <v>MORAND RPT SARL MORAND DISTRI Alexandre</v>
      </c>
      <c r="I879" t="str">
        <f ca="1">VLOOKUP(A879,Import_SuiviGlobal_MigAppliSate!A:I,9,FALSE)</f>
        <v>alexandre.morand@systeme-u.fr</v>
      </c>
      <c r="J879" s="24" t="str">
        <f ca="1">VLOOKUP(A879,Import_SuiviGlobal_MigAppliSate!A:K,10,FALSE)</f>
        <v>Carole (UPLV)</v>
      </c>
      <c r="K879" t="str">
        <f ca="1">VLOOKUP(A879,Import_SuiviGlobal_MigAppliSate!A:K,11,FALSE)</f>
        <v>superu.rosporden.direction@systeme-u.fr</v>
      </c>
      <c r="O879" s="1" t="s">
        <v>22</v>
      </c>
    </row>
    <row r="880" spans="1:15" ht="12.75" hidden="1" x14ac:dyDescent="0.2">
      <c r="A880">
        <v>68506</v>
      </c>
      <c r="B880" t="str">
        <f ca="1">VLOOKUP(A880,Import_SuiviGlobal_MigAppliSate!A:I,2,FALSE)</f>
        <v>ROTH-HAMBACH</v>
      </c>
      <c r="C880" t="str">
        <f ca="1">VLOOKUP(A880,Import_SuiviGlobal_MigAppliSate!A:I,3,FALSE)</f>
        <v>Super U</v>
      </c>
      <c r="D880" s="1" t="str">
        <f ca="1">VLOOKUP(A880,Import_SuiviGlobal_MigAppliSate!A:I,4,FALSE)</f>
        <v>Coop U Enseigne Est</v>
      </c>
      <c r="E880">
        <f ca="1">VLOOKUP(A880,Import_SuiviGlobal_MigAppliSate!A:I,5,FALSE)</f>
        <v>57910</v>
      </c>
      <c r="F880" t="str">
        <f ca="1">VLOOKUP(A880,Import_SuiviGlobal_MigAppliSate!A:I,6,FALSE)</f>
        <v>89 RUE PRINCIPALE</v>
      </c>
      <c r="G880" t="str">
        <f ca="1">VLOOKUP(A880,Import_SuiviGlobal_MigAppliSate!A:I,7,FALSE)</f>
        <v>03.87.98.92.80</v>
      </c>
      <c r="H880" t="str">
        <f ca="1">VLOOKUP(A880,Import_SuiviGlobal_MigAppliSate!A:I,8,FALSE)</f>
        <v>DIAGUE Michel</v>
      </c>
      <c r="I880" t="str">
        <f ca="1">VLOOKUP(A880,Import_SuiviGlobal_MigAppliSate!A:I,9,FALSE)</f>
        <v>michel.diague@systeme-u.fr</v>
      </c>
      <c r="J880" s="24" t="str">
        <f ca="1">VLOOKUP(A880,Import_SuiviGlobal_MigAppliSate!A:K,10,FALSE)</f>
        <v>Christelle Kanny (UPLV)</v>
      </c>
      <c r="K880" t="str">
        <f ca="1">VLOOKUP(A880,Import_SuiviGlobal_MigAppliSate!A:K,11,FALSE)</f>
        <v/>
      </c>
      <c r="O880" s="1" t="s">
        <v>22</v>
      </c>
    </row>
    <row r="881" spans="1:18" ht="12.75" hidden="1" x14ac:dyDescent="0.2">
      <c r="A881">
        <v>24278</v>
      </c>
      <c r="B881" t="str">
        <f ca="1">VLOOKUP(A881,Import_SuiviGlobal_MigAppliSate!A:I,2,FALSE)</f>
        <v>ROUEN CAUCHOISE</v>
      </c>
      <c r="C881" t="str">
        <f ca="1">VLOOKUP(A881,Import_SuiviGlobal_MigAppliSate!A:I,3,FALSE)</f>
        <v>U Express</v>
      </c>
      <c r="D881" s="1" t="str">
        <f ca="1">VLOOKUP(A881,Import_SuiviGlobal_MigAppliSate!A:I,4,FALSE)</f>
        <v>Coop U Enseigne NordOuest</v>
      </c>
      <c r="E881">
        <f ca="1">VLOOKUP(A881,Import_SuiviGlobal_MigAppliSate!A:I,5,FALSE)</f>
        <v>76000</v>
      </c>
      <c r="F881" t="str">
        <f ca="1">VLOOKUP(A881,Import_SuiviGlobal_MigAppliSate!A:I,6,FALSE)</f>
        <v>1 A 9 RUE CAUCHOISE</v>
      </c>
      <c r="G881" t="str">
        <f ca="1">VLOOKUP(A881,Import_SuiviGlobal_MigAppliSate!A:I,7,FALSE)</f>
        <v>02.35.71.83.04</v>
      </c>
      <c r="H881" t="str">
        <f ca="1">VLOOKUP(A881,Import_SuiviGlobal_MigAppliSate!A:I,8,FALSE)</f>
        <v>SAGEAU Maxime</v>
      </c>
      <c r="I881" t="str">
        <f ca="1">VLOOKUP(A881,Import_SuiviGlobal_MigAppliSate!A:I,9,FALSE)</f>
        <v>maxime.sageau@systeme-u.fr</v>
      </c>
      <c r="J881" s="24" t="str">
        <f ca="1">VLOOKUP(A881,Import_SuiviGlobal_MigAppliSate!A:K,10,FALSE)</f>
        <v>Philippe Ravier</v>
      </c>
      <c r="K881" t="str">
        <f ca="1">VLOOKUP(A881,Import_SuiviGlobal_MigAppliSate!A:K,11,FALSE)</f>
        <v>philippe.ravier@systeme-u.fr</v>
      </c>
      <c r="L881" t="s">
        <v>17</v>
      </c>
      <c r="M881" s="1" t="s">
        <v>24</v>
      </c>
      <c r="N881" s="1" t="s">
        <v>29</v>
      </c>
      <c r="O881" s="1" t="s">
        <v>19</v>
      </c>
      <c r="P881" s="15"/>
      <c r="Q881" s="18"/>
      <c r="R881" s="18"/>
    </row>
    <row r="882" spans="1:18" ht="12.75" hidden="1" x14ac:dyDescent="0.2">
      <c r="A882">
        <v>25584</v>
      </c>
      <c r="B882" t="str">
        <f ca="1">VLOOKUP(A882,Import_SuiviGlobal_MigAppliSate!A:I,2,FALSE)</f>
        <v>ROUEN DE GAULLE</v>
      </c>
      <c r="C882" t="str">
        <f ca="1">VLOOKUP(A882,Import_SuiviGlobal_MigAppliSate!A:I,3,FALSE)</f>
        <v>U Express</v>
      </c>
      <c r="D882" s="1" t="str">
        <f ca="1">VLOOKUP(A882,Import_SuiviGlobal_MigAppliSate!A:I,4,FALSE)</f>
        <v>Coop U Enseigne NordOuest</v>
      </c>
      <c r="E882">
        <f ca="1">VLOOKUP(A882,Import_SuiviGlobal_MigAppliSate!A:I,5,FALSE)</f>
        <v>76000</v>
      </c>
      <c r="F882" t="str">
        <f ca="1">VLOOKUP(A882,Import_SuiviGlobal_MigAppliSate!A:I,6,FALSE)</f>
        <v>11 PLACE DU GÉNÉRAL DE GAULLE</v>
      </c>
      <c r="G882" t="str">
        <f ca="1">VLOOKUP(A882,Import_SuiviGlobal_MigAppliSate!A:I,7,FALSE)</f>
        <v>02.32.76.11.50</v>
      </c>
      <c r="H882" t="str">
        <f ca="1">VLOOKUP(A882,Import_SuiviGlobal_MigAppliSate!A:I,8,FALSE)</f>
        <v>DE BILIO Salvator</v>
      </c>
      <c r="I882" t="str">
        <f ca="1">VLOOKUP(A882,Import_SuiviGlobal_MigAppliSate!A:I,9,FALSE)</f>
        <v>salvator.debilio@systeme-u.fr</v>
      </c>
      <c r="J882" s="24" t="str">
        <f ca="1">VLOOKUP(A882,Import_SuiviGlobal_MigAppliSate!A:K,10,FALSE)</f>
        <v/>
      </c>
      <c r="K882" t="str">
        <f ca="1">VLOOKUP(A882,Import_SuiviGlobal_MigAppliSate!A:K,11,FALSE)</f>
        <v/>
      </c>
      <c r="O882" s="1" t="s">
        <v>22</v>
      </c>
    </row>
    <row r="883" spans="1:18" ht="12.75" hidden="1" x14ac:dyDescent="0.2">
      <c r="A883">
        <v>63308</v>
      </c>
      <c r="B883" t="str">
        <f ca="1">VLOOKUP(A883,Import_SuiviGlobal_MigAppliSate!A:I,2,FALSE)</f>
        <v>ROUGEMONT</v>
      </c>
      <c r="C883" t="str">
        <f ca="1">VLOOKUP(A883,Import_SuiviGlobal_MigAppliSate!A:I,3,FALSE)</f>
        <v>U Express</v>
      </c>
      <c r="D883" s="1" t="str">
        <f ca="1">VLOOKUP(A883,Import_SuiviGlobal_MigAppliSate!A:I,4,FALSE)</f>
        <v>Coop U Enseigne Est</v>
      </c>
      <c r="E883">
        <f ca="1">VLOOKUP(A883,Import_SuiviGlobal_MigAppliSate!A:I,5,FALSE)</f>
        <v>25680</v>
      </c>
      <c r="F883" t="str">
        <f ca="1">VLOOKUP(A883,Import_SuiviGlobal_MigAppliSate!A:I,6,FALSE)</f>
        <v>1 AVENUE DE LA GARE</v>
      </c>
      <c r="G883" t="str">
        <f ca="1">VLOOKUP(A883,Import_SuiviGlobal_MigAppliSate!A:I,7,FALSE)</f>
        <v>03.81.86.91.98</v>
      </c>
      <c r="H883" t="str">
        <f ca="1">VLOOKUP(A883,Import_SuiviGlobal_MigAppliSate!A:I,8,FALSE)</f>
        <v>SANDOZ Michel</v>
      </c>
      <c r="I883" t="str">
        <f ca="1">VLOOKUP(A883,Import_SuiviGlobal_MigAppliSate!A:I,9,FALSE)</f>
        <v>michel.sandoz@systeme-u.fr</v>
      </c>
      <c r="J883" s="24" t="str">
        <f ca="1">VLOOKUP(A883,Import_SuiviGlobal_MigAppliSate!A:K,10,FALSE)</f>
        <v/>
      </c>
      <c r="K883" t="str">
        <f ca="1">VLOOKUP(A883,Import_SuiviGlobal_MigAppliSate!A:K,11,FALSE)</f>
        <v/>
      </c>
      <c r="O883" s="1" t="s">
        <v>22</v>
      </c>
    </row>
    <row r="884" spans="1:18" ht="12.75" hidden="1" x14ac:dyDescent="0.2">
      <c r="A884">
        <v>35118</v>
      </c>
      <c r="B884" t="str">
        <f ca="1">VLOOKUP(A884,Import_SuiviGlobal_MigAppliSate!A:I,2,FALSE)</f>
        <v>ROUILLAC</v>
      </c>
      <c r="C884" t="str">
        <f ca="1">VLOOKUP(A884,Import_SuiviGlobal_MigAppliSate!A:I,3,FALSE)</f>
        <v>Super U</v>
      </c>
      <c r="D884" s="1" t="str">
        <f ca="1">VLOOKUP(A884,Import_SuiviGlobal_MigAppliSate!A:I,4,FALSE)</f>
        <v>Coop U Enseigne Ouest</v>
      </c>
      <c r="E884">
        <f ca="1">VLOOKUP(A884,Import_SuiviGlobal_MigAppliSate!A:I,5,FALSE)</f>
        <v>16170</v>
      </c>
      <c r="F884" t="str">
        <f ca="1">VLOOKUP(A884,Import_SuiviGlobal_MigAppliSate!A:I,6,FALSE)</f>
        <v>ROUTE DE GENAC</v>
      </c>
      <c r="G884" t="str">
        <f ca="1">VLOOKUP(A884,Import_SuiviGlobal_MigAppliSate!A:I,7,FALSE)</f>
        <v>05.45.96.87.88</v>
      </c>
      <c r="H884" t="str">
        <f ca="1">VLOOKUP(A884,Import_SuiviGlobal_MigAppliSate!A:I,8,FALSE)</f>
        <v>TOUZEAU Philippe</v>
      </c>
      <c r="I884" t="str">
        <f ca="1">VLOOKUP(A884,Import_SuiviGlobal_MigAppliSate!A:I,9,FALSE)</f>
        <v>philippe.touzeau@systeme-u.fr</v>
      </c>
      <c r="J884" s="24" t="str">
        <f ca="1">VLOOKUP(A884,Import_SuiviGlobal_MigAppliSate!A:K,10,FALSE)</f>
        <v>COLOMBIER Laeticia</v>
      </c>
      <c r="K884" t="str">
        <f ca="1">VLOOKUP(A884,Import_SuiviGlobal_MigAppliSate!A:K,11,FALSE)</f>
        <v>superu.rouillac@systeme-u.fr</v>
      </c>
      <c r="O884" s="1" t="s">
        <v>22</v>
      </c>
    </row>
    <row r="885" spans="1:18" ht="12.75" hidden="1" x14ac:dyDescent="0.2">
      <c r="A885">
        <v>90527</v>
      </c>
      <c r="B885" t="str">
        <f ca="1">VLOOKUP(A885,Import_SuiviGlobal_MigAppliSate!A:I,2,FALSE)</f>
        <v>ROUJAN</v>
      </c>
      <c r="C885" t="str">
        <f ca="1">VLOOKUP(A885,Import_SuiviGlobal_MigAppliSate!A:I,3,FALSE)</f>
        <v>Super U</v>
      </c>
      <c r="D885" s="1" t="str">
        <f ca="1">VLOOKUP(A885,Import_SuiviGlobal_MigAppliSate!A:I,4,FALSE)</f>
        <v>Coop U Enseigne Sud</v>
      </c>
      <c r="E885">
        <f ca="1">VLOOKUP(A885,Import_SuiviGlobal_MigAppliSate!A:I,5,FALSE)</f>
        <v>34320</v>
      </c>
      <c r="F885" t="str">
        <f ca="1">VLOOKUP(A885,Import_SuiviGlobal_MigAppliSate!A:I,6,FALSE)</f>
        <v>ZONE COMMERCIALE CAPCAROUX</v>
      </c>
      <c r="G885" t="str">
        <f ca="1">VLOOKUP(A885,Import_SuiviGlobal_MigAppliSate!A:I,7,FALSE)</f>
        <v>04.67.24.60.05</v>
      </c>
      <c r="H885" t="str">
        <f ca="1">VLOOKUP(A885,Import_SuiviGlobal_MigAppliSate!A:I,8,FALSE)</f>
        <v>BORDES Gerald</v>
      </c>
      <c r="I885" t="str">
        <f ca="1">VLOOKUP(A885,Import_SuiviGlobal_MigAppliSate!A:I,9,FALSE)</f>
        <v>gerald.bordes@systeme-u.fr</v>
      </c>
      <c r="J885" s="24" t="str">
        <f ca="1">VLOOKUP(A885,Import_SuiviGlobal_MigAppliSate!A:K,10,FALSE)</f>
        <v/>
      </c>
      <c r="K885" t="str">
        <f ca="1">VLOOKUP(A885,Import_SuiviGlobal_MigAppliSate!A:K,11,FALSE)</f>
        <v/>
      </c>
      <c r="O885" s="1" t="s">
        <v>22</v>
      </c>
    </row>
    <row r="886" spans="1:18" ht="12.75" hidden="1" x14ac:dyDescent="0.2">
      <c r="A886">
        <v>34185</v>
      </c>
      <c r="B886" t="str">
        <f ca="1">VLOOKUP(A886,Import_SuiviGlobal_MigAppliSate!A:I,2,FALSE)</f>
        <v>ROUMAZIÈRES</v>
      </c>
      <c r="C886" t="str">
        <f ca="1">VLOOKUP(A886,Import_SuiviGlobal_MigAppliSate!A:I,3,FALSE)</f>
        <v>U Express</v>
      </c>
      <c r="D886" s="1" t="str">
        <f ca="1">VLOOKUP(A886,Import_SuiviGlobal_MigAppliSate!A:I,4,FALSE)</f>
        <v>Coop Atlantique</v>
      </c>
      <c r="E886">
        <f ca="1">VLOOKUP(A886,Import_SuiviGlobal_MigAppliSate!A:I,5,FALSE)</f>
        <v>16270</v>
      </c>
      <c r="F886" t="str">
        <f ca="1">VLOOKUP(A886,Import_SuiviGlobal_MigAppliSate!A:I,6,FALSE)</f>
        <v>RUE DES PALEINES</v>
      </c>
      <c r="G886" t="str">
        <f ca="1">VLOOKUP(A886,Import_SuiviGlobal_MigAppliSate!A:I,7,FALSE)</f>
        <v>05.45.71.29.30</v>
      </c>
      <c r="H886" t="str">
        <f ca="1">VLOOKUP(A886,Import_SuiviGlobal_MigAppliSate!A:I,8,FALSE)</f>
        <v>FLAMBARD Hervé</v>
      </c>
      <c r="I886" t="str">
        <f ca="1">VLOOKUP(A886,Import_SuiviGlobal_MigAppliSate!A:I,9,FALSE)</f>
        <v>bertrand.defontaine_coop_su_uex@systeme-u.fr</v>
      </c>
      <c r="J886" s="24" t="str">
        <f ca="1">VLOOKUP(A886,Import_SuiviGlobal_MigAppliSate!A:K,10,FALSE)</f>
        <v>Thierry POINCON / Dominique LACALLE</v>
      </c>
      <c r="K886" t="str">
        <f ca="1">VLOOKUP(A886,Import_SuiviGlobal_MigAppliSate!A:K,11,FALSE)</f>
        <v>uexpress.roumazieres.direction@systeme-u.fr,nbrigant@coop-atlantique.fr,sjaud@coop-atlantique.fr, my756@coop-atlantique.fr</v>
      </c>
      <c r="O886" s="1" t="s">
        <v>22</v>
      </c>
    </row>
    <row r="887" spans="1:18" ht="12.75" hidden="1" x14ac:dyDescent="0.2">
      <c r="A887">
        <v>32082</v>
      </c>
      <c r="B887" t="str">
        <f ca="1">VLOOKUP(A887,Import_SuiviGlobal_MigAppliSate!A:I,2,FALSE)</f>
        <v>ROYAN</v>
      </c>
      <c r="C887" t="str">
        <f ca="1">VLOOKUP(A887,Import_SuiviGlobal_MigAppliSate!A:I,3,FALSE)</f>
        <v>Super U</v>
      </c>
      <c r="D887" s="1" t="str">
        <f ca="1">VLOOKUP(A887,Import_SuiviGlobal_MigAppliSate!A:I,4,FALSE)</f>
        <v>Coop Atlantique</v>
      </c>
      <c r="E887">
        <f ca="1">VLOOKUP(A887,Import_SuiviGlobal_MigAppliSate!A:I,5,FALSE)</f>
        <v>17200</v>
      </c>
      <c r="F887" t="str">
        <f ca="1">VLOOKUP(A887,Import_SuiviGlobal_MigAppliSate!A:I,6,FALSE)</f>
        <v>BOULEVARD DU COLONEL BAILLET</v>
      </c>
      <c r="G887" t="str">
        <f ca="1">VLOOKUP(A887,Import_SuiviGlobal_MigAppliSate!A:I,7,FALSE)</f>
        <v>05.46.38.79.99</v>
      </c>
      <c r="H887" t="str">
        <f ca="1">VLOOKUP(A887,Import_SuiviGlobal_MigAppliSate!A:I,8,FALSE)</f>
        <v>FLAMBARD Hervé</v>
      </c>
      <c r="I887" t="str">
        <f ca="1">VLOOKUP(A887,Import_SuiviGlobal_MigAppliSate!A:I,9,FALSE)</f>
        <v>bertrand.defontaine_coop_su_uex@systeme-u.fr</v>
      </c>
      <c r="J887" s="24" t="str">
        <f ca="1">VLOOKUP(A887,Import_SuiviGlobal_MigAppliSate!A:K,10,FALSE)</f>
        <v>Catherine CARTON</v>
      </c>
      <c r="K887" t="str">
        <f ca="1">VLOOKUP(A887,Import_SuiviGlobal_MigAppliSate!A:K,11,FALSE)</f>
        <v>superu.royan.direction@systeme-u.fr,nbrigant@coop-atlantique.fr,sjaud@coop-atlantique.fr, scollin@coop-atlantique.fr</v>
      </c>
      <c r="L887" s="1" t="s">
        <v>17</v>
      </c>
      <c r="M887" t="s">
        <v>23</v>
      </c>
      <c r="O887" s="1" t="s">
        <v>22</v>
      </c>
    </row>
    <row r="888" spans="1:18" ht="12.75" hidden="1" x14ac:dyDescent="0.2">
      <c r="A888">
        <v>37013</v>
      </c>
      <c r="B888" t="str">
        <f ca="1">VLOOKUP(A888,Import_SuiviGlobal_MigAppliSate!A:I,2,FALSE)</f>
        <v>ROYAN</v>
      </c>
      <c r="C888" t="str">
        <f ca="1">VLOOKUP(A888,Import_SuiviGlobal_MigAppliSate!A:I,3,FALSE)</f>
        <v>U Express</v>
      </c>
      <c r="D888" s="1" t="str">
        <f ca="1">VLOOKUP(A888,Import_SuiviGlobal_MigAppliSate!A:I,4,FALSE)</f>
        <v>Coop U Enseigne Ouest</v>
      </c>
      <c r="E888">
        <f ca="1">VLOOKUP(A888,Import_SuiviGlobal_MigAppliSate!A:I,5,FALSE)</f>
        <v>17200</v>
      </c>
      <c r="F888" t="str">
        <f ca="1">VLOOKUP(A888,Import_SuiviGlobal_MigAppliSate!A:I,6,FALSE)</f>
        <v>1 AVENUE DES TILLEULS</v>
      </c>
      <c r="G888" t="str">
        <f ca="1">VLOOKUP(A888,Import_SuiviGlobal_MigAppliSate!A:I,7,FALSE)</f>
        <v>05.46.05.87.75</v>
      </c>
      <c r="H888" t="str">
        <f ca="1">VLOOKUP(A888,Import_SuiviGlobal_MigAppliSate!A:I,8,FALSE)</f>
        <v>GEORGET Cyrille</v>
      </c>
      <c r="I888" t="str">
        <f ca="1">VLOOKUP(A888,Import_SuiviGlobal_MigAppliSate!A:I,9,FALSE)</f>
        <v>cyrille.georget@systeme-u.fr</v>
      </c>
      <c r="J888" s="24" t="str">
        <f ca="1">VLOOKUP(A888,Import_SuiviGlobal_MigAppliSate!A:K,10,FALSE)</f>
        <v>M Georget</v>
      </c>
      <c r="K888" t="str">
        <f ca="1">VLOOKUP(A888,Import_SuiviGlobal_MigAppliSate!A:K,11,FALSE)</f>
        <v>cyrille.georget@systeme-u.fr</v>
      </c>
      <c r="O888" s="1" t="s">
        <v>22</v>
      </c>
    </row>
    <row r="889" spans="1:18" ht="12.75" hidden="1" x14ac:dyDescent="0.2">
      <c r="A889">
        <v>23603</v>
      </c>
      <c r="B889" t="str">
        <f ca="1">VLOOKUP(A889,Import_SuiviGlobal_MigAppliSate!A:I,2,FALSE)</f>
        <v>RUEIL MALMAISON</v>
      </c>
      <c r="C889" t="str">
        <f ca="1">VLOOKUP(A889,Import_SuiviGlobal_MigAppliSate!A:I,3,FALSE)</f>
        <v>U Express</v>
      </c>
      <c r="D889" s="1" t="str">
        <f ca="1">VLOOKUP(A889,Import_SuiviGlobal_MigAppliSate!A:I,4,FALSE)</f>
        <v>Coop U Enseigne NordOuest</v>
      </c>
      <c r="E889">
        <f ca="1">VLOOKUP(A889,Import_SuiviGlobal_MigAppliSate!A:I,5,FALSE)</f>
        <v>92500</v>
      </c>
      <c r="F889" t="str">
        <f ca="1">VLOOKUP(A889,Import_SuiviGlobal_MigAppliSate!A:I,6,FALSE)</f>
        <v>109 AVENUE PAUL DOUMER</v>
      </c>
      <c r="G889" t="str">
        <f ca="1">VLOOKUP(A889,Import_SuiviGlobal_MigAppliSate!A:I,7,FALSE)</f>
        <v>01.47.49.82.68</v>
      </c>
      <c r="H889" t="str">
        <f ca="1">VLOOKUP(A889,Import_SuiviGlobal_MigAppliSate!A:I,8,FALSE)</f>
        <v>BENHAMOU Eric</v>
      </c>
      <c r="I889" t="str">
        <f ca="1">VLOOKUP(A889,Import_SuiviGlobal_MigAppliSate!A:I,9,FALSE)</f>
        <v>eric.benhamou@systeme-u.fr</v>
      </c>
      <c r="J889" s="24" t="str">
        <f ca="1">VLOOKUP(A889,Import_SuiviGlobal_MigAppliSate!A:K,10,FALSE)</f>
        <v>MESSAOUDI Zakia</v>
      </c>
      <c r="K889" t="str">
        <f ca="1">VLOOKUP(A889,Import_SuiviGlobal_MigAppliSate!A:K,11,FALSE)</f>
        <v>uexpress.rueilmalmaison@systeme-u.fr</v>
      </c>
      <c r="L889" s="1" t="s">
        <v>20</v>
      </c>
      <c r="M889" t="s">
        <v>0</v>
      </c>
      <c r="O889" s="1" t="s">
        <v>22</v>
      </c>
      <c r="P889" s="1"/>
      <c r="Q889" s="1"/>
      <c r="R889" s="1"/>
    </row>
    <row r="890" spans="1:18" ht="12.75" hidden="1" x14ac:dyDescent="0.2">
      <c r="A890">
        <v>68557</v>
      </c>
      <c r="B890" t="str">
        <f ca="1">VLOOKUP(A890,Import_SuiviGlobal_MigAppliSate!A:I,2,FALSE)</f>
        <v>RUFFIEUX</v>
      </c>
      <c r="C890" t="str">
        <f ca="1">VLOOKUP(A890,Import_SuiviGlobal_MigAppliSate!A:I,3,FALSE)</f>
        <v>U Express</v>
      </c>
      <c r="D890" s="1" t="str">
        <f ca="1">VLOOKUP(A890,Import_SuiviGlobal_MigAppliSate!A:I,4,FALSE)</f>
        <v>Coop U Enseigne Est</v>
      </c>
      <c r="E890">
        <f ca="1">VLOOKUP(A890,Import_SuiviGlobal_MigAppliSate!A:I,5,FALSE)</f>
        <v>73310</v>
      </c>
      <c r="F890" t="str">
        <f ca="1">VLOOKUP(A890,Import_SuiviGlobal_MigAppliSate!A:I,6,FALSE)</f>
        <v>ZONE ARTISANALE DE SAUMONT</v>
      </c>
      <c r="G890" t="str">
        <f ca="1">VLOOKUP(A890,Import_SuiviGlobal_MigAppliSate!A:I,7,FALSE)</f>
        <v>04.79.54.04.23</v>
      </c>
      <c r="H890" t="str">
        <f ca="1">VLOOKUP(A890,Import_SuiviGlobal_MigAppliSate!A:I,8,FALSE)</f>
        <v>CATINAULT Yves</v>
      </c>
      <c r="I890" t="str">
        <f ca="1">VLOOKUP(A890,Import_SuiviGlobal_MigAppliSate!A:I,9,FALSE)</f>
        <v>yves.catinault@systeme-u.fr</v>
      </c>
      <c r="J890" s="24" t="str">
        <f ca="1">VLOOKUP(A890,Import_SuiviGlobal_MigAppliSate!A:K,10,FALSE)</f>
        <v>M. LOSANA</v>
      </c>
      <c r="K890" t="str">
        <f ca="1">VLOOKUP(A890,Import_SuiviGlobal_MigAppliSate!A:K,11,FALSE)</f>
        <v>uexpress.ruffieux.direction@systeme-u.fr</v>
      </c>
      <c r="O890" s="1" t="s">
        <v>22</v>
      </c>
    </row>
    <row r="891" spans="1:18" ht="12.75" hidden="1" x14ac:dyDescent="0.2">
      <c r="A891">
        <v>66144</v>
      </c>
      <c r="B891" t="str">
        <f ca="1">VLOOKUP(A891,Import_SuiviGlobal_MigAppliSate!A:I,2,FALSE)</f>
        <v>RUMILLY CEDEX</v>
      </c>
      <c r="C891" t="str">
        <f ca="1">VLOOKUP(A891,Import_SuiviGlobal_MigAppliSate!A:I,3,FALSE)</f>
        <v>Hyper U</v>
      </c>
      <c r="D891" s="1" t="str">
        <f ca="1">VLOOKUP(A891,Import_SuiviGlobal_MigAppliSate!A:I,4,FALSE)</f>
        <v>Coop U Enseigne Est</v>
      </c>
      <c r="E891">
        <f ca="1">VLOOKUP(A891,Import_SuiviGlobal_MigAppliSate!A:I,5,FALSE)</f>
        <v>74150</v>
      </c>
      <c r="F891" t="str">
        <f ca="1">VLOOKUP(A891,Import_SuiviGlobal_MigAppliSate!A:I,6,FALSE)</f>
        <v>CENTRE COMMERCIAL LES 2 LACS</v>
      </c>
      <c r="G891" t="str">
        <f ca="1">VLOOKUP(A891,Import_SuiviGlobal_MigAppliSate!A:I,7,FALSE)</f>
        <v>04.50.64.52.70</v>
      </c>
      <c r="H891" t="str">
        <f ca="1">VLOOKUP(A891,Import_SuiviGlobal_MigAppliSate!A:I,8,FALSE)</f>
        <v>JACQUIN RPT SAS JAXAL Alexandre</v>
      </c>
      <c r="I891" t="str">
        <f ca="1">VLOOKUP(A891,Import_SuiviGlobal_MigAppliSate!A:I,9,FALSE)</f>
        <v>alexandre.jacquin@systeme-u.fr</v>
      </c>
      <c r="J891" s="24" t="str">
        <f ca="1">VLOOKUP(A891,Import_SuiviGlobal_MigAppliSate!A:K,10,FALSE)</f>
        <v>BERAUD JACQUELINE</v>
      </c>
      <c r="K891" t="str">
        <f ca="1">VLOOKUP(A891,Import_SuiviGlobal_MigAppliSate!A:K,11,FALSE)</f>
        <v>hyperu.rumilly.pub@systeme-u.fr</v>
      </c>
      <c r="O891" s="1" t="s">
        <v>22</v>
      </c>
    </row>
    <row r="892" spans="1:18" ht="12.75" hidden="1" x14ac:dyDescent="0.2">
      <c r="A892">
        <v>90188</v>
      </c>
      <c r="B892" t="str">
        <f ca="1">VLOOKUP(A892,Import_SuiviGlobal_MigAppliSate!A:I,2,FALSE)</f>
        <v>RUOMS</v>
      </c>
      <c r="C892" t="str">
        <f ca="1">VLOOKUP(A892,Import_SuiviGlobal_MigAppliSate!A:I,3,FALSE)</f>
        <v>Super U</v>
      </c>
      <c r="D892" s="1" t="str">
        <f ca="1">VLOOKUP(A892,Import_SuiviGlobal_MigAppliSate!A:I,4,FALSE)</f>
        <v>Coop U Enseigne Sud</v>
      </c>
      <c r="E892">
        <f ca="1">VLOOKUP(A892,Import_SuiviGlobal_MigAppliSate!A:I,5,FALSE)</f>
        <v>7120</v>
      </c>
      <c r="F892" t="str">
        <f ca="1">VLOOKUP(A892,Import_SuiviGlobal_MigAppliSate!A:I,6,FALSE)</f>
        <v>RTE DE VALLON PONT D'ARC</v>
      </c>
      <c r="G892" t="str">
        <f ca="1">VLOOKUP(A892,Import_SuiviGlobal_MigAppliSate!A:I,7,FALSE)</f>
        <v>04.75.89.21.40</v>
      </c>
      <c r="H892" t="str">
        <f ca="1">VLOOKUP(A892,Import_SuiviGlobal_MigAppliSate!A:I,8,FALSE)</f>
        <v>GIBERT Nicolas</v>
      </c>
      <c r="I892" t="str">
        <f ca="1">VLOOKUP(A892,Import_SuiviGlobal_MigAppliSate!A:I,9,FALSE)</f>
        <v>nicolas.gibert@systeme-u.fr</v>
      </c>
      <c r="J892" s="24" t="str">
        <f ca="1">VLOOKUP(A892,Import_SuiviGlobal_MigAppliSate!A:K,10,FALSE)</f>
        <v>BONNAFFOUX Sophie</v>
      </c>
      <c r="K892" t="str">
        <f ca="1">VLOOKUP(A892,Import_SuiviGlobal_MigAppliSate!A:K,11,FALSE)</f>
        <v>sophie.bonnaffoux@systeme-u.fr</v>
      </c>
      <c r="O892" s="1" t="s">
        <v>22</v>
      </c>
    </row>
    <row r="893" spans="1:18" ht="12.75" hidden="1" x14ac:dyDescent="0.2">
      <c r="A893">
        <v>60715</v>
      </c>
      <c r="B893" t="str">
        <f ca="1">VLOOKUP(A893,Import_SuiviGlobal_MigAppliSate!A:I,2,FALSE)</f>
        <v>RUSS SCHIRMECK</v>
      </c>
      <c r="C893" t="str">
        <f ca="1">VLOOKUP(A893,Import_SuiviGlobal_MigAppliSate!A:I,3,FALSE)</f>
        <v>Super U</v>
      </c>
      <c r="D893" s="1" t="str">
        <f ca="1">VLOOKUP(A893,Import_SuiviGlobal_MigAppliSate!A:I,4,FALSE)</f>
        <v>Coop U Enseigne Est</v>
      </c>
      <c r="E893">
        <f ca="1">VLOOKUP(A893,Import_SuiviGlobal_MigAppliSate!A:I,5,FALSE)</f>
        <v>67130</v>
      </c>
      <c r="F893" t="str">
        <f ca="1">VLOOKUP(A893,Import_SuiviGlobal_MigAppliSate!A:I,6,FALSE)</f>
        <v>1 RUE DE LA CREUSE FONTAINE</v>
      </c>
      <c r="G893" t="str">
        <f ca="1">VLOOKUP(A893,Import_SuiviGlobal_MigAppliSate!A:I,7,FALSE)</f>
        <v>03.88.47.13.28</v>
      </c>
      <c r="H893" t="str">
        <f ca="1">VLOOKUP(A893,Import_SuiviGlobal_MigAppliSate!A:I,8,FALSE)</f>
        <v>KLEFFER Charly</v>
      </c>
      <c r="I893" t="str">
        <f ca="1">VLOOKUP(A893,Import_SuiviGlobal_MigAppliSate!A:I,9,FALSE)</f>
        <v>charly.kleffer@systeme-u.fr</v>
      </c>
      <c r="J893" s="24" t="str">
        <f ca="1">VLOOKUP(A893,Import_SuiviGlobal_MigAppliSate!A:K,10,FALSE)</f>
        <v/>
      </c>
      <c r="K893" t="str">
        <f ca="1">VLOOKUP(A893,Import_SuiviGlobal_MigAppliSate!A:K,11,FALSE)</f>
        <v/>
      </c>
      <c r="O893" s="1" t="s">
        <v>22</v>
      </c>
    </row>
    <row r="894" spans="1:18" ht="12.75" hidden="1" x14ac:dyDescent="0.2">
      <c r="A894">
        <v>32038</v>
      </c>
      <c r="B894" t="str">
        <f ca="1">VLOOKUP(A894,Import_SuiviGlobal_MigAppliSate!A:I,2,FALSE)</f>
        <v>SABLE-SUR-SARTHE</v>
      </c>
      <c r="C894" t="str">
        <f ca="1">VLOOKUP(A894,Import_SuiviGlobal_MigAppliSate!A:I,3,FALSE)</f>
        <v>Super U</v>
      </c>
      <c r="D894" s="1" t="str">
        <f ca="1">VLOOKUP(A894,Import_SuiviGlobal_MigAppliSate!A:I,4,FALSE)</f>
        <v>Coop U Enseigne Ouest</v>
      </c>
      <c r="E894">
        <f ca="1">VLOOKUP(A894,Import_SuiviGlobal_MigAppliSate!A:I,5,FALSE)</f>
        <v>72300</v>
      </c>
      <c r="F894" t="str">
        <f ca="1">VLOOKUP(A894,Import_SuiviGlobal_MigAppliSate!A:I,6,FALSE)</f>
        <v>ROUTE DE LAVAL</v>
      </c>
      <c r="G894" t="str">
        <f ca="1">VLOOKUP(A894,Import_SuiviGlobal_MigAppliSate!A:I,7,FALSE)</f>
        <v>02.43.55.10.10</v>
      </c>
      <c r="H894" t="str">
        <f ca="1">VLOOKUP(A894,Import_SuiviGlobal_MigAppliSate!A:I,8,FALSE)</f>
        <v>LECHAT RPT SARL HELIOS Hubert</v>
      </c>
      <c r="I894" t="str">
        <f ca="1">VLOOKUP(A894,Import_SuiviGlobal_MigAppliSate!A:I,9,FALSE)</f>
        <v>hubert.lechat@systeme-u.fr</v>
      </c>
      <c r="J894" s="24" t="str">
        <f ca="1">VLOOKUP(A894,Import_SuiviGlobal_MigAppliSate!A:K,10,FALSE)</f>
        <v>Mme. MENARD</v>
      </c>
      <c r="K894" t="str">
        <f ca="1">VLOOKUP(A894,Import_SuiviGlobal_MigAppliSate!A:K,11,FALSE)</f>
        <v>superu.evron.compta3@systeme-u.fr</v>
      </c>
      <c r="O894" s="1" t="s">
        <v>22</v>
      </c>
    </row>
    <row r="895" spans="1:18" ht="12.75" hidden="1" x14ac:dyDescent="0.2">
      <c r="A895">
        <v>90548</v>
      </c>
      <c r="B895" t="str">
        <f ca="1">VLOOKUP(A895,Import_SuiviGlobal_MigAppliSate!A:I,2,FALSE)</f>
        <v>SAGONE</v>
      </c>
      <c r="C895" t="str">
        <f ca="1">VLOOKUP(A895,Import_SuiviGlobal_MigAppliSate!A:I,3,FALSE)</f>
        <v>Super U</v>
      </c>
      <c r="D895" s="1" t="str">
        <f ca="1">VLOOKUP(A895,Import_SuiviGlobal_MigAppliSate!A:I,4,FALSE)</f>
        <v>Coop U Enseigne Sud</v>
      </c>
      <c r="E895">
        <f ca="1">VLOOKUP(A895,Import_SuiviGlobal_MigAppliSate!A:I,5,FALSE)</f>
        <v>20118</v>
      </c>
      <c r="F895" t="str">
        <f ca="1">VLOOKUP(A895,Import_SuiviGlobal_MigAppliSate!A:I,6,FALSE)</f>
        <v>SUPER U SAGONE</v>
      </c>
      <c r="G895" t="str">
        <f ca="1">VLOOKUP(A895,Import_SuiviGlobal_MigAppliSate!A:I,7,FALSE)</f>
        <v>04.95.28.09.67</v>
      </c>
      <c r="H895" t="str">
        <f ca="1">VLOOKUP(A895,Import_SuiviGlobal_MigAppliSate!A:I,8,FALSE)</f>
        <v>CASCIO Eric</v>
      </c>
      <c r="I895" t="str">
        <f ca="1">VLOOKUP(A895,Import_SuiviGlobal_MigAppliSate!A:I,9,FALSE)</f>
        <v>eric.cascio@systeme-u.fr</v>
      </c>
      <c r="J895" s="24" t="str">
        <f ca="1">VLOOKUP(A895,Import_SuiviGlobal_MigAppliSate!A:K,10,FALSE)</f>
        <v>Mme CASCIO / Mlle ABRAHAM</v>
      </c>
      <c r="K895" t="str">
        <f ca="1">VLOOKUP(A895,Import_SuiviGlobal_MigAppliSate!A:K,11,FALSE)</f>
        <v>sabine.cascio@systeme-u.fr</v>
      </c>
      <c r="O895" s="1" t="s">
        <v>22</v>
      </c>
    </row>
    <row r="896" spans="1:18" ht="12.75" hidden="1" x14ac:dyDescent="0.2">
      <c r="A896">
        <v>90552</v>
      </c>
      <c r="B896" t="str">
        <f ca="1">VLOOKUP(A896,Import_SuiviGlobal_MigAppliSate!A:I,2,FALSE)</f>
        <v>ST AFFRIQUE CAVALIER</v>
      </c>
      <c r="C896" t="str">
        <f ca="1">VLOOKUP(A896,Import_SuiviGlobal_MigAppliSate!A:I,3,FALSE)</f>
        <v>Super U</v>
      </c>
      <c r="D896" s="1" t="str">
        <f ca="1">VLOOKUP(A896,Import_SuiviGlobal_MigAppliSate!A:I,4,FALSE)</f>
        <v>Coop U Enseigne Sud</v>
      </c>
      <c r="E896">
        <f ca="1">VLOOKUP(A896,Import_SuiviGlobal_MigAppliSate!A:I,5,FALSE)</f>
        <v>12400</v>
      </c>
      <c r="F896" t="str">
        <f ca="1">VLOOKUP(A896,Import_SuiviGlobal_MigAppliSate!A:I,6,FALSE)</f>
        <v>BOULEVARD ERNEST CAVALIER</v>
      </c>
      <c r="G896" t="str">
        <f ca="1">VLOOKUP(A896,Import_SuiviGlobal_MigAppliSate!A:I,7,FALSE)</f>
        <v>05.65.99.20.54</v>
      </c>
      <c r="H896" t="str">
        <f ca="1">VLOOKUP(A896,Import_SuiviGlobal_MigAppliSate!A:I,8,FALSE)</f>
        <v>MOULIN Xavier</v>
      </c>
      <c r="I896" t="str">
        <f ca="1">VLOOKUP(A896,Import_SuiviGlobal_MigAppliSate!A:I,9,FALSE)</f>
        <v>xavier.moulin@systeme-u.fr</v>
      </c>
      <c r="J896" s="24" t="str">
        <f ca="1">VLOOKUP(A896,Import_SuiviGlobal_MigAppliSate!A:K,10,FALSE)</f>
        <v/>
      </c>
      <c r="K896" t="str">
        <f ca="1">VLOOKUP(A896,Import_SuiviGlobal_MigAppliSate!A:K,11,FALSE)</f>
        <v>hugo.monteils@systeme-u.fr, superu.saintaffrique.compta@systeme-u.fr</v>
      </c>
      <c r="O896" s="1" t="s">
        <v>22</v>
      </c>
    </row>
    <row r="897" spans="1:15" ht="12.75" hidden="1" x14ac:dyDescent="0.2">
      <c r="A897">
        <v>30965</v>
      </c>
      <c r="B897" t="str">
        <f ca="1">VLOOKUP(A897,Import_SuiviGlobal_MigAppliSate!A:I,2,FALSE)</f>
        <v>SAINT AVE</v>
      </c>
      <c r="C897" t="str">
        <f ca="1">VLOOKUP(A897,Import_SuiviGlobal_MigAppliSate!A:I,3,FALSE)</f>
        <v>Hyper U</v>
      </c>
      <c r="D897" s="1" t="str">
        <f ca="1">VLOOKUP(A897,Import_SuiviGlobal_MigAppliSate!A:I,4,FALSE)</f>
        <v>Coop U Enseigne Ouest</v>
      </c>
      <c r="E897">
        <f ca="1">VLOOKUP(A897,Import_SuiviGlobal_MigAppliSate!A:I,5,FALSE)</f>
        <v>56890</v>
      </c>
      <c r="F897" t="str">
        <f ca="1">VLOOKUP(A897,Import_SuiviGlobal_MigAppliSate!A:I,6,FALSE)</f>
        <v>ROUTE DE PONTIVY</v>
      </c>
      <c r="G897" t="str">
        <f ca="1">VLOOKUP(A897,Import_SuiviGlobal_MigAppliSate!A:I,7,FALSE)</f>
        <v>02.97.47.61.62</v>
      </c>
      <c r="H897" t="str">
        <f ca="1">VLOOKUP(A897,Import_SuiviGlobal_MigAppliSate!A:I,8,FALSE)</f>
        <v>ONNEE Julien</v>
      </c>
      <c r="I897" t="str">
        <f ca="1">VLOOKUP(A897,Import_SuiviGlobal_MigAppliSate!A:I,9,FALSE)</f>
        <v>julien.onnee@systeme-u.fr</v>
      </c>
      <c r="J897" s="24" t="str">
        <f ca="1">VLOOKUP(A897,Import_SuiviGlobal_MigAppliSate!A:K,10,FALSE)</f>
        <v>LEGAC Françoise</v>
      </c>
      <c r="K897" t="str">
        <f ca="1">VLOOKUP(A897,Import_SuiviGlobal_MigAppliSate!A:K,11,FALSE)</f>
        <v>hyperu.saintave.informatique@systeme-u.fr</v>
      </c>
      <c r="O897" s="1" t="s">
        <v>22</v>
      </c>
    </row>
    <row r="898" spans="1:15" ht="12.75" hidden="1" x14ac:dyDescent="0.2">
      <c r="A898">
        <v>91143</v>
      </c>
      <c r="B898" t="str">
        <f ca="1">VLOOKUP(A898,Import_SuiviGlobal_MigAppliSate!A:I,2,FALSE)</f>
        <v>SAINT AYGULF</v>
      </c>
      <c r="C898" t="str">
        <f ca="1">VLOOKUP(A898,Import_SuiviGlobal_MigAppliSate!A:I,3,FALSE)</f>
        <v>U Express</v>
      </c>
      <c r="D898" s="1" t="str">
        <f ca="1">VLOOKUP(A898,Import_SuiviGlobal_MigAppliSate!A:I,4,FALSE)</f>
        <v>Coop MISTRAL</v>
      </c>
      <c r="E898">
        <f ca="1">VLOOKUP(A898,Import_SuiviGlobal_MigAppliSate!A:I,5,FALSE)</f>
        <v>83370</v>
      </c>
      <c r="F898" t="str">
        <f ca="1">VLOOKUP(A898,Import_SuiviGlobal_MigAppliSate!A:I,6,FALSE)</f>
        <v>1113 AVENUE DE LA CORNICHE D'AZUR</v>
      </c>
      <c r="G898" t="str">
        <f ca="1">VLOOKUP(A898,Import_SuiviGlobal_MigAppliSate!A:I,7,FALSE)</f>
        <v>04.94.81.01.42</v>
      </c>
      <c r="H898" t="str">
        <f ca="1">VLOOKUP(A898,Import_SuiviGlobal_MigAppliSate!A:I,8,FALSE)</f>
        <v>ESCLAPEZ Pascal &amp; Catherine</v>
      </c>
      <c r="I898" t="str">
        <f ca="1">VLOOKUP(A898,Import_SuiviGlobal_MigAppliSate!A:I,9,FALSE)</f>
        <v/>
      </c>
      <c r="J898" s="24" t="str">
        <f ca="1">VLOOKUP(A898,Import_SuiviGlobal_MigAppliSate!A:K,10,FALSE)</f>
        <v>Genaivre Florent</v>
      </c>
      <c r="K898" t="str">
        <f ca="1">VLOOKUP(A898,Import_SuiviGlobal_MigAppliSate!A:K,11,FALSE)</f>
        <v>delphine.damian@lemistral.fr,helene.mina@lemistral.fr</v>
      </c>
      <c r="O898" s="1" t="s">
        <v>22</v>
      </c>
    </row>
    <row r="899" spans="1:15" ht="12.75" hidden="1" x14ac:dyDescent="0.2">
      <c r="A899">
        <v>66217</v>
      </c>
      <c r="B899" t="str">
        <f ca="1">VLOOKUP(A899,Import_SuiviGlobal_MigAppliSate!A:I,2,FALSE)</f>
        <v>SAINT DIDIER SUR CHALARONN</v>
      </c>
      <c r="C899" t="str">
        <f ca="1">VLOOKUP(A899,Import_SuiviGlobal_MigAppliSate!A:I,3,FALSE)</f>
        <v>U Express</v>
      </c>
      <c r="D899" s="1" t="str">
        <f ca="1">VLOOKUP(A899,Import_SuiviGlobal_MigAppliSate!A:I,4,FALSE)</f>
        <v>Coop U Enseigne Est</v>
      </c>
      <c r="E899">
        <f ca="1">VLOOKUP(A899,Import_SuiviGlobal_MigAppliSate!A:I,5,FALSE)</f>
        <v>1140</v>
      </c>
      <c r="F899" t="str">
        <f ca="1">VLOOKUP(A899,Import_SuiviGlobal_MigAppliSate!A:I,6,FALSE)</f>
        <v>AVENUE DE LA LIBERATION</v>
      </c>
      <c r="G899" t="str">
        <f ca="1">VLOOKUP(A899,Import_SuiviGlobal_MigAppliSate!A:I,7,FALSE)</f>
        <v>04.74.69.70.12</v>
      </c>
      <c r="H899" t="str">
        <f ca="1">VLOOKUP(A899,Import_SuiviGlobal_MigAppliSate!A:I,8,FALSE)</f>
        <v>ROBERT Stéphane</v>
      </c>
      <c r="I899" t="str">
        <f ca="1">VLOOKUP(A899,Import_SuiviGlobal_MigAppliSate!A:I,9,FALSE)</f>
        <v/>
      </c>
      <c r="J899" s="24" t="str">
        <f ca="1">VLOOKUP(A899,Import_SuiviGlobal_MigAppliSate!A:K,10,FALSE)</f>
        <v/>
      </c>
      <c r="K899" t="str">
        <f ca="1">VLOOKUP(A899,Import_SuiviGlobal_MigAppliSate!A:K,11,FALSE)</f>
        <v/>
      </c>
      <c r="O899" s="1" t="s">
        <v>22</v>
      </c>
    </row>
    <row r="900" spans="1:15" ht="12.75" hidden="1" x14ac:dyDescent="0.2">
      <c r="A900">
        <v>68539</v>
      </c>
      <c r="B900" t="str">
        <f ca="1">VLOOKUP(A900,Import_SuiviGlobal_MigAppliSate!A:I,2,FALSE)</f>
        <v>SAINT GERMAIN</v>
      </c>
      <c r="C900" t="str">
        <f ca="1">VLOOKUP(A900,Import_SuiviGlobal_MigAppliSate!A:I,3,FALSE)</f>
        <v>Super U</v>
      </c>
      <c r="D900" s="1" t="str">
        <f ca="1">VLOOKUP(A900,Import_SuiviGlobal_MigAppliSate!A:I,4,FALSE)</f>
        <v>Coop U Enseigne Est</v>
      </c>
      <c r="E900">
        <f ca="1">VLOOKUP(A900,Import_SuiviGlobal_MigAppliSate!A:I,5,FALSE)</f>
        <v>10120</v>
      </c>
      <c r="F900" t="str">
        <f ca="1">VLOOKUP(A900,Import_SuiviGlobal_MigAppliSate!A:I,6,FALSE)</f>
        <v>150 ROUTE DE TROYES</v>
      </c>
      <c r="G900" t="str">
        <f ca="1">VLOOKUP(A900,Import_SuiviGlobal_MigAppliSate!A:I,7,FALSE)</f>
        <v>03.25.75.93.30</v>
      </c>
      <c r="H900" t="str">
        <f ca="1">VLOOKUP(A900,Import_SuiviGlobal_MigAppliSate!A:I,8,FALSE)</f>
        <v>GODARD Jérôme</v>
      </c>
      <c r="I900" t="str">
        <f ca="1">VLOOKUP(A900,Import_SuiviGlobal_MigAppliSate!A:I,9,FALSE)</f>
        <v>jerome.godard@systeme-u.fr</v>
      </c>
      <c r="J900" s="24" t="str">
        <f ca="1">VLOOKUP(A900,Import_SuiviGlobal_MigAppliSate!A:K,10,FALSE)</f>
        <v/>
      </c>
      <c r="K900" t="str">
        <f ca="1">VLOOKUP(A900,Import_SuiviGlobal_MigAppliSate!A:K,11,FALSE)</f>
        <v/>
      </c>
      <c r="O900" s="1" t="s">
        <v>22</v>
      </c>
    </row>
    <row r="901" spans="1:15" ht="12.75" hidden="1" x14ac:dyDescent="0.2">
      <c r="A901">
        <v>91148</v>
      </c>
      <c r="B901" t="str">
        <f ca="1">VLOOKUP(A901,Import_SuiviGlobal_MigAppliSate!A:I,2,FALSE)</f>
        <v>SAINT LAURENT DU VAR</v>
      </c>
      <c r="C901" t="str">
        <f ca="1">VLOOKUP(A901,Import_SuiviGlobal_MigAppliSate!A:I,3,FALSE)</f>
        <v>U Express</v>
      </c>
      <c r="D901" s="1" t="str">
        <f ca="1">VLOOKUP(A901,Import_SuiviGlobal_MigAppliSate!A:I,4,FALSE)</f>
        <v>Coop MISTRAL</v>
      </c>
      <c r="E901">
        <f ca="1">VLOOKUP(A901,Import_SuiviGlobal_MigAppliSate!A:I,5,FALSE)</f>
        <v>6700</v>
      </c>
      <c r="F901" t="str">
        <f ca="1">VLOOKUP(A901,Import_SuiviGlobal_MigAppliSate!A:I,6,FALSE)</f>
        <v>243 AV DU GENERAL LECLERC</v>
      </c>
      <c r="G901" t="str">
        <f ca="1">VLOOKUP(A901,Import_SuiviGlobal_MigAppliSate!A:I,7,FALSE)</f>
        <v>04.93.31.19.96</v>
      </c>
      <c r="H901" t="str">
        <f ca="1">VLOOKUP(A901,Import_SuiviGlobal_MigAppliSate!A:I,8,FALSE)</f>
        <v>CHAMBELLANT Jean-Claude</v>
      </c>
      <c r="I901" t="str">
        <f ca="1">VLOOKUP(A901,Import_SuiviGlobal_MigAppliSate!A:I,9,FALSE)</f>
        <v/>
      </c>
      <c r="J901" s="24" t="str">
        <f ca="1">VLOOKUP(A901,Import_SuiviGlobal_MigAppliSate!A:K,10,FALSE)</f>
        <v>RIMBOURG RACHEL</v>
      </c>
      <c r="K901" t="str">
        <f ca="1">VLOOKUP(A901,Import_SuiviGlobal_MigAppliSate!A:K,11,FALSE)</f>
        <v>delphine.damian@lemistral.fr,helene.mina@lemistral.fr, uexpress.stlaurentduvar2@mistral-u.fr</v>
      </c>
      <c r="O901" s="1" t="s">
        <v>22</v>
      </c>
    </row>
    <row r="902" spans="1:15" ht="12.75" x14ac:dyDescent="0.2">
      <c r="A902">
        <v>91249</v>
      </c>
      <c r="B902" t="str">
        <f ca="1">VLOOKUP(A902,Import_SuiviGlobal_MigAppliSate!A:I,2,FALSE)</f>
        <v>ST SATURNIN LES AVIGNON</v>
      </c>
      <c r="C902" t="str">
        <f ca="1">VLOOKUP(A902,Import_SuiviGlobal_MigAppliSate!A:I,3,FALSE)</f>
        <v>U Express</v>
      </c>
      <c r="D902" s="1" t="str">
        <f ca="1">VLOOKUP(A902,Import_SuiviGlobal_MigAppliSate!A:I,4,FALSE)</f>
        <v>Coop MISTRAL</v>
      </c>
      <c r="E902">
        <f ca="1">VLOOKUP(A902,Import_SuiviGlobal_MigAppliSate!A:I,5,FALSE)</f>
        <v>84450</v>
      </c>
      <c r="F902" t="str">
        <f ca="1">VLOOKUP(A902,Import_SuiviGlobal_MigAppliSate!A:I,6,FALSE)</f>
        <v>18 AVENUE ANDRE DURAND</v>
      </c>
      <c r="G902" t="str">
        <f ca="1">VLOOKUP(A902,Import_SuiviGlobal_MigAppliSate!A:I,7,FALSE)</f>
        <v>04.32.40.49.94</v>
      </c>
      <c r="H902" t="str">
        <f ca="1">VLOOKUP(A902,Import_SuiviGlobal_MigAppliSate!A:I,8,FALSE)</f>
        <v>LENY THOMAS</v>
      </c>
      <c r="I902" t="str">
        <f ca="1">VLOOKUP(A902,Import_SuiviGlobal_MigAppliSate!A:I,9,FALSE)</f>
        <v>uexpress.stsaturnin@mistral-u.fr</v>
      </c>
      <c r="J902" s="24" t="str">
        <f ca="1">VLOOKUP(A902,Import_SuiviGlobal_MigAppliSate!A:K,10,FALSE)</f>
        <v>Me Margada</v>
      </c>
      <c r="K902" t="str">
        <f ca="1">VLOOKUP(A902,Import_SuiviGlobal_MigAppliSate!A:K,11,FALSE)</f>
        <v>prescillia.mardaga@hotmail.fr</v>
      </c>
      <c r="L902" t="s">
        <v>17</v>
      </c>
      <c r="M902" t="s">
        <v>0</v>
      </c>
      <c r="O902" s="1" t="s">
        <v>22</v>
      </c>
    </row>
    <row r="903" spans="1:15" ht="12.75" hidden="1" x14ac:dyDescent="0.2">
      <c r="A903">
        <v>31442</v>
      </c>
      <c r="B903" t="str">
        <f ca="1">VLOOKUP(A903,Import_SuiviGlobal_MigAppliSate!A:I,2,FALSE)</f>
        <v>SAINTES</v>
      </c>
      <c r="C903" t="str">
        <f ca="1">VLOOKUP(A903,Import_SuiviGlobal_MigAppliSate!A:I,3,FALSE)</f>
        <v>Hyper U</v>
      </c>
      <c r="D903" s="1" t="str">
        <f ca="1">VLOOKUP(A903,Import_SuiviGlobal_MigAppliSate!A:I,4,FALSE)</f>
        <v>Coop Atlantique</v>
      </c>
      <c r="E903">
        <f ca="1">VLOOKUP(A903,Import_SuiviGlobal_MigAppliSate!A:I,5,FALSE)</f>
        <v>17100</v>
      </c>
      <c r="F903" t="str">
        <f ca="1">VLOOKUP(A903,Import_SuiviGlobal_MigAppliSate!A:I,6,FALSE)</f>
        <v>COURS MARÉCHAL LECLERC</v>
      </c>
      <c r="G903" t="str">
        <f ca="1">VLOOKUP(A903,Import_SuiviGlobal_MigAppliSate!A:I,7,FALSE)</f>
        <v>05.46.93.32.70</v>
      </c>
      <c r="H903" t="str">
        <f ca="1">VLOOKUP(A903,Import_SuiviGlobal_MigAppliSate!A:I,8,FALSE)</f>
        <v>FLAMBARD Hervé</v>
      </c>
      <c r="I903" t="str">
        <f ca="1">VLOOKUP(A903,Import_SuiviGlobal_MigAppliSate!A:I,9,FALSE)</f>
        <v>laurent.fleury_coop_hu@systeme-u.fr</v>
      </c>
      <c r="J903" s="24" t="str">
        <f ca="1">VLOOKUP(A903,Import_SuiviGlobal_MigAppliSate!A:K,10,FALSE)</f>
        <v>Christophe GRANET</v>
      </c>
      <c r="K903" t="str">
        <f ca="1">VLOOKUP(A903,Import_SuiviGlobal_MigAppliSate!A:K,11,FALSE)</f>
        <v>hyperu.saintes.direction@systeme-u.fr,nbrigant@coop-atlantique.fr,sjaud@coop-atlantique.fr, cgranet@coop-atlantique.fr</v>
      </c>
      <c r="L903" s="1" t="s">
        <v>17</v>
      </c>
      <c r="M903" t="s">
        <v>23</v>
      </c>
      <c r="O903" s="1" t="s">
        <v>22</v>
      </c>
    </row>
    <row r="904" spans="1:15" ht="12.75" hidden="1" x14ac:dyDescent="0.2">
      <c r="A904">
        <v>32682</v>
      </c>
      <c r="B904" t="str">
        <f ca="1">VLOOKUP(A904,Import_SuiviGlobal_MigAppliSate!A:I,2,FALSE)</f>
        <v>SALBRIS</v>
      </c>
      <c r="C904" t="str">
        <f ca="1">VLOOKUP(A904,Import_SuiviGlobal_MigAppliSate!A:I,3,FALSE)</f>
        <v>Super U</v>
      </c>
      <c r="D904" s="1" t="str">
        <f ca="1">VLOOKUP(A904,Import_SuiviGlobal_MigAppliSate!A:I,4,FALSE)</f>
        <v>Coop U Enseigne Ouest</v>
      </c>
      <c r="E904">
        <f ca="1">VLOOKUP(A904,Import_SuiviGlobal_MigAppliSate!A:I,5,FALSE)</f>
        <v>41300</v>
      </c>
      <c r="F904" t="str">
        <f ca="1">VLOOKUP(A904,Import_SuiviGlobal_MigAppliSate!A:I,6,FALSE)</f>
        <v>AVENUE DE LA RESISTANCE</v>
      </c>
      <c r="G904" t="str">
        <f ca="1">VLOOKUP(A904,Import_SuiviGlobal_MigAppliSate!A:I,7,FALSE)</f>
        <v>02.54.97.24.50</v>
      </c>
      <c r="H904" t="str">
        <f ca="1">VLOOKUP(A904,Import_SuiviGlobal_MigAppliSate!A:I,8,FALSE)</f>
        <v>LEROUX Roger</v>
      </c>
      <c r="I904" t="str">
        <f ca="1">VLOOKUP(A904,Import_SuiviGlobal_MigAppliSate!A:I,9,FALSE)</f>
        <v>roger.leroux@systeme-u.fr</v>
      </c>
      <c r="J904" s="24" t="str">
        <f ca="1">VLOOKUP(A904,Import_SuiviGlobal_MigAppliSate!A:K,10,FALSE)</f>
        <v>BEGUIN Pascale</v>
      </c>
      <c r="K904" t="str">
        <f ca="1">VLOOKUP(A904,Import_SuiviGlobal_MigAppliSate!A:K,11,FALSE)</f>
        <v>superu.salbris@systeme-u.fr</v>
      </c>
      <c r="O904" s="1" t="s">
        <v>22</v>
      </c>
    </row>
    <row r="905" spans="1:15" ht="12.75" hidden="1" x14ac:dyDescent="0.2">
      <c r="A905">
        <v>62113</v>
      </c>
      <c r="B905" t="str">
        <f ca="1">VLOOKUP(A905,Import_SuiviGlobal_MigAppliSate!A:I,2,FALSE)</f>
        <v>SALINS LES BAINS</v>
      </c>
      <c r="C905" t="str">
        <f ca="1">VLOOKUP(A905,Import_SuiviGlobal_MigAppliSate!A:I,3,FALSE)</f>
        <v>Super U</v>
      </c>
      <c r="D905" s="1" t="str">
        <f ca="1">VLOOKUP(A905,Import_SuiviGlobal_MigAppliSate!A:I,4,FALSE)</f>
        <v>Coop U Enseigne Est</v>
      </c>
      <c r="E905">
        <f ca="1">VLOOKUP(A905,Import_SuiviGlobal_MigAppliSate!A:I,5,FALSE)</f>
        <v>39110</v>
      </c>
      <c r="F905" t="str">
        <f ca="1">VLOOKUP(A905,Import_SuiviGlobal_MigAppliSate!A:I,6,FALSE)</f>
        <v>LES PRÈS SITOZ</v>
      </c>
      <c r="G905" t="str">
        <f ca="1">VLOOKUP(A905,Import_SuiviGlobal_MigAppliSate!A:I,7,FALSE)</f>
        <v>03.84.73.60.00</v>
      </c>
      <c r="H905" t="str">
        <f ca="1">VLOOKUP(A905,Import_SuiviGlobal_MigAppliSate!A:I,8,FALSE)</f>
        <v>MAUGER Ludovic</v>
      </c>
      <c r="I905" t="str">
        <f ca="1">VLOOKUP(A905,Import_SuiviGlobal_MigAppliSate!A:I,9,FALSE)</f>
        <v>ludovic.mauger@systeme-u.fr</v>
      </c>
      <c r="J905" s="24" t="str">
        <f ca="1">VLOOKUP(A905,Import_SuiviGlobal_MigAppliSate!A:K,10,FALSE)</f>
        <v/>
      </c>
      <c r="K905" t="str">
        <f ca="1">VLOOKUP(A905,Import_SuiviGlobal_MigAppliSate!A:K,11,FALSE)</f>
        <v/>
      </c>
      <c r="O905" s="1" t="s">
        <v>22</v>
      </c>
    </row>
    <row r="906" spans="1:15" ht="12.75" hidden="1" x14ac:dyDescent="0.2">
      <c r="A906">
        <v>66092</v>
      </c>
      <c r="B906" t="str">
        <f ca="1">VLOOKUP(A906,Import_SuiviGlobal_MigAppliSate!A:I,2,FALSE)</f>
        <v>SALINS LES THERMES</v>
      </c>
      <c r="C906" t="str">
        <f ca="1">VLOOKUP(A906,Import_SuiviGlobal_MigAppliSate!A:I,3,FALSE)</f>
        <v>Super U</v>
      </c>
      <c r="D906" s="1" t="str">
        <f ca="1">VLOOKUP(A906,Import_SuiviGlobal_MigAppliSate!A:I,4,FALSE)</f>
        <v>Coop U Enseigne Est</v>
      </c>
      <c r="E906">
        <f ca="1">VLOOKUP(A906,Import_SuiviGlobal_MigAppliSate!A:I,5,FALSE)</f>
        <v>73600</v>
      </c>
      <c r="F906" t="str">
        <f ca="1">VLOOKUP(A906,Import_SuiviGlobal_MigAppliSate!A:I,6,FALSE)</f>
        <v>Zone des Moulins</v>
      </c>
      <c r="G906" t="str">
        <f ca="1">VLOOKUP(A906,Import_SuiviGlobal_MigAppliSate!A:I,7,FALSE)</f>
        <v>04.79.22.90.37</v>
      </c>
      <c r="H906" t="str">
        <f ca="1">VLOOKUP(A906,Import_SuiviGlobal_MigAppliSate!A:I,8,FALSE)</f>
        <v>SILVESTRE Luc</v>
      </c>
      <c r="I906" t="str">
        <f ca="1">VLOOKUP(A906,Import_SuiviGlobal_MigAppliSate!A:I,9,FALSE)</f>
        <v>luc.silvestre@systeme-u.fr</v>
      </c>
      <c r="J906" s="24" t="str">
        <f ca="1">VLOOKUP(A906,Import_SuiviGlobal_MigAppliSate!A:K,10,FALSE)</f>
        <v>Mme COLLIARD / 
M. VASQUEZ</v>
      </c>
      <c r="K906" t="str">
        <f ca="1">VLOOKUP(A906,Import_SuiviGlobal_MigAppliSate!A:K,11,FALSE)</f>
        <v>superu.salinslesthermes.directeur@systeme-u.fr,superu.salinslesthermes@systeme-u.fr</v>
      </c>
      <c r="O906" s="1" t="s">
        <v>22</v>
      </c>
    </row>
    <row r="907" spans="1:15" ht="12.75" hidden="1" x14ac:dyDescent="0.2">
      <c r="A907">
        <v>34677</v>
      </c>
      <c r="B907" t="str">
        <f ca="1">VLOOKUP(A907,Import_SuiviGlobal_MigAppliSate!A:I,2,FALSE)</f>
        <v>SANDILLON</v>
      </c>
      <c r="C907" t="str">
        <f ca="1">VLOOKUP(A907,Import_SuiviGlobal_MigAppliSate!A:I,3,FALSE)</f>
        <v>Super U</v>
      </c>
      <c r="D907" s="1" t="str">
        <f ca="1">VLOOKUP(A907,Import_SuiviGlobal_MigAppliSate!A:I,4,FALSE)</f>
        <v>Coop U Enseigne Ouest</v>
      </c>
      <c r="E907">
        <f ca="1">VLOOKUP(A907,Import_SuiviGlobal_MigAppliSate!A:I,5,FALSE)</f>
        <v>45640</v>
      </c>
      <c r="F907" t="str">
        <f ca="1">VLOOKUP(A907,Import_SuiviGlobal_MigAppliSate!A:I,6,FALSE)</f>
        <v>ROUTE DE JARGEAU</v>
      </c>
      <c r="G907" t="str">
        <f ca="1">VLOOKUP(A907,Import_SuiviGlobal_MigAppliSate!A:I,7,FALSE)</f>
        <v>02.38.49.89.00</v>
      </c>
      <c r="H907" t="str">
        <f ca="1">VLOOKUP(A907,Import_SuiviGlobal_MigAppliSate!A:I,8,FALSE)</f>
        <v>NAUDE RPT SARL SANDIS Philippe</v>
      </c>
      <c r="I907" t="str">
        <f ca="1">VLOOKUP(A907,Import_SuiviGlobal_MigAppliSate!A:I,9,FALSE)</f>
        <v>philippe.naude@systeme-u.fr</v>
      </c>
      <c r="J907" s="24" t="str">
        <f ca="1">VLOOKUP(A907,Import_SuiviGlobal_MigAppliSate!A:K,10,FALSE)</f>
        <v>NAUDE Sylvie</v>
      </c>
      <c r="K907" t="str">
        <f ca="1">VLOOKUP(A907,Import_SuiviGlobal_MigAppliSate!A:K,11,FALSE)</f>
        <v>sylvie.naude@systeme-u.fr</v>
      </c>
      <c r="O907" s="1" t="s">
        <v>22</v>
      </c>
    </row>
    <row r="908" spans="1:15" ht="12.75" hidden="1" x14ac:dyDescent="0.2">
      <c r="A908">
        <v>62109</v>
      </c>
      <c r="B908" t="str">
        <f ca="1">VLOOKUP(A908,Import_SuiviGlobal_MigAppliSate!A:I,2,FALSE)</f>
        <v>SAONE</v>
      </c>
      <c r="C908" t="str">
        <f ca="1">VLOOKUP(A908,Import_SuiviGlobal_MigAppliSate!A:I,3,FALSE)</f>
        <v>Super U</v>
      </c>
      <c r="D908" s="1" t="str">
        <f ca="1">VLOOKUP(A908,Import_SuiviGlobal_MigAppliSate!A:I,4,FALSE)</f>
        <v>Coop U Enseigne Est</v>
      </c>
      <c r="E908">
        <f ca="1">VLOOKUP(A908,Import_SuiviGlobal_MigAppliSate!A:I,5,FALSE)</f>
        <v>25660</v>
      </c>
      <c r="F908" t="str">
        <f ca="1">VLOOKUP(A908,Import_SuiviGlobal_MigAppliSate!A:I,6,FALSE)</f>
        <v>ZAC LES ECOTS</v>
      </c>
      <c r="G908" t="str">
        <f ca="1">VLOOKUP(A908,Import_SuiviGlobal_MigAppliSate!A:I,7,FALSE)</f>
        <v>03.81.55.71.01</v>
      </c>
      <c r="H908" t="str">
        <f ca="1">VLOOKUP(A908,Import_SuiviGlobal_MigAppliSate!A:I,8,FALSE)</f>
        <v>BERNARD Denis</v>
      </c>
      <c r="I908" t="str">
        <f ca="1">VLOOKUP(A908,Import_SuiviGlobal_MigAppliSate!A:I,9,FALSE)</f>
        <v>denis.bernard@systeme-u.fr</v>
      </c>
      <c r="J908" s="24" t="str">
        <f ca="1">VLOOKUP(A908,Import_SuiviGlobal_MigAppliSate!A:K,10,FALSE)</f>
        <v>BLANCH Chantal</v>
      </c>
      <c r="K908" t="str">
        <f ca="1">VLOOKUP(A908,Import_SuiviGlobal_MigAppliSate!A:K,11,FALSE)</f>
        <v>superu.saone.administration@systeme-u.fr</v>
      </c>
      <c r="O908" s="1" t="s">
        <v>22</v>
      </c>
    </row>
    <row r="909" spans="1:15" ht="12.75" hidden="1" x14ac:dyDescent="0.2">
      <c r="A909">
        <v>65007</v>
      </c>
      <c r="B909" t="str">
        <f ca="1">VLOOKUP(A909,Import_SuiviGlobal_MigAppliSate!A:I,2,FALSE)</f>
        <v>SARRALBE</v>
      </c>
      <c r="C909" t="str">
        <f ca="1">VLOOKUP(A909,Import_SuiviGlobal_MigAppliSate!A:I,3,FALSE)</f>
        <v>Super U</v>
      </c>
      <c r="D909" s="1" t="str">
        <f ca="1">VLOOKUP(A909,Import_SuiviGlobal_MigAppliSate!A:I,4,FALSE)</f>
        <v>Coop U Enseigne Est</v>
      </c>
      <c r="E909">
        <f ca="1">VLOOKUP(A909,Import_SuiviGlobal_MigAppliSate!A:I,5,FALSE)</f>
        <v>57430</v>
      </c>
      <c r="F909" t="str">
        <f ca="1">VLOOKUP(A909,Import_SuiviGlobal_MigAppliSate!A:I,6,FALSE)</f>
        <v>86 ROUTE DE STRASBOURG</v>
      </c>
      <c r="G909" t="str">
        <f ca="1">VLOOKUP(A909,Import_SuiviGlobal_MigAppliSate!A:I,7,FALSE)</f>
        <v>03.87.97.81.53</v>
      </c>
      <c r="H909" t="str">
        <f ca="1">VLOOKUP(A909,Import_SuiviGlobal_MigAppliSate!A:I,8,FALSE)</f>
        <v>HADJADJ Serge</v>
      </c>
      <c r="I909" t="str">
        <f ca="1">VLOOKUP(A909,Import_SuiviGlobal_MigAppliSate!A:I,9,FALSE)</f>
        <v>serge.hadjadj@systeme-u.fr</v>
      </c>
      <c r="J909" s="24" t="str">
        <f ca="1">VLOOKUP(A909,Import_SuiviGlobal_MigAppliSate!A:K,10,FALSE)</f>
        <v>Mme Muller Marie</v>
      </c>
      <c r="K909" t="str">
        <f ca="1">VLOOKUP(A909,Import_SuiviGlobal_MigAppliSate!A:K,11,FALSE)</f>
        <v>superu.sarralbe@systeme-u.fr</v>
      </c>
      <c r="O909" s="1" t="s">
        <v>22</v>
      </c>
    </row>
    <row r="910" spans="1:15" ht="12.75" hidden="1" x14ac:dyDescent="0.2">
      <c r="A910">
        <v>23441</v>
      </c>
      <c r="B910" t="str">
        <f ca="1">VLOOKUP(A910,Import_SuiviGlobal_MigAppliSate!A:I,2,FALSE)</f>
        <v>SARTILLY</v>
      </c>
      <c r="C910" t="str">
        <f ca="1">VLOOKUP(A910,Import_SuiviGlobal_MigAppliSate!A:I,3,FALSE)</f>
        <v>Super U</v>
      </c>
      <c r="D910" s="1" t="str">
        <f ca="1">VLOOKUP(A910,Import_SuiviGlobal_MigAppliSate!A:I,4,FALSE)</f>
        <v>Coop U Enseigne NordOuest</v>
      </c>
      <c r="E910">
        <f ca="1">VLOOKUP(A910,Import_SuiviGlobal_MigAppliSate!A:I,5,FALSE)</f>
        <v>50530</v>
      </c>
      <c r="F910" t="str">
        <f ca="1">VLOOKUP(A910,Import_SuiviGlobal_MigAppliSate!A:I,6,FALSE)</f>
        <v>ROUTE DE CAROLLES</v>
      </c>
      <c r="G910" t="str">
        <f ca="1">VLOOKUP(A910,Import_SuiviGlobal_MigAppliSate!A:I,7,FALSE)</f>
        <v>02.33.89.58.95</v>
      </c>
      <c r="H910" t="str">
        <f ca="1">VLOOKUP(A910,Import_SuiviGlobal_MigAppliSate!A:I,8,FALSE)</f>
        <v>LEMOINE Thomas</v>
      </c>
      <c r="I910" t="str">
        <f ca="1">VLOOKUP(A910,Import_SuiviGlobal_MigAppliSate!A:I,9,FALSE)</f>
        <v>thomas.lemoine@systeme-u.fr</v>
      </c>
      <c r="J910" s="24" t="str">
        <f ca="1">VLOOKUP(A910,Import_SuiviGlobal_MigAppliSate!A:K,10,FALSE)</f>
        <v>FERRAZZO Orlando</v>
      </c>
      <c r="K910" t="str">
        <f ca="1">VLOOKUP(A910,Import_SuiviGlobal_MigAppliSate!A:K,11,FALSE)</f>
        <v>superu.sartilly@systeme-u.fr</v>
      </c>
      <c r="O910" s="1" t="s">
        <v>22</v>
      </c>
    </row>
    <row r="911" spans="1:15" ht="12.75" hidden="1" x14ac:dyDescent="0.2">
      <c r="A911">
        <v>38095</v>
      </c>
      <c r="B911" t="str">
        <f ca="1">VLOOKUP(A911,Import_SuiviGlobal_MigAppliSate!A:I,2,FALSE)</f>
        <v>SARZEAU</v>
      </c>
      <c r="C911" t="str">
        <f ca="1">VLOOKUP(A911,Import_SuiviGlobal_MigAppliSate!A:I,3,FALSE)</f>
        <v>Super U</v>
      </c>
      <c r="D911" s="1" t="str">
        <f ca="1">VLOOKUP(A911,Import_SuiviGlobal_MigAppliSate!A:I,4,FALSE)</f>
        <v>Coop U Enseigne Ouest</v>
      </c>
      <c r="E911">
        <f ca="1">VLOOKUP(A911,Import_SuiviGlobal_MigAppliSate!A:I,5,FALSE)</f>
        <v>56370</v>
      </c>
      <c r="F911" t="str">
        <f ca="1">VLOOKUP(A911,Import_SuiviGlobal_MigAppliSate!A:I,6,FALSE)</f>
        <v>ROND POINT DU ROALIGUEN</v>
      </c>
      <c r="G911" t="str">
        <f ca="1">VLOOKUP(A911,Import_SuiviGlobal_MigAppliSate!A:I,7,FALSE)</f>
        <v>02.97.41.75.24</v>
      </c>
      <c r="H911" t="str">
        <f ca="1">VLOOKUP(A911,Import_SuiviGlobal_MigAppliSate!A:I,8,FALSE)</f>
        <v>TUAL Dominique</v>
      </c>
      <c r="I911" t="str">
        <f ca="1">VLOOKUP(A911,Import_SuiviGlobal_MigAppliSate!A:I,9,FALSE)</f>
        <v>dominique.tual@systeme-u.fr</v>
      </c>
      <c r="J911" s="24" t="str">
        <f ca="1">VLOOKUP(A911,Import_SuiviGlobal_MigAppliSate!A:K,10,FALSE)</f>
        <v>VINCENT Philippe</v>
      </c>
      <c r="K911" t="str">
        <f ca="1">VLOOKUP(A911,Import_SuiviGlobal_MigAppliSate!A:K,11,FALSE)</f>
        <v>superu.sarzeau.direction@systeme-u.fr</v>
      </c>
      <c r="O911" s="1" t="s">
        <v>22</v>
      </c>
    </row>
    <row r="912" spans="1:15" ht="12.75" hidden="1" x14ac:dyDescent="0.2">
      <c r="A912">
        <v>35312</v>
      </c>
      <c r="B912" t="str">
        <f ca="1">VLOOKUP(A912,Import_SuiviGlobal_MigAppliSate!A:I,2,FALSE)</f>
        <v>SAUJON</v>
      </c>
      <c r="C912" t="str">
        <f ca="1">VLOOKUP(A912,Import_SuiviGlobal_MigAppliSate!A:I,3,FALSE)</f>
        <v>Super U</v>
      </c>
      <c r="D912" s="1" t="str">
        <f ca="1">VLOOKUP(A912,Import_SuiviGlobal_MigAppliSate!A:I,4,FALSE)</f>
        <v>Coop U Enseigne Ouest</v>
      </c>
      <c r="E912">
        <f ca="1">VLOOKUP(A912,Import_SuiviGlobal_MigAppliSate!A:I,5,FALSE)</f>
        <v>17600</v>
      </c>
      <c r="F912" t="str">
        <f ca="1">VLOOKUP(A912,Import_SuiviGlobal_MigAppliSate!A:I,6,FALSE)</f>
        <v>9, ROUTE DE SAINTES</v>
      </c>
      <c r="G912" t="str">
        <f ca="1">VLOOKUP(A912,Import_SuiviGlobal_MigAppliSate!A:I,7,FALSE)</f>
        <v>05.46.02.92.44</v>
      </c>
      <c r="H912" t="str">
        <f ca="1">VLOOKUP(A912,Import_SuiviGlobal_MigAppliSate!A:I,8,FALSE)</f>
        <v>HONORE RPT SARL CONSTANTINE Laurent</v>
      </c>
      <c r="I912" t="str">
        <f ca="1">VLOOKUP(A912,Import_SuiviGlobal_MigAppliSate!A:I,9,FALSE)</f>
        <v>laurent.honore@systeme-u.fr</v>
      </c>
      <c r="J912" s="24" t="str">
        <f ca="1">VLOOKUP(A912,Import_SuiviGlobal_MigAppliSate!A:K,10,FALSE)</f>
        <v>DENAUD Jean Stéphane</v>
      </c>
      <c r="K912" t="str">
        <f ca="1">VLOOKUP(A912,Import_SuiviGlobal_MigAppliSate!A:K,11,FALSE)</f>
        <v>superu.saujon.bazar@systeme-u.fr</v>
      </c>
      <c r="O912" s="1" t="s">
        <v>22</v>
      </c>
    </row>
    <row r="913" spans="1:18" ht="12.75" hidden="1" x14ac:dyDescent="0.2">
      <c r="A913">
        <v>95182</v>
      </c>
      <c r="B913" t="str">
        <f ca="1">VLOOKUP(A913,Import_SuiviGlobal_MigAppliSate!A:I,2,FALSE)</f>
        <v>SAULT DE NAVAILLES</v>
      </c>
      <c r="C913" t="str">
        <f ca="1">VLOOKUP(A913,Import_SuiviGlobal_MigAppliSate!A:I,3,FALSE)</f>
        <v>U Express</v>
      </c>
      <c r="D913" s="1" t="str">
        <f ca="1">VLOOKUP(A913,Import_SuiviGlobal_MigAppliSate!A:I,4,FALSE)</f>
        <v>Coop UPSO</v>
      </c>
      <c r="E913">
        <f ca="1">VLOOKUP(A913,Import_SuiviGlobal_MigAppliSate!A:I,5,FALSE)</f>
        <v>64300</v>
      </c>
      <c r="F913" t="str">
        <f ca="1">VLOOKUP(A913,Import_SuiviGlobal_MigAppliSate!A:I,6,FALSE)</f>
        <v>ZA DE L ESCLAUZE</v>
      </c>
      <c r="G913" t="str">
        <f ca="1">VLOOKUP(A913,Import_SuiviGlobal_MigAppliSate!A:I,7,FALSE)</f>
        <v>05.59.69.77.00</v>
      </c>
      <c r="H913" t="str">
        <f ca="1">VLOOKUP(A913,Import_SuiviGlobal_MigAppliSate!A:I,8,FALSE)</f>
        <v>DE LATOUR Herve</v>
      </c>
      <c r="I913" t="str">
        <f ca="1">VLOOKUP(A913,Import_SuiviGlobal_MigAppliSate!A:I,9,FALSE)</f>
        <v>herve.delatour@systeme-u.fr</v>
      </c>
      <c r="J913" s="24" t="str">
        <f ca="1">VLOOKUP(A913,Import_SuiviGlobal_MigAppliSate!A:K,10,FALSE)</f>
        <v/>
      </c>
      <c r="K913" t="str">
        <f ca="1">VLOOKUP(A913,Import_SuiviGlobal_MigAppliSate!A:K,11,FALSE)</f>
        <v/>
      </c>
      <c r="O913" s="1" t="s">
        <v>22</v>
      </c>
    </row>
    <row r="914" spans="1:18" ht="12.75" hidden="1" x14ac:dyDescent="0.2">
      <c r="A914">
        <v>37625</v>
      </c>
      <c r="B914" t="str">
        <f ca="1">VLOOKUP(A914,Import_SuiviGlobal_MigAppliSate!A:I,2,FALSE)</f>
        <v>SAUMUR</v>
      </c>
      <c r="C914" t="str">
        <f ca="1">VLOOKUP(A914,Import_SuiviGlobal_MigAppliSate!A:I,3,FALSE)</f>
        <v>Super U</v>
      </c>
      <c r="D914" s="1" t="str">
        <f ca="1">VLOOKUP(A914,Import_SuiviGlobal_MigAppliSate!A:I,4,FALSE)</f>
        <v>Coop U Enseigne Ouest</v>
      </c>
      <c r="E914">
        <f ca="1">VLOOKUP(A914,Import_SuiviGlobal_MigAppliSate!A:I,5,FALSE)</f>
        <v>49400</v>
      </c>
      <c r="F914" t="str">
        <f ca="1">VLOOKUP(A914,Import_SuiviGlobal_MigAppliSate!A:I,6,FALSE)</f>
        <v>RUE DU CLOS COUTARD</v>
      </c>
      <c r="G914" t="str">
        <f ca="1">VLOOKUP(A914,Import_SuiviGlobal_MigAppliSate!A:I,7,FALSE)</f>
        <v>02.41.51.05.69</v>
      </c>
      <c r="H914" t="str">
        <f ca="1">VLOOKUP(A914,Import_SuiviGlobal_MigAppliSate!A:I,8,FALSE)</f>
        <v>BEAUCHARD Youri</v>
      </c>
      <c r="I914" t="str">
        <f ca="1">VLOOKUP(A914,Import_SuiviGlobal_MigAppliSate!A:I,9,FALSE)</f>
        <v>youri.beauchard@systeme-u.fr</v>
      </c>
      <c r="J914" s="24" t="str">
        <f ca="1">VLOOKUP(A914,Import_SuiviGlobal_MigAppliSate!A:K,10,FALSE)</f>
        <v/>
      </c>
      <c r="K914" t="str">
        <f ca="1">VLOOKUP(A914,Import_SuiviGlobal_MigAppliSate!A:K,11,FALSE)</f>
        <v/>
      </c>
      <c r="O914" s="1" t="s">
        <v>22</v>
      </c>
    </row>
    <row r="915" spans="1:18" ht="12.75" hidden="1" x14ac:dyDescent="0.2">
      <c r="A915">
        <v>30736</v>
      </c>
      <c r="B915" t="str">
        <f ca="1">VLOOKUP(A915,Import_SuiviGlobal_MigAppliSate!A:I,2,FALSE)</f>
        <v>SAUTRON</v>
      </c>
      <c r="C915" t="str">
        <f ca="1">VLOOKUP(A915,Import_SuiviGlobal_MigAppliSate!A:I,3,FALSE)</f>
        <v>Super U</v>
      </c>
      <c r="D915" s="1" t="str">
        <f ca="1">VLOOKUP(A915,Import_SuiviGlobal_MigAppliSate!A:I,4,FALSE)</f>
        <v>Coop U Enseigne Ouest</v>
      </c>
      <c r="E915">
        <f ca="1">VLOOKUP(A915,Import_SuiviGlobal_MigAppliSate!A:I,5,FALSE)</f>
        <v>44880</v>
      </c>
      <c r="F915" t="str">
        <f ca="1">VLOOKUP(A915,Import_SuiviGlobal_MigAppliSate!A:I,6,FALSE)</f>
        <v>20, RUE DE NANTES</v>
      </c>
      <c r="G915" t="str">
        <f ca="1">VLOOKUP(A915,Import_SuiviGlobal_MigAppliSate!A:I,7,FALSE)</f>
        <v>02.40.63.22.59</v>
      </c>
      <c r="H915" t="str">
        <f ca="1">VLOOKUP(A915,Import_SuiviGlobal_MigAppliSate!A:I,8,FALSE)</f>
        <v>BROSSEAU RPT SAS B.T. Thierry</v>
      </c>
      <c r="I915" t="str">
        <f ca="1">VLOOKUP(A915,Import_SuiviGlobal_MigAppliSate!A:I,9,FALSE)</f>
        <v>thierry.brosseau@systeme-u.fr</v>
      </c>
      <c r="J915" s="24" t="str">
        <f ca="1">VLOOKUP(A915,Import_SuiviGlobal_MigAppliSate!A:K,10,FALSE)</f>
        <v>Brosseau Romain</v>
      </c>
      <c r="K915" t="str">
        <f ca="1">VLOOKUP(A915,Import_SuiviGlobal_MigAppliSate!A:K,11,FALSE)</f>
        <v>romain.brosseau@systeme-u.fr</v>
      </c>
      <c r="L915" s="1" t="s">
        <v>17</v>
      </c>
      <c r="M915" s="1" t="s">
        <v>24</v>
      </c>
      <c r="N915" s="1" t="s">
        <v>18</v>
      </c>
      <c r="O915" s="1" t="s">
        <v>19</v>
      </c>
      <c r="P915" s="1"/>
      <c r="Q915" s="1"/>
      <c r="R915" s="1"/>
    </row>
    <row r="916" spans="1:18" ht="12.75" hidden="1" x14ac:dyDescent="0.2">
      <c r="A916">
        <v>96973</v>
      </c>
      <c r="B916" t="str">
        <f ca="1">VLOOKUP(A916,Import_SuiviGlobal_MigAppliSate!A:I,2,FALSE)</f>
        <v>SAUVETERRE DE GUYENNE</v>
      </c>
      <c r="C916" t="str">
        <f ca="1">VLOOKUP(A916,Import_SuiviGlobal_MigAppliSate!A:I,3,FALSE)</f>
        <v>Super U</v>
      </c>
      <c r="D916" s="1" t="str">
        <f ca="1">VLOOKUP(A916,Import_SuiviGlobal_MigAppliSate!A:I,4,FALSE)</f>
        <v>Coop U Enseigne Sud</v>
      </c>
      <c r="E916">
        <f ca="1">VLOOKUP(A916,Import_SuiviGlobal_MigAppliSate!A:I,5,FALSE)</f>
        <v>33540</v>
      </c>
      <c r="F916" t="str">
        <f ca="1">VLOOKUP(A916,Import_SuiviGlobal_MigAppliSate!A:I,6,FALSE)</f>
        <v>ROUTE DE LIBOURNE - BP 29</v>
      </c>
      <c r="G916" t="str">
        <f ca="1">VLOOKUP(A916,Import_SuiviGlobal_MigAppliSate!A:I,7,FALSE)</f>
        <v>05.56.71.59.21</v>
      </c>
      <c r="H916" t="str">
        <f ca="1">VLOOKUP(A916,Import_SuiviGlobal_MigAppliSate!A:I,8,FALSE)</f>
        <v>BEAUX Roger</v>
      </c>
      <c r="I916" t="str">
        <f ca="1">VLOOKUP(A916,Import_SuiviGlobal_MigAppliSate!A:I,9,FALSE)</f>
        <v>roger.beaux@systeme-u.fr</v>
      </c>
      <c r="J916" s="24" t="str">
        <f ca="1">VLOOKUP(A916,Import_SuiviGlobal_MigAppliSate!A:K,10,FALSE)</f>
        <v>Mme Beaux</v>
      </c>
      <c r="K916" t="str">
        <f ca="1">VLOOKUP(A916,Import_SuiviGlobal_MigAppliSate!A:K,11,FALSE)</f>
        <v>claudine.beaux@systeme-u.fr</v>
      </c>
      <c r="O916" s="1" t="s">
        <v>22</v>
      </c>
    </row>
    <row r="917" spans="1:18" ht="12.75" hidden="1" x14ac:dyDescent="0.2">
      <c r="A917">
        <v>32267</v>
      </c>
      <c r="B917" t="str">
        <f ca="1">VLOOKUP(A917,Import_SuiviGlobal_MigAppliSate!A:I,2,FALSE)</f>
        <v>SAUZE-VAUSSAIS</v>
      </c>
      <c r="C917" t="str">
        <f ca="1">VLOOKUP(A917,Import_SuiviGlobal_MigAppliSate!A:I,3,FALSE)</f>
        <v>Super U</v>
      </c>
      <c r="D917" s="1" t="str">
        <f ca="1">VLOOKUP(A917,Import_SuiviGlobal_MigAppliSate!A:I,4,FALSE)</f>
        <v>Coop U Enseigne Ouest</v>
      </c>
      <c r="E917">
        <f ca="1">VLOOKUP(A917,Import_SuiviGlobal_MigAppliSate!A:I,5,FALSE)</f>
        <v>79190</v>
      </c>
      <c r="F917" t="str">
        <f ca="1">VLOOKUP(A917,Import_SuiviGlobal_MigAppliSate!A:I,6,FALSE)</f>
        <v>2, ROUTE DE MONTALEMBERT</v>
      </c>
      <c r="G917" t="str">
        <f ca="1">VLOOKUP(A917,Import_SuiviGlobal_MigAppliSate!A:I,7,FALSE)</f>
        <v>05.49.07.77.70</v>
      </c>
      <c r="H917" t="str">
        <f ca="1">VLOOKUP(A917,Import_SuiviGlobal_MigAppliSate!A:I,8,FALSE)</f>
        <v>DIGUET RPT SARL DIFT GESTION Thierry</v>
      </c>
      <c r="I917" t="str">
        <f ca="1">VLOOKUP(A917,Import_SuiviGlobal_MigAppliSate!A:I,9,FALSE)</f>
        <v>francoise.diguet@systeme-u.fr</v>
      </c>
      <c r="J917" s="24" t="str">
        <f ca="1">VLOOKUP(A917,Import_SuiviGlobal_MigAppliSate!A:K,10,FALSE)</f>
        <v>EMERY Emmanuelle</v>
      </c>
      <c r="K917" t="str">
        <f ca="1">VLOOKUP(A917,Import_SuiviGlobal_MigAppliSate!A:K,11,FALSE)</f>
        <v>superu.sauzevaussais.informatique@systeme-u.fr</v>
      </c>
      <c r="L917" s="1" t="s">
        <v>17</v>
      </c>
      <c r="M917" s="1" t="s">
        <v>24</v>
      </c>
      <c r="N917" s="1" t="s">
        <v>18</v>
      </c>
      <c r="O917" s="1" t="s">
        <v>19</v>
      </c>
      <c r="P917" s="15"/>
      <c r="Q917" s="18"/>
      <c r="R917" s="18"/>
    </row>
    <row r="918" spans="1:18" ht="12.75" hidden="1" x14ac:dyDescent="0.2">
      <c r="A918">
        <v>30264</v>
      </c>
      <c r="B918" t="str">
        <f ca="1">VLOOKUP(A918,Import_SuiviGlobal_MigAppliSate!A:I,2,FALSE)</f>
        <v>SAVENAY</v>
      </c>
      <c r="C918" t="str">
        <f ca="1">VLOOKUP(A918,Import_SuiviGlobal_MigAppliSate!A:I,3,FALSE)</f>
        <v>Hyper U</v>
      </c>
      <c r="D918" s="1" t="str">
        <f ca="1">VLOOKUP(A918,Import_SuiviGlobal_MigAppliSate!A:I,4,FALSE)</f>
        <v>Coop U Enseigne Ouest</v>
      </c>
      <c r="E918">
        <f ca="1">VLOOKUP(A918,Import_SuiviGlobal_MigAppliSate!A:I,5,FALSE)</f>
        <v>44260</v>
      </c>
      <c r="F918" t="str">
        <f ca="1">VLOOKUP(A918,Import_SuiviGlobal_MigAppliSate!A:I,6,FALSE)</f>
        <v>ZAC DE LA COLLERAYE</v>
      </c>
      <c r="G918" t="str">
        <f ca="1">VLOOKUP(A918,Import_SuiviGlobal_MigAppliSate!A:I,7,FALSE)</f>
        <v>02.40.58.83.00</v>
      </c>
      <c r="H918" t="str">
        <f ca="1">VLOOKUP(A918,Import_SuiviGlobal_MigAppliSate!A:I,8,FALSE)</f>
        <v>BESNARD RPT SARL DISTRISAV Stéphane</v>
      </c>
      <c r="I918" t="str">
        <f ca="1">VLOOKUP(A918,Import_SuiviGlobal_MigAppliSate!A:I,9,FALSE)</f>
        <v>stephane.besnard@systeme-u.fr</v>
      </c>
      <c r="J918" s="24" t="str">
        <f ca="1">VLOOKUP(A918,Import_SuiviGlobal_MigAppliSate!A:K,10,FALSE)</f>
        <v>Martin Olivier</v>
      </c>
      <c r="K918" t="str">
        <f ca="1">VLOOKUP(A918,Import_SuiviGlobal_MigAppliSate!A:K,11,FALSE)</f>
        <v>hyperu.savenay.administratif1@systeme-u.fr</v>
      </c>
      <c r="L918" t="s">
        <v>17</v>
      </c>
      <c r="M918" s="1" t="s">
        <v>24</v>
      </c>
      <c r="N918" s="1" t="s">
        <v>26</v>
      </c>
      <c r="O918" s="1" t="s">
        <v>19</v>
      </c>
      <c r="P918" s="1"/>
      <c r="Q918" s="1"/>
      <c r="R918" s="1"/>
    </row>
    <row r="919" spans="1:18" ht="12.75" hidden="1" x14ac:dyDescent="0.2">
      <c r="A919">
        <v>60063</v>
      </c>
      <c r="B919" t="str">
        <f ca="1">VLOOKUP(A919,Import_SuiviGlobal_MigAppliSate!A:I,2,FALSE)</f>
        <v>SAVERNE</v>
      </c>
      <c r="C919" t="str">
        <f ca="1">VLOOKUP(A919,Import_SuiviGlobal_MigAppliSate!A:I,3,FALSE)</f>
        <v>Super U</v>
      </c>
      <c r="D919" s="1" t="str">
        <f ca="1">VLOOKUP(A919,Import_SuiviGlobal_MigAppliSate!A:I,4,FALSE)</f>
        <v>Coop U Enseigne Est</v>
      </c>
      <c r="E919">
        <f ca="1">VLOOKUP(A919,Import_SuiviGlobal_MigAppliSate!A:I,5,FALSE)</f>
        <v>67700</v>
      </c>
      <c r="F919" t="str">
        <f ca="1">VLOOKUP(A919,Import_SuiviGlobal_MigAppliSate!A:I,6,FALSE)</f>
        <v>15 rue des Bains</v>
      </c>
      <c r="G919" t="str">
        <f ca="1">VLOOKUP(A919,Import_SuiviGlobal_MigAppliSate!A:I,7,FALSE)</f>
        <v>03.88.03.14.14</v>
      </c>
      <c r="H919" t="str">
        <f ca="1">VLOOKUP(A919,Import_SuiviGlobal_MigAppliSate!A:I,8,FALSE)</f>
        <v>MORENO RPT SAS PAMIFLAU Michel</v>
      </c>
      <c r="I919" t="str">
        <f ca="1">VLOOKUP(A919,Import_SuiviGlobal_MigAppliSate!A:I,9,FALSE)</f>
        <v>michel.moreno@systeme-u.fr</v>
      </c>
      <c r="J919" s="24" t="str">
        <f ca="1">VLOOKUP(A919,Import_SuiviGlobal_MigAppliSate!A:K,10,FALSE)</f>
        <v xml:space="preserve">M. François MORENO </v>
      </c>
      <c r="K919" t="str">
        <f ca="1">VLOOKUP(A919,Import_SuiviGlobal_MigAppliSate!A:K,11,FALSE)</f>
        <v>superu.saverne.directeur@systeme-u.fr, superu.saverne@systeme-u.fr</v>
      </c>
      <c r="O919" s="1" t="s">
        <v>22</v>
      </c>
    </row>
    <row r="920" spans="1:18" ht="12.75" hidden="1" x14ac:dyDescent="0.2">
      <c r="A920">
        <v>32941</v>
      </c>
      <c r="B920" t="str">
        <f ca="1">VLOOKUP(A920,Import_SuiviGlobal_MigAppliSate!A:I,2,FALSE)</f>
        <v>SAVIGNE-LATHAN</v>
      </c>
      <c r="C920" t="str">
        <f ca="1">VLOOKUP(A920,Import_SuiviGlobal_MigAppliSate!A:I,3,FALSE)</f>
        <v>Super U</v>
      </c>
      <c r="D920" s="1" t="str">
        <f ca="1">VLOOKUP(A920,Import_SuiviGlobal_MigAppliSate!A:I,4,FALSE)</f>
        <v>Coop U Enseigne Ouest</v>
      </c>
      <c r="E920">
        <f ca="1">VLOOKUP(A920,Import_SuiviGlobal_MigAppliSate!A:I,5,FALSE)</f>
        <v>37340</v>
      </c>
      <c r="F920" t="str">
        <f ca="1">VLOOKUP(A920,Import_SuiviGlobal_MigAppliSate!A:I,6,FALSE)</f>
        <v>RUE DE LA GARE</v>
      </c>
      <c r="G920" t="str">
        <f ca="1">VLOOKUP(A920,Import_SuiviGlobal_MigAppliSate!A:I,7,FALSE)</f>
        <v>02.47.24.22.90</v>
      </c>
      <c r="H920" t="str">
        <f ca="1">VLOOKUP(A920,Import_SuiviGlobal_MigAppliSate!A:I,8,FALSE)</f>
        <v>MARCHESSEAU RPT SARL SEMAFI Sébastien</v>
      </c>
      <c r="I920" t="str">
        <f ca="1">VLOOKUP(A920,Import_SuiviGlobal_MigAppliSate!A:I,9,FALSE)</f>
        <v>sebastien.marchesseau@systeme-u.fr</v>
      </c>
      <c r="J920" s="24" t="str">
        <f ca="1">VLOOKUP(A920,Import_SuiviGlobal_MigAppliSate!A:K,10,FALSE)</f>
        <v>MESLET Silviane</v>
      </c>
      <c r="K920" t="str">
        <f ca="1">VLOOKUP(A920,Import_SuiviGlobal_MigAppliSate!A:K,11,FALSE)</f>
        <v>superu.savignelathan.compta@systeme-u.fr</v>
      </c>
      <c r="O920" s="1" t="s">
        <v>22</v>
      </c>
    </row>
    <row r="921" spans="1:18" ht="12.75" hidden="1" x14ac:dyDescent="0.2">
      <c r="A921">
        <v>66165</v>
      </c>
      <c r="B921" t="str">
        <f ca="1">VLOOKUP(A921,Import_SuiviGlobal_MigAppliSate!A:I,2,FALSE)</f>
        <v>SAVIGNEUX</v>
      </c>
      <c r="C921" t="str">
        <f ca="1">VLOOKUP(A921,Import_SuiviGlobal_MigAppliSate!A:I,3,FALSE)</f>
        <v>Super U</v>
      </c>
      <c r="D921" s="1" t="str">
        <f ca="1">VLOOKUP(A921,Import_SuiviGlobal_MigAppliSate!A:I,4,FALSE)</f>
        <v>Coop U Enseigne Est</v>
      </c>
      <c r="E921">
        <f ca="1">VLOOKUP(A921,Import_SuiviGlobal_MigAppliSate!A:I,5,FALSE)</f>
        <v>42600</v>
      </c>
      <c r="F921" t="str">
        <f ca="1">VLOOKUP(A921,Import_SuiviGlobal_MigAppliSate!A:I,6,FALSE)</f>
        <v>Route de Lyon</v>
      </c>
      <c r="G921" t="str">
        <f ca="1">VLOOKUP(A921,Import_SuiviGlobal_MigAppliSate!A:I,7,FALSE)</f>
        <v>04.77.58.02.83</v>
      </c>
      <c r="H921" t="str">
        <f ca="1">VLOOKUP(A921,Import_SuiviGlobal_MigAppliSate!A:I,8,FALSE)</f>
        <v>BOUTREUX RPT SAS FRELO IMMO Frédéric</v>
      </c>
      <c r="I921" t="str">
        <f ca="1">VLOOKUP(A921,Import_SuiviGlobal_MigAppliSate!A:I,9,FALSE)</f>
        <v>frederic.boutreux@systeme-u.fr</v>
      </c>
      <c r="J921" s="24" t="str">
        <f ca="1">VLOOKUP(A921,Import_SuiviGlobal_MigAppliSate!A:K,10,FALSE)</f>
        <v>JOLLIOT Fabien</v>
      </c>
      <c r="K921" t="str">
        <f ca="1">VLOOKUP(A921,Import_SuiviGlobal_MigAppliSate!A:K,11,FALSE)</f>
        <v>superu.savigneux.direction@systeme-u.fr</v>
      </c>
      <c r="O921" s="1" t="s">
        <v>22</v>
      </c>
    </row>
    <row r="922" spans="1:18" ht="12.75" hidden="1" x14ac:dyDescent="0.2">
      <c r="A922">
        <v>36467</v>
      </c>
      <c r="B922" t="str">
        <f ca="1">VLOOKUP(A922,Import_SuiviGlobal_MigAppliSate!A:I,2,FALSE)</f>
        <v>SECONDIGNY</v>
      </c>
      <c r="C922" t="str">
        <f ca="1">VLOOKUP(A922,Import_SuiviGlobal_MigAppliSate!A:I,3,FALSE)</f>
        <v>Super U</v>
      </c>
      <c r="D922" s="1" t="str">
        <f ca="1">VLOOKUP(A922,Import_SuiviGlobal_MigAppliSate!A:I,4,FALSE)</f>
        <v>Coop U Enseigne Ouest</v>
      </c>
      <c r="E922">
        <f ca="1">VLOOKUP(A922,Import_SuiviGlobal_MigAppliSate!A:I,5,FALSE)</f>
        <v>79130</v>
      </c>
      <c r="F922" t="str">
        <f ca="1">VLOOKUP(A922,Import_SuiviGlobal_MigAppliSate!A:I,6,FALSE)</f>
        <v>2, PLACE DU MARCHÉ</v>
      </c>
      <c r="G922" t="str">
        <f ca="1">VLOOKUP(A922,Import_SuiviGlobal_MigAppliSate!A:I,7,FALSE)</f>
        <v>05.49.63.70.54</v>
      </c>
      <c r="H922" t="str">
        <f ca="1">VLOOKUP(A922,Import_SuiviGlobal_MigAppliSate!A:I,8,FALSE)</f>
        <v>GAUTREAU Nathalie</v>
      </c>
      <c r="I922" t="str">
        <f ca="1">VLOOKUP(A922,Import_SuiviGlobal_MigAppliSate!A:I,9,FALSE)</f>
        <v>nathalie.bodin@systeme-u.fr</v>
      </c>
      <c r="J922" s="24" t="str">
        <f ca="1">VLOOKUP(A922,Import_SuiviGlobal_MigAppliSate!A:K,10,FALSE)</f>
        <v/>
      </c>
      <c r="K922" t="str">
        <f ca="1">VLOOKUP(A922,Import_SuiviGlobal_MigAppliSate!A:K,11,FALSE)</f>
        <v/>
      </c>
      <c r="O922" s="1" t="s">
        <v>22</v>
      </c>
    </row>
    <row r="923" spans="1:18" ht="12.75" hidden="1" x14ac:dyDescent="0.2">
      <c r="A923">
        <v>31880</v>
      </c>
      <c r="B923" t="str">
        <f ca="1">VLOOKUP(A923,Import_SuiviGlobal_MigAppliSate!A:I,2,FALSE)</f>
        <v>SEGRE</v>
      </c>
      <c r="C923" t="str">
        <f ca="1">VLOOKUP(A923,Import_SuiviGlobal_MigAppliSate!A:I,3,FALSE)</f>
        <v>Super U</v>
      </c>
      <c r="D923" s="1" t="str">
        <f ca="1">VLOOKUP(A923,Import_SuiviGlobal_MigAppliSate!A:I,4,FALSE)</f>
        <v>Coop U Enseigne Ouest</v>
      </c>
      <c r="E923">
        <f ca="1">VLOOKUP(A923,Import_SuiviGlobal_MigAppliSate!A:I,5,FALSE)</f>
        <v>49500</v>
      </c>
      <c r="F923" t="str">
        <f ca="1">VLOOKUP(A923,Import_SuiviGlobal_MigAppliSate!A:I,6,FALSE)</f>
        <v>ROUTE DE LAVAL</v>
      </c>
      <c r="G923" t="str">
        <f ca="1">VLOOKUP(A923,Import_SuiviGlobal_MigAppliSate!A:I,7,FALSE)</f>
        <v>02.41.92.10.31</v>
      </c>
      <c r="H923" t="str">
        <f ca="1">VLOOKUP(A923,Import_SuiviGlobal_MigAppliSate!A:I,8,FALSE)</f>
        <v>GARANDEAU Didier</v>
      </c>
      <c r="I923" t="str">
        <f ca="1">VLOOKUP(A923,Import_SuiviGlobal_MigAppliSate!A:I,9,FALSE)</f>
        <v>didier.garandeau@systeme-u.fr</v>
      </c>
      <c r="J923" s="24" t="str">
        <f ca="1">VLOOKUP(A923,Import_SuiviGlobal_MigAppliSate!A:K,10,FALSE)</f>
        <v>Geslin Jean-Baptiste</v>
      </c>
      <c r="K923" t="str">
        <f ca="1">VLOOKUP(A923,Import_SuiviGlobal_MigAppliSate!A:K,11,FALSE)</f>
        <v>superu.segre.direction@systeme-u.fr</v>
      </c>
      <c r="O923" s="1" t="s">
        <v>22</v>
      </c>
    </row>
    <row r="924" spans="1:18" ht="12.75" hidden="1" x14ac:dyDescent="0.2">
      <c r="A924">
        <v>96987</v>
      </c>
      <c r="B924" t="str">
        <f ca="1">VLOOKUP(A924,Import_SuiviGlobal_MigAppliSate!A:I,2,FALSE)</f>
        <v>SEILHAC</v>
      </c>
      <c r="C924" t="str">
        <f ca="1">VLOOKUP(A924,Import_SuiviGlobal_MigAppliSate!A:I,3,FALSE)</f>
        <v>Super U</v>
      </c>
      <c r="D924" s="1" t="str">
        <f ca="1">VLOOKUP(A924,Import_SuiviGlobal_MigAppliSate!A:I,4,FALSE)</f>
        <v>Coop U Enseigne Sud</v>
      </c>
      <c r="E924">
        <f ca="1">VLOOKUP(A924,Import_SuiviGlobal_MigAppliSate!A:I,5,FALSE)</f>
        <v>19700</v>
      </c>
      <c r="F924" t="str">
        <f ca="1">VLOOKUP(A924,Import_SuiviGlobal_MigAppliSate!A:I,6,FALSE)</f>
        <v>29 AVENUE JEAN VINATIER</v>
      </c>
      <c r="G924" t="str">
        <f ca="1">VLOOKUP(A924,Import_SuiviGlobal_MigAppliSate!A:I,7,FALSE)</f>
        <v>05.55.27.02.50</v>
      </c>
      <c r="H924" t="str">
        <f ca="1">VLOOKUP(A924,Import_SuiviGlobal_MigAppliSate!A:I,8,FALSE)</f>
        <v>PITEL Jean-François</v>
      </c>
      <c r="I924" t="str">
        <f ca="1">VLOOKUP(A924,Import_SuiviGlobal_MigAppliSate!A:I,9,FALSE)</f>
        <v>jean-francois.pitel@systeme-u.fr</v>
      </c>
      <c r="J924" s="24" t="str">
        <f ca="1">VLOOKUP(A924,Import_SuiviGlobal_MigAppliSate!A:K,10,FALSE)</f>
        <v/>
      </c>
      <c r="K924" t="str">
        <f ca="1">VLOOKUP(A924,Import_SuiviGlobal_MigAppliSate!A:K,11,FALSE)</f>
        <v/>
      </c>
      <c r="O924" s="1" t="s">
        <v>22</v>
      </c>
    </row>
    <row r="925" spans="1:18" ht="12.75" hidden="1" x14ac:dyDescent="0.2">
      <c r="A925">
        <v>35789</v>
      </c>
      <c r="B925" t="str">
        <f ca="1">VLOOKUP(A925,Import_SuiviGlobal_MigAppliSate!A:I,2,FALSE)</f>
        <v>SELLES-SUR-CHER</v>
      </c>
      <c r="C925" t="str">
        <f ca="1">VLOOKUP(A925,Import_SuiviGlobal_MigAppliSate!A:I,3,FALSE)</f>
        <v>Super U</v>
      </c>
      <c r="D925" s="1" t="str">
        <f ca="1">VLOOKUP(A925,Import_SuiviGlobal_MigAppliSate!A:I,4,FALSE)</f>
        <v>Coop U Enseigne Ouest</v>
      </c>
      <c r="E925">
        <f ca="1">VLOOKUP(A925,Import_SuiviGlobal_MigAppliSate!A:I,5,FALSE)</f>
        <v>41130</v>
      </c>
      <c r="F925" t="str">
        <f ca="1">VLOOKUP(A925,Import_SuiviGlobal_MigAppliSate!A:I,6,FALSE)</f>
        <v>LIEU-DIT LES GRANDS PANTALONS</v>
      </c>
      <c r="G925" t="str">
        <f ca="1">VLOOKUP(A925,Import_SuiviGlobal_MigAppliSate!A:I,7,FALSE)</f>
        <v>02.54.96.18.25</v>
      </c>
      <c r="H925" t="str">
        <f ca="1">VLOOKUP(A925,Import_SuiviGlobal_MigAppliSate!A:I,8,FALSE)</f>
        <v>DUPONT RPT SAS SCENODIS Sébastien</v>
      </c>
      <c r="I925" t="str">
        <f ca="1">VLOOKUP(A925,Import_SuiviGlobal_MigAppliSate!A:I,9,FALSE)</f>
        <v>sebastien.dupont@systeme-u.fr</v>
      </c>
      <c r="J925" s="24" t="str">
        <f ca="1">VLOOKUP(A925,Import_SuiviGlobal_MigAppliSate!A:K,10,FALSE)</f>
        <v>Capaline QUENARD</v>
      </c>
      <c r="K925" t="str">
        <f ca="1">VLOOKUP(A925,Import_SuiviGlobal_MigAppliSate!A:K,11,FALSE)</f>
        <v>superu.sellessurcher@systeme-u.fr</v>
      </c>
      <c r="O925" s="1" t="s">
        <v>22</v>
      </c>
    </row>
    <row r="926" spans="1:18" ht="12.75" hidden="1" x14ac:dyDescent="0.2">
      <c r="A926">
        <v>60704</v>
      </c>
      <c r="B926" t="str">
        <f ca="1">VLOOKUP(A926,Import_SuiviGlobal_MigAppliSate!A:I,2,FALSE)</f>
        <v>SELTZ</v>
      </c>
      <c r="C926" t="str">
        <f ca="1">VLOOKUP(A926,Import_SuiviGlobal_MigAppliSate!A:I,3,FALSE)</f>
        <v>Super U</v>
      </c>
      <c r="D926" s="1" t="str">
        <f ca="1">VLOOKUP(A926,Import_SuiviGlobal_MigAppliSate!A:I,4,FALSE)</f>
        <v>Coop U Enseigne Est</v>
      </c>
      <c r="E926">
        <f ca="1">VLOOKUP(A926,Import_SuiviGlobal_MigAppliSate!A:I,5,FALSE)</f>
        <v>67470</v>
      </c>
      <c r="F926" t="str">
        <f ca="1">VLOOKUP(A926,Import_SuiviGlobal_MigAppliSate!A:I,6,FALSE)</f>
        <v>Rue de Hatten</v>
      </c>
      <c r="G926" t="str">
        <f ca="1">VLOOKUP(A926,Import_SuiviGlobal_MigAppliSate!A:I,7,FALSE)</f>
        <v>03.88.86.87.80</v>
      </c>
      <c r="H926" t="str">
        <f ca="1">VLOOKUP(A926,Import_SuiviGlobal_MigAppliSate!A:I,8,FALSE)</f>
        <v>NONNENMACHER Daniel</v>
      </c>
      <c r="I926" t="str">
        <f ca="1">VLOOKUP(A926,Import_SuiviGlobal_MigAppliSate!A:I,9,FALSE)</f>
        <v>daniel.nonnenmacher@systeme-u.fr</v>
      </c>
      <c r="J926" s="24" t="str">
        <f ca="1">VLOOKUP(A926,Import_SuiviGlobal_MigAppliSate!A:K,10,FALSE)</f>
        <v>HERTRICH Steve</v>
      </c>
      <c r="K926" t="str">
        <f ca="1">VLOOKUP(A926,Import_SuiviGlobal_MigAppliSate!A:K,11,FALSE)</f>
        <v>superu.seltz.direction@systeme-u.fr</v>
      </c>
      <c r="O926" s="1" t="s">
        <v>22</v>
      </c>
    </row>
    <row r="927" spans="1:18" ht="12.75" hidden="1" x14ac:dyDescent="0.2">
      <c r="A927">
        <v>30244</v>
      </c>
      <c r="B927" t="str">
        <f ca="1">VLOOKUP(A927,Import_SuiviGlobal_MigAppliSate!A:I,2,FALSE)</f>
        <v>SEMUSSAC</v>
      </c>
      <c r="C927" t="str">
        <f ca="1">VLOOKUP(A927,Import_SuiviGlobal_MigAppliSate!A:I,3,FALSE)</f>
        <v>U Express</v>
      </c>
      <c r="D927" s="1" t="str">
        <f ca="1">VLOOKUP(A927,Import_SuiviGlobal_MigAppliSate!A:I,4,FALSE)</f>
        <v>Coop U Enseigne Ouest</v>
      </c>
      <c r="E927">
        <f ca="1">VLOOKUP(A927,Import_SuiviGlobal_MigAppliSate!A:I,5,FALSE)</f>
        <v>17120</v>
      </c>
      <c r="F927" t="str">
        <f ca="1">VLOOKUP(A927,Import_SuiviGlobal_MigAppliSate!A:I,6,FALSE)</f>
        <v>1 ZONE ARTISANALE LE PRÉ CHARDON</v>
      </c>
      <c r="G927" t="str">
        <f ca="1">VLOOKUP(A927,Import_SuiviGlobal_MigAppliSate!A:I,7,FALSE)</f>
        <v>05.46.39.74.56</v>
      </c>
      <c r="H927" t="str">
        <f ca="1">VLOOKUP(A927,Import_SuiviGlobal_MigAppliSate!A:I,8,FALSE)</f>
        <v>DURAND Alexandre</v>
      </c>
      <c r="I927" t="str">
        <f ca="1">VLOOKUP(A927,Import_SuiviGlobal_MigAppliSate!A:I,9,FALSE)</f>
        <v>alexandre.durand@systeme-u.fr</v>
      </c>
      <c r="J927" s="24" t="str">
        <f ca="1">VLOOKUP(A927,Import_SuiviGlobal_MigAppliSate!A:K,10,FALSE)</f>
        <v>Mme Lamoureux</v>
      </c>
      <c r="K927" t="str">
        <f ca="1">VLOOKUP(A927,Import_SuiviGlobal_MigAppliSate!A:K,11,FALSE)</f>
        <v>uexpress.semussac@systeme-u.fr</v>
      </c>
      <c r="O927" s="1" t="s">
        <v>22</v>
      </c>
    </row>
    <row r="928" spans="1:18" ht="12.75" hidden="1" x14ac:dyDescent="0.2">
      <c r="A928">
        <v>90605</v>
      </c>
      <c r="B928" t="str">
        <f ca="1">VLOOKUP(A928,Import_SuiviGlobal_MigAppliSate!A:I,2,FALSE)</f>
        <v>SENAS</v>
      </c>
      <c r="C928" t="str">
        <f ca="1">VLOOKUP(A928,Import_SuiviGlobal_MigAppliSate!A:I,3,FALSE)</f>
        <v>U Express</v>
      </c>
      <c r="D928" s="1" t="str">
        <f ca="1">VLOOKUP(A928,Import_SuiviGlobal_MigAppliSate!A:I,4,FALSE)</f>
        <v>Coop MISTRAL</v>
      </c>
      <c r="E928">
        <f ca="1">VLOOKUP(A928,Import_SuiviGlobal_MigAppliSate!A:I,5,FALSE)</f>
        <v>13560</v>
      </c>
      <c r="F928" t="str">
        <f ca="1">VLOOKUP(A928,Import_SuiviGlobal_MigAppliSate!A:I,6,FALSE)</f>
        <v>PLACE DU MARCHE</v>
      </c>
      <c r="G928" t="str">
        <f ca="1">VLOOKUP(A928,Import_SuiviGlobal_MigAppliSate!A:I,7,FALSE)</f>
        <v>04.90.59.22.20</v>
      </c>
      <c r="H928" t="str">
        <f ca="1">VLOOKUP(A928,Import_SuiviGlobal_MigAppliSate!A:I,8,FALSE)</f>
        <v>GARCIA Daniel et Carine</v>
      </c>
      <c r="I928" t="str">
        <f ca="1">VLOOKUP(A928,Import_SuiviGlobal_MigAppliSate!A:I,9,FALSE)</f>
        <v>uexpress.senas2@mistral-u.fr</v>
      </c>
      <c r="J928" s="24" t="str">
        <f ca="1">VLOOKUP(A928,Import_SuiviGlobal_MigAppliSate!A:K,10,FALSE)</f>
        <v/>
      </c>
      <c r="K928" t="str">
        <f ca="1">VLOOKUP(A928,Import_SuiviGlobal_MigAppliSate!A:K,11,FALSE)</f>
        <v>delphine.damian@lemistral.fr,helene.mina@lemistral.fr</v>
      </c>
      <c r="O928" s="1" t="s">
        <v>22</v>
      </c>
    </row>
    <row r="929" spans="1:15" ht="12.75" hidden="1" x14ac:dyDescent="0.2">
      <c r="A929">
        <v>68527</v>
      </c>
      <c r="B929" t="str">
        <f ca="1">VLOOKUP(A929,Import_SuiviGlobal_MigAppliSate!A:I,2,FALSE)</f>
        <v>SENNECEY LES DIJON</v>
      </c>
      <c r="C929" t="str">
        <f ca="1">VLOOKUP(A929,Import_SuiviGlobal_MigAppliSate!A:I,3,FALSE)</f>
        <v>Super U</v>
      </c>
      <c r="D929" s="1" t="str">
        <f ca="1">VLOOKUP(A929,Import_SuiviGlobal_MigAppliSate!A:I,4,FALSE)</f>
        <v>Coop U Enseigne Est</v>
      </c>
      <c r="E929">
        <f ca="1">VLOOKUP(A929,Import_SuiviGlobal_MigAppliSate!A:I,5,FALSE)</f>
        <v>21800</v>
      </c>
      <c r="F929" t="str">
        <f ca="1">VLOOKUP(A929,Import_SuiviGlobal_MigAppliSate!A:I,6,FALSE)</f>
        <v>Route de Chevigny</v>
      </c>
      <c r="G929" t="str">
        <f ca="1">VLOOKUP(A929,Import_SuiviGlobal_MigAppliSate!A:I,7,FALSE)</f>
        <v>03.80.72.67.20</v>
      </c>
      <c r="H929" t="str">
        <f ca="1">VLOOKUP(A929,Import_SuiviGlobal_MigAppliSate!A:I,8,FALSE)</f>
        <v>WILLOT RPT SAS BWH Benoit</v>
      </c>
      <c r="I929" t="str">
        <f ca="1">VLOOKUP(A929,Import_SuiviGlobal_MigAppliSate!A:I,9,FALSE)</f>
        <v>benoit.willot@systeme-u.fr</v>
      </c>
      <c r="J929" s="24" t="str">
        <f ca="1">VLOOKUP(A929,Import_SuiviGlobal_MigAppliSate!A:K,10,FALSE)</f>
        <v>M. JOAQUIM
Mme Adele (UPLV)</v>
      </c>
      <c r="K929" t="str">
        <f ca="1">VLOOKUP(A929,Import_SuiviGlobal_MigAppliSate!A:K,11,FALSE)</f>
        <v>superu.senneceylesdijon.direction@systeme-u.fr,responsabletechniquesuperu@gmail.com, superu.senneceylesdijon.administratif@systeme-u.fr</v>
      </c>
      <c r="O929" s="1" t="s">
        <v>22</v>
      </c>
    </row>
    <row r="930" spans="1:15" ht="12.75" hidden="1" x14ac:dyDescent="0.2">
      <c r="A930">
        <v>29342</v>
      </c>
      <c r="B930" t="str">
        <f ca="1">VLOOKUP(A930,Import_SuiviGlobal_MigAppliSate!A:I,2,FALSE)</f>
        <v>SERQUEUX</v>
      </c>
      <c r="C930" t="str">
        <f ca="1">VLOOKUP(A930,Import_SuiviGlobal_MigAppliSate!A:I,3,FALSE)</f>
        <v>Super U</v>
      </c>
      <c r="D930" s="1" t="str">
        <f ca="1">VLOOKUP(A930,Import_SuiviGlobal_MigAppliSate!A:I,4,FALSE)</f>
        <v>Coop U Enseigne NordOuest</v>
      </c>
      <c r="E930">
        <f ca="1">VLOOKUP(A930,Import_SuiviGlobal_MigAppliSate!A:I,5,FALSE)</f>
        <v>76440</v>
      </c>
      <c r="F930" t="str">
        <f ca="1">VLOOKUP(A930,Import_SuiviGlobal_MigAppliSate!A:I,6,FALSE)</f>
        <v>ROUTE DE NEUFCHATEL</v>
      </c>
      <c r="G930" t="str">
        <f ca="1">VLOOKUP(A930,Import_SuiviGlobal_MigAppliSate!A:I,7,FALSE)</f>
        <v>02.35.09.86.52</v>
      </c>
      <c r="H930" t="str">
        <f ca="1">VLOOKUP(A930,Import_SuiviGlobal_MigAppliSate!A:I,8,FALSE)</f>
        <v>CARON Bénédicte</v>
      </c>
      <c r="I930" t="str">
        <f ca="1">VLOOKUP(A930,Import_SuiviGlobal_MigAppliSate!A:I,9,FALSE)</f>
        <v>stephane.caron@systeme-u.fr</v>
      </c>
      <c r="J930" s="24" t="str">
        <f ca="1">VLOOKUP(A930,Import_SuiviGlobal_MigAppliSate!A:K,10,FALSE)</f>
        <v>Laurent TARLIER</v>
      </c>
      <c r="K930" t="str">
        <f ca="1">VLOOKUP(A930,Import_SuiviGlobal_MigAppliSate!A:K,11,FALSE)</f>
        <v/>
      </c>
      <c r="O930" s="1" t="s">
        <v>22</v>
      </c>
    </row>
    <row r="931" spans="1:15" ht="12.75" hidden="1" x14ac:dyDescent="0.2">
      <c r="A931">
        <v>90442</v>
      </c>
      <c r="B931" t="str">
        <f ca="1">VLOOKUP(A931,Import_SuiviGlobal_MigAppliSate!A:I,2,FALSE)</f>
        <v>SERRES</v>
      </c>
      <c r="C931" t="str">
        <f ca="1">VLOOKUP(A931,Import_SuiviGlobal_MigAppliSate!A:I,3,FALSE)</f>
        <v>U Express</v>
      </c>
      <c r="D931" s="1" t="str">
        <f ca="1">VLOOKUP(A931,Import_SuiviGlobal_MigAppliSate!A:I,4,FALSE)</f>
        <v>Coop U Enseigne Sud</v>
      </c>
      <c r="E931">
        <f ca="1">VLOOKUP(A931,Import_SuiviGlobal_MigAppliSate!A:I,5,FALSE)</f>
        <v>5700</v>
      </c>
      <c r="F931" t="str">
        <f ca="1">VLOOKUP(A931,Import_SuiviGlobal_MigAppliSate!A:I,6,FALSE)</f>
        <v>LA GARE</v>
      </c>
      <c r="G931" t="str">
        <f ca="1">VLOOKUP(A931,Import_SuiviGlobal_MigAppliSate!A:I,7,FALSE)</f>
        <v>04.92.67.59.00</v>
      </c>
      <c r="H931" t="str">
        <f ca="1">VLOOKUP(A931,Import_SuiviGlobal_MigAppliSate!A:I,8,FALSE)</f>
        <v>EBRARD Denis</v>
      </c>
      <c r="I931" t="str">
        <f ca="1">VLOOKUP(A931,Import_SuiviGlobal_MigAppliSate!A:I,9,FALSE)</f>
        <v>denis.ebrard@systeme-u.fr</v>
      </c>
      <c r="J931" s="24" t="str">
        <f ca="1">VLOOKUP(A931,Import_SuiviGlobal_MigAppliSate!A:K,10,FALSE)</f>
        <v>Mme EBRARD</v>
      </c>
      <c r="K931" t="str">
        <f ca="1">VLOOKUP(A931,Import_SuiviGlobal_MigAppliSate!A:K,11,FALSE)</f>
        <v>uexpress.serres.gestion@systeme-u.fr</v>
      </c>
      <c r="O931" s="1" t="s">
        <v>22</v>
      </c>
    </row>
    <row r="932" spans="1:15" ht="12.75" hidden="1" x14ac:dyDescent="0.2">
      <c r="A932">
        <v>90211</v>
      </c>
      <c r="B932" t="str">
        <f ca="1">VLOOKUP(A932,Import_SuiviGlobal_MigAppliSate!A:I,2,FALSE)</f>
        <v>SERVIAN</v>
      </c>
      <c r="C932" t="str">
        <f ca="1">VLOOKUP(A932,Import_SuiviGlobal_MigAppliSate!A:I,3,FALSE)</f>
        <v>Super U</v>
      </c>
      <c r="D932" s="1" t="str">
        <f ca="1">VLOOKUP(A932,Import_SuiviGlobal_MigAppliSate!A:I,4,FALSE)</f>
        <v>Coop U Enseigne Sud</v>
      </c>
      <c r="E932">
        <f ca="1">VLOOKUP(A932,Import_SuiviGlobal_MigAppliSate!A:I,5,FALSE)</f>
        <v>34290</v>
      </c>
      <c r="F932" t="str">
        <f ca="1">VLOOKUP(A932,Import_SuiviGlobal_MigAppliSate!A:I,6,FALSE)</f>
        <v>1 AVENUE DU MAS VIEL</v>
      </c>
      <c r="G932" t="str">
        <f ca="1">VLOOKUP(A932,Import_SuiviGlobal_MigAppliSate!A:I,7,FALSE)</f>
        <v>04.67.39.07.40</v>
      </c>
      <c r="H932" t="str">
        <f ca="1">VLOOKUP(A932,Import_SuiviGlobal_MigAppliSate!A:I,8,FALSE)</f>
        <v>BERTE Thierry</v>
      </c>
      <c r="I932" t="str">
        <f ca="1">VLOOKUP(A932,Import_SuiviGlobal_MigAppliSate!A:I,9,FALSE)</f>
        <v>thierry.berte@systeme-u.fr</v>
      </c>
      <c r="J932" s="24" t="str">
        <f ca="1">VLOOKUP(A932,Import_SuiviGlobal_MigAppliSate!A:K,10,FALSE)</f>
        <v/>
      </c>
      <c r="K932" t="str">
        <f ca="1">VLOOKUP(A932,Import_SuiviGlobal_MigAppliSate!A:K,11,FALSE)</f>
        <v>superu.servian.info@systeme-u.fr, superu.servian.compta@systeme-u.fr</v>
      </c>
      <c r="O932" s="1" t="s">
        <v>22</v>
      </c>
    </row>
    <row r="933" spans="1:15" ht="12.75" hidden="1" x14ac:dyDescent="0.2">
      <c r="A933">
        <v>60513</v>
      </c>
      <c r="B933" t="str">
        <f ca="1">VLOOKUP(A933,Import_SuiviGlobal_MigAppliSate!A:I,2,FALSE)</f>
        <v>SIERENTZ</v>
      </c>
      <c r="C933" t="str">
        <f ca="1">VLOOKUP(A933,Import_SuiviGlobal_MigAppliSate!A:I,3,FALSE)</f>
        <v>Hyper U</v>
      </c>
      <c r="D933" s="1" t="str">
        <f ca="1">VLOOKUP(A933,Import_SuiviGlobal_MigAppliSate!A:I,4,FALSE)</f>
        <v>Coop U Enseigne Est</v>
      </c>
      <c r="E933">
        <f ca="1">VLOOKUP(A933,Import_SuiviGlobal_MigAppliSate!A:I,5,FALSE)</f>
        <v>68510</v>
      </c>
      <c r="F933" t="str">
        <f ca="1">VLOOKUP(A933,Import_SuiviGlobal_MigAppliSate!A:I,6,FALSE)</f>
        <v>12 Rue du Capitain Dreyfus</v>
      </c>
      <c r="G933" t="str">
        <f ca="1">VLOOKUP(A933,Import_SuiviGlobal_MigAppliSate!A:I,7,FALSE)</f>
        <v>03.89.83.99.00</v>
      </c>
      <c r="H933" t="str">
        <f ca="1">VLOOKUP(A933,Import_SuiviGlobal_MigAppliSate!A:I,8,FALSE)</f>
        <v>BOLTZ Thierry</v>
      </c>
      <c r="I933" t="str">
        <f ca="1">VLOOKUP(A933,Import_SuiviGlobal_MigAppliSate!A:I,9,FALSE)</f>
        <v>thierry.boltz@systeme-u.fr</v>
      </c>
      <c r="J933" s="24" t="str">
        <f ca="1">VLOOKUP(A933,Import_SuiviGlobal_MigAppliSate!A:K,10,FALSE)</f>
        <v>Gregory Schlauder</v>
      </c>
      <c r="K933" t="str">
        <f ca="1">VLOOKUP(A933,Import_SuiviGlobal_MigAppliSate!A:K,11,FALSE)</f>
        <v>hyperu.sierentz.bazarservice@systeme-u.fr</v>
      </c>
      <c r="L933" s="1" t="s">
        <v>17</v>
      </c>
      <c r="M933" s="1" t="s">
        <v>24</v>
      </c>
      <c r="N933" s="1" t="s">
        <v>18</v>
      </c>
      <c r="O933" s="1" t="s">
        <v>19</v>
      </c>
    </row>
    <row r="934" spans="1:15" ht="12.75" x14ac:dyDescent="0.2">
      <c r="A934">
        <v>90526</v>
      </c>
      <c r="B934" t="str">
        <f ca="1">VLOOKUP(A934,Import_SuiviGlobal_MigAppliSate!A:I,2,FALSE)</f>
        <v>SISTERON GENETS</v>
      </c>
      <c r="C934" t="str">
        <f ca="1">VLOOKUP(A934,Import_SuiviGlobal_MigAppliSate!A:I,3,FALSE)</f>
        <v>Super U</v>
      </c>
      <c r="D934" s="1" t="str">
        <f ca="1">VLOOKUP(A934,Import_SuiviGlobal_MigAppliSate!A:I,4,FALSE)</f>
        <v>Coop U Enseigne Sud</v>
      </c>
      <c r="E934">
        <f ca="1">VLOOKUP(A934,Import_SuiviGlobal_MigAppliSate!A:I,5,FALSE)</f>
        <v>4200</v>
      </c>
      <c r="F934" t="str">
        <f ca="1">VLOOKUP(A934,Import_SuiviGlobal_MigAppliSate!A:I,6,FALSE)</f>
        <v>50 ALLEE DES GENETS BP 200</v>
      </c>
      <c r="G934" t="str">
        <f ca="1">VLOOKUP(A934,Import_SuiviGlobal_MigAppliSate!A:I,7,FALSE)</f>
        <v>04.92.62.06.10</v>
      </c>
      <c r="H934" t="str">
        <f ca="1">VLOOKUP(A934,Import_SuiviGlobal_MigAppliSate!A:I,8,FALSE)</f>
        <v>HUGON Emmanuel</v>
      </c>
      <c r="I934" t="str">
        <f ca="1">VLOOKUP(A934,Import_SuiviGlobal_MigAppliSate!A:I,9,FALSE)</f>
        <v>emmanuel.hugon@systeme-u.fr</v>
      </c>
      <c r="J934" s="24" t="str">
        <f ca="1">VLOOKUP(A934,Import_SuiviGlobal_MigAppliSate!A:K,10,FALSE)</f>
        <v>duret sarah</v>
      </c>
      <c r="K934" t="str">
        <f ca="1">VLOOKUP(A934,Import_SuiviGlobal_MigAppliSate!A:K,11,FALSE)</f>
        <v>superu.sisteron.bazar@systeme-u.fr</v>
      </c>
      <c r="L934" t="s">
        <v>17</v>
      </c>
      <c r="M934" t="s">
        <v>0</v>
      </c>
      <c r="O934" s="1" t="s">
        <v>22</v>
      </c>
    </row>
    <row r="935" spans="1:15" ht="12.75" hidden="1" x14ac:dyDescent="0.2">
      <c r="A935">
        <v>90402</v>
      </c>
      <c r="B935" t="str">
        <f ca="1">VLOOKUP(A935,Import_SuiviGlobal_MigAppliSate!A:I,2,FALSE)</f>
        <v>SISTERON PLANTIERS</v>
      </c>
      <c r="C935" t="str">
        <f ca="1">VLOOKUP(A935,Import_SuiviGlobal_MigAppliSate!A:I,3,FALSE)</f>
        <v>U Express</v>
      </c>
      <c r="D935" s="1" t="str">
        <f ca="1">VLOOKUP(A935,Import_SuiviGlobal_MigAppliSate!A:I,4,FALSE)</f>
        <v>Coop MISTRAL</v>
      </c>
      <c r="E935">
        <f ca="1">VLOOKUP(A935,Import_SuiviGlobal_MigAppliSate!A:I,5,FALSE)</f>
        <v>4200</v>
      </c>
      <c r="F935" t="str">
        <f ca="1">VLOOKUP(A935,Import_SuiviGlobal_MigAppliSate!A:I,6,FALSE)</f>
        <v>9 AVENUE DES PLANTIERS</v>
      </c>
      <c r="G935" t="str">
        <f ca="1">VLOOKUP(A935,Import_SuiviGlobal_MigAppliSate!A:I,7,FALSE)</f>
        <v>04.92.61.06.10</v>
      </c>
      <c r="H935" t="str">
        <f ca="1">VLOOKUP(A935,Import_SuiviGlobal_MigAppliSate!A:I,8,FALSE)</f>
        <v>HUGON ROMAIN</v>
      </c>
      <c r="I935" t="str">
        <f ca="1">VLOOKUP(A935,Import_SuiviGlobal_MigAppliSate!A:I,9,FALSE)</f>
        <v/>
      </c>
      <c r="J935" s="24" t="str">
        <f ca="1">VLOOKUP(A935,Import_SuiviGlobal_MigAppliSate!A:K,10,FALSE)</f>
        <v>Mr Vanel</v>
      </c>
      <c r="K935" t="str">
        <f ca="1">VLOOKUP(A935,Import_SuiviGlobal_MigAppliSate!A:K,11,FALSE)</f>
        <v>uexpress.sisteron.direction@mistral-u.fr</v>
      </c>
      <c r="O935" s="1" t="s">
        <v>22</v>
      </c>
    </row>
    <row r="936" spans="1:15" ht="12.75" hidden="1" x14ac:dyDescent="0.2">
      <c r="A936">
        <v>62105</v>
      </c>
      <c r="B936" t="str">
        <f ca="1">VLOOKUP(A936,Import_SuiviGlobal_MigAppliSate!A:I,2,FALSE)</f>
        <v>SOMBERNON</v>
      </c>
      <c r="C936" t="str">
        <f ca="1">VLOOKUP(A936,Import_SuiviGlobal_MigAppliSate!A:I,3,FALSE)</f>
        <v>Super U</v>
      </c>
      <c r="D936" s="1" t="str">
        <f ca="1">VLOOKUP(A936,Import_SuiviGlobal_MigAppliSate!A:I,4,FALSE)</f>
        <v>Coop U Enseigne Est</v>
      </c>
      <c r="E936">
        <f ca="1">VLOOKUP(A936,Import_SuiviGlobal_MigAppliSate!A:I,5,FALSE)</f>
        <v>21540</v>
      </c>
      <c r="F936" t="str">
        <f ca="1">VLOOKUP(A936,Import_SuiviGlobal_MigAppliSate!A:I,6,FALSE)</f>
        <v>Avenue de la Brenne</v>
      </c>
      <c r="G936" t="str">
        <f ca="1">VLOOKUP(A936,Import_SuiviGlobal_MigAppliSate!A:I,7,FALSE)</f>
        <v>03.80.33.32.04</v>
      </c>
      <c r="H936" t="str">
        <f ca="1">VLOOKUP(A936,Import_SuiviGlobal_MigAppliSate!A:I,8,FALSE)</f>
        <v>COUDERT Denis</v>
      </c>
      <c r="I936" t="str">
        <f ca="1">VLOOKUP(A936,Import_SuiviGlobal_MigAppliSate!A:I,9,FALSE)</f>
        <v>denis.coudert@systeme-u.fr</v>
      </c>
      <c r="J936" s="24" t="str">
        <f ca="1">VLOOKUP(A936,Import_SuiviGlobal_MigAppliSate!A:K,10,FALSE)</f>
        <v>Catherine COUDERT</v>
      </c>
      <c r="K936" t="str">
        <f ca="1">VLOOKUP(A936,Import_SuiviGlobal_MigAppliSate!A:K,11,FALSE)</f>
        <v>catherine.coudert@systeme-u.fr</v>
      </c>
      <c r="O936" s="1" t="s">
        <v>22</v>
      </c>
    </row>
    <row r="937" spans="1:15" ht="12.75" hidden="1" x14ac:dyDescent="0.2">
      <c r="A937">
        <v>91111</v>
      </c>
      <c r="B937" t="str">
        <f ca="1">VLOOKUP(A937,Import_SuiviGlobal_MigAppliSate!A:I,2,FALSE)</f>
        <v>SOREZE METAIRIE</v>
      </c>
      <c r="C937" t="str">
        <f ca="1">VLOOKUP(A937,Import_SuiviGlobal_MigAppliSate!A:I,3,FALSE)</f>
        <v>U Express</v>
      </c>
      <c r="D937" s="1" t="str">
        <f ca="1">VLOOKUP(A937,Import_SuiviGlobal_MigAppliSate!A:I,4,FALSE)</f>
        <v>Coop MISTRAL</v>
      </c>
      <c r="E937">
        <f ca="1">VLOOKUP(A937,Import_SuiviGlobal_MigAppliSate!A:I,5,FALSE)</f>
        <v>81540</v>
      </c>
      <c r="F937" t="str">
        <f ca="1">VLOOKUP(A937,Import_SuiviGlobal_MigAppliSate!A:I,6,FALSE)</f>
        <v>METAIRIE PETITE RD 85</v>
      </c>
      <c r="G937" t="str">
        <f ca="1">VLOOKUP(A937,Import_SuiviGlobal_MigAppliSate!A:I,7,FALSE)</f>
        <v>07.86.83.36.25</v>
      </c>
      <c r="H937" t="str">
        <f ca="1">VLOOKUP(A937,Import_SuiviGlobal_MigAppliSate!A:I,8,FALSE)</f>
        <v>LE COLERE Josette</v>
      </c>
      <c r="I937" t="str">
        <f ca="1">VLOOKUP(A937,Import_SuiviGlobal_MigAppliSate!A:I,9,FALSE)</f>
        <v>uexpress.soreze@mistral-u.fr</v>
      </c>
      <c r="J937" s="24" t="str">
        <f ca="1">VLOOKUP(A937,Import_SuiviGlobal_MigAppliSate!A:K,10,FALSE)</f>
        <v>LE COLERE Julien</v>
      </c>
      <c r="K937" t="str">
        <f ca="1">VLOOKUP(A937,Import_SuiviGlobal_MigAppliSate!A:K,11,FALSE)</f>
        <v>delphine.damian@lemistral.fr,helene.mina@lemistral.fr</v>
      </c>
      <c r="O937" s="1" t="s">
        <v>22</v>
      </c>
    </row>
    <row r="938" spans="1:15" ht="12.75" hidden="1" x14ac:dyDescent="0.2">
      <c r="A938">
        <v>90198</v>
      </c>
      <c r="B938" t="str">
        <f ca="1">VLOOKUP(A938,Import_SuiviGlobal_MigAppliSate!A:I,2,FALSE)</f>
        <v>SORGUES</v>
      </c>
      <c r="C938" t="str">
        <f ca="1">VLOOKUP(A938,Import_SuiviGlobal_MigAppliSate!A:I,3,FALSE)</f>
        <v>U Express</v>
      </c>
      <c r="D938" s="1" t="str">
        <f ca="1">VLOOKUP(A938,Import_SuiviGlobal_MigAppliSate!A:I,4,FALSE)</f>
        <v>Coop U Enseigne Sud</v>
      </c>
      <c r="E938">
        <f ca="1">VLOOKUP(A938,Import_SuiviGlobal_MigAppliSate!A:I,5,FALSE)</f>
        <v>84700</v>
      </c>
      <c r="F938" t="str">
        <f ca="1">VLOOKUP(A938,Import_SuiviGlobal_MigAppliSate!A:I,6,FALSE)</f>
        <v>BOULEVARD ROGER RICCA</v>
      </c>
      <c r="G938" t="str">
        <f ca="1">VLOOKUP(A938,Import_SuiviGlobal_MigAppliSate!A:I,7,FALSE)</f>
        <v>04.90.39.34.30</v>
      </c>
      <c r="H938" t="str">
        <f ca="1">VLOOKUP(A938,Import_SuiviGlobal_MigAppliSate!A:I,8,FALSE)</f>
        <v>VENTURA Franck</v>
      </c>
      <c r="I938" t="str">
        <f ca="1">VLOOKUP(A938,Import_SuiviGlobal_MigAppliSate!A:I,9,FALSE)</f>
        <v>franck.ventura@systeme-u.fr</v>
      </c>
      <c r="J938" s="24" t="str">
        <f ca="1">VLOOKUP(A938,Import_SuiviGlobal_MigAppliSate!A:K,10,FALSE)</f>
        <v/>
      </c>
      <c r="K938" t="str">
        <f ca="1">VLOOKUP(A938,Import_SuiviGlobal_MigAppliSate!A:K,11,FALSE)</f>
        <v/>
      </c>
      <c r="O938" s="1" t="s">
        <v>22</v>
      </c>
    </row>
    <row r="939" spans="1:15" ht="12.75" x14ac:dyDescent="0.2">
      <c r="A939">
        <v>95161</v>
      </c>
      <c r="B939" t="str">
        <f ca="1">VLOOKUP(A939,Import_SuiviGlobal_MigAppliSate!A:I,2,FALSE)</f>
        <v>SOUAL</v>
      </c>
      <c r="C939" t="str">
        <f ca="1">VLOOKUP(A939,Import_SuiviGlobal_MigAppliSate!A:I,3,FALSE)</f>
        <v>Super U</v>
      </c>
      <c r="D939" s="1" t="str">
        <f ca="1">VLOOKUP(A939,Import_SuiviGlobal_MigAppliSate!A:I,4,FALSE)</f>
        <v>Coop U Enseigne Sud</v>
      </c>
      <c r="E939">
        <f ca="1">VLOOKUP(A939,Import_SuiviGlobal_MigAppliSate!A:I,5,FALSE)</f>
        <v>81580</v>
      </c>
      <c r="F939" t="str">
        <f ca="1">VLOOKUP(A939,Import_SuiviGlobal_MigAppliSate!A:I,6,FALSE)</f>
        <v>ZA DE LA PRADE</v>
      </c>
      <c r="G939" t="str">
        <f ca="1">VLOOKUP(A939,Import_SuiviGlobal_MigAppliSate!A:I,7,FALSE)</f>
        <v>05.63.74.47.47</v>
      </c>
      <c r="H939" t="str">
        <f ca="1">VLOOKUP(A939,Import_SuiviGlobal_MigAppliSate!A:I,8,FALSE)</f>
        <v>MITTOU Thierry</v>
      </c>
      <c r="I939" t="str">
        <f ca="1">VLOOKUP(A939,Import_SuiviGlobal_MigAppliSate!A:I,9,FALSE)</f>
        <v>thierry.mittou@systeme-u.fr</v>
      </c>
      <c r="J939" s="24" t="str">
        <f ca="1">VLOOKUP(A939,Import_SuiviGlobal_MigAppliSate!A:K,10,FALSE)</f>
        <v>MITTOU Marie</v>
      </c>
      <c r="K939" t="str">
        <f ca="1">VLOOKUP(A939,Import_SuiviGlobal_MigAppliSate!A:K,11,FALSE)</f>
        <v>marie.mittou@systeme-u.fr</v>
      </c>
      <c r="L939" t="s">
        <v>17</v>
      </c>
      <c r="M939" t="s">
        <v>30</v>
      </c>
      <c r="N939" s="1" t="s">
        <v>29</v>
      </c>
      <c r="O939" s="1" t="s">
        <v>19</v>
      </c>
    </row>
    <row r="940" spans="1:15" ht="12.75" hidden="1" x14ac:dyDescent="0.2">
      <c r="A940">
        <v>90406</v>
      </c>
      <c r="B940" t="str">
        <f ca="1">VLOOKUP(A940,Import_SuiviGlobal_MigAppliSate!A:I,2,FALSE)</f>
        <v>ST AFFRIQUE BRIAND</v>
      </c>
      <c r="C940" t="str">
        <f ca="1">VLOOKUP(A940,Import_SuiviGlobal_MigAppliSate!A:I,3,FALSE)</f>
        <v>U Express</v>
      </c>
      <c r="D940" s="1" t="str">
        <f ca="1">VLOOKUP(A940,Import_SuiviGlobal_MigAppliSate!A:I,4,FALSE)</f>
        <v>Coop U Enseigne Sud</v>
      </c>
      <c r="E940">
        <f ca="1">VLOOKUP(A940,Import_SuiviGlobal_MigAppliSate!A:I,5,FALSE)</f>
        <v>12400</v>
      </c>
      <c r="F940" t="str">
        <f ca="1">VLOOKUP(A940,Import_SuiviGlobal_MigAppliSate!A:I,6,FALSE)</f>
        <v>6 BD ARISTIDE BRIAND</v>
      </c>
      <c r="G940" t="str">
        <f ca="1">VLOOKUP(A940,Import_SuiviGlobal_MigAppliSate!A:I,7,FALSE)</f>
        <v>05.65.98.18.98</v>
      </c>
      <c r="H940" t="str">
        <f ca="1">VLOOKUP(A940,Import_SuiviGlobal_MigAppliSate!A:I,8,FALSE)</f>
        <v>SEUILLEROT Didier</v>
      </c>
      <c r="I940" t="str">
        <f ca="1">VLOOKUP(A940,Import_SuiviGlobal_MigAppliSate!A:I,9,FALSE)</f>
        <v>didier.seuillerot@systeme-u.fr</v>
      </c>
      <c r="J940" s="24" t="str">
        <f ca="1">VLOOKUP(A940,Import_SuiviGlobal_MigAppliSate!A:K,10,FALSE)</f>
        <v/>
      </c>
      <c r="K940" t="str">
        <f ca="1">VLOOKUP(A940,Import_SuiviGlobal_MigAppliSate!A:K,11,FALSE)</f>
        <v/>
      </c>
      <c r="O940" s="1" t="s">
        <v>22</v>
      </c>
    </row>
    <row r="941" spans="1:15" ht="12.75" hidden="1" x14ac:dyDescent="0.2">
      <c r="A941">
        <v>62079</v>
      </c>
      <c r="B941" t="str">
        <f ca="1">VLOOKUP(A941,Import_SuiviGlobal_MigAppliSate!A:I,2,FALSE)</f>
        <v>ST AMOUR</v>
      </c>
      <c r="C941" t="str">
        <f ca="1">VLOOKUP(A941,Import_SuiviGlobal_MigAppliSate!A:I,3,FALSE)</f>
        <v>Super U</v>
      </c>
      <c r="D941" s="1" t="str">
        <f ca="1">VLOOKUP(A941,Import_SuiviGlobal_MigAppliSate!A:I,4,FALSE)</f>
        <v>Coop U Enseigne Est</v>
      </c>
      <c r="E941">
        <f ca="1">VLOOKUP(A941,Import_SuiviGlobal_MigAppliSate!A:I,5,FALSE)</f>
        <v>39160</v>
      </c>
      <c r="F941" t="str">
        <f ca="1">VLOOKUP(A941,Import_SuiviGlobal_MigAppliSate!A:I,6,FALSE)</f>
        <v>2 AVENUE DE FRANCHE COMTÉ</v>
      </c>
      <c r="G941" t="str">
        <f ca="1">VLOOKUP(A941,Import_SuiviGlobal_MigAppliSate!A:I,7,FALSE)</f>
        <v>03.84.48.70.29</v>
      </c>
      <c r="H941" t="str">
        <f ca="1">VLOOKUP(A941,Import_SuiviGlobal_MigAppliSate!A:I,8,FALSE)</f>
        <v>VALLEE RPT SAS VALAMOUR Franck</v>
      </c>
      <c r="I941" t="str">
        <f ca="1">VLOOKUP(A941,Import_SuiviGlobal_MigAppliSate!A:I,9,FALSE)</f>
        <v>franck.vallee@systeme-u.fr</v>
      </c>
      <c r="J941" s="24" t="str">
        <f ca="1">VLOOKUP(A941,Import_SuiviGlobal_MigAppliSate!A:K,10,FALSE)</f>
        <v>BERODIER Guillaume</v>
      </c>
      <c r="K941" t="str">
        <f ca="1">VLOOKUP(A941,Import_SuiviGlobal_MigAppliSate!A:K,11,FALSE)</f>
        <v>superu.saintamour.direction@systeme-u.fr</v>
      </c>
      <c r="O941" s="1" t="s">
        <v>22</v>
      </c>
    </row>
    <row r="942" spans="1:15" ht="12.75" x14ac:dyDescent="0.2">
      <c r="A942">
        <v>91083</v>
      </c>
      <c r="B942" t="str">
        <f ca="1">VLOOKUP(A942,Import_SuiviGlobal_MigAppliSate!A:I,2,FALSE)</f>
        <v>ST ANDRE LES ALPES</v>
      </c>
      <c r="C942" t="str">
        <f ca="1">VLOOKUP(A942,Import_SuiviGlobal_MigAppliSate!A:I,3,FALSE)</f>
        <v>U Express</v>
      </c>
      <c r="D942" s="1" t="str">
        <f ca="1">VLOOKUP(A942,Import_SuiviGlobal_MigAppliSate!A:I,4,FALSE)</f>
        <v>Coop MISTRAL</v>
      </c>
      <c r="E942">
        <f ca="1">VLOOKUP(A942,Import_SuiviGlobal_MigAppliSate!A:I,5,FALSE)</f>
        <v>4170</v>
      </c>
      <c r="F942" t="str">
        <f ca="1">VLOOKUP(A942,Import_SuiviGlobal_MigAppliSate!A:I,6,FALSE)</f>
        <v>ROUTE DE NICE</v>
      </c>
      <c r="G942" t="str">
        <f ca="1">VLOOKUP(A942,Import_SuiviGlobal_MigAppliSate!A:I,7,FALSE)</f>
        <v>04.92.89.02.18</v>
      </c>
      <c r="H942" t="str">
        <f ca="1">VLOOKUP(A942,Import_SuiviGlobal_MigAppliSate!A:I,8,FALSE)</f>
        <v>BAQUET Loic</v>
      </c>
      <c r="I942" t="str">
        <f ca="1">VLOOKUP(A942,Import_SuiviGlobal_MigAppliSate!A:I,9,FALSE)</f>
        <v/>
      </c>
      <c r="J942" s="24" t="str">
        <f ca="1">VLOOKUP(A942,Import_SuiviGlobal_MigAppliSate!A:K,10,FALSE)</f>
        <v>Mr Cottin Mathieu</v>
      </c>
      <c r="K942" t="str">
        <f ca="1">VLOOKUP(A942,Import_SuiviGlobal_MigAppliSate!A:K,11,FALSE)</f>
        <v>delphine.damian@lemistral.fr,helene.mina@lemistral.fr,isa-ustandre@orange.fr</v>
      </c>
      <c r="L942" t="s">
        <v>17</v>
      </c>
      <c r="M942" t="s">
        <v>0</v>
      </c>
      <c r="O942" s="1" t="s">
        <v>22</v>
      </c>
    </row>
    <row r="943" spans="1:15" ht="12.75" hidden="1" x14ac:dyDescent="0.2">
      <c r="A943">
        <v>23867</v>
      </c>
      <c r="B943" t="str">
        <f ca="1">VLOOKUP(A943,Import_SuiviGlobal_MigAppliSate!A:I,2,FALSE)</f>
        <v>ST ARNOULT EN YVELINES</v>
      </c>
      <c r="C943" t="str">
        <f ca="1">VLOOKUP(A943,Import_SuiviGlobal_MigAppliSate!A:I,3,FALSE)</f>
        <v>U Express</v>
      </c>
      <c r="D943" s="1" t="str">
        <f ca="1">VLOOKUP(A943,Import_SuiviGlobal_MigAppliSate!A:I,4,FALSE)</f>
        <v>Coop U Enseigne NordOuest</v>
      </c>
      <c r="E943">
        <f ca="1">VLOOKUP(A943,Import_SuiviGlobal_MigAppliSate!A:I,5,FALSE)</f>
        <v>78730</v>
      </c>
      <c r="F943" t="str">
        <f ca="1">VLOOKUP(A943,Import_SuiviGlobal_MigAppliSate!A:I,6,FALSE)</f>
        <v>18 RUE DES REMPARTS</v>
      </c>
      <c r="G943" t="str">
        <f ca="1">VLOOKUP(A943,Import_SuiviGlobal_MigAppliSate!A:I,7,FALSE)</f>
        <v>01.61.08.31.08</v>
      </c>
      <c r="H943" t="str">
        <f ca="1">VLOOKUP(A943,Import_SuiviGlobal_MigAppliSate!A:I,8,FALSE)</f>
        <v>AUGE Manuel</v>
      </c>
      <c r="I943" t="str">
        <f ca="1">VLOOKUP(A943,Import_SuiviGlobal_MigAppliSate!A:I,9,FALSE)</f>
        <v>manuel.auge@systeme-u.fr</v>
      </c>
      <c r="J943" s="24" t="str">
        <f ca="1">VLOOKUP(A943,Import_SuiviGlobal_MigAppliSate!A:K,10,FALSE)</f>
        <v>Muriel AUGE</v>
      </c>
      <c r="K943" t="str">
        <f ca="1">VLOOKUP(A943,Import_SuiviGlobal_MigAppliSate!A:K,11,FALSE)</f>
        <v xml:space="preserve">uexpress.saintarnoultenyvelines@systeme-u.fr
</v>
      </c>
      <c r="O943" s="1" t="s">
        <v>22</v>
      </c>
    </row>
    <row r="944" spans="1:15" ht="12.75" hidden="1" x14ac:dyDescent="0.2">
      <c r="A944">
        <v>68515</v>
      </c>
      <c r="B944" t="str">
        <f ca="1">VLOOKUP(A944,Import_SuiviGlobal_MigAppliSate!A:I,2,FALSE)</f>
        <v>ST BONNET DE JOUX</v>
      </c>
      <c r="C944" t="str">
        <f ca="1">VLOOKUP(A944,Import_SuiviGlobal_MigAppliSate!A:I,3,FALSE)</f>
        <v>Super U</v>
      </c>
      <c r="D944" s="1" t="str">
        <f ca="1">VLOOKUP(A944,Import_SuiviGlobal_MigAppliSate!A:I,4,FALSE)</f>
        <v>Coop U Enseigne Est</v>
      </c>
      <c r="E944">
        <f ca="1">VLOOKUP(A944,Import_SuiviGlobal_MigAppliSate!A:I,5,FALSE)</f>
        <v>71220</v>
      </c>
      <c r="F944" t="str">
        <f ca="1">VLOOKUP(A944,Import_SuiviGlobal_MigAppliSate!A:I,6,FALSE)</f>
        <v>ESPACE COMMERCIAL 'LES RENAUDS'</v>
      </c>
      <c r="G944" t="str">
        <f ca="1">VLOOKUP(A944,Import_SuiviGlobal_MigAppliSate!A:I,7,FALSE)</f>
        <v>03.85.24.12.00</v>
      </c>
      <c r="H944" t="str">
        <f ca="1">VLOOKUP(A944,Import_SuiviGlobal_MigAppliSate!A:I,8,FALSE)</f>
        <v>GREA Sylvain</v>
      </c>
      <c r="I944" t="str">
        <f ca="1">VLOOKUP(A944,Import_SuiviGlobal_MigAppliSate!A:I,9,FALSE)</f>
        <v>sylvain.grea@systeme-u.fr</v>
      </c>
      <c r="J944" s="24" t="str">
        <f ca="1">VLOOKUP(A944,Import_SuiviGlobal_MigAppliSate!A:K,10,FALSE)</f>
        <v/>
      </c>
      <c r="K944" t="str">
        <f ca="1">VLOOKUP(A944,Import_SuiviGlobal_MigAppliSate!A:K,11,FALSE)</f>
        <v/>
      </c>
      <c r="O944" s="1" t="s">
        <v>22</v>
      </c>
    </row>
    <row r="945" spans="1:15" ht="12.75" hidden="1" x14ac:dyDescent="0.2">
      <c r="A945">
        <v>90582</v>
      </c>
      <c r="B945" t="str">
        <f ca="1">VLOOKUP(A945,Import_SuiviGlobal_MigAppliSate!A:I,2,FALSE)</f>
        <v>ST CHELY D'APCHER</v>
      </c>
      <c r="C945" t="str">
        <f ca="1">VLOOKUP(A945,Import_SuiviGlobal_MigAppliSate!A:I,3,FALSE)</f>
        <v>Super U</v>
      </c>
      <c r="D945" s="1" t="str">
        <f ca="1">VLOOKUP(A945,Import_SuiviGlobal_MigAppliSate!A:I,4,FALSE)</f>
        <v>Coop U Enseigne Sud</v>
      </c>
      <c r="E945">
        <f ca="1">VLOOKUP(A945,Import_SuiviGlobal_MigAppliSate!A:I,5,FALSE)</f>
        <v>48200</v>
      </c>
      <c r="F945" t="str">
        <f ca="1">VLOOKUP(A945,Import_SuiviGlobal_MigAppliSate!A:I,6,FALSE)</f>
        <v>BOULEVARD GUERIN D'APCHER</v>
      </c>
      <c r="G945" t="str">
        <f ca="1">VLOOKUP(A945,Import_SuiviGlobal_MigAppliSate!A:I,7,FALSE)</f>
        <v>04.66.31.06.26</v>
      </c>
      <c r="H945" t="str">
        <f ca="1">VLOOKUP(A945,Import_SuiviGlobal_MigAppliSate!A:I,8,FALSE)</f>
        <v>TERRISSON Françoise</v>
      </c>
      <c r="I945" t="str">
        <f ca="1">VLOOKUP(A945,Import_SuiviGlobal_MigAppliSate!A:I,9,FALSE)</f>
        <v>francoise.terrisson@systeme-u.fr</v>
      </c>
      <c r="J945" s="24" t="str">
        <f ca="1">VLOOKUP(A945,Import_SuiviGlobal_MigAppliSate!A:K,10,FALSE)</f>
        <v/>
      </c>
      <c r="K945" t="str">
        <f ca="1">VLOOKUP(A945,Import_SuiviGlobal_MigAppliSate!A:K,11,FALSE)</f>
        <v/>
      </c>
      <c r="O945" s="1" t="s">
        <v>22</v>
      </c>
    </row>
    <row r="946" spans="1:15" ht="12.75" hidden="1" x14ac:dyDescent="0.2">
      <c r="A946">
        <v>95767</v>
      </c>
      <c r="B946" t="str">
        <f ca="1">VLOOKUP(A946,Import_SuiviGlobal_MigAppliSate!A:I,2,FALSE)</f>
        <v>ST CIERS S/GIRONDE</v>
      </c>
      <c r="C946" t="str">
        <f ca="1">VLOOKUP(A946,Import_SuiviGlobal_MigAppliSate!A:I,3,FALSE)</f>
        <v>Super U</v>
      </c>
      <c r="D946" s="1" t="str">
        <f ca="1">VLOOKUP(A946,Import_SuiviGlobal_MigAppliSate!A:I,4,FALSE)</f>
        <v>Coop U Enseigne Sud</v>
      </c>
      <c r="E946">
        <f ca="1">VLOOKUP(A946,Import_SuiviGlobal_MigAppliSate!A:I,5,FALSE)</f>
        <v>33820</v>
      </c>
      <c r="F946" t="str">
        <f ca="1">VLOOKUP(A946,Import_SuiviGlobal_MigAppliSate!A:I,6,FALSE)</f>
        <v>6 AV PIERRE MENDES FRANCE</v>
      </c>
      <c r="G946" t="str">
        <f ca="1">VLOOKUP(A946,Import_SuiviGlobal_MigAppliSate!A:I,7,FALSE)</f>
        <v>05.57.94.04.54</v>
      </c>
      <c r="H946" t="str">
        <f ca="1">VLOOKUP(A946,Import_SuiviGlobal_MigAppliSate!A:I,8,FALSE)</f>
        <v>CAFFY LAURENT</v>
      </c>
      <c r="I946" t="str">
        <f ca="1">VLOOKUP(A946,Import_SuiviGlobal_MigAppliSate!A:I,9,FALSE)</f>
        <v>laurent.caffy@systeme-u.fr</v>
      </c>
      <c r="J946" s="24" t="str">
        <f ca="1">VLOOKUP(A946,Import_SuiviGlobal_MigAppliSate!A:K,10,FALSE)</f>
        <v>Marie Christine RUBETH</v>
      </c>
      <c r="K946" t="str">
        <f ca="1">VLOOKUP(A946,Import_SuiviGlobal_MigAppliSate!A:K,11,FALSE)</f>
        <v>superu.saintciers.administratif@systeme-u.fr</v>
      </c>
      <c r="O946" s="1" t="s">
        <v>22</v>
      </c>
    </row>
    <row r="947" spans="1:15" ht="12.75" hidden="1" x14ac:dyDescent="0.2">
      <c r="A947">
        <v>22291</v>
      </c>
      <c r="B947" t="str">
        <f ca="1">VLOOKUP(A947,Import_SuiviGlobal_MigAppliSate!A:I,2,FALSE)</f>
        <v>ST CONTEST</v>
      </c>
      <c r="C947" t="str">
        <f ca="1">VLOOKUP(A947,Import_SuiviGlobal_MigAppliSate!A:I,3,FALSE)</f>
        <v>Super U</v>
      </c>
      <c r="D947" s="1" t="str">
        <f ca="1">VLOOKUP(A947,Import_SuiviGlobal_MigAppliSate!A:I,4,FALSE)</f>
        <v>Coop U Enseigne NordOuest</v>
      </c>
      <c r="E947">
        <f ca="1">VLOOKUP(A947,Import_SuiviGlobal_MigAppliSate!A:I,5,FALSE)</f>
        <v>14280</v>
      </c>
      <c r="F947" t="str">
        <f ca="1">VLOOKUP(A947,Import_SuiviGlobal_MigAppliSate!A:I,6,FALSE)</f>
        <v>LE CLOS BARBEY</v>
      </c>
      <c r="G947" t="str">
        <f ca="1">VLOOKUP(A947,Import_SuiviGlobal_MigAppliSate!A:I,7,FALSE)</f>
        <v>02.31.73.00.77</v>
      </c>
      <c r="H947" t="str">
        <f ca="1">VLOOKUP(A947,Import_SuiviGlobal_MigAppliSate!A:I,8,FALSE)</f>
        <v>LECOMTE Damien</v>
      </c>
      <c r="I947" t="str">
        <f ca="1">VLOOKUP(A947,Import_SuiviGlobal_MigAppliSate!A:I,9,FALSE)</f>
        <v>damien.lecomte@systeme-u.fr</v>
      </c>
      <c r="J947" s="24" t="str">
        <f ca="1">VLOOKUP(A947,Import_SuiviGlobal_MigAppliSate!A:K,10,FALSE)</f>
        <v>Mr Lecornu</v>
      </c>
      <c r="K947" t="str">
        <f ca="1">VLOOKUP(A947,Import_SuiviGlobal_MigAppliSate!A:K,11,FALSE)</f>
        <v>superu.saintcontest.direction@systeme-u.fr</v>
      </c>
      <c r="L947" s="1" t="s">
        <v>17</v>
      </c>
      <c r="M947" s="1" t="s">
        <v>24</v>
      </c>
      <c r="N947" s="1" t="s">
        <v>18</v>
      </c>
      <c r="O947" s="1" t="s">
        <v>19</v>
      </c>
    </row>
    <row r="948" spans="1:15" ht="12.75" hidden="1" x14ac:dyDescent="0.2">
      <c r="A948">
        <v>90500</v>
      </c>
      <c r="B948" t="str">
        <f ca="1">VLOOKUP(A948,Import_SuiviGlobal_MigAppliSate!A:I,2,FALSE)</f>
        <v>ST CYPRIEN</v>
      </c>
      <c r="C948" t="str">
        <f ca="1">VLOOKUP(A948,Import_SuiviGlobal_MigAppliSate!A:I,3,FALSE)</f>
        <v>U Express</v>
      </c>
      <c r="D948" s="1" t="str">
        <f ca="1">VLOOKUP(A948,Import_SuiviGlobal_MigAppliSate!A:I,4,FALSE)</f>
        <v>Coop U Enseigne Sud</v>
      </c>
      <c r="E948">
        <f ca="1">VLOOKUP(A948,Import_SuiviGlobal_MigAppliSate!A:I,5,FALSE)</f>
        <v>66750</v>
      </c>
      <c r="F948" t="str">
        <f ca="1">VLOOKUP(A948,Import_SuiviGlobal_MigAppliSate!A:I,6,FALSE)</f>
        <v>RUE HENRI BARBUSSE</v>
      </c>
      <c r="G948" t="str">
        <f ca="1">VLOOKUP(A948,Import_SuiviGlobal_MigAppliSate!A:I,7,FALSE)</f>
        <v>04.68.37.11.50</v>
      </c>
      <c r="H948" t="str">
        <f ca="1">VLOOKUP(A948,Import_SuiviGlobal_MigAppliSate!A:I,8,FALSE)</f>
        <v>BAZIL Stephane</v>
      </c>
      <c r="I948" t="str">
        <f ca="1">VLOOKUP(A948,Import_SuiviGlobal_MigAppliSate!A:I,9,FALSE)</f>
        <v>stephane.bazil@systeme-u.fr</v>
      </c>
      <c r="J948" s="24" t="str">
        <f ca="1">VLOOKUP(A948,Import_SuiviGlobal_MigAppliSate!A:K,10,FALSE)</f>
        <v/>
      </c>
      <c r="K948" t="str">
        <f ca="1">VLOOKUP(A948,Import_SuiviGlobal_MigAppliSate!A:K,11,FALSE)</f>
        <v/>
      </c>
      <c r="O948" s="1" t="s">
        <v>22</v>
      </c>
    </row>
    <row r="949" spans="1:15" ht="12.75" hidden="1" x14ac:dyDescent="0.2">
      <c r="A949">
        <v>90462</v>
      </c>
      <c r="B949" t="str">
        <f ca="1">VLOOKUP(A949,Import_SuiviGlobal_MigAppliSate!A:I,2,FALSE)</f>
        <v>ST DONAT</v>
      </c>
      <c r="C949" t="str">
        <f ca="1">VLOOKUP(A949,Import_SuiviGlobal_MigAppliSate!A:I,3,FALSE)</f>
        <v>Super U</v>
      </c>
      <c r="D949" s="1" t="str">
        <f ca="1">VLOOKUP(A949,Import_SuiviGlobal_MigAppliSate!A:I,4,FALSE)</f>
        <v>Coop U Enseigne Sud</v>
      </c>
      <c r="E949">
        <f ca="1">VLOOKUP(A949,Import_SuiviGlobal_MigAppliSate!A:I,5,FALSE)</f>
        <v>26260</v>
      </c>
      <c r="F949" t="str">
        <f ca="1">VLOOKUP(A949,Import_SuiviGlobal_MigAppliSate!A:I,6,FALSE)</f>
        <v>ROUTE DE VALENCE</v>
      </c>
      <c r="G949" t="str">
        <f ca="1">VLOOKUP(A949,Import_SuiviGlobal_MigAppliSate!A:I,7,FALSE)</f>
        <v>04.75.45.15.15</v>
      </c>
      <c r="H949" t="str">
        <f ca="1">VLOOKUP(A949,Import_SuiviGlobal_MigAppliSate!A:I,8,FALSE)</f>
        <v>DEQUIN Vincent</v>
      </c>
      <c r="I949" t="str">
        <f ca="1">VLOOKUP(A949,Import_SuiviGlobal_MigAppliSate!A:I,9,FALSE)</f>
        <v>vincent.dequin@systeme-u.fr</v>
      </c>
      <c r="J949" s="24" t="str">
        <f ca="1">VLOOKUP(A949,Import_SuiviGlobal_MigAppliSate!A:K,10,FALSE)</f>
        <v>Guillaume Terisse</v>
      </c>
      <c r="K949" t="str">
        <f ca="1">VLOOKUP(A949,Import_SuiviGlobal_MigAppliSate!A:K,11,FALSE)</f>
        <v>superu.saintdonat.directeur@systeme-u.fr</v>
      </c>
      <c r="O949" s="1" t="s">
        <v>22</v>
      </c>
    </row>
    <row r="950" spans="1:15" ht="12.75" hidden="1" x14ac:dyDescent="0.2">
      <c r="A950">
        <v>66204</v>
      </c>
      <c r="B950" t="str">
        <f ca="1">VLOOKUP(A950,Import_SuiviGlobal_MigAppliSate!A:I,2,FALSE)</f>
        <v>ST ETIENNE</v>
      </c>
      <c r="C950" t="str">
        <f ca="1">VLOOKUP(A950,Import_SuiviGlobal_MigAppliSate!A:I,3,FALSE)</f>
        <v>U Express</v>
      </c>
      <c r="D950" s="1" t="str">
        <f ca="1">VLOOKUP(A950,Import_SuiviGlobal_MigAppliSate!A:I,4,FALSE)</f>
        <v>Coop U Enseigne Est</v>
      </c>
      <c r="E950">
        <f ca="1">VLOOKUP(A950,Import_SuiviGlobal_MigAppliSate!A:I,5,FALSE)</f>
        <v>42000</v>
      </c>
      <c r="F950" t="str">
        <f ca="1">VLOOKUP(A950,Import_SuiviGlobal_MigAppliSate!A:I,6,FALSE)</f>
        <v>50 BOULEVARD NORMANDIE NIEMEN</v>
      </c>
      <c r="G950" t="str">
        <f ca="1">VLOOKUP(A950,Import_SuiviGlobal_MigAppliSate!A:I,7,FALSE)</f>
        <v>04.77.53.79.80</v>
      </c>
      <c r="H950" t="str">
        <f ca="1">VLOOKUP(A950,Import_SuiviGlobal_MigAppliSate!A:I,8,FALSE)</f>
        <v>POUYET Stephane</v>
      </c>
      <c r="I950" t="str">
        <f ca="1">VLOOKUP(A950,Import_SuiviGlobal_MigAppliSate!A:I,9,FALSE)</f>
        <v>stephane.pouyet@systeme-u.fr</v>
      </c>
      <c r="J950" s="24" t="str">
        <f ca="1">VLOOKUP(A950,Import_SuiviGlobal_MigAppliSate!A:K,10,FALSE)</f>
        <v>Carole</v>
      </c>
      <c r="K950" t="str">
        <f ca="1">VLOOKUP(A950,Import_SuiviGlobal_MigAppliSate!A:K,11,FALSE)</f>
        <v>uexpress.saintetiennemontplaisir.compta@systeme-u.fr</v>
      </c>
      <c r="O950" s="1" t="s">
        <v>22</v>
      </c>
    </row>
    <row r="951" spans="1:15" ht="12.75" hidden="1" x14ac:dyDescent="0.2">
      <c r="A951">
        <v>66961</v>
      </c>
      <c r="B951" t="str">
        <f ca="1">VLOOKUP(A951,Import_SuiviGlobal_MigAppliSate!A:I,2,FALSE)</f>
        <v>ST ETIENNE DE ST GEOIRS</v>
      </c>
      <c r="C951" t="str">
        <f ca="1">VLOOKUP(A951,Import_SuiviGlobal_MigAppliSate!A:I,3,FALSE)</f>
        <v>Super U</v>
      </c>
      <c r="D951" s="1" t="str">
        <f ca="1">VLOOKUP(A951,Import_SuiviGlobal_MigAppliSate!A:I,4,FALSE)</f>
        <v>Coop U Enseigne Est</v>
      </c>
      <c r="E951">
        <f ca="1">VLOOKUP(A951,Import_SuiviGlobal_MigAppliSate!A:I,5,FALSE)</f>
        <v>38590</v>
      </c>
      <c r="F951" t="str">
        <f ca="1">VLOOKUP(A951,Import_SuiviGlobal_MigAppliSate!A:I,6,FALSE)</f>
        <v>CENTRE COMMERCIAL PAYS DE BIEVRE</v>
      </c>
      <c r="G951" t="str">
        <f ca="1">VLOOKUP(A951,Import_SuiviGlobal_MigAppliSate!A:I,7,FALSE)</f>
        <v>04.76.65.40.47</v>
      </c>
      <c r="H951" t="str">
        <f ca="1">VLOOKUP(A951,Import_SuiviGlobal_MigAppliSate!A:I,8,FALSE)</f>
        <v>BEDROSSIAN Jean paul</v>
      </c>
      <c r="I951" t="str">
        <f ca="1">VLOOKUP(A951,Import_SuiviGlobal_MigAppliSate!A:I,9,FALSE)</f>
        <v>jean-paul.bedrossian@systeme-u.fr</v>
      </c>
      <c r="J951" s="24" t="str">
        <f ca="1">VLOOKUP(A951,Import_SuiviGlobal_MigAppliSate!A:K,10,FALSE)</f>
        <v>M. CALLOUD</v>
      </c>
      <c r="K951" t="str">
        <f ca="1">VLOOKUP(A951,Import_SuiviGlobal_MigAppliSate!A:K,11,FALSE)</f>
        <v>superu.stetiennestgeoirs.direction@systeme-u.fr</v>
      </c>
      <c r="O951" s="1" t="s">
        <v>22</v>
      </c>
    </row>
    <row r="952" spans="1:15" ht="12.75" hidden="1" x14ac:dyDescent="0.2">
      <c r="A952">
        <v>66182</v>
      </c>
      <c r="B952" t="str">
        <f ca="1">VLOOKUP(A952,Import_SuiviGlobal_MigAppliSate!A:I,2,FALSE)</f>
        <v>ST GEORGES DE MONS</v>
      </c>
      <c r="C952" t="str">
        <f ca="1">VLOOKUP(A952,Import_SuiviGlobal_MigAppliSate!A:I,3,FALSE)</f>
        <v>Super U</v>
      </c>
      <c r="D952" s="1" t="str">
        <f ca="1">VLOOKUP(A952,Import_SuiviGlobal_MigAppliSate!A:I,4,FALSE)</f>
        <v>Coop U Enseigne Est</v>
      </c>
      <c r="E952">
        <f ca="1">VLOOKUP(A952,Import_SuiviGlobal_MigAppliSate!A:I,5,FALSE)</f>
        <v>63780</v>
      </c>
      <c r="F952" t="str">
        <f ca="1">VLOOKUP(A952,Import_SuiviGlobal_MigAppliSate!A:I,6,FALSE)</f>
        <v>RUE CHAMPS GRELIÈRES</v>
      </c>
      <c r="G952" t="str">
        <f ca="1">VLOOKUP(A952,Import_SuiviGlobal_MigAppliSate!A:I,7,FALSE)</f>
        <v>04.73.86.74.48</v>
      </c>
      <c r="H952" t="str">
        <f ca="1">VLOOKUP(A952,Import_SuiviGlobal_MigAppliSate!A:I,8,FALSE)</f>
        <v>TURPIN Stéphane</v>
      </c>
      <c r="I952" t="str">
        <f ca="1">VLOOKUP(A952,Import_SuiviGlobal_MigAppliSate!A:I,9,FALSE)</f>
        <v>stephane.turpin1@systeme-u.fr</v>
      </c>
      <c r="J952" s="24" t="str">
        <f ca="1">VLOOKUP(A952,Import_SuiviGlobal_MigAppliSate!A:K,10,FALSE)</f>
        <v>BOREL SONIA</v>
      </c>
      <c r="K952" t="str">
        <f ca="1">VLOOKUP(A952,Import_SuiviGlobal_MigAppliSate!A:K,11,FALSE)</f>
        <v>superu.saintgeorgesdemons@systeme-u.fr</v>
      </c>
      <c r="O952" s="1" t="s">
        <v>22</v>
      </c>
    </row>
    <row r="953" spans="1:15" ht="12.75" hidden="1" x14ac:dyDescent="0.2">
      <c r="A953">
        <v>66166</v>
      </c>
      <c r="B953" t="str">
        <f ca="1">VLOOKUP(A953,Import_SuiviGlobal_MigAppliSate!A:I,2,FALSE)</f>
        <v>ST GERMAIN DU BOIS</v>
      </c>
      <c r="C953" t="str">
        <f ca="1">VLOOKUP(A953,Import_SuiviGlobal_MigAppliSate!A:I,3,FALSE)</f>
        <v>Super U</v>
      </c>
      <c r="D953" s="1" t="str">
        <f ca="1">VLOOKUP(A953,Import_SuiviGlobal_MigAppliSate!A:I,4,FALSE)</f>
        <v>Coop U Enseigne Est</v>
      </c>
      <c r="E953">
        <f ca="1">VLOOKUP(A953,Import_SuiviGlobal_MigAppliSate!A:I,5,FALSE)</f>
        <v>71330</v>
      </c>
      <c r="F953" t="str">
        <f ca="1">VLOOKUP(A953,Import_SuiviGlobal_MigAppliSate!A:I,6,FALSE)</f>
        <v>ROUTE DE PIERRE DE BRESSE</v>
      </c>
      <c r="G953" t="str">
        <f ca="1">VLOOKUP(A953,Import_SuiviGlobal_MigAppliSate!A:I,7,FALSE)</f>
        <v>03.85.72.03.78</v>
      </c>
      <c r="H953" t="str">
        <f ca="1">VLOOKUP(A953,Import_SuiviGlobal_MigAppliSate!A:I,8,FALSE)</f>
        <v>PIROUX RPT SAS J2P David</v>
      </c>
      <c r="I953" t="str">
        <f ca="1">VLOOKUP(A953,Import_SuiviGlobal_MigAppliSate!A:I,9,FALSE)</f>
        <v>david.piroux@systeme-u.fr</v>
      </c>
      <c r="J953" s="24" t="str">
        <f ca="1">VLOOKUP(A953,Import_SuiviGlobal_MigAppliSate!A:K,10,FALSE)</f>
        <v>Mme Nadia Bruchon</v>
      </c>
      <c r="K953" t="str">
        <f ca="1">VLOOKUP(A953,Import_SuiviGlobal_MigAppliSate!A:K,11,FALSE)</f>
        <v>superu.saintgermaindubois@systeme-u.fr</v>
      </c>
      <c r="O953" s="1" t="s">
        <v>22</v>
      </c>
    </row>
    <row r="954" spans="1:15" ht="12.75" hidden="1" x14ac:dyDescent="0.2">
      <c r="A954">
        <v>68537</v>
      </c>
      <c r="B954" t="str">
        <f ca="1">VLOOKUP(A954,Import_SuiviGlobal_MigAppliSate!A:I,2,FALSE)</f>
        <v>ST GERMAIN LEMBRON</v>
      </c>
      <c r="C954" t="str">
        <f ca="1">VLOOKUP(A954,Import_SuiviGlobal_MigAppliSate!A:I,3,FALSE)</f>
        <v>Super U</v>
      </c>
      <c r="D954" s="1" t="str">
        <f ca="1">VLOOKUP(A954,Import_SuiviGlobal_MigAppliSate!A:I,4,FALSE)</f>
        <v>Coop U Enseigne Est</v>
      </c>
      <c r="E954">
        <f ca="1">VLOOKUP(A954,Import_SuiviGlobal_MigAppliSate!A:I,5,FALSE)</f>
        <v>63340</v>
      </c>
      <c r="F954" t="str">
        <f ca="1">VLOOKUP(A954,Import_SuiviGlobal_MigAppliSate!A:I,6,FALSE)</f>
        <v>ZAC DES COUSTILLES</v>
      </c>
      <c r="G954" t="str">
        <f ca="1">VLOOKUP(A954,Import_SuiviGlobal_MigAppliSate!A:I,7,FALSE)</f>
        <v>04.73.54.53.50</v>
      </c>
      <c r="H954" t="str">
        <f ca="1">VLOOKUP(A954,Import_SuiviGlobal_MigAppliSate!A:I,8,FALSE)</f>
        <v>GILBERT Stéphane</v>
      </c>
      <c r="I954" t="str">
        <f ca="1">VLOOKUP(A954,Import_SuiviGlobal_MigAppliSate!A:I,9,FALSE)</f>
        <v>stephane.gilbert@systeme-u.fr</v>
      </c>
      <c r="J954" s="24" t="str">
        <f ca="1">VLOOKUP(A954,Import_SuiviGlobal_MigAppliSate!A:K,10,FALSE)</f>
        <v/>
      </c>
      <c r="K954" t="str">
        <f ca="1">VLOOKUP(A954,Import_SuiviGlobal_MigAppliSate!A:K,11,FALSE)</f>
        <v/>
      </c>
      <c r="O954" s="1" t="s">
        <v>22</v>
      </c>
    </row>
    <row r="955" spans="1:15" ht="12.75" hidden="1" x14ac:dyDescent="0.2">
      <c r="A955">
        <v>90226</v>
      </c>
      <c r="B955" t="str">
        <f ca="1">VLOOKUP(A955,Import_SuiviGlobal_MigAppliSate!A:I,2,FALSE)</f>
        <v>ST HIPPOLYTE DU FORT</v>
      </c>
      <c r="C955" t="str">
        <f ca="1">VLOOKUP(A955,Import_SuiviGlobal_MigAppliSate!A:I,3,FALSE)</f>
        <v>Super U</v>
      </c>
      <c r="D955" s="1" t="str">
        <f ca="1">VLOOKUP(A955,Import_SuiviGlobal_MigAppliSate!A:I,4,FALSE)</f>
        <v>Coop U Enseigne Sud</v>
      </c>
      <c r="E955">
        <f ca="1">VLOOKUP(A955,Import_SuiviGlobal_MigAppliSate!A:I,5,FALSE)</f>
        <v>30170</v>
      </c>
      <c r="F955" t="str">
        <f ca="1">VLOOKUP(A955,Import_SuiviGlobal_MigAppliSate!A:I,6,FALSE)</f>
        <v>LA COURONNE</v>
      </c>
      <c r="G955" t="str">
        <f ca="1">VLOOKUP(A955,Import_SuiviGlobal_MigAppliSate!A:I,7,FALSE)</f>
        <v>04.66.77.24.47</v>
      </c>
      <c r="H955" t="str">
        <f ca="1">VLOOKUP(A955,Import_SuiviGlobal_MigAppliSate!A:I,8,FALSE)</f>
        <v>PICHON David</v>
      </c>
      <c r="I955" t="str">
        <f ca="1">VLOOKUP(A955,Import_SuiviGlobal_MigAppliSate!A:I,9,FALSE)</f>
        <v>david.pichon@systeme-u.fr</v>
      </c>
      <c r="J955" s="24" t="str">
        <f ca="1">VLOOKUP(A955,Import_SuiviGlobal_MigAppliSate!A:K,10,FALSE)</f>
        <v/>
      </c>
      <c r="K955" t="str">
        <f ca="1">VLOOKUP(A955,Import_SuiviGlobal_MigAppliSate!A:K,11,FALSE)</f>
        <v>superu.sainthippolytedufort.direction@systeme-u.fr</v>
      </c>
      <c r="O955" s="1" t="s">
        <v>22</v>
      </c>
    </row>
    <row r="956" spans="1:15" ht="12.75" hidden="1" x14ac:dyDescent="0.2">
      <c r="A956">
        <v>90544</v>
      </c>
      <c r="B956" t="str">
        <f ca="1">VLOOKUP(A956,Import_SuiviGlobal_MigAppliSate!A:I,2,FALSE)</f>
        <v>ST JEAN DE VEDAS</v>
      </c>
      <c r="C956" t="str">
        <f ca="1">VLOOKUP(A956,Import_SuiviGlobal_MigAppliSate!A:I,3,FALSE)</f>
        <v>U Express</v>
      </c>
      <c r="D956" s="1" t="str">
        <f ca="1">VLOOKUP(A956,Import_SuiviGlobal_MigAppliSate!A:I,4,FALSE)</f>
        <v>Coop U Enseigne Sud</v>
      </c>
      <c r="E956">
        <f ca="1">VLOOKUP(A956,Import_SuiviGlobal_MigAppliSate!A:I,5,FALSE)</f>
        <v>34430</v>
      </c>
      <c r="F956" t="str">
        <f ca="1">VLOOKUP(A956,Import_SuiviGlobal_MigAppliSate!A:I,6,FALSE)</f>
        <v>CHEMIN DE LA PEYRIERE</v>
      </c>
      <c r="G956" t="str">
        <f ca="1">VLOOKUP(A956,Import_SuiviGlobal_MigAppliSate!A:I,7,FALSE)</f>
        <v>04.67.13.84.93</v>
      </c>
      <c r="H956" t="str">
        <f ca="1">VLOOKUP(A956,Import_SuiviGlobal_MigAppliSate!A:I,8,FALSE)</f>
        <v>AL LAHHAM Alexandre</v>
      </c>
      <c r="I956" t="str">
        <f ca="1">VLOOKUP(A956,Import_SuiviGlobal_MigAppliSate!A:I,9,FALSE)</f>
        <v>alexandre.allahham@systeme-u.fr</v>
      </c>
      <c r="J956" s="24" t="str">
        <f ca="1">VLOOKUP(A956,Import_SuiviGlobal_MigAppliSate!A:K,10,FALSE)</f>
        <v>DENIS JULIEN</v>
      </c>
      <c r="K956" t="str">
        <f ca="1">VLOOKUP(A956,Import_SuiviGlobal_MigAppliSate!A:K,11,FALSE)</f>
        <v>uexpress.saintjeandevedas.direction@systeme-u.fr</v>
      </c>
      <c r="O956" s="1" t="s">
        <v>22</v>
      </c>
    </row>
    <row r="957" spans="1:15" ht="12.75" hidden="1" x14ac:dyDescent="0.2">
      <c r="A957">
        <v>90021</v>
      </c>
      <c r="B957" t="str">
        <f ca="1">VLOOKUP(A957,Import_SuiviGlobal_MigAppliSate!A:I,2,FALSE)</f>
        <v>ST JEAN DU GARD</v>
      </c>
      <c r="C957" t="str">
        <f ca="1">VLOOKUP(A957,Import_SuiviGlobal_MigAppliSate!A:I,3,FALSE)</f>
        <v>U Express</v>
      </c>
      <c r="D957" s="1" t="str">
        <f ca="1">VLOOKUP(A957,Import_SuiviGlobal_MigAppliSate!A:I,4,FALSE)</f>
        <v>Coop U Enseigne Sud</v>
      </c>
      <c r="E957">
        <f ca="1">VLOOKUP(A957,Import_SuiviGlobal_MigAppliSate!A:I,5,FALSE)</f>
        <v>30270</v>
      </c>
      <c r="F957" t="str">
        <f ca="1">VLOOKUP(A957,Import_SuiviGlobal_MigAppliSate!A:I,6,FALSE)</f>
        <v>AVENUE RENE BOUDON</v>
      </c>
      <c r="G957" t="str">
        <f ca="1">VLOOKUP(A957,Import_SuiviGlobal_MigAppliSate!A:I,7,FALSE)</f>
        <v>04.66.85.10.83</v>
      </c>
      <c r="H957" t="str">
        <f ca="1">VLOOKUP(A957,Import_SuiviGlobal_MigAppliSate!A:I,8,FALSE)</f>
        <v>BAUDOIN LIONEL</v>
      </c>
      <c r="I957" t="str">
        <f ca="1">VLOOKUP(A957,Import_SuiviGlobal_MigAppliSate!A:I,9,FALSE)</f>
        <v>lionel.baudoin@systeme-u.fr</v>
      </c>
      <c r="J957" s="24" t="str">
        <f ca="1">VLOOKUP(A957,Import_SuiviGlobal_MigAppliSate!A:K,10,FALSE)</f>
        <v/>
      </c>
      <c r="K957" t="str">
        <f ca="1">VLOOKUP(A957,Import_SuiviGlobal_MigAppliSate!A:K,11,FALSE)</f>
        <v/>
      </c>
      <c r="O957" s="1" t="s">
        <v>22</v>
      </c>
    </row>
    <row r="958" spans="1:15" ht="12.75" hidden="1" x14ac:dyDescent="0.2">
      <c r="A958">
        <v>90458</v>
      </c>
      <c r="B958" t="str">
        <f ca="1">VLOOKUP(A958,Import_SuiviGlobal_MigAppliSate!A:I,2,FALSE)</f>
        <v>ST JEANNET</v>
      </c>
      <c r="C958" t="str">
        <f ca="1">VLOOKUP(A958,Import_SuiviGlobal_MigAppliSate!A:I,3,FALSE)</f>
        <v>U Express</v>
      </c>
      <c r="D958" s="1" t="str">
        <f ca="1">VLOOKUP(A958,Import_SuiviGlobal_MigAppliSate!A:I,4,FALSE)</f>
        <v>Coop U Enseigne Sud</v>
      </c>
      <c r="E958">
        <f ca="1">VLOOKUP(A958,Import_SuiviGlobal_MigAppliSate!A:I,5,FALSE)</f>
        <v>6640</v>
      </c>
      <c r="F958" t="str">
        <f ca="1">VLOOKUP(A958,Import_SuiviGlobal_MigAppliSate!A:I,6,FALSE)</f>
        <v>QUARTIER LE PEYRON</v>
      </c>
      <c r="G958" t="str">
        <f ca="1">VLOOKUP(A958,Import_SuiviGlobal_MigAppliSate!A:I,7,FALSE)</f>
        <v>04.93.24.95.52</v>
      </c>
      <c r="H958" t="str">
        <f ca="1">VLOOKUP(A958,Import_SuiviGlobal_MigAppliSate!A:I,8,FALSE)</f>
        <v>BERNARD Catherine</v>
      </c>
      <c r="I958" t="str">
        <f ca="1">VLOOKUP(A958,Import_SuiviGlobal_MigAppliSate!A:I,9,FALSE)</f>
        <v>catherine.saillard@systeme-u.fr</v>
      </c>
      <c r="J958" s="24" t="str">
        <f ca="1">VLOOKUP(A958,Import_SuiviGlobal_MigAppliSate!A:K,10,FALSE)</f>
        <v>M. VIGON</v>
      </c>
      <c r="K958" t="str">
        <f ca="1">VLOOKUP(A958,Import_SuiviGlobal_MigAppliSate!A:K,11,FALSE)</f>
        <v>marcheu.saintjeannet.directeur@systeme-u.fr</v>
      </c>
      <c r="O958" s="1" t="s">
        <v>22</v>
      </c>
    </row>
    <row r="959" spans="1:15" ht="12.75" x14ac:dyDescent="0.2">
      <c r="A959">
        <v>66572</v>
      </c>
      <c r="B959" t="str">
        <f ca="1">VLOOKUP(A959,Import_SuiviGlobal_MigAppliSate!A:I,2,FALSE)</f>
        <v>ST JORIOZ</v>
      </c>
      <c r="C959" t="str">
        <f ca="1">VLOOKUP(A959,Import_SuiviGlobal_MigAppliSate!A:I,3,FALSE)</f>
        <v>Super U</v>
      </c>
      <c r="D959" s="1" t="str">
        <f ca="1">VLOOKUP(A959,Import_SuiviGlobal_MigAppliSate!A:I,4,FALSE)</f>
        <v>Coop U Enseigne Est</v>
      </c>
      <c r="E959">
        <f ca="1">VLOOKUP(A959,Import_SuiviGlobal_MigAppliSate!A:I,5,FALSE)</f>
        <v>74410</v>
      </c>
      <c r="F959" t="str">
        <f ca="1">VLOOKUP(A959,Import_SuiviGlobal_MigAppliSate!A:I,6,FALSE)</f>
        <v>RUE DE L'EGLISE</v>
      </c>
      <c r="G959" t="str">
        <f ca="1">VLOOKUP(A959,Import_SuiviGlobal_MigAppliSate!A:I,7,FALSE)</f>
        <v>04.50.68.61.50</v>
      </c>
      <c r="H959" t="str">
        <f ca="1">VLOOKUP(A959,Import_SuiviGlobal_MigAppliSate!A:I,8,FALSE)</f>
        <v>DANNEELS Freddy</v>
      </c>
      <c r="I959" t="str">
        <f ca="1">VLOOKUP(A959,Import_SuiviGlobal_MigAppliSate!A:I,9,FALSE)</f>
        <v>freddy.danneels@systeme-u.fr</v>
      </c>
      <c r="J959" s="24" t="str">
        <f ca="1">VLOOKUP(A959,Import_SuiviGlobal_MigAppliSate!A:K,10,FALSE)</f>
        <v/>
      </c>
      <c r="K959" t="str">
        <f ca="1">VLOOKUP(A959,Import_SuiviGlobal_MigAppliSate!A:K,11,FALSE)</f>
        <v/>
      </c>
      <c r="L959" s="1" t="s">
        <v>17</v>
      </c>
      <c r="M959" t="s">
        <v>0</v>
      </c>
      <c r="O959" s="1" t="s">
        <v>22</v>
      </c>
    </row>
    <row r="960" spans="1:15" ht="12.75" hidden="1" x14ac:dyDescent="0.2">
      <c r="A960">
        <v>65103</v>
      </c>
      <c r="B960" t="str">
        <f ca="1">VLOOKUP(A960,Import_SuiviGlobal_MigAppliSate!A:I,2,FALSE)</f>
        <v>ST JULIEN LES METZ</v>
      </c>
      <c r="C960" t="str">
        <f ca="1">VLOOKUP(A960,Import_SuiviGlobal_MigAppliSate!A:I,3,FALSE)</f>
        <v>Super U</v>
      </c>
      <c r="D960" s="1" t="str">
        <f ca="1">VLOOKUP(A960,Import_SuiviGlobal_MigAppliSate!A:I,4,FALSE)</f>
        <v>Coop U Enseigne Est</v>
      </c>
      <c r="E960">
        <f ca="1">VLOOKUP(A960,Import_SuiviGlobal_MigAppliSate!A:I,5,FALSE)</f>
        <v>57070</v>
      </c>
      <c r="F960" t="str">
        <f ca="1">VLOOKUP(A960,Import_SuiviGlobal_MigAppliSate!A:I,6,FALSE)</f>
        <v>RUE FRANÇOIS SIMON</v>
      </c>
      <c r="G960" t="str">
        <f ca="1">VLOOKUP(A960,Import_SuiviGlobal_MigAppliSate!A:I,7,FALSE)</f>
        <v>03.87.76.23.02</v>
      </c>
      <c r="H960" t="str">
        <f ca="1">VLOOKUP(A960,Import_SuiviGlobal_MigAppliSate!A:I,8,FALSE)</f>
        <v>WOISARD Dominique</v>
      </c>
      <c r="I960" t="str">
        <f ca="1">VLOOKUP(A960,Import_SuiviGlobal_MigAppliSate!A:I,9,FALSE)</f>
        <v>dominique.woisard@systeme-u.fr</v>
      </c>
      <c r="J960" s="24" t="str">
        <f ca="1">VLOOKUP(A960,Import_SuiviGlobal_MigAppliSate!A:K,10,FALSE)</f>
        <v>Mme Julie DAMIEN</v>
      </c>
      <c r="K960" t="str">
        <f ca="1">VLOOKUP(A960,Import_SuiviGlobal_MigAppliSate!A:K,11,FALSE)</f>
        <v>superu.saintjulienlesmetz@systeme-u.fr</v>
      </c>
      <c r="O960" s="1" t="s">
        <v>22</v>
      </c>
    </row>
    <row r="961" spans="1:18" ht="12.75" hidden="1" x14ac:dyDescent="0.2">
      <c r="A961">
        <v>22755</v>
      </c>
      <c r="B961" t="str">
        <f ca="1">VLOOKUP(A961,Import_SuiviGlobal_MigAppliSate!A:I,2,FALSE)</f>
        <v>ST LANGIS LES MORTAGNE</v>
      </c>
      <c r="C961" t="str">
        <f ca="1">VLOOKUP(A961,Import_SuiviGlobal_MigAppliSate!A:I,3,FALSE)</f>
        <v>Super U</v>
      </c>
      <c r="D961" s="1" t="str">
        <f ca="1">VLOOKUP(A961,Import_SuiviGlobal_MigAppliSate!A:I,4,FALSE)</f>
        <v>Coop U Enseigne NordOuest</v>
      </c>
      <c r="E961">
        <f ca="1">VLOOKUP(A961,Import_SuiviGlobal_MigAppliSate!A:I,5,FALSE)</f>
        <v>61400</v>
      </c>
      <c r="F961" t="str">
        <f ca="1">VLOOKUP(A961,Import_SuiviGlobal_MigAppliSate!A:I,6,FALSE)</f>
        <v>ROUTE D'ALENÇON</v>
      </c>
      <c r="G961" t="str">
        <f ca="1">VLOOKUP(A961,Import_SuiviGlobal_MigAppliSate!A:I,7,FALSE)</f>
        <v>02.33.25.42.44</v>
      </c>
      <c r="H961" t="str">
        <f ca="1">VLOOKUP(A961,Import_SuiviGlobal_MigAppliSate!A:I,8,FALSE)</f>
        <v>NOYER Thierry</v>
      </c>
      <c r="I961" t="str">
        <f ca="1">VLOOKUP(A961,Import_SuiviGlobal_MigAppliSate!A:I,9,FALSE)</f>
        <v>thierry.noyer@systeme-u.fr</v>
      </c>
      <c r="J961" s="24" t="str">
        <f ca="1">VLOOKUP(A961,Import_SuiviGlobal_MigAppliSate!A:K,10,FALSE)</f>
        <v>Mme BOURREE 
SERRA Marie José</v>
      </c>
      <c r="K961" t="str">
        <f ca="1">VLOOKUP(A961,Import_SuiviGlobal_MigAppliSate!A:K,11,FALSE)</f>
        <v>superu.saintlangislesmortagnes.pf@systeme-u.fr,
superu.saintlangislesmortagnes.administratif@systeme-u.fr</v>
      </c>
      <c r="O961" s="1" t="s">
        <v>22</v>
      </c>
    </row>
    <row r="962" spans="1:18" ht="12.75" hidden="1" x14ac:dyDescent="0.2">
      <c r="A962">
        <v>90531</v>
      </c>
      <c r="B962" t="str">
        <f ca="1">VLOOKUP(A962,Import_SuiviGlobal_MigAppliSate!A:I,2,FALSE)</f>
        <v>ST LAURENT D'AIGOUZE</v>
      </c>
      <c r="C962" t="str">
        <f ca="1">VLOOKUP(A962,Import_SuiviGlobal_MigAppliSate!A:I,3,FALSE)</f>
        <v>U Express</v>
      </c>
      <c r="D962" s="1" t="str">
        <f ca="1">VLOOKUP(A962,Import_SuiviGlobal_MigAppliSate!A:I,4,FALSE)</f>
        <v>Coop U Enseigne Sud</v>
      </c>
      <c r="E962">
        <f ca="1">VLOOKUP(A962,Import_SuiviGlobal_MigAppliSate!A:I,5,FALSE)</f>
        <v>30220</v>
      </c>
      <c r="F962" t="str">
        <f ca="1">VLOOKUP(A962,Import_SuiviGlobal_MigAppliSate!A:I,6,FALSE)</f>
        <v>180 AVENUE DU GAL TROUCHAUD</v>
      </c>
      <c r="G962" t="str">
        <f ca="1">VLOOKUP(A962,Import_SuiviGlobal_MigAppliSate!A:I,7,FALSE)</f>
        <v>04.66.35.95.65</v>
      </c>
      <c r="H962" t="str">
        <f ca="1">VLOOKUP(A962,Import_SuiviGlobal_MigAppliSate!A:I,8,FALSE)</f>
        <v>LEIENDECKERS Karine</v>
      </c>
      <c r="I962" t="str">
        <f ca="1">VLOOKUP(A962,Import_SuiviGlobal_MigAppliSate!A:I,9,FALSE)</f>
        <v>karine.leiendeckers@systeme-u.fr</v>
      </c>
      <c r="J962" s="24" t="str">
        <f ca="1">VLOOKUP(A962,Import_SuiviGlobal_MigAppliSate!A:K,10,FALSE)</f>
        <v/>
      </c>
      <c r="K962" t="str">
        <f ca="1">VLOOKUP(A962,Import_SuiviGlobal_MigAppliSate!A:K,11,FALSE)</f>
        <v/>
      </c>
      <c r="O962" s="1" t="s">
        <v>22</v>
      </c>
    </row>
    <row r="963" spans="1:18" ht="12.75" hidden="1" x14ac:dyDescent="0.2">
      <c r="A963">
        <v>62005</v>
      </c>
      <c r="B963" t="str">
        <f ca="1">VLOOKUP(A963,Import_SuiviGlobal_MigAppliSate!A:I,2,FALSE)</f>
        <v>ST LAURENT EN GRANDVAUX</v>
      </c>
      <c r="C963" t="str">
        <f ca="1">VLOOKUP(A963,Import_SuiviGlobal_MigAppliSate!A:I,3,FALSE)</f>
        <v>Super U</v>
      </c>
      <c r="D963" s="1" t="str">
        <f ca="1">VLOOKUP(A963,Import_SuiviGlobal_MigAppliSate!A:I,4,FALSE)</f>
        <v>Coop U Enseigne Est</v>
      </c>
      <c r="E963">
        <f ca="1">VLOOKUP(A963,Import_SuiviGlobal_MigAppliSate!A:I,5,FALSE)</f>
        <v>39150</v>
      </c>
      <c r="F963" t="str">
        <f ca="1">VLOOKUP(A963,Import_SuiviGlobal_MigAppliSate!A:I,6,FALSE)</f>
        <v>14 RUE LACUZON</v>
      </c>
      <c r="G963" t="str">
        <f ca="1">VLOOKUP(A963,Import_SuiviGlobal_MigAppliSate!A:I,7,FALSE)</f>
        <v>03.84.60.81.24</v>
      </c>
      <c r="H963" t="str">
        <f ca="1">VLOOKUP(A963,Import_SuiviGlobal_MigAppliSate!A:I,8,FALSE)</f>
        <v>MURA RPT SAS THILU Damien</v>
      </c>
      <c r="I963" t="str">
        <f ca="1">VLOOKUP(A963,Import_SuiviGlobal_MigAppliSate!A:I,9,FALSE)</f>
        <v>damien.mura@systeme-u.fr</v>
      </c>
      <c r="J963" s="24" t="str">
        <f ca="1">VLOOKUP(A963,Import_SuiviGlobal_MigAppliSate!A:K,10,FALSE)</f>
        <v xml:space="preserve">Me Lejeune UPLV </v>
      </c>
      <c r="K963" t="str">
        <f ca="1">VLOOKUP(A963,Import_SuiviGlobal_MigAppliSate!A:K,11,FALSE)</f>
        <v>superu.saintlaurentengrandvaux.location_u@systeme-u.fr</v>
      </c>
      <c r="O963" s="1" t="s">
        <v>22</v>
      </c>
    </row>
    <row r="964" spans="1:18" ht="12.75" hidden="1" x14ac:dyDescent="0.2">
      <c r="A964">
        <v>96347</v>
      </c>
      <c r="B964" t="str">
        <f ca="1">VLOOKUP(A964,Import_SuiviGlobal_MigAppliSate!A:I,2,FALSE)</f>
        <v>ST LAURENT MEDOC</v>
      </c>
      <c r="C964" t="str">
        <f ca="1">VLOOKUP(A964,Import_SuiviGlobal_MigAppliSate!A:I,3,FALSE)</f>
        <v>Super U</v>
      </c>
      <c r="D964" s="1" t="str">
        <f ca="1">VLOOKUP(A964,Import_SuiviGlobal_MigAppliSate!A:I,4,FALSE)</f>
        <v>Coop U Enseigne Sud</v>
      </c>
      <c r="E964">
        <f ca="1">VLOOKUP(A964,Import_SuiviGlobal_MigAppliSate!A:I,5,FALSE)</f>
        <v>33112</v>
      </c>
      <c r="F964" t="str">
        <f ca="1">VLOOKUP(A964,Import_SuiviGlobal_MigAppliSate!A:I,6,FALSE)</f>
        <v>18 RUE PIERRE RALLE</v>
      </c>
      <c r="G964" t="str">
        <f ca="1">VLOOKUP(A964,Import_SuiviGlobal_MigAppliSate!A:I,7,FALSE)</f>
        <v>05.56.59.45.56</v>
      </c>
      <c r="H964" t="str">
        <f ca="1">VLOOKUP(A964,Import_SuiviGlobal_MigAppliSate!A:I,8,FALSE)</f>
        <v>GILARDEAU Jacky</v>
      </c>
      <c r="I964" t="str">
        <f ca="1">VLOOKUP(A964,Import_SuiviGlobal_MigAppliSate!A:I,9,FALSE)</f>
        <v>jacky.gilardeau@systeme-u.fr</v>
      </c>
      <c r="J964" s="24" t="str">
        <f ca="1">VLOOKUP(A964,Import_SuiviGlobal_MigAppliSate!A:K,10,FALSE)</f>
        <v/>
      </c>
      <c r="K964" t="str">
        <f ca="1">VLOOKUP(A964,Import_SuiviGlobal_MigAppliSate!A:K,11,FALSE)</f>
        <v/>
      </c>
      <c r="O964" s="1" t="s">
        <v>22</v>
      </c>
    </row>
    <row r="965" spans="1:18" ht="12.75" hidden="1" x14ac:dyDescent="0.2">
      <c r="A965">
        <v>20930</v>
      </c>
      <c r="B965" t="str">
        <f ca="1">VLOOKUP(A965,Import_SuiviGlobal_MigAppliSate!A:I,2,FALSE)</f>
        <v>ST LO</v>
      </c>
      <c r="C965" t="str">
        <f ca="1">VLOOKUP(A965,Import_SuiviGlobal_MigAppliSate!A:I,3,FALSE)</f>
        <v>U Express</v>
      </c>
      <c r="D965" s="1" t="str">
        <f ca="1">VLOOKUP(A965,Import_SuiviGlobal_MigAppliSate!A:I,4,FALSE)</f>
        <v>Coop U Enseigne NordOuest</v>
      </c>
      <c r="E965">
        <f ca="1">VLOOKUP(A965,Import_SuiviGlobal_MigAppliSate!A:I,5,FALSE)</f>
        <v>50000</v>
      </c>
      <c r="F965" t="str">
        <f ca="1">VLOOKUP(A965,Import_SuiviGlobal_MigAppliSate!A:I,6,FALSE)</f>
        <v>PLACE DE L'HÔTEL DE VILLE</v>
      </c>
      <c r="G965" t="str">
        <f ca="1">VLOOKUP(A965,Import_SuiviGlobal_MigAppliSate!A:I,7,FALSE)</f>
        <v>02.33.55.47.13</v>
      </c>
      <c r="H965" t="str">
        <f ca="1">VLOOKUP(A965,Import_SuiviGlobal_MigAppliSate!A:I,8,FALSE)</f>
        <v>LEROY Christian</v>
      </c>
      <c r="I965" t="str">
        <f ca="1">VLOOKUP(A965,Import_SuiviGlobal_MigAppliSate!A:I,9,FALSE)</f>
        <v>christian.leroy@systeme-u.fr</v>
      </c>
      <c r="J965" s="24" t="str">
        <f ca="1">VLOOKUP(A965,Import_SuiviGlobal_MigAppliSate!A:K,10,FALSE)</f>
        <v/>
      </c>
      <c r="K965" t="str">
        <f ca="1">VLOOKUP(A965,Import_SuiviGlobal_MigAppliSate!A:K,11,FALSE)</f>
        <v/>
      </c>
      <c r="L965" s="1" t="s">
        <v>17</v>
      </c>
      <c r="M965" s="1" t="s">
        <v>24</v>
      </c>
      <c r="N965" s="1" t="s">
        <v>18</v>
      </c>
      <c r="O965" s="1" t="s">
        <v>19</v>
      </c>
      <c r="P965" s="13"/>
      <c r="Q965" s="14"/>
      <c r="R965" s="14"/>
    </row>
    <row r="966" spans="1:18" ht="12.75" hidden="1" x14ac:dyDescent="0.2">
      <c r="A966">
        <v>90251</v>
      </c>
      <c r="B966" t="str">
        <f ca="1">VLOOKUP(A966,Import_SuiviGlobal_MigAppliSate!A:I,2,FALSE)</f>
        <v>ST MARTIN DE CRAU</v>
      </c>
      <c r="C966" t="str">
        <f ca="1">VLOOKUP(A966,Import_SuiviGlobal_MigAppliSate!A:I,3,FALSE)</f>
        <v>Super U</v>
      </c>
      <c r="D966" s="1" t="str">
        <f ca="1">VLOOKUP(A966,Import_SuiviGlobal_MigAppliSate!A:I,4,FALSE)</f>
        <v>Coop U Enseigne Sud</v>
      </c>
      <c r="E966">
        <f ca="1">VLOOKUP(A966,Import_SuiviGlobal_MigAppliSate!A:I,5,FALSE)</f>
        <v>13310</v>
      </c>
      <c r="F966" t="str">
        <f ca="1">VLOOKUP(A966,Import_SuiviGlobal_MigAppliSate!A:I,6,FALSE)</f>
        <v>ZA DU SALAT AV.MARKGRONINGEN</v>
      </c>
      <c r="G966" t="str">
        <f ca="1">VLOOKUP(A966,Import_SuiviGlobal_MigAppliSate!A:I,7,FALSE)</f>
        <v>04.90.47.23.00</v>
      </c>
      <c r="H966" t="str">
        <f ca="1">VLOOKUP(A966,Import_SuiviGlobal_MigAppliSate!A:I,8,FALSE)</f>
        <v>BARBIER Pierre</v>
      </c>
      <c r="I966" t="str">
        <f ca="1">VLOOKUP(A966,Import_SuiviGlobal_MigAppliSate!A:I,9,FALSE)</f>
        <v>pierre.barbier@systeme-u.fr</v>
      </c>
      <c r="J966" s="24" t="str">
        <f ca="1">VLOOKUP(A966,Import_SuiviGlobal_MigAppliSate!A:K,10,FALSE)</f>
        <v>M. Sébastien LECLUSE</v>
      </c>
      <c r="K966" t="str">
        <f ca="1">VLOOKUP(A966,Import_SuiviGlobal_MigAppliSate!A:K,11,FALSE)</f>
        <v>superu.saintmartindecrau@systeme-u.fr,superu.smc@gmail.com</v>
      </c>
      <c r="O966" s="1" t="s">
        <v>22</v>
      </c>
    </row>
    <row r="967" spans="1:18" ht="12.75" hidden="1" x14ac:dyDescent="0.2">
      <c r="A967">
        <v>95129</v>
      </c>
      <c r="B967" t="str">
        <f ca="1">VLOOKUP(A967,Import_SuiviGlobal_MigAppliSate!A:I,2,FALSE)</f>
        <v>ST MARTIN DE SEIGNANX</v>
      </c>
      <c r="C967" t="str">
        <f ca="1">VLOOKUP(A967,Import_SuiviGlobal_MigAppliSate!A:I,3,FALSE)</f>
        <v>Super U</v>
      </c>
      <c r="D967" s="1" t="str">
        <f ca="1">VLOOKUP(A967,Import_SuiviGlobal_MigAppliSate!A:I,4,FALSE)</f>
        <v>Coop U Enseigne Sud</v>
      </c>
      <c r="E967">
        <f ca="1">VLOOKUP(A967,Import_SuiviGlobal_MigAppliSate!A:I,5,FALSE)</f>
        <v>40390</v>
      </c>
      <c r="F967" t="str">
        <f ca="1">VLOOKUP(A967,Import_SuiviGlobal_MigAppliSate!A:I,6,FALSE)</f>
        <v>1300 AV DE BARRERE</v>
      </c>
      <c r="G967" t="str">
        <f ca="1">VLOOKUP(A967,Import_SuiviGlobal_MigAppliSate!A:I,7,FALSE)</f>
        <v>05.59.56.12.62</v>
      </c>
      <c r="H967" t="str">
        <f ca="1">VLOOKUP(A967,Import_SuiviGlobal_MigAppliSate!A:I,8,FALSE)</f>
        <v>BLANQUET Jérôme</v>
      </c>
      <c r="I967" t="str">
        <f ca="1">VLOOKUP(A967,Import_SuiviGlobal_MigAppliSate!A:I,9,FALSE)</f>
        <v>jerome.blanquet@systeme-u.fr</v>
      </c>
      <c r="J967" s="24" t="str">
        <f ca="1">VLOOKUP(A967,Import_SuiviGlobal_MigAppliSate!A:K,10,FALSE)</f>
        <v/>
      </c>
      <c r="K967" t="str">
        <f ca="1">VLOOKUP(A967,Import_SuiviGlobal_MigAppliSate!A:K,11,FALSE)</f>
        <v/>
      </c>
      <c r="O967" s="1" t="s">
        <v>22</v>
      </c>
    </row>
    <row r="968" spans="1:18" ht="12.75" hidden="1" x14ac:dyDescent="0.2">
      <c r="A968">
        <v>23727</v>
      </c>
      <c r="B968" t="str">
        <f ca="1">VLOOKUP(A968,Import_SuiviGlobal_MigAppliSate!A:I,2,FALSE)</f>
        <v>ST MAUR DES FOSSES</v>
      </c>
      <c r="C968" t="str">
        <f ca="1">VLOOKUP(A968,Import_SuiviGlobal_MigAppliSate!A:I,3,FALSE)</f>
        <v>U Express</v>
      </c>
      <c r="D968" s="1" t="str">
        <f ca="1">VLOOKUP(A968,Import_SuiviGlobal_MigAppliSate!A:I,4,FALSE)</f>
        <v>Coop U Enseigne NordOuest</v>
      </c>
      <c r="E968">
        <f ca="1">VLOOKUP(A968,Import_SuiviGlobal_MigAppliSate!A:I,5,FALSE)</f>
        <v>94100</v>
      </c>
      <c r="F968" t="str">
        <f ca="1">VLOOKUP(A968,Import_SuiviGlobal_MigAppliSate!A:I,6,FALSE)</f>
        <v>73 AVENUE JEAN JAURÈS</v>
      </c>
      <c r="G968" t="str">
        <f ca="1">VLOOKUP(A968,Import_SuiviGlobal_MigAppliSate!A:I,7,FALSE)</f>
        <v>01.41.79.28.61</v>
      </c>
      <c r="H968" t="str">
        <f ca="1">VLOOKUP(A968,Import_SuiviGlobal_MigAppliSate!A:I,8,FALSE)</f>
        <v>GOURNAY Jean-Philippe</v>
      </c>
      <c r="I968" t="str">
        <f ca="1">VLOOKUP(A968,Import_SuiviGlobal_MigAppliSate!A:I,9,FALSE)</f>
        <v>jean-philippe.gournay@systeme-u.fr</v>
      </c>
      <c r="J968" s="24" t="str">
        <f ca="1">VLOOKUP(A968,Import_SuiviGlobal_MigAppliSate!A:K,10,FALSE)</f>
        <v>Mme Lenoir</v>
      </c>
      <c r="K968" t="str">
        <f ca="1">VLOOKUP(A968,Import_SuiviGlobal_MigAppliSate!A:K,11,FALSE)</f>
        <v>uexpress.saintmaurdesfosses.direction@systeme-u.fr</v>
      </c>
      <c r="O968" s="1" t="s">
        <v>22</v>
      </c>
    </row>
    <row r="969" spans="1:18" ht="12.75" hidden="1" x14ac:dyDescent="0.2">
      <c r="A969">
        <v>90510</v>
      </c>
      <c r="B969" t="str">
        <f ca="1">VLOOKUP(A969,Import_SuiviGlobal_MigAppliSate!A:I,2,FALSE)</f>
        <v>ST MAXIMIN BAUME</v>
      </c>
      <c r="C969" t="str">
        <f ca="1">VLOOKUP(A969,Import_SuiviGlobal_MigAppliSate!A:I,3,FALSE)</f>
        <v>Hyper U</v>
      </c>
      <c r="D969" s="1" t="str">
        <f ca="1">VLOOKUP(A969,Import_SuiviGlobal_MigAppliSate!A:I,4,FALSE)</f>
        <v>Coop U Enseigne Sud</v>
      </c>
      <c r="E969">
        <f ca="1">VLOOKUP(A969,Import_SuiviGlobal_MigAppliSate!A:I,5,FALSE)</f>
        <v>83470</v>
      </c>
      <c r="F969" t="str">
        <f ca="1">VLOOKUP(A969,Import_SuiviGlobal_MigAppliSate!A:I,6,FALSE)</f>
        <v>RTE D AIX LES GARNIERS</v>
      </c>
      <c r="G969" t="str">
        <f ca="1">VLOOKUP(A969,Import_SuiviGlobal_MigAppliSate!A:I,7,FALSE)</f>
        <v>04.94.78.04.80</v>
      </c>
      <c r="H969" t="str">
        <f ca="1">VLOOKUP(A969,Import_SuiviGlobal_MigAppliSate!A:I,8,FALSE)</f>
        <v>APKARIAN Andre</v>
      </c>
      <c r="I969" t="str">
        <f ca="1">VLOOKUP(A969,Import_SuiviGlobal_MigAppliSate!A:I,9,FALSE)</f>
        <v>andre.apkarian@systeme-u.fr</v>
      </c>
      <c r="J969" s="24" t="str">
        <f ca="1">VLOOKUP(A969,Import_SuiviGlobal_MigAppliSate!A:K,10,FALSE)</f>
        <v>patrice mangematin</v>
      </c>
      <c r="K969" t="str">
        <f ca="1">VLOOKUP(A969,Import_SuiviGlobal_MigAppliSate!A:K,11,FALSE)</f>
        <v>hyperu.saintmaximin.pgc@systeme-u.fr</v>
      </c>
      <c r="L969" s="1" t="s">
        <v>17</v>
      </c>
      <c r="M969" s="1" t="s">
        <v>24</v>
      </c>
      <c r="N969" s="1" t="s">
        <v>29</v>
      </c>
      <c r="O969" s="1" t="s">
        <v>19</v>
      </c>
    </row>
    <row r="970" spans="1:18" ht="12.75" hidden="1" x14ac:dyDescent="0.2">
      <c r="A970">
        <v>95147</v>
      </c>
      <c r="B970" t="str">
        <f ca="1">VLOOKUP(A970,Import_SuiviGlobal_MigAppliSate!A:I,2,FALSE)</f>
        <v>ST MEDARD DE MUSSIDAN</v>
      </c>
      <c r="C970" t="str">
        <f ca="1">VLOOKUP(A970,Import_SuiviGlobal_MigAppliSate!A:I,3,FALSE)</f>
        <v>Super U</v>
      </c>
      <c r="D970" s="1" t="str">
        <f ca="1">VLOOKUP(A970,Import_SuiviGlobal_MigAppliSate!A:I,4,FALSE)</f>
        <v>Coop U Enseigne Sud</v>
      </c>
      <c r="E970">
        <f ca="1">VLOOKUP(A970,Import_SuiviGlobal_MigAppliSate!A:I,5,FALSE)</f>
        <v>24400</v>
      </c>
      <c r="F970" t="str">
        <f ca="1">VLOOKUP(A970,Import_SuiviGlobal_MigAppliSate!A:I,6,FALSE)</f>
        <v>RUE DU 11 JUIN 1944</v>
      </c>
      <c r="G970" t="str">
        <f ca="1">VLOOKUP(A970,Import_SuiviGlobal_MigAppliSate!A:I,7,FALSE)</f>
        <v>05.53.82.86.80</v>
      </c>
      <c r="H970" t="str">
        <f ca="1">VLOOKUP(A970,Import_SuiviGlobal_MigAppliSate!A:I,8,FALSE)</f>
        <v>VILMENT Regis</v>
      </c>
      <c r="I970" t="str">
        <f ca="1">VLOOKUP(A970,Import_SuiviGlobal_MigAppliSate!A:I,9,FALSE)</f>
        <v>regis.vilment@systeme-u.fr</v>
      </c>
      <c r="J970" s="24" t="str">
        <f ca="1">VLOOKUP(A970,Import_SuiviGlobal_MigAppliSate!A:K,10,FALSE)</f>
        <v>SERRE Sylvie</v>
      </c>
      <c r="K970" t="str">
        <f ca="1">VLOOKUP(A970,Import_SuiviGlobal_MigAppliSate!A:K,11,FALSE)</f>
        <v>superu.saintmedarddemussidan.managersderayons@systeme-u.fr</v>
      </c>
      <c r="O970" s="1" t="s">
        <v>22</v>
      </c>
    </row>
    <row r="971" spans="1:18" ht="12.75" hidden="1" x14ac:dyDescent="0.2">
      <c r="A971">
        <v>90156</v>
      </c>
      <c r="B971" t="str">
        <f ca="1">VLOOKUP(A971,Import_SuiviGlobal_MigAppliSate!A:I,2,FALSE)</f>
        <v>ST PONS DE THOMIERES</v>
      </c>
      <c r="C971" t="str">
        <f ca="1">VLOOKUP(A971,Import_SuiviGlobal_MigAppliSate!A:I,3,FALSE)</f>
        <v>U Express</v>
      </c>
      <c r="D971" s="1" t="str">
        <f ca="1">VLOOKUP(A971,Import_SuiviGlobal_MigAppliSate!A:I,4,FALSE)</f>
        <v>Coop U Enseigne Sud</v>
      </c>
      <c r="E971">
        <f ca="1">VLOOKUP(A971,Import_SuiviGlobal_MigAppliSate!A:I,5,FALSE)</f>
        <v>34220</v>
      </c>
      <c r="F971" t="str">
        <f ca="1">VLOOKUP(A971,Import_SuiviGlobal_MigAppliSate!A:I,6,FALSE)</f>
        <v>64 AVENUE DE LA GARE</v>
      </c>
      <c r="G971" t="str">
        <f ca="1">VLOOKUP(A971,Import_SuiviGlobal_MigAppliSate!A:I,7,FALSE)</f>
        <v>04.67.97.08.22</v>
      </c>
      <c r="H971" t="str">
        <f ca="1">VLOOKUP(A971,Import_SuiviGlobal_MigAppliSate!A:I,8,FALSE)</f>
        <v>CAULLET Patrick</v>
      </c>
      <c r="I971" t="str">
        <f ca="1">VLOOKUP(A971,Import_SuiviGlobal_MigAppliSate!A:I,9,FALSE)</f>
        <v>patrick.caullet@systeme-u.fr</v>
      </c>
      <c r="J971" s="24" t="str">
        <f ca="1">VLOOKUP(A971,Import_SuiviGlobal_MigAppliSate!A:K,10,FALSE)</f>
        <v>Mme CALVET</v>
      </c>
      <c r="K971" t="str">
        <f ca="1">VLOOKUP(A971,Import_SuiviGlobal_MigAppliSate!A:K,11,FALSE)</f>
        <v>patrick.caullet@systeme-u.fr</v>
      </c>
      <c r="O971" s="1" t="s">
        <v>22</v>
      </c>
    </row>
    <row r="972" spans="1:18" ht="12.75" hidden="1" x14ac:dyDescent="0.2">
      <c r="A972">
        <v>26319</v>
      </c>
      <c r="B972" t="str">
        <f ca="1">VLOOKUP(A972,Import_SuiviGlobal_MigAppliSate!A:I,2,FALSE)</f>
        <v>ST PYTHON</v>
      </c>
      <c r="C972" t="str">
        <f ca="1">VLOOKUP(A972,Import_SuiviGlobal_MigAppliSate!A:I,3,FALSE)</f>
        <v>Super U</v>
      </c>
      <c r="D972" s="1" t="str">
        <f ca="1">VLOOKUP(A972,Import_SuiviGlobal_MigAppliSate!A:I,4,FALSE)</f>
        <v>Coop U Enseigne NordOuest</v>
      </c>
      <c r="E972">
        <f ca="1">VLOOKUP(A972,Import_SuiviGlobal_MigAppliSate!A:I,5,FALSE)</f>
        <v>59730</v>
      </c>
      <c r="F972" t="str">
        <f ca="1">VLOOKUP(A972,Import_SuiviGlobal_MigAppliSate!A:I,6,FALSE)</f>
        <v>RUE DU PETIT SOLESMES</v>
      </c>
      <c r="G972" t="str">
        <f ca="1">VLOOKUP(A972,Import_SuiviGlobal_MigAppliSate!A:I,7,FALSE)</f>
        <v>03.27.79.36.37</v>
      </c>
      <c r="H972" t="str">
        <f ca="1">VLOOKUP(A972,Import_SuiviGlobal_MigAppliSate!A:I,8,FALSE)</f>
        <v>GROUSET Stéphane</v>
      </c>
      <c r="I972" t="str">
        <f ca="1">VLOOKUP(A972,Import_SuiviGlobal_MigAppliSate!A:I,9,FALSE)</f>
        <v>stephane.grouset@systeme-u.fr</v>
      </c>
      <c r="J972" s="24" t="str">
        <f ca="1">VLOOKUP(A972,Import_SuiviGlobal_MigAppliSate!A:K,10,FALSE)</f>
        <v>DUCROCQ Amandine</v>
      </c>
      <c r="K972" t="str">
        <f ca="1">VLOOKUP(A972,Import_SuiviGlobal_MigAppliSate!A:K,11,FALSE)</f>
        <v>amandine.dubois0109@gmail.com</v>
      </c>
      <c r="O972" s="1" t="s">
        <v>22</v>
      </c>
    </row>
    <row r="973" spans="1:18" ht="12.75" hidden="1" x14ac:dyDescent="0.2">
      <c r="A973">
        <v>21937</v>
      </c>
      <c r="B973" t="str">
        <f ca="1">VLOOKUP(A973,Import_SuiviGlobal_MigAppliSate!A:I,2,FALSE)</f>
        <v>ST QUENTIN</v>
      </c>
      <c r="C973" t="str">
        <f ca="1">VLOOKUP(A973,Import_SuiviGlobal_MigAppliSate!A:I,3,FALSE)</f>
        <v>U Express</v>
      </c>
      <c r="D973" s="1" t="str">
        <f ca="1">VLOOKUP(A973,Import_SuiviGlobal_MigAppliSate!A:I,4,FALSE)</f>
        <v>Coop U Enseigne NordOuest</v>
      </c>
      <c r="E973">
        <f ca="1">VLOOKUP(A973,Import_SuiviGlobal_MigAppliSate!A:I,5,FALSE)</f>
        <v>2100</v>
      </c>
      <c r="F973" t="str">
        <f ca="1">VLOOKUP(A973,Import_SuiviGlobal_MigAppliSate!A:I,6,FALSE)</f>
        <v>19 RUE CROIX BELLE PORTE</v>
      </c>
      <c r="G973" t="str">
        <f ca="1">VLOOKUP(A973,Import_SuiviGlobal_MigAppliSate!A:I,7,FALSE)</f>
        <v>03.23.06.00.46</v>
      </c>
      <c r="H973" t="str">
        <f ca="1">VLOOKUP(A973,Import_SuiviGlobal_MigAppliSate!A:I,8,FALSE)</f>
        <v>GIRARDOT Christophe</v>
      </c>
      <c r="I973" t="str">
        <f ca="1">VLOOKUP(A973,Import_SuiviGlobal_MigAppliSate!A:I,9,FALSE)</f>
        <v>christophe.girardot@systeme-u.fr</v>
      </c>
      <c r="J973" s="24" t="str">
        <f ca="1">VLOOKUP(A973,Import_SuiviGlobal_MigAppliSate!A:K,10,FALSE)</f>
        <v/>
      </c>
      <c r="K973" t="str">
        <f ca="1">VLOOKUP(A973,Import_SuiviGlobal_MigAppliSate!A:K,11,FALSE)</f>
        <v/>
      </c>
      <c r="O973" s="1" t="s">
        <v>22</v>
      </c>
    </row>
    <row r="974" spans="1:18" ht="12.75" hidden="1" x14ac:dyDescent="0.2">
      <c r="A974">
        <v>90536</v>
      </c>
      <c r="B974" t="str">
        <f ca="1">VLOOKUP(A974,Import_SuiviGlobal_MigAppliSate!A:I,2,FALSE)</f>
        <v>ST RAPHAEL</v>
      </c>
      <c r="C974" t="str">
        <f ca="1">VLOOKUP(A974,Import_SuiviGlobal_MigAppliSate!A:I,3,FALSE)</f>
        <v>Super U</v>
      </c>
      <c r="D974" s="1" t="str">
        <f ca="1">VLOOKUP(A974,Import_SuiviGlobal_MigAppliSate!A:I,4,FALSE)</f>
        <v>Coop U Enseigne Sud</v>
      </c>
      <c r="E974">
        <f ca="1">VLOOKUP(A974,Import_SuiviGlobal_MigAppliSate!A:I,5,FALSE)</f>
        <v>83700</v>
      </c>
      <c r="F974" t="str">
        <f ca="1">VLOOKUP(A974,Import_SuiviGlobal_MigAppliSate!A:I,6,FALSE)</f>
        <v>1205 BOULEVARD JEAN MOULIN</v>
      </c>
      <c r="G974" t="str">
        <f ca="1">VLOOKUP(A974,Import_SuiviGlobal_MigAppliSate!A:I,7,FALSE)</f>
        <v>04.94.44.61.57</v>
      </c>
      <c r="H974" t="str">
        <f ca="1">VLOOKUP(A974,Import_SuiviGlobal_MigAppliSate!A:I,8,FALSE)</f>
        <v>FIORITO Daniel</v>
      </c>
      <c r="I974" t="str">
        <f ca="1">VLOOKUP(A974,Import_SuiviGlobal_MigAppliSate!A:I,9,FALSE)</f>
        <v>daniel.fiorito@systeme-u.fr</v>
      </c>
      <c r="J974" s="24" t="str">
        <f ca="1">VLOOKUP(A974,Import_SuiviGlobal_MigAppliSate!A:K,10,FALSE)</f>
        <v>GUILLUT ALEXANDRE</v>
      </c>
      <c r="K974" t="str">
        <f ca="1">VLOOKUP(A974,Import_SuiviGlobal_MigAppliSate!A:K,11,FALSE)</f>
        <v>superu.saintraphael.direction@systeme-u.fr</v>
      </c>
      <c r="L974" s="1" t="s">
        <v>20</v>
      </c>
      <c r="M974" s="1" t="s">
        <v>27</v>
      </c>
      <c r="O974" s="1" t="s">
        <v>22</v>
      </c>
    </row>
    <row r="975" spans="1:18" ht="12.75" hidden="1" x14ac:dyDescent="0.2">
      <c r="A975">
        <v>90659</v>
      </c>
      <c r="B975" t="str">
        <f ca="1">VLOOKUP(A975,Import_SuiviGlobal_MigAppliSate!A:I,2,FALSE)</f>
        <v>ST REMY DE PROVENCE</v>
      </c>
      <c r="C975" t="str">
        <f ca="1">VLOOKUP(A975,Import_SuiviGlobal_MigAppliSate!A:I,3,FALSE)</f>
        <v>U Express</v>
      </c>
      <c r="D975" s="1" t="str">
        <f ca="1">VLOOKUP(A975,Import_SuiviGlobal_MigAppliSate!A:I,4,FALSE)</f>
        <v>Coop MISTRAL</v>
      </c>
      <c r="E975">
        <f ca="1">VLOOKUP(A975,Import_SuiviGlobal_MigAppliSate!A:I,5,FALSE)</f>
        <v>13210</v>
      </c>
      <c r="F975" t="str">
        <f ca="1">VLOOKUP(A975,Import_SuiviGlobal_MigAppliSate!A:I,6,FALSE)</f>
        <v>48 AVENUE DURAND MAILLANE</v>
      </c>
      <c r="G975" t="str">
        <f ca="1">VLOOKUP(A975,Import_SuiviGlobal_MigAppliSate!A:I,7,FALSE)</f>
        <v>09.65.10.62.77</v>
      </c>
      <c r="H975" t="str">
        <f ca="1">VLOOKUP(A975,Import_SuiviGlobal_MigAppliSate!A:I,8,FALSE)</f>
        <v>QUILES Jean-Francois</v>
      </c>
      <c r="I975" t="str">
        <f ca="1">VLOOKUP(A975,Import_SuiviGlobal_MigAppliSate!A:I,9,FALSE)</f>
        <v/>
      </c>
      <c r="J975" s="24" t="str">
        <f ca="1">VLOOKUP(A975,Import_SuiviGlobal_MigAppliSate!A:K,10,FALSE)</f>
        <v/>
      </c>
      <c r="K975" t="str">
        <f ca="1">VLOOKUP(A975,Import_SuiviGlobal_MigAppliSate!A:K,11,FALSE)</f>
        <v>delphine.damian@lemistral.fr,helene.mina@lemistral.fr</v>
      </c>
      <c r="O975" s="1" t="s">
        <v>22</v>
      </c>
    </row>
    <row r="976" spans="1:18" ht="12.75" hidden="1" x14ac:dyDescent="0.2">
      <c r="A976">
        <v>28842</v>
      </c>
      <c r="B976" t="str">
        <f ca="1">VLOOKUP(A976,Import_SuiviGlobal_MigAppliSate!A:I,2,FALSE)</f>
        <v>ST ROMAIN DE COLBOSC</v>
      </c>
      <c r="C976" t="str">
        <f ca="1">VLOOKUP(A976,Import_SuiviGlobal_MigAppliSate!A:I,3,FALSE)</f>
        <v>Super U</v>
      </c>
      <c r="D976" s="1" t="str">
        <f ca="1">VLOOKUP(A976,Import_SuiviGlobal_MigAppliSate!A:I,4,FALSE)</f>
        <v>Coop U Enseigne NordOuest</v>
      </c>
      <c r="E976">
        <f ca="1">VLOOKUP(A976,Import_SuiviGlobal_MigAppliSate!A:I,5,FALSE)</f>
        <v>76430</v>
      </c>
      <c r="F976" t="str">
        <f ca="1">VLOOKUP(A976,Import_SuiviGlobal_MigAppliSate!A:I,6,FALSE)</f>
        <v>AV. MARECHAL DE LATTRE DE TASSIGNY</v>
      </c>
      <c r="G976" t="str">
        <f ca="1">VLOOKUP(A976,Import_SuiviGlobal_MigAppliSate!A:I,7,FALSE)</f>
        <v>02.35.20.11.43</v>
      </c>
      <c r="H976" t="str">
        <f ca="1">VLOOKUP(A976,Import_SuiviGlobal_MigAppliSate!A:I,8,FALSE)</f>
        <v>PHLIPAUX Gilles</v>
      </c>
      <c r="I976" t="str">
        <f ca="1">VLOOKUP(A976,Import_SuiviGlobal_MigAppliSate!A:I,9,FALSE)</f>
        <v>gilles.phlipaux@systeme-u.fr</v>
      </c>
      <c r="J976" s="24" t="str">
        <f ca="1">VLOOKUP(A976,Import_SuiviGlobal_MigAppliSate!A:K,10,FALSE)</f>
        <v>M. Rahn</v>
      </c>
      <c r="K976" t="str">
        <f ca="1">VLOOKUP(A976,Import_SuiviGlobal_MigAppliSate!A:K,11,FALSE)</f>
        <v>yves.rahn@systeme-u.fr</v>
      </c>
      <c r="O976" s="1" t="s">
        <v>22</v>
      </c>
    </row>
    <row r="977" spans="1:15" ht="12.75" hidden="1" x14ac:dyDescent="0.2">
      <c r="A977">
        <v>68558</v>
      </c>
      <c r="B977" t="str">
        <f ca="1">VLOOKUP(A977,Import_SuiviGlobal_MigAppliSate!A:I,2,FALSE)</f>
        <v>ST ROMAIN EN GAL</v>
      </c>
      <c r="C977" t="str">
        <f ca="1">VLOOKUP(A977,Import_SuiviGlobal_MigAppliSate!A:I,3,FALSE)</f>
        <v>U Express</v>
      </c>
      <c r="D977" s="1" t="str">
        <f ca="1">VLOOKUP(A977,Import_SuiviGlobal_MigAppliSate!A:I,4,FALSE)</f>
        <v>Coop U Enseigne Est</v>
      </c>
      <c r="E977">
        <f ca="1">VLOOKUP(A977,Import_SuiviGlobal_MigAppliSate!A:I,5,FALSE)</f>
        <v>69560</v>
      </c>
      <c r="F977" t="str">
        <f ca="1">VLOOKUP(A977,Import_SuiviGlobal_MigAppliSate!A:I,6,FALSE)</f>
        <v>AVENUE DE LA GARE</v>
      </c>
      <c r="G977" t="str">
        <f ca="1">VLOOKUP(A977,Import_SuiviGlobal_MigAppliSate!A:I,7,FALSE)</f>
        <v>04.37.02.16.50</v>
      </c>
      <c r="H977" t="str">
        <f ca="1">VLOOKUP(A977,Import_SuiviGlobal_MigAppliSate!A:I,8,FALSE)</f>
        <v>PAQUIS Thierry</v>
      </c>
      <c r="I977" t="str">
        <f ca="1">VLOOKUP(A977,Import_SuiviGlobal_MigAppliSate!A:I,9,FALSE)</f>
        <v>thierry.paquis@systeme-u.fr</v>
      </c>
      <c r="J977" s="24" t="str">
        <f ca="1">VLOOKUP(A977,Import_SuiviGlobal_MigAppliSate!A:K,10,FALSE)</f>
        <v>Paquis Nelly</v>
      </c>
      <c r="K977" t="str">
        <f ca="1">VLOOKUP(A977,Import_SuiviGlobal_MigAppliSate!A:K,11,FALSE)</f>
        <v>uexpress.saintromainengal.administratif@systeme-u.fr</v>
      </c>
      <c r="O977" s="1" t="s">
        <v>22</v>
      </c>
    </row>
    <row r="978" spans="1:15" ht="12.75" hidden="1" x14ac:dyDescent="0.2">
      <c r="A978">
        <v>20019</v>
      </c>
      <c r="B978" t="str">
        <f ca="1">VLOOKUP(A978,Import_SuiviGlobal_MigAppliSate!A:I,2,FALSE)</f>
        <v>ST SAUVEUR LE VICOMTE</v>
      </c>
      <c r="C978" t="str">
        <f ca="1">VLOOKUP(A978,Import_SuiviGlobal_MigAppliSate!A:I,3,FALSE)</f>
        <v>Super U</v>
      </c>
      <c r="D978" s="1" t="str">
        <f ca="1">VLOOKUP(A978,Import_SuiviGlobal_MigAppliSate!A:I,4,FALSE)</f>
        <v>Coop U Enseigne NordOuest</v>
      </c>
      <c r="E978">
        <f ca="1">VLOOKUP(A978,Import_SuiviGlobal_MigAppliSate!A:I,5,FALSE)</f>
        <v>50390</v>
      </c>
      <c r="F978" t="str">
        <f ca="1">VLOOKUP(A978,Import_SuiviGlobal_MigAppliSate!A:I,6,FALSE)</f>
        <v>RUE DU SÉNATEUR FOUBERT</v>
      </c>
      <c r="G978" t="str">
        <f ca="1">VLOOKUP(A978,Import_SuiviGlobal_MigAppliSate!A:I,7,FALSE)</f>
        <v>02.33.41.77.55</v>
      </c>
      <c r="H978" t="str">
        <f ca="1">VLOOKUP(A978,Import_SuiviGlobal_MigAppliSate!A:I,8,FALSE)</f>
        <v>MARTIN Alain</v>
      </c>
      <c r="I978" t="str">
        <f ca="1">VLOOKUP(A978,Import_SuiviGlobal_MigAppliSate!A:I,9,FALSE)</f>
        <v>a.martin@systeme-u.fr</v>
      </c>
      <c r="J978" s="24" t="str">
        <f ca="1">VLOOKUP(A978,Import_SuiviGlobal_MigAppliSate!A:K,10,FALSE)</f>
        <v/>
      </c>
      <c r="K978" t="str">
        <f ca="1">VLOOKUP(A978,Import_SuiviGlobal_MigAppliSate!A:K,11,FALSE)</f>
        <v/>
      </c>
      <c r="O978" s="1" t="s">
        <v>22</v>
      </c>
    </row>
    <row r="979" spans="1:15" ht="12.75" hidden="1" x14ac:dyDescent="0.2">
      <c r="A979">
        <v>96977</v>
      </c>
      <c r="B979" t="str">
        <f ca="1">VLOOKUP(A979,Import_SuiviGlobal_MigAppliSate!A:I,2,FALSE)</f>
        <v>ST SEURIN SUR L'ISLE</v>
      </c>
      <c r="C979" t="str">
        <f ca="1">VLOOKUP(A979,Import_SuiviGlobal_MigAppliSate!A:I,3,FALSE)</f>
        <v>Super U</v>
      </c>
      <c r="D979" s="1" t="str">
        <f ca="1">VLOOKUP(A979,Import_SuiviGlobal_MigAppliSate!A:I,4,FALSE)</f>
        <v>Coop U Enseigne Sud</v>
      </c>
      <c r="E979">
        <f ca="1">VLOOKUP(A979,Import_SuiviGlobal_MigAppliSate!A:I,5,FALSE)</f>
        <v>33660</v>
      </c>
      <c r="F979" t="str">
        <f ca="1">VLOOKUP(A979,Import_SuiviGlobal_MigAppliSate!A:I,6,FALSE)</f>
        <v>7 RUE DU BARRY NORD SUPER U</v>
      </c>
      <c r="G979" t="str">
        <f ca="1">VLOOKUP(A979,Import_SuiviGlobal_MigAppliSate!A:I,7,FALSE)</f>
        <v>05.57.49.72.40</v>
      </c>
      <c r="H979" t="str">
        <f ca="1">VLOOKUP(A979,Import_SuiviGlobal_MigAppliSate!A:I,8,FALSE)</f>
        <v>MARTINEZ Olivier</v>
      </c>
      <c r="I979" t="str">
        <f ca="1">VLOOKUP(A979,Import_SuiviGlobal_MigAppliSate!A:I,9,FALSE)</f>
        <v>olivier.martinez@systeme-u.fr</v>
      </c>
      <c r="J979" s="24" t="str">
        <f ca="1">VLOOKUP(A979,Import_SuiviGlobal_MigAppliSate!A:K,10,FALSE)</f>
        <v>M. Allaire</v>
      </c>
      <c r="K979" t="str">
        <f ca="1">VLOOKUP(A979,Import_SuiviGlobal_MigAppliSate!A:K,11,FALSE)</f>
        <v>superu.saintseurin.direction@systeme-u.fr</v>
      </c>
      <c r="O979" s="1" t="s">
        <v>22</v>
      </c>
    </row>
    <row r="980" spans="1:15" ht="12.75" hidden="1" x14ac:dyDescent="0.2">
      <c r="A980">
        <v>90555</v>
      </c>
      <c r="B980" t="str">
        <f ca="1">VLOOKUP(A980,Import_SuiviGlobal_MigAppliSate!A:I,2,FALSE)</f>
        <v>ST SORLIN EN VALLOIRE</v>
      </c>
      <c r="C980" t="str">
        <f ca="1">VLOOKUP(A980,Import_SuiviGlobal_MigAppliSate!A:I,3,FALSE)</f>
        <v>Super U</v>
      </c>
      <c r="D980" s="1" t="str">
        <f ca="1">VLOOKUP(A980,Import_SuiviGlobal_MigAppliSate!A:I,4,FALSE)</f>
        <v>Coop U Enseigne Sud</v>
      </c>
      <c r="E980">
        <f ca="1">VLOOKUP(A980,Import_SuiviGlobal_MigAppliSate!A:I,5,FALSE)</f>
        <v>26210</v>
      </c>
      <c r="F980" t="str">
        <f ca="1">VLOOKUP(A980,Import_SuiviGlobal_MigAppliSate!A:I,6,FALSE)</f>
        <v>265 AVENUE DES PINS</v>
      </c>
      <c r="G980" t="str">
        <f ca="1">VLOOKUP(A980,Import_SuiviGlobal_MigAppliSate!A:I,7,FALSE)</f>
        <v>04.75.31.75.21</v>
      </c>
      <c r="H980" t="str">
        <f ca="1">VLOOKUP(A980,Import_SuiviGlobal_MigAppliSate!A:I,8,FALSE)</f>
        <v>FERNANDEZ Stephane</v>
      </c>
      <c r="I980" t="str">
        <f ca="1">VLOOKUP(A980,Import_SuiviGlobal_MigAppliSate!A:I,9,FALSE)</f>
        <v>stephane.fernandez@systeme-u.fr</v>
      </c>
      <c r="J980" s="24" t="str">
        <f ca="1">VLOOKUP(A980,Import_SuiviGlobal_MigAppliSate!A:K,10,FALSE)</f>
        <v>khiati kamel</v>
      </c>
      <c r="K980" t="str">
        <f ca="1">VLOOKUP(A980,Import_SuiviGlobal_MigAppliSate!A:K,11,FALSE)</f>
        <v>superu.saintsorlinenvalloire.directeur@systeme-u.fr</v>
      </c>
      <c r="O980" s="1" t="s">
        <v>22</v>
      </c>
    </row>
    <row r="981" spans="1:15" ht="12.75" hidden="1" x14ac:dyDescent="0.2">
      <c r="A981">
        <v>96994</v>
      </c>
      <c r="B981" t="str">
        <f ca="1">VLOOKUP(A981,Import_SuiviGlobal_MigAppliSate!A:I,2,FALSE)</f>
        <v>ST SULPICE ET CAMEYRAC</v>
      </c>
      <c r="C981" t="str">
        <f ca="1">VLOOKUP(A981,Import_SuiviGlobal_MigAppliSate!A:I,3,FALSE)</f>
        <v>Super U</v>
      </c>
      <c r="D981" s="1" t="str">
        <f ca="1">VLOOKUP(A981,Import_SuiviGlobal_MigAppliSate!A:I,4,FALSE)</f>
        <v>Coop U Enseigne Sud</v>
      </c>
      <c r="E981">
        <f ca="1">VLOOKUP(A981,Import_SuiviGlobal_MigAppliSate!A:I,5,FALSE)</f>
        <v>33450</v>
      </c>
      <c r="F981" t="str">
        <f ca="1">VLOOKUP(A981,Import_SuiviGlobal_MigAppliSate!A:I,6,FALSE)</f>
        <v>CENTRE COMMERCIAL</v>
      </c>
      <c r="G981" t="str">
        <f ca="1">VLOOKUP(A981,Import_SuiviGlobal_MigAppliSate!A:I,7,FALSE)</f>
        <v>05.57.34.51.00</v>
      </c>
      <c r="H981" t="str">
        <f ca="1">VLOOKUP(A981,Import_SuiviGlobal_MigAppliSate!A:I,8,FALSE)</f>
        <v>COURTIN Stephane</v>
      </c>
      <c r="I981" t="str">
        <f ca="1">VLOOKUP(A981,Import_SuiviGlobal_MigAppliSate!A:I,9,FALSE)</f>
        <v>stephane.courtin@systeme-u.fr</v>
      </c>
      <c r="J981" s="24" t="str">
        <f ca="1">VLOOKUP(A981,Import_SuiviGlobal_MigAppliSate!A:K,10,FALSE)</f>
        <v/>
      </c>
      <c r="K981" t="str">
        <f ca="1">VLOOKUP(A981,Import_SuiviGlobal_MigAppliSate!A:K,11,FALSE)</f>
        <v/>
      </c>
      <c r="O981" s="1" t="s">
        <v>22</v>
      </c>
    </row>
    <row r="982" spans="1:15" ht="12.75" hidden="1" x14ac:dyDescent="0.2">
      <c r="A982">
        <v>91140</v>
      </c>
      <c r="B982" t="str">
        <f ca="1">VLOOKUP(A982,Import_SuiviGlobal_MigAppliSate!A:I,2,FALSE)</f>
        <v>ST VICTORET</v>
      </c>
      <c r="C982" t="str">
        <f ca="1">VLOOKUP(A982,Import_SuiviGlobal_MigAppliSate!A:I,3,FALSE)</f>
        <v>U Express</v>
      </c>
      <c r="D982" s="1" t="str">
        <f ca="1">VLOOKUP(A982,Import_SuiviGlobal_MigAppliSate!A:I,4,FALSE)</f>
        <v>Coop MISTRAL</v>
      </c>
      <c r="E982">
        <f ca="1">VLOOKUP(A982,Import_SuiviGlobal_MigAppliSate!A:I,5,FALSE)</f>
        <v>13730</v>
      </c>
      <c r="F982" t="str">
        <f ca="1">VLOOKUP(A982,Import_SuiviGlobal_MigAppliSate!A:I,6,FALSE)</f>
        <v>734 BOULEVARD ABBADIE</v>
      </c>
      <c r="G982" t="str">
        <f ca="1">VLOOKUP(A982,Import_SuiviGlobal_MigAppliSate!A:I,7,FALSE)</f>
        <v>04.42.46.36.09</v>
      </c>
      <c r="H982" t="str">
        <f ca="1">VLOOKUP(A982,Import_SuiviGlobal_MigAppliSate!A:I,8,FALSE)</f>
        <v>GOLL Florent</v>
      </c>
      <c r="I982" t="str">
        <f ca="1">VLOOKUP(A982,Import_SuiviGlobal_MigAppliSate!A:I,9,FALSE)</f>
        <v>usaintvictoret@orange.fr</v>
      </c>
      <c r="J982" s="24" t="str">
        <f ca="1">VLOOKUP(A982,Import_SuiviGlobal_MigAppliSate!A:K,10,FALSE)</f>
        <v/>
      </c>
      <c r="K982" t="str">
        <f ca="1">VLOOKUP(A982,Import_SuiviGlobal_MigAppliSate!A:K,11,FALSE)</f>
        <v>delphine.damian@lemistral.fr,helene.mina@lemistral.fr</v>
      </c>
      <c r="O982" s="1" t="s">
        <v>22</v>
      </c>
    </row>
    <row r="983" spans="1:15" ht="12.75" hidden="1" x14ac:dyDescent="0.2">
      <c r="A983">
        <v>63012</v>
      </c>
      <c r="B983" t="str">
        <f ca="1">VLOOKUP(A983,Import_SuiviGlobal_MigAppliSate!A:I,2,FALSE)</f>
        <v>ST VIT</v>
      </c>
      <c r="C983" t="str">
        <f ca="1">VLOOKUP(A983,Import_SuiviGlobal_MigAppliSate!A:I,3,FALSE)</f>
        <v>Super U</v>
      </c>
      <c r="D983" s="1" t="str">
        <f ca="1">VLOOKUP(A983,Import_SuiviGlobal_MigAppliSate!A:I,4,FALSE)</f>
        <v>Coop U Enseigne Est</v>
      </c>
      <c r="E983">
        <f ca="1">VLOOKUP(A983,Import_SuiviGlobal_MigAppliSate!A:I,5,FALSE)</f>
        <v>25410</v>
      </c>
      <c r="F983" t="str">
        <f ca="1">VLOOKUP(A983,Import_SuiviGlobal_MigAppliSate!A:I,6,FALSE)</f>
        <v>ZA LES BELLES OUVRIÈRES</v>
      </c>
      <c r="G983" t="str">
        <f ca="1">VLOOKUP(A983,Import_SuiviGlobal_MigAppliSate!A:I,7,FALSE)</f>
        <v>03.81.87.71.81</v>
      </c>
      <c r="H983" t="str">
        <f ca="1">VLOOKUP(A983,Import_SuiviGlobal_MigAppliSate!A:I,8,FALSE)</f>
        <v>BERTHOD Gilles</v>
      </c>
      <c r="I983" t="str">
        <f ca="1">VLOOKUP(A983,Import_SuiviGlobal_MigAppliSate!A:I,9,FALSE)</f>
        <v>gilles.berthod@systeme-u.fr</v>
      </c>
      <c r="J983" s="24" t="str">
        <f ca="1">VLOOKUP(A983,Import_SuiviGlobal_MigAppliSate!A:K,10,FALSE)</f>
        <v>M PRINCE</v>
      </c>
      <c r="K983" t="str">
        <f ca="1">VLOOKUP(A983,Import_SuiviGlobal_MigAppliSate!A:K,11,FALSE)</f>
        <v>superu.administratif@wanadoo.fr</v>
      </c>
      <c r="O983" s="1" t="s">
        <v>22</v>
      </c>
    </row>
    <row r="984" spans="1:15" ht="12.75" x14ac:dyDescent="0.2">
      <c r="A984">
        <v>90502</v>
      </c>
      <c r="B984" t="str">
        <f ca="1">VLOOKUP(A984,Import_SuiviGlobal_MigAppliSate!A:I,2,FALSE)</f>
        <v>ST ZACHARIE JURAMY</v>
      </c>
      <c r="C984" t="str">
        <f ca="1">VLOOKUP(A984,Import_SuiviGlobal_MigAppliSate!A:I,3,FALSE)</f>
        <v>Super U</v>
      </c>
      <c r="D984" s="1" t="str">
        <f ca="1">VLOOKUP(A984,Import_SuiviGlobal_MigAppliSate!A:I,4,FALSE)</f>
        <v>Coop U Enseigne Sud</v>
      </c>
      <c r="E984">
        <f ca="1">VLOOKUP(A984,Import_SuiviGlobal_MigAppliSate!A:I,5,FALSE)</f>
        <v>83640</v>
      </c>
      <c r="F984" t="str">
        <f ca="1">VLOOKUP(A984,Import_SuiviGlobal_MigAppliSate!A:I,6,FALSE)</f>
        <v>Avenue Juramy</v>
      </c>
      <c r="G984" t="str">
        <f ca="1">VLOOKUP(A984,Import_SuiviGlobal_MigAppliSate!A:I,7,FALSE)</f>
        <v>04.42.62.70.70</v>
      </c>
      <c r="H984" t="str">
        <f ca="1">VLOOKUP(A984,Import_SuiviGlobal_MigAppliSate!A:I,8,FALSE)</f>
        <v>BENHAMOU Stephane</v>
      </c>
      <c r="I984" t="str">
        <f ca="1">VLOOKUP(A984,Import_SuiviGlobal_MigAppliSate!A:I,9,FALSE)</f>
        <v>stephane.benhamou@systeme-u.fr</v>
      </c>
      <c r="J984" s="24" t="str">
        <f ca="1">VLOOKUP(A984,Import_SuiviGlobal_MigAppliSate!A:K,10,FALSE)</f>
        <v>Mr Licata</v>
      </c>
      <c r="K984" t="str">
        <f ca="1">VLOOKUP(A984,Import_SuiviGlobal_MigAppliSate!A:K,11,FALSE)</f>
        <v>a.licata@pacapart.fr</v>
      </c>
      <c r="L984" t="s">
        <v>17</v>
      </c>
      <c r="M984" s="1" t="s">
        <v>0</v>
      </c>
      <c r="O984" s="1" t="s">
        <v>22</v>
      </c>
    </row>
    <row r="985" spans="1:15" ht="12.75" hidden="1" x14ac:dyDescent="0.2">
      <c r="A985">
        <v>36572</v>
      </c>
      <c r="B985" t="str">
        <f ca="1">VLOOKUP(A985,Import_SuiviGlobal_MigAppliSate!A:I,2,FALSE)</f>
        <v>ST-AIGNAN</v>
      </c>
      <c r="C985" t="str">
        <f ca="1">VLOOKUP(A985,Import_SuiviGlobal_MigAppliSate!A:I,3,FALSE)</f>
        <v>Super U</v>
      </c>
      <c r="D985" s="1" t="str">
        <f ca="1">VLOOKUP(A985,Import_SuiviGlobal_MigAppliSate!A:I,4,FALSE)</f>
        <v>Coop U Enseigne Ouest</v>
      </c>
      <c r="E985">
        <f ca="1">VLOOKUP(A985,Import_SuiviGlobal_MigAppliSate!A:I,5,FALSE)</f>
        <v>41110</v>
      </c>
      <c r="F985" t="str">
        <f ca="1">VLOOKUP(A985,Import_SuiviGlobal_MigAppliSate!A:I,6,FALSE)</f>
        <v>LES TERRES ROUGES</v>
      </c>
      <c r="G985" t="str">
        <f ca="1">VLOOKUP(A985,Import_SuiviGlobal_MigAppliSate!A:I,7,FALSE)</f>
        <v>02.54.75.11.11</v>
      </c>
      <c r="H985" t="str">
        <f ca="1">VLOOKUP(A985,Import_SuiviGlobal_MigAppliSate!A:I,8,FALSE)</f>
        <v>HUMEAU RPT SAS TMBC Thierry</v>
      </c>
      <c r="I985" t="str">
        <f ca="1">VLOOKUP(A985,Import_SuiviGlobal_MigAppliSate!A:I,9,FALSE)</f>
        <v>thierry.humeau@systeme-u.fr</v>
      </c>
      <c r="J985" s="24" t="str">
        <f ca="1">VLOOKUP(A985,Import_SuiviGlobal_MigAppliSate!A:K,10,FALSE)</f>
        <v>Me Humeau</v>
      </c>
      <c r="K985" t="str">
        <f ca="1">VLOOKUP(A985,Import_SuiviGlobal_MigAppliSate!A:K,11,FALSE)</f>
        <v>anais.humeau@systeme-u.fr</v>
      </c>
      <c r="O985" s="1" t="s">
        <v>22</v>
      </c>
    </row>
    <row r="986" spans="1:15" ht="12.75" hidden="1" x14ac:dyDescent="0.2">
      <c r="A986">
        <v>34187</v>
      </c>
      <c r="B986" t="str">
        <f ca="1">VLOOKUP(A986,Import_SuiviGlobal_MigAppliSate!A:I,2,FALSE)</f>
        <v>ST-AIGULIN</v>
      </c>
      <c r="C986" t="str">
        <f ca="1">VLOOKUP(A986,Import_SuiviGlobal_MigAppliSate!A:I,3,FALSE)</f>
        <v>U Express</v>
      </c>
      <c r="D986" s="1" t="str">
        <f ca="1">VLOOKUP(A986,Import_SuiviGlobal_MigAppliSate!A:I,4,FALSE)</f>
        <v>Coop Atlantique</v>
      </c>
      <c r="E986">
        <f ca="1">VLOOKUP(A986,Import_SuiviGlobal_MigAppliSate!A:I,5,FALSE)</f>
        <v>17360</v>
      </c>
      <c r="F986" t="str">
        <f ca="1">VLOOKUP(A986,Import_SuiviGlobal_MigAppliSate!A:I,6,FALSE)</f>
        <v>8 AVENUE DU MARECHAL LECLERC</v>
      </c>
      <c r="G986" t="str">
        <f ca="1">VLOOKUP(A986,Import_SuiviGlobal_MigAppliSate!A:I,7,FALSE)</f>
        <v>05.46.04.82.13</v>
      </c>
      <c r="H986" t="str">
        <f ca="1">VLOOKUP(A986,Import_SuiviGlobal_MigAppliSate!A:I,8,FALSE)</f>
        <v>FLAMBARD Hervé</v>
      </c>
      <c r="I986" t="str">
        <f ca="1">VLOOKUP(A986,Import_SuiviGlobal_MigAppliSate!A:I,9,FALSE)</f>
        <v>bertrand.defontaine_coop_su_uex@systeme-u.fr</v>
      </c>
      <c r="J986" s="24" t="str">
        <f ca="1">VLOOKUP(A986,Import_SuiviGlobal_MigAppliSate!A:K,10,FALSE)</f>
        <v>Elodie CAPS</v>
      </c>
      <c r="K986" t="str">
        <f ca="1">VLOOKUP(A986,Import_SuiviGlobal_MigAppliSate!A:K,11,FALSE)</f>
        <v>uexpress.saintaigulin.direction@systeme-u.fr,nbrigant@coop-atlantique.fr,sjaud@coop-atlantique.fr</v>
      </c>
      <c r="O986" s="1" t="s">
        <v>22</v>
      </c>
    </row>
    <row r="987" spans="1:15" ht="12.75" hidden="1" x14ac:dyDescent="0.2">
      <c r="A987">
        <v>99203</v>
      </c>
      <c r="B987" t="str">
        <f ca="1">VLOOKUP(A987,Import_SuiviGlobal_MigAppliSate!A:I,2,FALSE)</f>
        <v>ST-ANDRE-IDR</v>
      </c>
      <c r="C987" t="str">
        <f ca="1">VLOOKUP(A987,Import_SuiviGlobal_MigAppliSate!A:I,3,FALSE)</f>
        <v>Super U</v>
      </c>
      <c r="D987" s="1" t="str">
        <f ca="1">VLOOKUP(A987,Import_SuiviGlobal_MigAppliSate!A:I,4,FALSE)</f>
        <v>Coop U Enseigne Sud</v>
      </c>
      <c r="E987">
        <f ca="1">VLOOKUP(A987,Import_SuiviGlobal_MigAppliSate!A:I,5,FALSE)</f>
        <v>97440</v>
      </c>
      <c r="F987" t="str">
        <f ca="1">VLOOKUP(A987,Import_SuiviGlobal_MigAppliSate!A:I,6,FALSE)</f>
        <v>200 RUE DU LYCÉE</v>
      </c>
      <c r="G987" t="str">
        <f ca="1">VLOOKUP(A987,Import_SuiviGlobal_MigAppliSate!A:I,7,FALSE)</f>
        <v>02.62.46.26.74</v>
      </c>
      <c r="H987" t="str">
        <f ca="1">VLOOKUP(A987,Import_SuiviGlobal_MigAppliSate!A:I,8,FALSE)</f>
        <v>LAO OUINE Jean-Pierre</v>
      </c>
      <c r="I987" t="str">
        <f ca="1">VLOOKUP(A987,Import_SuiviGlobal_MigAppliSate!A:I,9,FALSE)</f>
        <v>issa.lao-ouine@systeme-u.fr</v>
      </c>
      <c r="J987" s="24" t="str">
        <f ca="1">VLOOKUP(A987,Import_SuiviGlobal_MigAppliSate!A:K,10,FALSE)</f>
        <v>TELEF Olivier</v>
      </c>
      <c r="K987" t="str">
        <f ca="1">VLOOKUP(A987,Import_SuiviGlobal_MigAppliSate!A:K,11,FALSE)</f>
        <v>o.telef@slholding.re</v>
      </c>
      <c r="O987" s="1" t="s">
        <v>22</v>
      </c>
    </row>
    <row r="988" spans="1:15" ht="12.75" hidden="1" x14ac:dyDescent="0.2">
      <c r="A988">
        <v>35134</v>
      </c>
      <c r="B988" t="str">
        <f ca="1">VLOOKUP(A988,Import_SuiviGlobal_MigAppliSate!A:I,2,FALSE)</f>
        <v>ST-AUBIN-D'AUBIGNE</v>
      </c>
      <c r="C988" t="str">
        <f ca="1">VLOOKUP(A988,Import_SuiviGlobal_MigAppliSate!A:I,3,FALSE)</f>
        <v>Super U</v>
      </c>
      <c r="D988" s="1" t="str">
        <f ca="1">VLOOKUP(A988,Import_SuiviGlobal_MigAppliSate!A:I,4,FALSE)</f>
        <v>Coop U Enseigne Ouest</v>
      </c>
      <c r="E988">
        <f ca="1">VLOOKUP(A988,Import_SuiviGlobal_MigAppliSate!A:I,5,FALSE)</f>
        <v>35250</v>
      </c>
      <c r="F988" t="str">
        <f ca="1">VLOOKUP(A988,Import_SuiviGlobal_MigAppliSate!A:I,6,FALSE)</f>
        <v>2, ALLÉE DE LA PILOINAIS</v>
      </c>
      <c r="G988" t="str">
        <f ca="1">VLOOKUP(A988,Import_SuiviGlobal_MigAppliSate!A:I,7,FALSE)</f>
        <v>02.99.55.21.61</v>
      </c>
      <c r="H988" t="str">
        <f ca="1">VLOOKUP(A988,Import_SuiviGlobal_MigAppliSate!A:I,8,FALSE)</f>
        <v>LASSAIGNE RPT SAS KERLADIS Kristèle</v>
      </c>
      <c r="I988" t="str">
        <f ca="1">VLOOKUP(A988,Import_SuiviGlobal_MigAppliSate!A:I,9,FALSE)</f>
        <v>kristele.lassaigne@systeme-u.fr</v>
      </c>
      <c r="J988" s="24" t="str">
        <f ca="1">VLOOKUP(A988,Import_SuiviGlobal_MigAppliSate!A:K,10,FALSE)</f>
        <v>boisgontier laurent</v>
      </c>
      <c r="K988" t="str">
        <f ca="1">VLOOKUP(A988,Import_SuiviGlobal_MigAppliSate!A:K,11,FALSE)</f>
        <v>laurent.boisgontier@systeme-u.fr</v>
      </c>
      <c r="O988" s="1" t="s">
        <v>22</v>
      </c>
    </row>
    <row r="989" spans="1:15" ht="12.75" hidden="1" x14ac:dyDescent="0.2">
      <c r="A989">
        <v>33193</v>
      </c>
      <c r="B989" t="str">
        <f ca="1">VLOOKUP(A989,Import_SuiviGlobal_MigAppliSate!A:I,2,FALSE)</f>
        <v>ST-BARTH OASIS</v>
      </c>
      <c r="C989" t="str">
        <f ca="1">VLOOKUP(A989,Import_SuiviGlobal_MigAppliSate!A:I,3,FALSE)</f>
        <v>U Express</v>
      </c>
      <c r="D989" s="1" t="str">
        <f ca="1">VLOOKUP(A989,Import_SuiviGlobal_MigAppliSate!A:I,4,FALSE)</f>
        <v>Coop U Enseigne Ouest</v>
      </c>
      <c r="E989">
        <f ca="1">VLOOKUP(A989,Import_SuiviGlobal_MigAppliSate!A:I,5,FALSE)</f>
        <v>97133</v>
      </c>
      <c r="F989" t="str">
        <f ca="1">VLOOKUP(A989,Import_SuiviGlobal_MigAppliSate!A:I,6,FALSE)</f>
        <v>CENTRE COMMERCIAL L'OASIS</v>
      </c>
      <c r="G989" t="str">
        <f ca="1">VLOOKUP(A989,Import_SuiviGlobal_MigAppliSate!A:I,7,FALSE)</f>
        <v>05.90.29.72.46</v>
      </c>
      <c r="H989" t="str">
        <f ca="1">VLOOKUP(A989,Import_SuiviGlobal_MigAppliSate!A:I,8,FALSE)</f>
        <v>CHEVREUL Jean Paul</v>
      </c>
      <c r="I989" t="str">
        <f ca="1">VLOOKUP(A989,Import_SuiviGlobal_MigAppliSate!A:I,9,FALSE)</f>
        <v>jean-paul.chevreul@systeme-u.fr</v>
      </c>
      <c r="J989" s="24" t="str">
        <f ca="1">VLOOKUP(A989,Import_SuiviGlobal_MigAppliSate!A:K,10,FALSE)</f>
        <v>TZANIS Jean-Michel</v>
      </c>
      <c r="K989" t="str">
        <f ca="1">VLOOKUP(A989,Import_SuiviGlobal_MigAppliSate!A:K,11,FALSE)</f>
        <v>direction97133.oasis@gmail.com,martine.crevecoeur@systeme-u.fr</v>
      </c>
      <c r="O989" s="1" t="s">
        <v>22</v>
      </c>
    </row>
    <row r="990" spans="1:15" ht="12.75" hidden="1" x14ac:dyDescent="0.2">
      <c r="A990">
        <v>33181</v>
      </c>
      <c r="B990" t="str">
        <f ca="1">VLOOKUP(A990,Import_SuiviGlobal_MigAppliSate!A:I,2,FALSE)</f>
        <v>ST-BARTHELEMY</v>
      </c>
      <c r="C990" t="str">
        <f ca="1">VLOOKUP(A990,Import_SuiviGlobal_MigAppliSate!A:I,3,FALSE)</f>
        <v>Marché U</v>
      </c>
      <c r="D990" s="1" t="str">
        <f ca="1">VLOOKUP(A990,Import_SuiviGlobal_MigAppliSate!A:I,4,FALSE)</f>
        <v>Coop U Enseigne Ouest</v>
      </c>
      <c r="E990">
        <f ca="1">VLOOKUP(A990,Import_SuiviGlobal_MigAppliSate!A:I,5,FALSE)</f>
        <v>97133</v>
      </c>
      <c r="F990" t="str">
        <f ca="1">VLOOKUP(A990,Import_SuiviGlobal_MigAppliSate!A:I,6,FALSE)</f>
        <v>QUARTIER ST JEAN MARCHE U</v>
      </c>
      <c r="G990" t="str">
        <f ca="1">VLOOKUP(A990,Import_SuiviGlobal_MigAppliSate!A:I,7,FALSE)</f>
        <v>05.90.27.68.16</v>
      </c>
      <c r="H990" t="str">
        <f ca="1">VLOOKUP(A990,Import_SuiviGlobal_MigAppliSate!A:I,8,FALSE)</f>
        <v>CHEVREUL Julie</v>
      </c>
      <c r="I990" t="str">
        <f ca="1">VLOOKUP(A990,Import_SuiviGlobal_MigAppliSate!A:I,9,FALSE)</f>
        <v>julie.chevreul@systeme-u.fr</v>
      </c>
      <c r="J990" s="24" t="str">
        <f ca="1">VLOOKUP(A990,Import_SuiviGlobal_MigAppliSate!A:K,10,FALSE)</f>
        <v>Mr Emilien Launay (directeur)</v>
      </c>
      <c r="K990" t="str">
        <f ca="1">VLOOKUP(A990,Import_SuiviGlobal_MigAppliSate!A:K,11,FALSE)</f>
        <v>martine.crevecoeur@systeme-u.fr, marcheu.saintbarthelemy.direction@systeme-u.fr</v>
      </c>
      <c r="O990" s="1" t="s">
        <v>22</v>
      </c>
    </row>
    <row r="991" spans="1:15" ht="12.75" hidden="1" x14ac:dyDescent="0.2">
      <c r="A991">
        <v>37307</v>
      </c>
      <c r="B991" t="str">
        <f ca="1">VLOOKUP(A991,Import_SuiviGlobal_MigAppliSate!A:I,2,FALSE)</f>
        <v>ST-BARTHELEMY BANCHAIS</v>
      </c>
      <c r="C991" t="str">
        <f ca="1">VLOOKUP(A991,Import_SuiviGlobal_MigAppliSate!A:I,3,FALSE)</f>
        <v>Super U</v>
      </c>
      <c r="D991" s="1" t="str">
        <f ca="1">VLOOKUP(A991,Import_SuiviGlobal_MigAppliSate!A:I,4,FALSE)</f>
        <v>Coop U Enseigne Ouest</v>
      </c>
      <c r="E991">
        <f ca="1">VLOOKUP(A991,Import_SuiviGlobal_MigAppliSate!A:I,5,FALSE)</f>
        <v>49124</v>
      </c>
      <c r="F991" t="str">
        <f ca="1">VLOOKUP(A991,Import_SuiviGlobal_MigAppliSate!A:I,6,FALSE)</f>
        <v>360 RUE HAUTE DES BANCHAIS</v>
      </c>
      <c r="G991" t="str">
        <f ca="1">VLOOKUP(A991,Import_SuiviGlobal_MigAppliSate!A:I,7,FALSE)</f>
        <v>02.41.43.63.55</v>
      </c>
      <c r="H991" t="str">
        <f ca="1">VLOOKUP(A991,Import_SuiviGlobal_MigAppliSate!A:I,8,FALSE)</f>
        <v>MANIABLE RPT BECRIGEST Christophe</v>
      </c>
      <c r="I991" t="str">
        <f ca="1">VLOOKUP(A991,Import_SuiviGlobal_MigAppliSate!A:I,9,FALSE)</f>
        <v>christophe.maniable@systeme-u.fr</v>
      </c>
      <c r="J991" s="24" t="str">
        <f ca="1">VLOOKUP(A991,Import_SuiviGlobal_MigAppliSate!A:K,10,FALSE)</f>
        <v>Mme Gascoin</v>
      </c>
      <c r="K991" t="str">
        <f ca="1">VLOOKUP(A991,Import_SuiviGlobal_MigAppliSate!A:K,11,FALSE)</f>
        <v>superu.saintbarthelemybanchais.direction@systeme-u.fr</v>
      </c>
      <c r="O991" s="1" t="s">
        <v>22</v>
      </c>
    </row>
    <row r="992" spans="1:15" ht="12.75" hidden="1" x14ac:dyDescent="0.2">
      <c r="A992">
        <v>37048</v>
      </c>
      <c r="B992" t="str">
        <f ca="1">VLOOKUP(A992,Import_SuiviGlobal_MigAppliSate!A:I,2,FALSE)</f>
        <v>ST-BARTHELEMY VERDUN</v>
      </c>
      <c r="C992" t="str">
        <f ca="1">VLOOKUP(A992,Import_SuiviGlobal_MigAppliSate!A:I,3,FALSE)</f>
        <v>Super U</v>
      </c>
      <c r="D992" s="1" t="str">
        <f ca="1">VLOOKUP(A992,Import_SuiviGlobal_MigAppliSate!A:I,4,FALSE)</f>
        <v>Coop U Enseigne Ouest</v>
      </c>
      <c r="E992">
        <f ca="1">VLOOKUP(A992,Import_SuiviGlobal_MigAppliSate!A:I,5,FALSE)</f>
        <v>49124</v>
      </c>
      <c r="F992" t="str">
        <f ca="1">VLOOKUP(A992,Import_SuiviGlobal_MigAppliSate!A:I,6,FALSE)</f>
        <v>COEUR DE VILLE</v>
      </c>
      <c r="G992" t="str">
        <f ca="1">VLOOKUP(A992,Import_SuiviGlobal_MigAppliSate!A:I,7,FALSE)</f>
        <v>02.41.21.09.21</v>
      </c>
      <c r="H992" t="str">
        <f ca="1">VLOOKUP(A992,Import_SuiviGlobal_MigAppliSate!A:I,8,FALSE)</f>
        <v>BELLIARD RPT SARL TREBEL François</v>
      </c>
      <c r="I992" t="str">
        <f ca="1">VLOOKUP(A992,Import_SuiviGlobal_MigAppliSate!A:I,9,FALSE)</f>
        <v>francois.belliard@systeme-u.fr</v>
      </c>
      <c r="J992" s="24" t="str">
        <f ca="1">VLOOKUP(A992,Import_SuiviGlobal_MigAppliSate!A:K,10,FALSE)</f>
        <v>Fabienne BELLIARD</v>
      </c>
      <c r="K992" t="str">
        <f ca="1">VLOOKUP(A992,Import_SuiviGlobal_MigAppliSate!A:K,11,FALSE)</f>
        <v>fabienne.belliard@systeme-u.fr</v>
      </c>
      <c r="O992" s="1" t="s">
        <v>22</v>
      </c>
    </row>
    <row r="993" spans="1:15" ht="12.75" hidden="1" x14ac:dyDescent="0.2">
      <c r="A993">
        <v>31503</v>
      </c>
      <c r="B993" t="str">
        <f ca="1">VLOOKUP(A993,Import_SuiviGlobal_MigAppliSate!A:I,2,FALSE)</f>
        <v>ST-BENOIT-DU-SAULT</v>
      </c>
      <c r="C993" t="str">
        <f ca="1">VLOOKUP(A993,Import_SuiviGlobal_MigAppliSate!A:I,3,FALSE)</f>
        <v>Super U</v>
      </c>
      <c r="D993" s="1" t="str">
        <f ca="1">VLOOKUP(A993,Import_SuiviGlobal_MigAppliSate!A:I,4,FALSE)</f>
        <v>Coop U Enseigne Ouest</v>
      </c>
      <c r="E993">
        <f ca="1">VLOOKUP(A993,Import_SuiviGlobal_MigAppliSate!A:I,5,FALSE)</f>
        <v>36170</v>
      </c>
      <c r="F993" t="str">
        <f ca="1">VLOOKUP(A993,Import_SuiviGlobal_MigAppliSate!A:I,6,FALSE)</f>
        <v>23 ROUTE D ARGENTON</v>
      </c>
      <c r="G993" t="str">
        <f ca="1">VLOOKUP(A993,Import_SuiviGlobal_MigAppliSate!A:I,7,FALSE)</f>
        <v>02.54.47.65.53</v>
      </c>
      <c r="H993" t="str">
        <f ca="1">VLOOKUP(A993,Import_SuiviGlobal_MigAppliSate!A:I,8,FALSE)</f>
        <v>MOCZULSKI Maxime</v>
      </c>
      <c r="I993" t="str">
        <f ca="1">VLOOKUP(A993,Import_SuiviGlobal_MigAppliSate!A:I,9,FALSE)</f>
        <v>maxime.moczulski@systeme-u.fr</v>
      </c>
      <c r="J993" s="24" t="str">
        <f ca="1">VLOOKUP(A993,Import_SuiviGlobal_MigAppliSate!A:K,10,FALSE)</f>
        <v>M. COURET</v>
      </c>
      <c r="K993" t="str">
        <f ca="1">VLOOKUP(A993,Import_SuiviGlobal_MigAppliSate!A:K,11,FALSE)</f>
        <v>superu.saintbenoitdusault.direction@systeme-u.fr</v>
      </c>
      <c r="O993" s="1" t="s">
        <v>22</v>
      </c>
    </row>
    <row r="994" spans="1:15" ht="12.75" hidden="1" x14ac:dyDescent="0.2">
      <c r="A994">
        <v>99108</v>
      </c>
      <c r="B994" t="str">
        <f ca="1">VLOOKUP(A994,Import_SuiviGlobal_MigAppliSate!A:I,2,FALSE)</f>
        <v>ST-BENOIT-IDR</v>
      </c>
      <c r="C994" t="str">
        <f ca="1">VLOOKUP(A994,Import_SuiviGlobal_MigAppliSate!A:I,3,FALSE)</f>
        <v>U Express</v>
      </c>
      <c r="D994" s="1" t="str">
        <f ca="1">VLOOKUP(A994,Import_SuiviGlobal_MigAppliSate!A:I,4,FALSE)</f>
        <v>Coop U Enseigne Sud</v>
      </c>
      <c r="E994">
        <f ca="1">VLOOKUP(A994,Import_SuiviGlobal_MigAppliSate!A:I,5,FALSE)</f>
        <v>97470</v>
      </c>
      <c r="F994" t="str">
        <f ca="1">VLOOKUP(A994,Import_SuiviGlobal_MigAppliSate!A:I,6,FALSE)</f>
        <v>1 RUE LOUIS BRUNET BP 75</v>
      </c>
      <c r="G994" t="str">
        <f ca="1">VLOOKUP(A994,Import_SuiviGlobal_MigAppliSate!A:I,7,FALSE)</f>
        <v>02.62.50.31.70</v>
      </c>
      <c r="H994" t="str">
        <f ca="1">VLOOKUP(A994,Import_SuiviGlobal_MigAppliSate!A:I,8,FALSE)</f>
        <v>THIA-SOUI TCHONG Corinne</v>
      </c>
      <c r="I994" t="str">
        <f ca="1">VLOOKUP(A994,Import_SuiviGlobal_MigAppliSate!A:I,9,FALSE)</f>
        <v>corinne.thia@systeme-u.fr</v>
      </c>
      <c r="J994" s="24" t="str">
        <f ca="1">VLOOKUP(A994,Import_SuiviGlobal_MigAppliSate!A:K,10,FALSE)</f>
        <v/>
      </c>
      <c r="K994" t="str">
        <f ca="1">VLOOKUP(A994,Import_SuiviGlobal_MigAppliSate!A:K,11,FALSE)</f>
        <v/>
      </c>
      <c r="O994" s="1" t="s">
        <v>22</v>
      </c>
    </row>
    <row r="995" spans="1:15" ht="12.75" hidden="1" x14ac:dyDescent="0.2">
      <c r="A995">
        <v>31430</v>
      </c>
      <c r="B995" t="str">
        <f ca="1">VLOOKUP(A995,Import_SuiviGlobal_MigAppliSate!A:I,2,FALSE)</f>
        <v>ST-BREVIN-LES PINS</v>
      </c>
      <c r="C995" t="str">
        <f ca="1">VLOOKUP(A995,Import_SuiviGlobal_MigAppliSate!A:I,3,FALSE)</f>
        <v>Super U</v>
      </c>
      <c r="D995" s="1" t="str">
        <f ca="1">VLOOKUP(A995,Import_SuiviGlobal_MigAppliSate!A:I,4,FALSE)</f>
        <v>Coop U Enseigne Ouest</v>
      </c>
      <c r="E995">
        <f ca="1">VLOOKUP(A995,Import_SuiviGlobal_MigAppliSate!A:I,5,FALSE)</f>
        <v>44250</v>
      </c>
      <c r="F995" t="str">
        <f ca="1">VLOOKUP(A995,Import_SuiviGlobal_MigAppliSate!A:I,6,FALSE)</f>
        <v>PLACE HENRI BASLE</v>
      </c>
      <c r="G995" t="str">
        <f ca="1">VLOOKUP(A995,Import_SuiviGlobal_MigAppliSate!A:I,7,FALSE)</f>
        <v>02.40.27.20.20</v>
      </c>
      <c r="H995" t="str">
        <f ca="1">VLOOKUP(A995,Import_SuiviGlobal_MigAppliSate!A:I,8,FALSE)</f>
        <v>RENAUD Benoît</v>
      </c>
      <c r="I995" t="str">
        <f ca="1">VLOOKUP(A995,Import_SuiviGlobal_MigAppliSate!A:I,9,FALSE)</f>
        <v>benoit.renaud@systeme-u.fr</v>
      </c>
      <c r="J995" s="24" t="str">
        <f ca="1">VLOOKUP(A995,Import_SuiviGlobal_MigAppliSate!A:K,10,FALSE)</f>
        <v>RENAUD Benoît</v>
      </c>
      <c r="K995" t="str">
        <f ca="1">VLOOKUP(A995,Import_SuiviGlobal_MigAppliSate!A:K,11,FALSE)</f>
        <v>benoit.renaud@systeme-u.fr</v>
      </c>
      <c r="O995" s="1" t="s">
        <v>22</v>
      </c>
    </row>
    <row r="996" spans="1:15" ht="12.75" hidden="1" x14ac:dyDescent="0.2">
      <c r="A996">
        <v>30418</v>
      </c>
      <c r="B996" t="str">
        <f ca="1">VLOOKUP(A996,Import_SuiviGlobal_MigAppliSate!A:I,2,FALSE)</f>
        <v>ST-BRICE-EN-COGLES</v>
      </c>
      <c r="C996" t="str">
        <f ca="1">VLOOKUP(A996,Import_SuiviGlobal_MigAppliSate!A:I,3,FALSE)</f>
        <v>Super U</v>
      </c>
      <c r="D996" s="1" t="str">
        <f ca="1">VLOOKUP(A996,Import_SuiviGlobal_MigAppliSate!A:I,4,FALSE)</f>
        <v>Coop U Enseigne Ouest</v>
      </c>
      <c r="E996">
        <f ca="1">VLOOKUP(A996,Import_SuiviGlobal_MigAppliSate!A:I,5,FALSE)</f>
        <v>35460</v>
      </c>
      <c r="F996" t="str">
        <f ca="1">VLOOKUP(A996,Import_SuiviGlobal_MigAppliSate!A:I,6,FALSE)</f>
        <v>ZAC DE LA CROIX ROUGE</v>
      </c>
      <c r="G996" t="str">
        <f ca="1">VLOOKUP(A996,Import_SuiviGlobal_MigAppliSate!A:I,7,FALSE)</f>
        <v>02.99.98.66.43</v>
      </c>
      <c r="H996" t="str">
        <f ca="1">VLOOKUP(A996,Import_SuiviGlobal_MigAppliSate!A:I,8,FALSE)</f>
        <v>RICHER TREHU Alexandra</v>
      </c>
      <c r="I996" t="str">
        <f ca="1">VLOOKUP(A996,Import_SuiviGlobal_MigAppliSate!A:I,9,FALSE)</f>
        <v>alexandra.richer@systeme-u.fr</v>
      </c>
      <c r="J996" s="24" t="str">
        <f ca="1">VLOOKUP(A996,Import_SuiviGlobal_MigAppliSate!A:K,10,FALSE)</f>
        <v/>
      </c>
      <c r="K996" t="str">
        <f ca="1">VLOOKUP(A996,Import_SuiviGlobal_MigAppliSate!A:K,11,FALSE)</f>
        <v/>
      </c>
      <c r="O996" s="1" t="s">
        <v>22</v>
      </c>
    </row>
    <row r="997" spans="1:15" ht="12.75" hidden="1" x14ac:dyDescent="0.2">
      <c r="A997">
        <v>35509</v>
      </c>
      <c r="B997" t="str">
        <f ca="1">VLOOKUP(A997,Import_SuiviGlobal_MigAppliSate!A:I,2,FALSE)</f>
        <v>ST-BRIEUC BENOIT</v>
      </c>
      <c r="C997" t="str">
        <f ca="1">VLOOKUP(A997,Import_SuiviGlobal_MigAppliSate!A:I,3,FALSE)</f>
        <v>U Express</v>
      </c>
      <c r="D997" s="1" t="str">
        <f ca="1">VLOOKUP(A997,Import_SuiviGlobal_MigAppliSate!A:I,4,FALSE)</f>
        <v>Coop U Enseigne Ouest</v>
      </c>
      <c r="E997">
        <f ca="1">VLOOKUP(A997,Import_SuiviGlobal_MigAppliSate!A:I,5,FALSE)</f>
        <v>22000</v>
      </c>
      <c r="F997" t="str">
        <f ca="1">VLOOKUP(A997,Import_SuiviGlobal_MigAppliSate!A:I,6,FALSE)</f>
        <v>8 RUE SAINT BENOIT</v>
      </c>
      <c r="G997" t="str">
        <f ca="1">VLOOKUP(A997,Import_SuiviGlobal_MigAppliSate!A:I,7,FALSE)</f>
        <v>02.96.33.58.06</v>
      </c>
      <c r="H997" t="str">
        <f ca="1">VLOOKUP(A997,Import_SuiviGlobal_MigAppliSate!A:I,8,FALSE)</f>
        <v>PRIGENT RPT SAS GEFFDIS Gildas</v>
      </c>
      <c r="I997" t="str">
        <f ca="1">VLOOKUP(A997,Import_SuiviGlobal_MigAppliSate!A:I,9,FALSE)</f>
        <v>gildas.prigent@systeme-u.fr</v>
      </c>
      <c r="J997" s="24" t="str">
        <f ca="1">VLOOKUP(A997,Import_SuiviGlobal_MigAppliSate!A:K,10,FALSE)</f>
        <v>PRIGENT Nadine</v>
      </c>
      <c r="K997" t="str">
        <f ca="1">VLOOKUP(A997,Import_SuiviGlobal_MigAppliSate!A:K,11,FALSE)</f>
        <v>uexpress.saintbrieucbenoit@systeme-u.fr</v>
      </c>
      <c r="O997" s="1" t="s">
        <v>22</v>
      </c>
    </row>
    <row r="998" spans="1:15" ht="12.75" hidden="1" x14ac:dyDescent="0.2">
      <c r="A998">
        <v>38114</v>
      </c>
      <c r="B998" t="str">
        <f ca="1">VLOOKUP(A998,Import_SuiviGlobal_MigAppliSate!A:I,2,FALSE)</f>
        <v>ST-CAST-LE-GUILDO</v>
      </c>
      <c r="C998" t="str">
        <f ca="1">VLOOKUP(A998,Import_SuiviGlobal_MigAppliSate!A:I,3,FALSE)</f>
        <v>U Express</v>
      </c>
      <c r="D998" s="1" t="str">
        <f ca="1">VLOOKUP(A998,Import_SuiviGlobal_MigAppliSate!A:I,4,FALSE)</f>
        <v>Coop U Enseigne Ouest</v>
      </c>
      <c r="E998">
        <f ca="1">VLOOKUP(A998,Import_SuiviGlobal_MigAppliSate!A:I,5,FALSE)</f>
        <v>22380</v>
      </c>
      <c r="F998" t="str">
        <f ca="1">VLOOKUP(A998,Import_SuiviGlobal_MigAppliSate!A:I,6,FALSE)</f>
        <v>RUE DES ROCHETTES</v>
      </c>
      <c r="G998" t="str">
        <f ca="1">VLOOKUP(A998,Import_SuiviGlobal_MigAppliSate!A:I,7,FALSE)</f>
        <v>02.96.87.54.30</v>
      </c>
      <c r="H998" t="str">
        <f ca="1">VLOOKUP(A998,Import_SuiviGlobal_MigAppliSate!A:I,8,FALSE)</f>
        <v>LAIGO FLORENCE</v>
      </c>
      <c r="I998" t="str">
        <f ca="1">VLOOKUP(A998,Import_SuiviGlobal_MigAppliSate!A:I,9,FALSE)</f>
        <v>florence.laigo@systeme-u.fr</v>
      </c>
      <c r="J998" s="24" t="str">
        <f ca="1">VLOOKUP(A998,Import_SuiviGlobal_MigAppliSate!A:K,10,FALSE)</f>
        <v>Marianne</v>
      </c>
      <c r="K998" t="str">
        <f ca="1">VLOOKUP(A998,Import_SuiviGlobal_MigAppliSate!A:K,11,FALSE)</f>
        <v>superu.matignon@systeme-u.fr</v>
      </c>
      <c r="O998" s="1" t="s">
        <v>22</v>
      </c>
    </row>
    <row r="999" spans="1:15" ht="12.75" hidden="1" x14ac:dyDescent="0.2">
      <c r="A999">
        <v>34190</v>
      </c>
      <c r="B999" t="str">
        <f ca="1">VLOOKUP(A999,Import_SuiviGlobal_MigAppliSate!A:I,2,FALSE)</f>
        <v>ST-CYR-SUR-LOIRE</v>
      </c>
      <c r="C999" t="str">
        <f ca="1">VLOOKUP(A999,Import_SuiviGlobal_MigAppliSate!A:I,3,FALSE)</f>
        <v>U Express</v>
      </c>
      <c r="D999" s="1" t="str">
        <f ca="1">VLOOKUP(A999,Import_SuiviGlobal_MigAppliSate!A:I,4,FALSE)</f>
        <v>Coop Atlantique</v>
      </c>
      <c r="E999">
        <f ca="1">VLOOKUP(A999,Import_SuiviGlobal_MigAppliSate!A:I,5,FALSE)</f>
        <v>37540</v>
      </c>
      <c r="F999" t="str">
        <f ca="1">VLOOKUP(A999,Import_SuiviGlobal_MigAppliSate!A:I,6,FALSE)</f>
        <v>PLACE GUY RAYNAUD</v>
      </c>
      <c r="G999" t="str">
        <f ca="1">VLOOKUP(A999,Import_SuiviGlobal_MigAppliSate!A:I,7,FALSE)</f>
        <v>02.47.54.13.71</v>
      </c>
      <c r="H999" t="str">
        <f ca="1">VLOOKUP(A999,Import_SuiviGlobal_MigAppliSate!A:I,8,FALSE)</f>
        <v>FLAMBARD Hervé</v>
      </c>
      <c r="I999" t="str">
        <f ca="1">VLOOKUP(A999,Import_SuiviGlobal_MigAppliSate!A:I,9,FALSE)</f>
        <v>bertrand.defontaine_coop_su_uex@systeme-u.fr</v>
      </c>
      <c r="J999" s="24" t="str">
        <f ca="1">VLOOKUP(A999,Import_SuiviGlobal_MigAppliSate!A:K,10,FALSE)</f>
        <v>Gérald SAUNIER</v>
      </c>
      <c r="K999" t="str">
        <f ca="1">VLOOKUP(A999,Import_SuiviGlobal_MigAppliSate!A:K,11,FALSE)</f>
        <v>nbrigant@coop-atlantique.fr,sjaud@coop-atlantique.fr,gsaunier@coop-atlantique.fr,uexpress.saintcyrsurloire.direction@systeme-u.fr</v>
      </c>
      <c r="O999" s="1" t="s">
        <v>22</v>
      </c>
    </row>
    <row r="1000" spans="1:15" ht="12.75" hidden="1" x14ac:dyDescent="0.2">
      <c r="A1000">
        <v>34212</v>
      </c>
      <c r="B1000" t="str">
        <f ca="1">VLOOKUP(A1000,Import_SuiviGlobal_MigAppliSate!A:I,2,FALSE)</f>
        <v>ST-DENIS-D OLERON</v>
      </c>
      <c r="C1000" t="str">
        <f ca="1">VLOOKUP(A1000,Import_SuiviGlobal_MigAppliSate!A:I,3,FALSE)</f>
        <v>Utile</v>
      </c>
      <c r="D1000" s="1" t="str">
        <f ca="1">VLOOKUP(A1000,Import_SuiviGlobal_MigAppliSate!A:I,4,FALSE)</f>
        <v>Coop Atlantique</v>
      </c>
      <c r="E1000">
        <f ca="1">VLOOKUP(A1000,Import_SuiviGlobal_MigAppliSate!A:I,5,FALSE)</f>
        <v>17650</v>
      </c>
      <c r="F1000" t="str">
        <f ca="1">VLOOKUP(A1000,Import_SuiviGlobal_MigAppliSate!A:I,6,FALSE)</f>
        <v>RUE ERNEST MAURISSET</v>
      </c>
      <c r="G1000" t="str">
        <f ca="1">VLOOKUP(A1000,Import_SuiviGlobal_MigAppliSate!A:I,7,FALSE)</f>
        <v>05.46.47.86.00</v>
      </c>
      <c r="H1000" t="str">
        <f ca="1">VLOOKUP(A1000,Import_SuiviGlobal_MigAppliSate!A:I,8,FALSE)</f>
        <v>FLAMBARD Hervé</v>
      </c>
      <c r="I1000" t="str">
        <f ca="1">VLOOKUP(A1000,Import_SuiviGlobal_MigAppliSate!A:I,9,FALSE)</f>
        <v>bertrand.defontaine_coop_su_uex@systeme-u.fr</v>
      </c>
      <c r="J1000" s="24" t="str">
        <f ca="1">VLOOKUP(A1000,Import_SuiviGlobal_MigAppliSate!A:K,10,FALSE)</f>
        <v>Laurent DELION</v>
      </c>
      <c r="K1000" t="str">
        <f ca="1">VLOOKUP(A1000,Import_SuiviGlobal_MigAppliSate!A:K,11,FALSE)</f>
        <v>uexpress.saintdenisdoleron.direction@systeme-u.fr,nbrigant@coop-atlantique.fr,sjaud@coop-atlantique.fr</v>
      </c>
      <c r="L1000" s="1" t="s">
        <v>17</v>
      </c>
      <c r="M1000" t="s">
        <v>23</v>
      </c>
      <c r="O1000" s="1" t="s">
        <v>22</v>
      </c>
    </row>
    <row r="1001" spans="1:15" ht="12.75" hidden="1" x14ac:dyDescent="0.2">
      <c r="A1001">
        <v>37844</v>
      </c>
      <c r="B1001" t="str">
        <f ca="1">VLOOKUP(A1001,Import_SuiviGlobal_MigAppliSate!A:I,2,FALSE)</f>
        <v>ST-DENIS-DE-L'HOTEL</v>
      </c>
      <c r="C1001" t="str">
        <f ca="1">VLOOKUP(A1001,Import_SuiviGlobal_MigAppliSate!A:I,3,FALSE)</f>
        <v>U Express</v>
      </c>
      <c r="D1001" s="1" t="str">
        <f ca="1">VLOOKUP(A1001,Import_SuiviGlobal_MigAppliSate!A:I,4,FALSE)</f>
        <v>Coop U Enseigne Ouest</v>
      </c>
      <c r="E1001">
        <f ca="1">VLOOKUP(A1001,Import_SuiviGlobal_MigAppliSate!A:I,5,FALSE)</f>
        <v>45500</v>
      </c>
      <c r="F1001" t="str">
        <f ca="1">VLOOKUP(A1001,Import_SuiviGlobal_MigAppliSate!A:I,6,FALSE)</f>
        <v>3, RUE DE LA BORDE</v>
      </c>
      <c r="G1001" t="str">
        <f ca="1">VLOOKUP(A1001,Import_SuiviGlobal_MigAppliSate!A:I,7,FALSE)</f>
        <v>02.38.59.14.82</v>
      </c>
      <c r="H1001" t="str">
        <f ca="1">VLOOKUP(A1001,Import_SuiviGlobal_MigAppliSate!A:I,8,FALSE)</f>
        <v>PELTIER Pascal</v>
      </c>
      <c r="I1001" t="str">
        <f ca="1">VLOOKUP(A1001,Import_SuiviGlobal_MigAppliSate!A:I,9,FALSE)</f>
        <v>pascal.peltier@systeme-u.fr</v>
      </c>
      <c r="J1001" s="24" t="str">
        <f ca="1">VLOOKUP(A1001,Import_SuiviGlobal_MigAppliSate!A:K,10,FALSE)</f>
        <v/>
      </c>
      <c r="K1001" t="str">
        <f ca="1">VLOOKUP(A1001,Import_SuiviGlobal_MigAppliSate!A:K,11,FALSE)</f>
        <v/>
      </c>
      <c r="O1001" s="1" t="s">
        <v>22</v>
      </c>
    </row>
    <row r="1002" spans="1:15" ht="12.75" hidden="1" x14ac:dyDescent="0.2">
      <c r="A1002">
        <v>36459</v>
      </c>
      <c r="B1002" t="str">
        <f ca="1">VLOOKUP(A1002,Import_SuiviGlobal_MigAppliSate!A:I,2,FALSE)</f>
        <v>ST-ETIENNE-DE-MONTLUC</v>
      </c>
      <c r="C1002" t="str">
        <f ca="1">VLOOKUP(A1002,Import_SuiviGlobal_MigAppliSate!A:I,3,FALSE)</f>
        <v>Super U</v>
      </c>
      <c r="D1002" s="1" t="str">
        <f ca="1">VLOOKUP(A1002,Import_SuiviGlobal_MigAppliSate!A:I,4,FALSE)</f>
        <v>Coop U Enseigne Ouest</v>
      </c>
      <c r="E1002">
        <f ca="1">VLOOKUP(A1002,Import_SuiviGlobal_MigAppliSate!A:I,5,FALSE)</f>
        <v>44360</v>
      </c>
      <c r="F1002" t="str">
        <f ca="1">VLOOKUP(A1002,Import_SuiviGlobal_MigAppliSate!A:I,6,FALSE)</f>
        <v>24, ROUTE DE COUÉRON</v>
      </c>
      <c r="G1002" t="str">
        <f ca="1">VLOOKUP(A1002,Import_SuiviGlobal_MigAppliSate!A:I,7,FALSE)</f>
        <v>02.40.86.97.67</v>
      </c>
      <c r="H1002" t="str">
        <f ca="1">VLOOKUP(A1002,Import_SuiviGlobal_MigAppliSate!A:I,8,FALSE)</f>
        <v>CHARBONNEAU RPT SARL FINANDIS Jean Claude</v>
      </c>
      <c r="I1002" t="str">
        <f ca="1">VLOOKUP(A1002,Import_SuiviGlobal_MigAppliSate!A:I,9,FALSE)</f>
        <v>jean-claude.charbonneau@systeme-u.fr</v>
      </c>
      <c r="J1002" s="24" t="str">
        <f ca="1">VLOOKUP(A1002,Import_SuiviGlobal_MigAppliSate!A:K,10,FALSE)</f>
        <v>CHARBONNEAU Jean Claude</v>
      </c>
      <c r="K1002" t="str">
        <f ca="1">VLOOKUP(A1002,Import_SuiviGlobal_MigAppliSate!A:K,11,FALSE)</f>
        <v>jean-claude.charbonneau@systeme-u.fr</v>
      </c>
      <c r="O1002" s="1" t="s">
        <v>22</v>
      </c>
    </row>
    <row r="1003" spans="1:15" ht="12.75" hidden="1" x14ac:dyDescent="0.2">
      <c r="A1003">
        <v>38605</v>
      </c>
      <c r="B1003" t="str">
        <f ca="1">VLOOKUP(A1003,Import_SuiviGlobal_MigAppliSate!A:I,2,FALSE)</f>
        <v>ST-FLORENT-SUR-CHER</v>
      </c>
      <c r="C1003" t="str">
        <f ca="1">VLOOKUP(A1003,Import_SuiviGlobal_MigAppliSate!A:I,3,FALSE)</f>
        <v>Super U</v>
      </c>
      <c r="D1003" s="1" t="str">
        <f ca="1">VLOOKUP(A1003,Import_SuiviGlobal_MigAppliSate!A:I,4,FALSE)</f>
        <v>Coop U Enseigne Ouest</v>
      </c>
      <c r="E1003">
        <f ca="1">VLOOKUP(A1003,Import_SuiviGlobal_MigAppliSate!A:I,5,FALSE)</f>
        <v>18400</v>
      </c>
      <c r="F1003" t="str">
        <f ca="1">VLOOKUP(A1003,Import_SuiviGlobal_MigAppliSate!A:I,6,FALSE)</f>
        <v>ZAC DE LA VIGONNIÈRE LES BROSSES</v>
      </c>
      <c r="G1003" t="str">
        <f ca="1">VLOOKUP(A1003,Import_SuiviGlobal_MigAppliSate!A:I,7,FALSE)</f>
        <v>02.48.55.87.87</v>
      </c>
      <c r="H1003" t="str">
        <f ca="1">VLOOKUP(A1003,Import_SuiviGlobal_MigAppliSate!A:I,8,FALSE)</f>
        <v>RIGAL Christian</v>
      </c>
      <c r="I1003" t="str">
        <f ca="1">VLOOKUP(A1003,Import_SuiviGlobal_MigAppliSate!A:I,9,FALSE)</f>
        <v>christian.rigal@systeme-u.fr</v>
      </c>
      <c r="J1003" s="24" t="str">
        <f ca="1">VLOOKUP(A1003,Import_SuiviGlobal_MigAppliSate!A:K,10,FALSE)</f>
        <v>RIGAL Marylène</v>
      </c>
      <c r="K1003" t="str">
        <f ca="1">VLOOKUP(A1003,Import_SuiviGlobal_MigAppliSate!A:K,11,FALSE)</f>
        <v>marylene.rigal@systeme-u.fr, superu.saintflorentsurcher@systeme-u.fr</v>
      </c>
      <c r="O1003" s="1" t="s">
        <v>22</v>
      </c>
    </row>
    <row r="1004" spans="1:15" ht="12.75" hidden="1" x14ac:dyDescent="0.2">
      <c r="A1004">
        <v>37447</v>
      </c>
      <c r="B1004" t="str">
        <f ca="1">VLOOKUP(A1004,Import_SuiviGlobal_MigAppliSate!A:I,2,FALSE)</f>
        <v>ST-FULGENT</v>
      </c>
      <c r="C1004" t="str">
        <f ca="1">VLOOKUP(A1004,Import_SuiviGlobal_MigAppliSate!A:I,3,FALSE)</f>
        <v>Super U</v>
      </c>
      <c r="D1004" s="1" t="str">
        <f ca="1">VLOOKUP(A1004,Import_SuiviGlobal_MigAppliSate!A:I,4,FALSE)</f>
        <v>Coop U Enseigne Ouest</v>
      </c>
      <c r="E1004">
        <f ca="1">VLOOKUP(A1004,Import_SuiviGlobal_MigAppliSate!A:I,5,FALSE)</f>
        <v>85250</v>
      </c>
      <c r="F1004" t="str">
        <f ca="1">VLOOKUP(A1004,Import_SuiviGlobal_MigAppliSate!A:I,6,FALSE)</f>
        <v>ZAC DE LA METAIRIE</v>
      </c>
      <c r="G1004" t="str">
        <f ca="1">VLOOKUP(A1004,Import_SuiviGlobal_MigAppliSate!A:I,7,FALSE)</f>
        <v>02.51.42.60.15</v>
      </c>
      <c r="H1004" t="str">
        <f ca="1">VLOOKUP(A1004,Import_SuiviGlobal_MigAppliSate!A:I,8,FALSE)</f>
        <v>PASQUIER RPT SARL EXPADIS Julien</v>
      </c>
      <c r="I1004" t="str">
        <f ca="1">VLOOKUP(A1004,Import_SuiviGlobal_MigAppliSate!A:I,9,FALSE)</f>
        <v>julien.pasquier@systeme-u.fr</v>
      </c>
      <c r="J1004" s="24" t="str">
        <f ca="1">VLOOKUP(A1004,Import_SuiviGlobal_MigAppliSate!A:K,10,FALSE)</f>
        <v>PASQUIER Jean-Pierre</v>
      </c>
      <c r="K1004" t="str">
        <f ca="1">VLOOKUP(A1004,Import_SuiviGlobal_MigAppliSate!A:K,11,FALSE)</f>
        <v>jean-pierre.pasquier@systeme-u.fr</v>
      </c>
      <c r="O1004" s="1" t="s">
        <v>22</v>
      </c>
    </row>
    <row r="1005" spans="1:15" ht="12.75" hidden="1" x14ac:dyDescent="0.2">
      <c r="A1005">
        <v>32083</v>
      </c>
      <c r="B1005" t="str">
        <f ca="1">VLOOKUP(A1005,Import_SuiviGlobal_MigAppliSate!A:I,2,FALSE)</f>
        <v>ST-GEORGES-DE-DIDONNE</v>
      </c>
      <c r="C1005" t="str">
        <f ca="1">VLOOKUP(A1005,Import_SuiviGlobal_MigAppliSate!A:I,3,FALSE)</f>
        <v>Super U</v>
      </c>
      <c r="D1005" s="1" t="str">
        <f ca="1">VLOOKUP(A1005,Import_SuiviGlobal_MigAppliSate!A:I,4,FALSE)</f>
        <v>Coop Atlantique</v>
      </c>
      <c r="E1005">
        <f ca="1">VLOOKUP(A1005,Import_SuiviGlobal_MigAppliSate!A:I,5,FALSE)</f>
        <v>17120</v>
      </c>
      <c r="F1005" t="str">
        <f ca="1">VLOOKUP(A1005,Import_SuiviGlobal_MigAppliSate!A:I,6,FALSE)</f>
        <v>68 AVENUE DU MARÉCHAL JUIN</v>
      </c>
      <c r="G1005" t="str">
        <f ca="1">VLOOKUP(A1005,Import_SuiviGlobal_MigAppliSate!A:I,7,FALSE)</f>
        <v>05.46.05.78.12</v>
      </c>
      <c r="H1005" t="str">
        <f ca="1">VLOOKUP(A1005,Import_SuiviGlobal_MigAppliSate!A:I,8,FALSE)</f>
        <v>FLAMBARD Hervé</v>
      </c>
      <c r="I1005" t="str">
        <f ca="1">VLOOKUP(A1005,Import_SuiviGlobal_MigAppliSate!A:I,9,FALSE)</f>
        <v>bertrand.defontaine_coop_su_uex@systeme-u.fr</v>
      </c>
      <c r="J1005" s="24" t="str">
        <f ca="1">VLOOKUP(A1005,Import_SuiviGlobal_MigAppliSate!A:K,10,FALSE)</f>
        <v>Chereau Patrick</v>
      </c>
      <c r="K1005" t="str">
        <f ca="1">VLOOKUP(A1005,Import_SuiviGlobal_MigAppliSate!A:K,11,FALSE)</f>
        <v>superu.saintgeorgesdedidonne.direction@systeme-u.fr,nbrigant@coop-atlantique.fr,sjaud@coop-atlantique.fr,pchereau@coop-atlantique.fr</v>
      </c>
      <c r="O1005" s="1" t="s">
        <v>22</v>
      </c>
    </row>
    <row r="1006" spans="1:15" ht="12.75" hidden="1" x14ac:dyDescent="0.2">
      <c r="A1006">
        <v>34214</v>
      </c>
      <c r="B1006" t="str">
        <f ca="1">VLOOKUP(A1006,Import_SuiviGlobal_MigAppliSate!A:I,2,FALSE)</f>
        <v>ST-GEORGES-DE-DIDONNE</v>
      </c>
      <c r="C1006" t="str">
        <f ca="1">VLOOKUP(A1006,Import_SuiviGlobal_MigAppliSate!A:I,3,FALSE)</f>
        <v>Utile</v>
      </c>
      <c r="D1006" s="1" t="str">
        <f ca="1">VLOOKUP(A1006,Import_SuiviGlobal_MigAppliSate!A:I,4,FALSE)</f>
        <v>Coop Atlantique</v>
      </c>
      <c r="E1006">
        <f ca="1">VLOOKUP(A1006,Import_SuiviGlobal_MigAppliSate!A:I,5,FALSE)</f>
        <v>17110</v>
      </c>
      <c r="F1006" t="str">
        <f ca="1">VLOOKUP(A1006,Import_SuiviGlobal_MigAppliSate!A:I,6,FALSE)</f>
        <v>4, RUE CARNOT</v>
      </c>
      <c r="G1006" t="str">
        <f ca="1">VLOOKUP(A1006,Import_SuiviGlobal_MigAppliSate!A:I,7,FALSE)</f>
        <v>05.46.05.07.03</v>
      </c>
      <c r="H1006" t="str">
        <f ca="1">VLOOKUP(A1006,Import_SuiviGlobal_MigAppliSate!A:I,8,FALSE)</f>
        <v>FLAMBARD Hervé</v>
      </c>
      <c r="I1006" t="str">
        <f ca="1">VLOOKUP(A1006,Import_SuiviGlobal_MigAppliSate!A:I,9,FALSE)</f>
        <v>bertrand.defontaine_coop_su_uex@systeme-u.fr</v>
      </c>
      <c r="J1006" s="24" t="str">
        <f ca="1">VLOOKUP(A1006,Import_SuiviGlobal_MigAppliSate!A:K,10,FALSE)</f>
        <v>Laurie DEVILLE</v>
      </c>
      <c r="K1006" t="str">
        <f ca="1">VLOOKUP(A1006,Import_SuiviGlobal_MigAppliSate!A:K,11,FALSE)</f>
        <v>uexpress.saintgeorgesdedidonnecarnot.direction@systeme-u.fr,dpetit@coop-atlantique.fr,nbrigant@coop-atlantique.fr,sjaud@coop-atlantique.fr</v>
      </c>
      <c r="L1006" s="1" t="s">
        <v>17</v>
      </c>
      <c r="M1006" t="s">
        <v>23</v>
      </c>
      <c r="O1006" s="1" t="s">
        <v>22</v>
      </c>
    </row>
    <row r="1007" spans="1:15" ht="12.75" hidden="1" x14ac:dyDescent="0.2">
      <c r="A1007">
        <v>30361</v>
      </c>
      <c r="B1007" t="str">
        <f ca="1">VLOOKUP(A1007,Import_SuiviGlobal_MigAppliSate!A:I,2,FALSE)</f>
        <v>ST-GEORGES-LES BAILLARGEAU</v>
      </c>
      <c r="C1007" t="str">
        <f ca="1">VLOOKUP(A1007,Import_SuiviGlobal_MigAppliSate!A:I,3,FALSE)</f>
        <v>Super U</v>
      </c>
      <c r="D1007" s="1" t="str">
        <f ca="1">VLOOKUP(A1007,Import_SuiviGlobal_MigAppliSate!A:I,4,FALSE)</f>
        <v>Coop U Enseigne Ouest</v>
      </c>
      <c r="E1007">
        <f ca="1">VLOOKUP(A1007,Import_SuiviGlobal_MigAppliSate!A:I,5,FALSE)</f>
        <v>86130</v>
      </c>
      <c r="F1007" t="str">
        <f ca="1">VLOOKUP(A1007,Import_SuiviGlobal_MigAppliSate!A:I,6,FALSE)</f>
        <v>ROUTE DU CHAMP DE GAIN</v>
      </c>
      <c r="G1007" t="str">
        <f ca="1">VLOOKUP(A1007,Import_SuiviGlobal_MigAppliSate!A:I,7,FALSE)</f>
        <v>05.49.52.28.05</v>
      </c>
      <c r="H1007" t="str">
        <f ca="1">VLOOKUP(A1007,Import_SuiviGlobal_MigAppliSate!A:I,8,FALSE)</f>
        <v>HERRY Jean-François</v>
      </c>
      <c r="I1007" t="str">
        <f ca="1">VLOOKUP(A1007,Import_SuiviGlobal_MigAppliSate!A:I,9,FALSE)</f>
        <v>jean-francois.herry@systeme-u.fr</v>
      </c>
      <c r="J1007" s="24" t="str">
        <f ca="1">VLOOKUP(A1007,Import_SuiviGlobal_MigAppliSate!A:K,10,FALSE)</f>
        <v>JEFFROY Isabelle</v>
      </c>
      <c r="K1007" t="str">
        <f ca="1">VLOOKUP(A1007,Import_SuiviGlobal_MigAppliSate!A:K,11,FALSE)</f>
        <v>superu.saintgeorgeslesbaillargeaux.rh@systeme-u.fr</v>
      </c>
      <c r="O1007" s="1" t="s">
        <v>22</v>
      </c>
    </row>
    <row r="1008" spans="1:15" ht="12.75" hidden="1" x14ac:dyDescent="0.2">
      <c r="A1008">
        <v>35193</v>
      </c>
      <c r="B1008" t="str">
        <f ca="1">VLOOKUP(A1008,Import_SuiviGlobal_MigAppliSate!A:I,2,FALSE)</f>
        <v>ST-GEORGES-SUR-LOIRE</v>
      </c>
      <c r="C1008" t="str">
        <f ca="1">VLOOKUP(A1008,Import_SuiviGlobal_MigAppliSate!A:I,3,FALSE)</f>
        <v>Super U</v>
      </c>
      <c r="D1008" s="1" t="str">
        <f ca="1">VLOOKUP(A1008,Import_SuiviGlobal_MigAppliSate!A:I,4,FALSE)</f>
        <v>Coop U Enseigne Ouest</v>
      </c>
      <c r="E1008">
        <f ca="1">VLOOKUP(A1008,Import_SuiviGlobal_MigAppliSate!A:I,5,FALSE)</f>
        <v>49170</v>
      </c>
      <c r="F1008" t="str">
        <f ca="1">VLOOKUP(A1008,Import_SuiviGlobal_MigAppliSate!A:I,6,FALSE)</f>
        <v>ZAC DES FOUGÈRES</v>
      </c>
      <c r="G1008" t="str">
        <f ca="1">VLOOKUP(A1008,Import_SuiviGlobal_MigAppliSate!A:I,7,FALSE)</f>
        <v>02.41.36.81.00</v>
      </c>
      <c r="H1008" t="str">
        <f ca="1">VLOOKUP(A1008,Import_SuiviGlobal_MigAppliSate!A:I,8,FALSE)</f>
        <v>BIRON Alexandre</v>
      </c>
      <c r="I1008" t="str">
        <f ca="1">VLOOKUP(A1008,Import_SuiviGlobal_MigAppliSate!A:I,9,FALSE)</f>
        <v>alexandre.biron@systeme-u.fr</v>
      </c>
      <c r="J1008" s="24" t="str">
        <f ca="1">VLOOKUP(A1008,Import_SuiviGlobal_MigAppliSate!A:K,10,FALSE)</f>
        <v>Mme. JUPILLE Murielle</v>
      </c>
      <c r="K1008" t="str">
        <f ca="1">VLOOKUP(A1008,Import_SuiviGlobal_MigAppliSate!A:K,11,FALSE)</f>
        <v>murielle.jupille@systeme-u.fr</v>
      </c>
      <c r="O1008" s="1" t="s">
        <v>22</v>
      </c>
    </row>
    <row r="1009" spans="1:18" ht="12.75" hidden="1" x14ac:dyDescent="0.2">
      <c r="A1009">
        <v>30582</v>
      </c>
      <c r="B1009" t="str">
        <f ca="1">VLOOKUP(A1009,Import_SuiviGlobal_MigAppliSate!A:I,2,FALSE)</f>
        <v>ST-GILDAS-DES-BOIS</v>
      </c>
      <c r="C1009" t="str">
        <f ca="1">VLOOKUP(A1009,Import_SuiviGlobal_MigAppliSate!A:I,3,FALSE)</f>
        <v>Super U</v>
      </c>
      <c r="D1009" s="1" t="str">
        <f ca="1">VLOOKUP(A1009,Import_SuiviGlobal_MigAppliSate!A:I,4,FALSE)</f>
        <v>Coop U Enseigne Ouest</v>
      </c>
      <c r="E1009">
        <f ca="1">VLOOKUP(A1009,Import_SuiviGlobal_MigAppliSate!A:I,5,FALSE)</f>
        <v>44530</v>
      </c>
      <c r="F1009" t="str">
        <f ca="1">VLOOKUP(A1009,Import_SuiviGlobal_MigAppliSate!A:I,6,FALSE)</f>
        <v>ROUTE DE PONTCHÂTEAU</v>
      </c>
      <c r="G1009" t="str">
        <f ca="1">VLOOKUP(A1009,Import_SuiviGlobal_MigAppliSate!A:I,7,FALSE)</f>
        <v>02.40.88.67.00</v>
      </c>
      <c r="H1009" t="str">
        <f ca="1">VLOOKUP(A1009,Import_SuiviGlobal_MigAppliSate!A:I,8,FALSE)</f>
        <v>MOREAU RPT CM DEVELOPPEMENT Cyrille</v>
      </c>
      <c r="I1009" t="str">
        <f ca="1">VLOOKUP(A1009,Import_SuiviGlobal_MigAppliSate!A:I,9,FALSE)</f>
        <v>cyrille.moreau@systeme-u.fr</v>
      </c>
      <c r="J1009" s="24" t="str">
        <f ca="1">VLOOKUP(A1009,Import_SuiviGlobal_MigAppliSate!A:K,10,FALSE)</f>
        <v>Mme Marie Georget</v>
      </c>
      <c r="K1009" t="str">
        <f ca="1">VLOOKUP(A1009,Import_SuiviGlobal_MigAppliSate!A:K,11,FALSE)</f>
        <v>superu.saintgildasdesbois.administratif@systeme-u.fr,
superu.saintgildasdesbois.ACCUEIL@systeme-u.fr</v>
      </c>
      <c r="O1009" s="1" t="s">
        <v>22</v>
      </c>
    </row>
    <row r="1010" spans="1:18" ht="12.75" hidden="1" x14ac:dyDescent="0.2">
      <c r="A1010">
        <v>30523</v>
      </c>
      <c r="B1010" t="str">
        <f ca="1">VLOOKUP(A1010,Import_SuiviGlobal_MigAppliSate!A:I,2,FALSE)</f>
        <v>ST-GILLES-CROIX-DE-VIE</v>
      </c>
      <c r="C1010" t="str">
        <f ca="1">VLOOKUP(A1010,Import_SuiviGlobal_MigAppliSate!A:I,3,FALSE)</f>
        <v>Super U</v>
      </c>
      <c r="D1010" s="1" t="str">
        <f ca="1">VLOOKUP(A1010,Import_SuiviGlobal_MigAppliSate!A:I,4,FALSE)</f>
        <v>Coop U Enseigne Ouest</v>
      </c>
      <c r="E1010">
        <f ca="1">VLOOKUP(A1010,Import_SuiviGlobal_MigAppliSate!A:I,5,FALSE)</f>
        <v>85804</v>
      </c>
      <c r="F1010" t="str">
        <f ca="1">VLOOKUP(A1010,Import_SuiviGlobal_MigAppliSate!A:I,6,FALSE)</f>
        <v>1 RUE DE LA DRIE</v>
      </c>
      <c r="G1010" t="str">
        <f ca="1">VLOOKUP(A1010,Import_SuiviGlobal_MigAppliSate!A:I,7,FALSE)</f>
        <v>02.51.55.40.40</v>
      </c>
      <c r="H1010" t="str">
        <f ca="1">VLOOKUP(A1010,Import_SuiviGlobal_MigAppliSate!A:I,8,FALSE)</f>
        <v>STEPHAN Loic</v>
      </c>
      <c r="I1010" t="str">
        <f ca="1">VLOOKUP(A1010,Import_SuiviGlobal_MigAppliSate!A:I,9,FALSE)</f>
        <v>loic.stephan@systeme-u.fr</v>
      </c>
      <c r="J1010" s="24" t="str">
        <f ca="1">VLOOKUP(A1010,Import_SuiviGlobal_MigAppliSate!A:K,10,FALSE)</f>
        <v>RABILLE Nicolas</v>
      </c>
      <c r="K1010" t="str">
        <f ca="1">VLOOKUP(A1010,Import_SuiviGlobal_MigAppliSate!A:K,11,FALSE)</f>
        <v>superu.saintgillescroixdevie.gescom@systeme-u.fr</v>
      </c>
      <c r="O1010" s="1" t="s">
        <v>22</v>
      </c>
    </row>
    <row r="1011" spans="1:18" ht="12.75" hidden="1" x14ac:dyDescent="0.2">
      <c r="A1011">
        <v>32712</v>
      </c>
      <c r="B1011" t="str">
        <f ca="1">VLOOKUP(A1011,Import_SuiviGlobal_MigAppliSate!A:I,2,FALSE)</f>
        <v>ST-HERBLAIN</v>
      </c>
      <c r="C1011" t="str">
        <f ca="1">VLOOKUP(A1011,Import_SuiviGlobal_MigAppliSate!A:I,3,FALSE)</f>
        <v>Super U</v>
      </c>
      <c r="D1011" s="1" t="str">
        <f ca="1">VLOOKUP(A1011,Import_SuiviGlobal_MigAppliSate!A:I,4,FALSE)</f>
        <v>Coop U Enseigne Ouest</v>
      </c>
      <c r="E1011">
        <f ca="1">VLOOKUP(A1011,Import_SuiviGlobal_MigAppliSate!A:I,5,FALSE)</f>
        <v>44800</v>
      </c>
      <c r="F1011" t="str">
        <f ca="1">VLOOKUP(A1011,Import_SuiviGlobal_MigAppliSate!A:I,6,FALSE)</f>
        <v>14 RUE DU LIEUTENANT MOUILLIÉ</v>
      </c>
      <c r="G1011" t="str">
        <f ca="1">VLOOKUP(A1011,Import_SuiviGlobal_MigAppliSate!A:I,7,FALSE)</f>
        <v>02.40.38.30.05</v>
      </c>
      <c r="H1011" t="str">
        <f ca="1">VLOOKUP(A1011,Import_SuiviGlobal_MigAppliSate!A:I,8,FALSE)</f>
        <v>SANZ Olivier</v>
      </c>
      <c r="I1011" t="str">
        <f ca="1">VLOOKUP(A1011,Import_SuiviGlobal_MigAppliSate!A:I,9,FALSE)</f>
        <v>olivier.sanz@systeme-u.fr</v>
      </c>
      <c r="J1011" s="24" t="str">
        <f ca="1">VLOOKUP(A1011,Import_SuiviGlobal_MigAppliSate!A:K,10,FALSE)</f>
        <v>SANZ Celine</v>
      </c>
      <c r="K1011" t="str">
        <f ca="1">VLOOKUP(A1011,Import_SuiviGlobal_MigAppliSate!A:K,11,FALSE)</f>
        <v>celine.sanz@systeme-u.fr</v>
      </c>
      <c r="O1011" s="1" t="s">
        <v>22</v>
      </c>
    </row>
    <row r="1012" spans="1:18" ht="12.75" hidden="1" x14ac:dyDescent="0.2">
      <c r="A1012">
        <v>37668</v>
      </c>
      <c r="B1012" t="str">
        <f ca="1">VLOOKUP(A1012,Import_SuiviGlobal_MigAppliSate!A:I,2,FALSE)</f>
        <v>ST-HERBLAIN BEAUSEJOUR</v>
      </c>
      <c r="C1012" t="str">
        <f ca="1">VLOOKUP(A1012,Import_SuiviGlobal_MigAppliSate!A:I,3,FALSE)</f>
        <v>U Express</v>
      </c>
      <c r="D1012" s="1" t="str">
        <f ca="1">VLOOKUP(A1012,Import_SuiviGlobal_MigAppliSate!A:I,4,FALSE)</f>
        <v>Coop U Enseigne Ouest</v>
      </c>
      <c r="E1012">
        <f ca="1">VLOOKUP(A1012,Import_SuiviGlobal_MigAppliSate!A:I,5,FALSE)</f>
        <v>44800</v>
      </c>
      <c r="F1012" t="str">
        <f ca="1">VLOOKUP(A1012,Import_SuiviGlobal_MigAppliSate!A:I,6,FALSE)</f>
        <v>149 ROUTE DE VANNES</v>
      </c>
      <c r="G1012" t="str">
        <f ca="1">VLOOKUP(A1012,Import_SuiviGlobal_MigAppliSate!A:I,7,FALSE)</f>
        <v>02.40.76.42.59</v>
      </c>
      <c r="H1012" t="str">
        <f ca="1">VLOOKUP(A1012,Import_SuiviGlobal_MigAppliSate!A:I,8,FALSE)</f>
        <v>TRINQUART Yoann</v>
      </c>
      <c r="I1012" t="str">
        <f ca="1">VLOOKUP(A1012,Import_SuiviGlobal_MigAppliSate!A:I,9,FALSE)</f>
        <v>yoann.trinquart@systeme-u.fr</v>
      </c>
      <c r="J1012" s="24" t="str">
        <f ca="1">VLOOKUP(A1012,Import_SuiviGlobal_MigAppliSate!A:K,10,FALSE)</f>
        <v xml:space="preserve">Trinquart Yoann </v>
      </c>
      <c r="K1012" t="str">
        <f ca="1">VLOOKUP(A1012,Import_SuiviGlobal_MigAppliSate!A:K,11,FALSE)</f>
        <v>yoann.trinquart@systeme-u.fr</v>
      </c>
      <c r="O1012" s="1" t="s">
        <v>22</v>
      </c>
    </row>
    <row r="1013" spans="1:18" ht="12.75" hidden="1" x14ac:dyDescent="0.2">
      <c r="A1013">
        <v>30108</v>
      </c>
      <c r="B1013" t="str">
        <f ca="1">VLOOKUP(A1013,Import_SuiviGlobal_MigAppliSate!A:I,2,FALSE)</f>
        <v>ST-HILAIRE-DE-RIEZ</v>
      </c>
      <c r="C1013" t="str">
        <f ca="1">VLOOKUP(A1013,Import_SuiviGlobal_MigAppliSate!A:I,3,FALSE)</f>
        <v>Hyper U</v>
      </c>
      <c r="D1013" s="1" t="str">
        <f ca="1">VLOOKUP(A1013,Import_SuiviGlobal_MigAppliSate!A:I,4,FALSE)</f>
        <v>Coop U Enseigne Ouest</v>
      </c>
      <c r="E1013">
        <f ca="1">VLOOKUP(A1013,Import_SuiviGlobal_MigAppliSate!A:I,5,FALSE)</f>
        <v>85270</v>
      </c>
      <c r="F1013" t="str">
        <f ca="1">VLOOKUP(A1013,Import_SuiviGlobal_MigAppliSate!A:I,6,FALSE)</f>
        <v>140 AVENUE DE L'ISLE DE RIEZ</v>
      </c>
      <c r="G1013" t="str">
        <f ca="1">VLOOKUP(A1013,Import_SuiviGlobal_MigAppliSate!A:I,7,FALSE)</f>
        <v>02.51.54.55.71</v>
      </c>
      <c r="H1013" t="str">
        <f ca="1">VLOOKUP(A1013,Import_SuiviGlobal_MigAppliSate!A:I,8,FALSE)</f>
        <v>GUERIN Mathieu</v>
      </c>
      <c r="I1013" t="str">
        <f ca="1">VLOOKUP(A1013,Import_SuiviGlobal_MigAppliSate!A:I,9,FALSE)</f>
        <v>mathieu.guerin@systeme-u.fr</v>
      </c>
      <c r="J1013" s="24" t="str">
        <f ca="1">VLOOKUP(A1013,Import_SuiviGlobal_MigAppliSate!A:K,10,FALSE)</f>
        <v>GUERIN Mathieu</v>
      </c>
      <c r="K1013" t="str">
        <f ca="1">VLOOKUP(A1013,Import_SuiviGlobal_MigAppliSate!A:K,11,FALSE)</f>
        <v>mathieu.guerin@systeme-u.fr</v>
      </c>
      <c r="O1013" s="1" t="s">
        <v>22</v>
      </c>
    </row>
    <row r="1014" spans="1:18" ht="12.75" hidden="1" x14ac:dyDescent="0.2">
      <c r="A1014">
        <v>39237</v>
      </c>
      <c r="B1014" t="str">
        <f ca="1">VLOOKUP(A1014,Import_SuiviGlobal_MigAppliSate!A:I,2,FALSE)</f>
        <v>ST-JAMES</v>
      </c>
      <c r="C1014" t="str">
        <f ca="1">VLOOKUP(A1014,Import_SuiviGlobal_MigAppliSate!A:I,3,FALSE)</f>
        <v>Super U</v>
      </c>
      <c r="D1014" s="1" t="str">
        <f ca="1">VLOOKUP(A1014,Import_SuiviGlobal_MigAppliSate!A:I,4,FALSE)</f>
        <v>Coop U Enseigne Ouest</v>
      </c>
      <c r="E1014">
        <f ca="1">VLOOKUP(A1014,Import_SuiviGlobal_MigAppliSate!A:I,5,FALSE)</f>
        <v>50240</v>
      </c>
      <c r="F1014" t="str">
        <f ca="1">VLOOKUP(A1014,Import_SuiviGlobal_MigAppliSate!A:I,6,FALSE)</f>
        <v>ZONE DE BEAUFOUR</v>
      </c>
      <c r="G1014" t="str">
        <f ca="1">VLOOKUP(A1014,Import_SuiviGlobal_MigAppliSate!A:I,7,FALSE)</f>
        <v>02.33.89.64.40</v>
      </c>
      <c r="H1014" t="str">
        <f ca="1">VLOOKUP(A1014,Import_SuiviGlobal_MigAppliSate!A:I,8,FALSE)</f>
        <v>BARON RPT SAS LYTI HOLDING Laurent</v>
      </c>
      <c r="I1014" t="str">
        <f ca="1">VLOOKUP(A1014,Import_SuiviGlobal_MigAppliSate!A:I,9,FALSE)</f>
        <v>laurent.baron@systeme-u.fr</v>
      </c>
      <c r="J1014" s="24" t="str">
        <f ca="1">VLOOKUP(A1014,Import_SuiviGlobal_MigAppliSate!A:K,10,FALSE)</f>
        <v>BARON Thierry</v>
      </c>
      <c r="K1014" t="str">
        <f ca="1">VLOOKUP(A1014,Import_SuiviGlobal_MigAppliSate!A:K,11,FALSE)</f>
        <v>thierry.baron@systeme-u.fr</v>
      </c>
      <c r="O1014" s="1" t="s">
        <v>22</v>
      </c>
    </row>
    <row r="1015" spans="1:18" ht="12.75" hidden="1" x14ac:dyDescent="0.2">
      <c r="A1015">
        <v>34216</v>
      </c>
      <c r="B1015" t="str">
        <f ca="1">VLOOKUP(A1015,Import_SuiviGlobal_MigAppliSate!A:I,2,FALSE)</f>
        <v>ST-JEAN-D'ANGELY</v>
      </c>
      <c r="C1015" t="str">
        <f ca="1">VLOOKUP(A1015,Import_SuiviGlobal_MigAppliSate!A:I,3,FALSE)</f>
        <v>Utile</v>
      </c>
      <c r="D1015" s="1" t="str">
        <f ca="1">VLOOKUP(A1015,Import_SuiviGlobal_MigAppliSate!A:I,4,FALSE)</f>
        <v>Coop Atlantique</v>
      </c>
      <c r="E1015">
        <f ca="1">VLOOKUP(A1015,Import_SuiviGlobal_MigAppliSate!A:I,5,FALSE)</f>
        <v>17400</v>
      </c>
      <c r="F1015" t="str">
        <f ca="1">VLOOKUP(A1015,Import_SuiviGlobal_MigAppliSate!A:I,6,FALSE)</f>
        <v>6, RUE DE L'HOTEL DE VILLE</v>
      </c>
      <c r="G1015" t="str">
        <f ca="1">VLOOKUP(A1015,Import_SuiviGlobal_MigAppliSate!A:I,7,FALSE)</f>
        <v>05.46.32.06.40</v>
      </c>
      <c r="H1015" t="str">
        <f ca="1">VLOOKUP(A1015,Import_SuiviGlobal_MigAppliSate!A:I,8,FALSE)</f>
        <v>FLAMBARD Hervé</v>
      </c>
      <c r="I1015" t="str">
        <f ca="1">VLOOKUP(A1015,Import_SuiviGlobal_MigAppliSate!A:I,9,FALSE)</f>
        <v>bertrand.defontaine_coop_su_uex@systeme-u.fr</v>
      </c>
      <c r="J1015" s="24" t="str">
        <f ca="1">VLOOKUP(A1015,Import_SuiviGlobal_MigAppliSate!A:K,10,FALSE)</f>
        <v>Grégory LEFEBVRE</v>
      </c>
      <c r="K1015" t="str">
        <f ca="1">VLOOKUP(A1015,Import_SuiviGlobal_MigAppliSate!A:K,11,FALSE)</f>
        <v>uexpress.saintjeandangely.direction@systeme-u.fr,nbrigant@coop-atlantique.fr,sjaud@coop-atlantique.fr</v>
      </c>
      <c r="L1015" s="1" t="s">
        <v>17</v>
      </c>
      <c r="M1015" t="s">
        <v>23</v>
      </c>
      <c r="O1015" s="1" t="s">
        <v>22</v>
      </c>
    </row>
    <row r="1016" spans="1:18" ht="12.75" hidden="1" x14ac:dyDescent="0.2">
      <c r="A1016">
        <v>32054</v>
      </c>
      <c r="B1016" t="str">
        <f ca="1">VLOOKUP(A1016,Import_SuiviGlobal_MigAppliSate!A:I,2,FALSE)</f>
        <v>ST-JEAN-DE-MONTS</v>
      </c>
      <c r="C1016" t="str">
        <f ca="1">VLOOKUP(A1016,Import_SuiviGlobal_MigAppliSate!A:I,3,FALSE)</f>
        <v>Super U</v>
      </c>
      <c r="D1016" s="1" t="str">
        <f ca="1">VLOOKUP(A1016,Import_SuiviGlobal_MigAppliSate!A:I,4,FALSE)</f>
        <v>Coop U Enseigne Ouest</v>
      </c>
      <c r="E1016">
        <f ca="1">VLOOKUP(A1016,Import_SuiviGlobal_MigAppliSate!A:I,5,FALSE)</f>
        <v>85160</v>
      </c>
      <c r="F1016" t="str">
        <f ca="1">VLOOKUP(A1016,Import_SuiviGlobal_MigAppliSate!A:I,6,FALSE)</f>
        <v>ROUTE DE CHALLANS</v>
      </c>
      <c r="G1016" t="str">
        <f ca="1">VLOOKUP(A1016,Import_SuiviGlobal_MigAppliSate!A:I,7,FALSE)</f>
        <v>02.51.26.55.55</v>
      </c>
      <c r="H1016" t="str">
        <f ca="1">VLOOKUP(A1016,Import_SuiviGlobal_MigAppliSate!A:I,8,FALSE)</f>
        <v>GAUDIN RPT SARL SODISMONTS Philippe</v>
      </c>
      <c r="I1016" t="str">
        <f ca="1">VLOOKUP(A1016,Import_SuiviGlobal_MigAppliSate!A:I,9,FALSE)</f>
        <v>philippe.gaudin@systeme-u.fr</v>
      </c>
      <c r="J1016" s="24" t="str">
        <f ca="1">VLOOKUP(A1016,Import_SuiviGlobal_MigAppliSate!A:K,10,FALSE)</f>
        <v>Brethé Marie-Claire
Mme Sophie MOREAU (UPLV)</v>
      </c>
      <c r="K1016" t="str">
        <f ca="1">VLOOKUP(A1016,Import_SuiviGlobal_MigAppliSate!A:K,11,FALSE)</f>
        <v>superu.saintjeandemonts.affichage@systeme-u.fr</v>
      </c>
      <c r="O1016" s="1" t="s">
        <v>22</v>
      </c>
    </row>
    <row r="1017" spans="1:18" ht="12.75" hidden="1" x14ac:dyDescent="0.2">
      <c r="A1017">
        <v>31444</v>
      </c>
      <c r="B1017" t="str">
        <f ca="1">VLOOKUP(A1017,Import_SuiviGlobal_MigAppliSate!A:I,2,FALSE)</f>
        <v>ST-JUNIEN</v>
      </c>
      <c r="C1017" t="str">
        <f ca="1">VLOOKUP(A1017,Import_SuiviGlobal_MigAppliSate!A:I,3,FALSE)</f>
        <v>Hyper U</v>
      </c>
      <c r="D1017" s="1" t="str">
        <f ca="1">VLOOKUP(A1017,Import_SuiviGlobal_MigAppliSate!A:I,4,FALSE)</f>
        <v>Coop Atlantique</v>
      </c>
      <c r="E1017">
        <f ca="1">VLOOKUP(A1017,Import_SuiviGlobal_MigAppliSate!A:I,5,FALSE)</f>
        <v>87200</v>
      </c>
      <c r="F1017" t="str">
        <f ca="1">VLOOKUP(A1017,Import_SuiviGlobal_MigAppliSate!A:I,6,FALSE)</f>
        <v>AVENUE NELSON MANDELA</v>
      </c>
      <c r="G1017" t="str">
        <f ca="1">VLOOKUP(A1017,Import_SuiviGlobal_MigAppliSate!A:I,7,FALSE)</f>
        <v>05.55.43.05.70</v>
      </c>
      <c r="H1017" t="str">
        <f ca="1">VLOOKUP(A1017,Import_SuiviGlobal_MigAppliSate!A:I,8,FALSE)</f>
        <v>FLAMBARD Hervé</v>
      </c>
      <c r="I1017" t="str">
        <f ca="1">VLOOKUP(A1017,Import_SuiviGlobal_MigAppliSate!A:I,9,FALSE)</f>
        <v>laurent.fleury_coop_hu@systeme-u.fr</v>
      </c>
      <c r="J1017" s="24" t="str">
        <f ca="1">VLOOKUP(A1017,Import_SuiviGlobal_MigAppliSate!A:K,10,FALSE)</f>
        <v>Karine BESSE</v>
      </c>
      <c r="K1017" t="str">
        <f ca="1">VLOOKUP(A1017,Import_SuiviGlobal_MigAppliSate!A:K,11,FALSE)</f>
        <v>hyperu.saintjunien.direction@systeme-u.fr,nbrigant@coop-atlantique.fr,sjaud@coop-atlantique.fr,kbesse@coop-atlantique.fr</v>
      </c>
      <c r="O1017" s="1" t="s">
        <v>22</v>
      </c>
    </row>
    <row r="1018" spans="1:18" ht="12.75" hidden="1" x14ac:dyDescent="0.2">
      <c r="A1018">
        <v>34221</v>
      </c>
      <c r="B1018" t="str">
        <f ca="1">VLOOKUP(A1018,Import_SuiviGlobal_MigAppliSate!A:I,2,FALSE)</f>
        <v>ST-JUNIEN</v>
      </c>
      <c r="C1018" t="str">
        <f ca="1">VLOOKUP(A1018,Import_SuiviGlobal_MigAppliSate!A:I,3,FALSE)</f>
        <v>Utile</v>
      </c>
      <c r="D1018" s="1" t="str">
        <f ca="1">VLOOKUP(A1018,Import_SuiviGlobal_MigAppliSate!A:I,4,FALSE)</f>
        <v>Coop Atlantique</v>
      </c>
      <c r="E1018">
        <f ca="1">VLOOKUP(A1018,Import_SuiviGlobal_MigAppliSate!A:I,5,FALSE)</f>
        <v>87200</v>
      </c>
      <c r="F1018" t="str">
        <f ca="1">VLOOKUP(A1018,Import_SuiviGlobal_MigAppliSate!A:I,6,FALSE)</f>
        <v>7 BOULEVARD BROSSOLETTE</v>
      </c>
      <c r="G1018" t="str">
        <f ca="1">VLOOKUP(A1018,Import_SuiviGlobal_MigAppliSate!A:I,7,FALSE)</f>
        <v>05.55.02.20.46</v>
      </c>
      <c r="H1018" t="str">
        <f ca="1">VLOOKUP(A1018,Import_SuiviGlobal_MigAppliSate!A:I,8,FALSE)</f>
        <v>FLAMBARD Hervé</v>
      </c>
      <c r="I1018" t="str">
        <f ca="1">VLOOKUP(A1018,Import_SuiviGlobal_MigAppliSate!A:I,9,FALSE)</f>
        <v>bertrand.defontaine_coop_su_uex@systeme-u.fr</v>
      </c>
      <c r="J1018" s="24" t="str">
        <f ca="1">VLOOKUP(A1018,Import_SuiviGlobal_MigAppliSate!A:K,10,FALSE)</f>
        <v>Ludovic CAUNES / Aurélie DOUYET</v>
      </c>
      <c r="K1018" t="str">
        <f ca="1">VLOOKUP(A1018,Import_SuiviGlobal_MigAppliSate!A:K,11,FALSE)</f>
        <v>uexpress.saintjunienbrossolette.direction@systeme-u.fr,nbrigant@coop-atlantique.fr,sjaud@coop-atlantique.fr,lcaunes@coop-atlantique.fr</v>
      </c>
      <c r="L1018" s="1" t="s">
        <v>17</v>
      </c>
      <c r="M1018" t="s">
        <v>23</v>
      </c>
      <c r="O1018" s="1" t="s">
        <v>22</v>
      </c>
    </row>
    <row r="1019" spans="1:18" ht="12.75" hidden="1" x14ac:dyDescent="0.2">
      <c r="A1019">
        <v>35533</v>
      </c>
      <c r="B1019" t="str">
        <f ca="1">VLOOKUP(A1019,Import_SuiviGlobal_MigAppliSate!A:I,2,FALSE)</f>
        <v>ST-LAURENT-DU-MARONI</v>
      </c>
      <c r="C1019" t="str">
        <f ca="1">VLOOKUP(A1019,Import_SuiviGlobal_MigAppliSate!A:I,3,FALSE)</f>
        <v>Super U</v>
      </c>
      <c r="D1019" s="1" t="str">
        <f ca="1">VLOOKUP(A1019,Import_SuiviGlobal_MigAppliSate!A:I,4,FALSE)</f>
        <v>Coop U Enseigne Ouest</v>
      </c>
      <c r="E1019">
        <f ca="1">VLOOKUP(A1019,Import_SuiviGlobal_MigAppliSate!A:I,5,FALSE)</f>
        <v>97320</v>
      </c>
      <c r="F1019" t="str">
        <f ca="1">VLOOKUP(A1019,Import_SuiviGlobal_MigAppliSate!A:I,6,FALSE)</f>
        <v>1, RUE DU PORT</v>
      </c>
      <c r="G1019" t="str">
        <f ca="1">VLOOKUP(A1019,Import_SuiviGlobal_MigAppliSate!A:I,7,FALSE)</f>
        <v>05.94.27.83.11</v>
      </c>
      <c r="H1019" t="str">
        <f ca="1">VLOOKUP(A1019,Import_SuiviGlobal_MigAppliSate!A:I,8,FALSE)</f>
        <v>DU Jan</v>
      </c>
      <c r="I1019" t="str">
        <f ca="1">VLOOKUP(A1019,Import_SuiviGlobal_MigAppliSate!A:I,9,FALSE)</f>
        <v>katia.du@systeme-u.fr</v>
      </c>
      <c r="J1019" s="24" t="str">
        <f ca="1">VLOOKUP(A1019,Import_SuiviGlobal_MigAppliSate!A:K,10,FALSE)</f>
        <v>Stephane GOVEN</v>
      </c>
      <c r="K1019" t="str">
        <f ca="1">VLOOKUP(A1019,Import_SuiviGlobal_MigAppliSate!A:K,11,FALSE)</f>
        <v>superu.saintlaurentdumaroni.direction@systeme-u.fr</v>
      </c>
      <c r="O1019" s="1" t="s">
        <v>22</v>
      </c>
    </row>
    <row r="1020" spans="1:18" ht="12.75" hidden="1" x14ac:dyDescent="0.2">
      <c r="A1020">
        <v>30612</v>
      </c>
      <c r="B1020" t="str">
        <f ca="1">VLOOKUP(A1020,Import_SuiviGlobal_MigAppliSate!A:I,2,FALSE)</f>
        <v>ST-LAURENT-NOUAN</v>
      </c>
      <c r="C1020" t="str">
        <f ca="1">VLOOKUP(A1020,Import_SuiviGlobal_MigAppliSate!A:I,3,FALSE)</f>
        <v>Super U</v>
      </c>
      <c r="D1020" s="1" t="str">
        <f ca="1">VLOOKUP(A1020,Import_SuiviGlobal_MigAppliSate!A:I,4,FALSE)</f>
        <v>Coop U Enseigne Ouest</v>
      </c>
      <c r="E1020">
        <f ca="1">VLOOKUP(A1020,Import_SuiviGlobal_MigAppliSate!A:I,5,FALSE)</f>
        <v>41220</v>
      </c>
      <c r="F1020" t="str">
        <f ca="1">VLOOKUP(A1020,Import_SuiviGlobal_MigAppliSate!A:I,6,FALSE)</f>
        <v>AVENUE DE SOLOGNE</v>
      </c>
      <c r="G1020" t="str">
        <f ca="1">VLOOKUP(A1020,Import_SuiviGlobal_MigAppliSate!A:I,7,FALSE)</f>
        <v>02.54.87.22.00</v>
      </c>
      <c r="H1020" t="str">
        <f ca="1">VLOOKUP(A1020,Import_SuiviGlobal_MigAppliSate!A:I,8,FALSE)</f>
        <v>BORGET Jean-François</v>
      </c>
      <c r="I1020" t="str">
        <f ca="1">VLOOKUP(A1020,Import_SuiviGlobal_MigAppliSate!A:I,9,FALSE)</f>
        <v>jean-francois.borget@systeme-u.fr</v>
      </c>
      <c r="J1020" s="24" t="str">
        <f ca="1">VLOOKUP(A1020,Import_SuiviGlobal_MigAppliSate!A:K,10,FALSE)</f>
        <v>Nelson DE AZEVEDO</v>
      </c>
      <c r="K1020" t="str">
        <f ca="1">VLOOKUP(A1020,Import_SuiviGlobal_MigAppliSate!A:K,11,FALSE)</f>
        <v>superu.saintlaurentnouan.direction@systeme-u.fr</v>
      </c>
      <c r="O1020" s="1" t="s">
        <v>22</v>
      </c>
    </row>
    <row r="1021" spans="1:18" ht="12.75" hidden="1" x14ac:dyDescent="0.2">
      <c r="A1021">
        <v>30310</v>
      </c>
      <c r="B1021" t="str">
        <f ca="1">VLOOKUP(A1021,Import_SuiviGlobal_MigAppliSate!A:I,2,FALSE)</f>
        <v>ST-LEGER-DE-LA MARTINIERE</v>
      </c>
      <c r="C1021" t="str">
        <f ca="1">VLOOKUP(A1021,Import_SuiviGlobal_MigAppliSate!A:I,3,FALSE)</f>
        <v>Super U</v>
      </c>
      <c r="D1021" s="1" t="str">
        <f ca="1">VLOOKUP(A1021,Import_SuiviGlobal_MigAppliSate!A:I,4,FALSE)</f>
        <v>Coop U Enseigne Ouest</v>
      </c>
      <c r="E1021">
        <f ca="1">VLOOKUP(A1021,Import_SuiviGlobal_MigAppliSate!A:I,5,FALSE)</f>
        <v>79500</v>
      </c>
      <c r="F1021" t="str">
        <f ca="1">VLOOKUP(A1021,Import_SuiviGlobal_MigAppliSate!A:I,6,FALSE)</f>
        <v>AVENUE CLÉMENT PINEAU</v>
      </c>
      <c r="G1021" t="str">
        <f ca="1">VLOOKUP(A1021,Import_SuiviGlobal_MigAppliSate!A:I,7,FALSE)</f>
        <v>05.49.27.12.49</v>
      </c>
      <c r="H1021" t="str">
        <f ca="1">VLOOKUP(A1021,Import_SuiviGlobal_MigAppliSate!A:I,8,FALSE)</f>
        <v>POUPELIN Eric</v>
      </c>
      <c r="I1021" t="str">
        <f ca="1">VLOOKUP(A1021,Import_SuiviGlobal_MigAppliSate!A:I,9,FALSE)</f>
        <v>eric.poupelin@systeme-u.fr</v>
      </c>
      <c r="J1021" s="24" t="str">
        <f ca="1">VLOOKUP(A1021,Import_SuiviGlobal_MigAppliSate!A:K,10,FALSE)</f>
        <v>ROBIN Etienne</v>
      </c>
      <c r="K1021" t="str">
        <f ca="1">VLOOKUP(A1021,Import_SuiviGlobal_MigAppliSate!A:K,11,FALSE)</f>
        <v>superu.saintlegerdelamartiniere@systeme-u.fr</v>
      </c>
      <c r="L1021" s="1" t="s">
        <v>17</v>
      </c>
      <c r="M1021" s="1" t="s">
        <v>24</v>
      </c>
      <c r="N1021" s="1" t="s">
        <v>18</v>
      </c>
      <c r="O1021" s="1" t="s">
        <v>19</v>
      </c>
      <c r="P1021" s="19"/>
      <c r="Q1021" s="19"/>
      <c r="R1021" s="19"/>
    </row>
    <row r="1022" spans="1:18" ht="12.75" hidden="1" x14ac:dyDescent="0.2">
      <c r="A1022">
        <v>38188</v>
      </c>
      <c r="B1022" t="str">
        <f ca="1">VLOOKUP(A1022,Import_SuiviGlobal_MigAppliSate!A:I,2,FALSE)</f>
        <v>ST-LOUIS</v>
      </c>
      <c r="C1022" t="str">
        <f ca="1">VLOOKUP(A1022,Import_SuiviGlobal_MigAppliSate!A:I,3,FALSE)</f>
        <v>U Express</v>
      </c>
      <c r="D1022" s="1" t="str">
        <f ca="1">VLOOKUP(A1022,Import_SuiviGlobal_MigAppliSate!A:I,4,FALSE)</f>
        <v>Coop U Enseigne Ouest</v>
      </c>
      <c r="E1022">
        <f ca="1">VLOOKUP(A1022,Import_SuiviGlobal_MigAppliSate!A:I,5,FALSE)</f>
        <v>97134</v>
      </c>
      <c r="F1022" t="str">
        <f ca="1">VLOOKUP(A1022,Import_SuiviGlobal_MigAppliSate!A:I,6,FALSE)</f>
        <v>BAS DE LA SOURCE</v>
      </c>
      <c r="G1022" t="str">
        <f ca="1">VLOOKUP(A1022,Import_SuiviGlobal_MigAppliSate!A:I,7,FALSE)</f>
        <v>05.90.97.00.30</v>
      </c>
      <c r="H1022" t="str">
        <f ca="1">VLOOKUP(A1022,Import_SuiviGlobal_MigAppliSate!A:I,8,FALSE)</f>
        <v>GOUFFRAN Jerry</v>
      </c>
      <c r="I1022" t="str">
        <f ca="1">VLOOKUP(A1022,Import_SuiviGlobal_MigAppliSate!A:I,9,FALSE)</f>
        <v>jerry.gouffran@systeme-u.fr</v>
      </c>
      <c r="J1022" s="24" t="str">
        <f ca="1">VLOOKUP(A1022,Import_SuiviGlobal_MigAppliSate!A:K,10,FALSE)</f>
        <v/>
      </c>
      <c r="K1022" t="str">
        <f ca="1">VLOOKUP(A1022,Import_SuiviGlobal_MigAppliSate!A:K,11,FALSE)</f>
        <v>martine.crevecoeur@systeme-u.fr</v>
      </c>
      <c r="O1022" s="1" t="s">
        <v>22</v>
      </c>
    </row>
    <row r="1023" spans="1:18" ht="12.75" hidden="1" x14ac:dyDescent="0.2">
      <c r="A1023">
        <v>38621</v>
      </c>
      <c r="B1023" t="str">
        <f ca="1">VLOOKUP(A1023,Import_SuiviGlobal_MigAppliSate!A:I,2,FALSE)</f>
        <v>ST-MACAIRE-EN-MAUGES</v>
      </c>
      <c r="C1023" t="str">
        <f ca="1">VLOOKUP(A1023,Import_SuiviGlobal_MigAppliSate!A:I,3,FALSE)</f>
        <v>Super U</v>
      </c>
      <c r="D1023" s="1" t="str">
        <f ca="1">VLOOKUP(A1023,Import_SuiviGlobal_MigAppliSate!A:I,4,FALSE)</f>
        <v>Coop U Enseigne Ouest</v>
      </c>
      <c r="E1023">
        <f ca="1">VLOOKUP(A1023,Import_SuiviGlobal_MigAppliSate!A:I,5,FALSE)</f>
        <v>49450</v>
      </c>
      <c r="F1023" t="str">
        <f ca="1">VLOOKUP(A1023,Import_SuiviGlobal_MigAppliSate!A:I,6,FALSE)</f>
        <v>8, RUE KONRAD ADENAUER</v>
      </c>
      <c r="G1023" t="str">
        <f ca="1">VLOOKUP(A1023,Import_SuiviGlobal_MigAppliSate!A:I,7,FALSE)</f>
        <v>02.41.49.13.80</v>
      </c>
      <c r="H1023" t="str">
        <f ca="1">VLOOKUP(A1023,Import_SuiviGlobal_MigAppliSate!A:I,8,FALSE)</f>
        <v>GODINEAU RPT SARL JICA Jean-Yves</v>
      </c>
      <c r="I1023" t="str">
        <f ca="1">VLOOKUP(A1023,Import_SuiviGlobal_MigAppliSate!A:I,9,FALSE)</f>
        <v>jean-yves.godineau@systeme-u.fr</v>
      </c>
      <c r="J1023" s="24" t="str">
        <f ca="1">VLOOKUP(A1023,Import_SuiviGlobal_MigAppliSate!A:K,10,FALSE)</f>
        <v xml:space="preserve">Madame Bretadeau </v>
      </c>
      <c r="K1023" t="str">
        <f ca="1">VLOOKUP(A1023,Import_SuiviGlobal_MigAppliSate!A:K,11,FALSE)</f>
        <v>superu.saintmacaireenmauges.administratif@systeme-u.fr</v>
      </c>
      <c r="O1023" s="1" t="s">
        <v>22</v>
      </c>
    </row>
    <row r="1024" spans="1:18" ht="12.75" hidden="1" x14ac:dyDescent="0.2">
      <c r="A1024">
        <v>34228</v>
      </c>
      <c r="B1024" t="str">
        <f ca="1">VLOOKUP(A1024,Import_SuiviGlobal_MigAppliSate!A:I,2,FALSE)</f>
        <v>ST-MAIXENT</v>
      </c>
      <c r="C1024" t="str">
        <f ca="1">VLOOKUP(A1024,Import_SuiviGlobal_MigAppliSate!A:I,3,FALSE)</f>
        <v>Utile</v>
      </c>
      <c r="D1024" s="1" t="str">
        <f ca="1">VLOOKUP(A1024,Import_SuiviGlobal_MigAppliSate!A:I,4,FALSE)</f>
        <v>Coop Atlantique</v>
      </c>
      <c r="E1024">
        <f ca="1">VLOOKUP(A1024,Import_SuiviGlobal_MigAppliSate!A:I,5,FALSE)</f>
        <v>79400</v>
      </c>
      <c r="F1024" t="str">
        <f ca="1">VLOOKUP(A1024,Import_SuiviGlobal_MigAppliSate!A:I,6,FALSE)</f>
        <v>26, AVENUE GAMBETTA</v>
      </c>
      <c r="G1024" t="str">
        <f ca="1">VLOOKUP(A1024,Import_SuiviGlobal_MigAppliSate!A:I,7,FALSE)</f>
        <v>05.49.05.52.69</v>
      </c>
      <c r="H1024" t="str">
        <f ca="1">VLOOKUP(A1024,Import_SuiviGlobal_MigAppliSate!A:I,8,FALSE)</f>
        <v>FLAMBARD Hervé</v>
      </c>
      <c r="I1024" t="str">
        <f ca="1">VLOOKUP(A1024,Import_SuiviGlobal_MigAppliSate!A:I,9,FALSE)</f>
        <v>bertrand.defontaine_coop_su_uex@systeme-u.fr</v>
      </c>
      <c r="J1024" s="24" t="str">
        <f ca="1">VLOOKUP(A1024,Import_SuiviGlobal_MigAppliSate!A:K,10,FALSE)</f>
        <v>Béatrice GAIE</v>
      </c>
      <c r="K1024" t="str">
        <f ca="1">VLOOKUP(A1024,Import_SuiviGlobal_MigAppliSate!A:K,11,FALSE)</f>
        <v>uexpress.saintmaixent.direction@systeme-u.fr,nbrigant@coop-atlantique.fr,sjaud@coop-atlantique.fr,cviaud@coop-atlantique.fr</v>
      </c>
      <c r="O1024" s="1" t="s">
        <v>22</v>
      </c>
    </row>
    <row r="1025" spans="1:18" ht="12.75" hidden="1" x14ac:dyDescent="0.2">
      <c r="A1025">
        <v>38191</v>
      </c>
      <c r="B1025" t="str">
        <f ca="1">VLOOKUP(A1025,Import_SuiviGlobal_MigAppliSate!A:I,2,FALSE)</f>
        <v>ST-MARS-DU-DESERT</v>
      </c>
      <c r="C1025" t="str">
        <f ca="1">VLOOKUP(A1025,Import_SuiviGlobal_MigAppliSate!A:I,3,FALSE)</f>
        <v>U Express</v>
      </c>
      <c r="D1025" s="1" t="str">
        <f ca="1">VLOOKUP(A1025,Import_SuiviGlobal_MigAppliSate!A:I,4,FALSE)</f>
        <v>Coop U Enseigne Ouest</v>
      </c>
      <c r="E1025">
        <f ca="1">VLOOKUP(A1025,Import_SuiviGlobal_MigAppliSate!A:I,5,FALSE)</f>
        <v>44850</v>
      </c>
      <c r="F1025" t="str">
        <f ca="1">VLOOKUP(A1025,Import_SuiviGlobal_MigAppliSate!A:I,6,FALSE)</f>
        <v>2 RUE BEAUSOLEIL</v>
      </c>
      <c r="G1025" t="str">
        <f ca="1">VLOOKUP(A1025,Import_SuiviGlobal_MigAppliSate!A:I,7,FALSE)</f>
        <v>02.40.77.47.09</v>
      </c>
      <c r="H1025" t="str">
        <f ca="1">VLOOKUP(A1025,Import_SuiviGlobal_MigAppliSate!A:I,8,FALSE)</f>
        <v>BESNARD Sébastien</v>
      </c>
      <c r="I1025" t="str">
        <f ca="1">VLOOKUP(A1025,Import_SuiviGlobal_MigAppliSate!A:I,9,FALSE)</f>
        <v>sebastien.besnard@systeme-u.fr</v>
      </c>
      <c r="J1025" s="24" t="str">
        <f ca="1">VLOOKUP(A1025,Import_SuiviGlobal_MigAppliSate!A:K,10,FALSE)</f>
        <v/>
      </c>
      <c r="K1025" t="str">
        <f ca="1">VLOOKUP(A1025,Import_SuiviGlobal_MigAppliSate!A:K,11,FALSE)</f>
        <v/>
      </c>
      <c r="O1025" s="1" t="s">
        <v>22</v>
      </c>
    </row>
    <row r="1026" spans="1:18" ht="12.75" hidden="1" x14ac:dyDescent="0.2">
      <c r="A1026">
        <v>32097</v>
      </c>
      <c r="B1026" t="str">
        <f ca="1">VLOOKUP(A1026,Import_SuiviGlobal_MigAppliSate!A:I,2,FALSE)</f>
        <v>ST-MARS-LA -JAILLE</v>
      </c>
      <c r="C1026" t="str">
        <f ca="1">VLOOKUP(A1026,Import_SuiviGlobal_MigAppliSate!A:I,3,FALSE)</f>
        <v>Super U</v>
      </c>
      <c r="D1026" s="1" t="str">
        <f ca="1">VLOOKUP(A1026,Import_SuiviGlobal_MigAppliSate!A:I,4,FALSE)</f>
        <v>Coop U Enseigne Ouest</v>
      </c>
      <c r="E1026">
        <f ca="1">VLOOKUP(A1026,Import_SuiviGlobal_MigAppliSate!A:I,5,FALSE)</f>
        <v>44540</v>
      </c>
      <c r="F1026" t="str">
        <f ca="1">VLOOKUP(A1026,Import_SuiviGlobal_MigAppliSate!A:I,6,FALSE)</f>
        <v>ROUTE DE CHATEAUBRIAND</v>
      </c>
      <c r="G1026" t="str">
        <f ca="1">VLOOKUP(A1026,Import_SuiviGlobal_MigAppliSate!A:I,7,FALSE)</f>
        <v>02.40.97.01.42</v>
      </c>
      <c r="H1026" t="str">
        <f ca="1">VLOOKUP(A1026,Import_SuiviGlobal_MigAppliSate!A:I,8,FALSE)</f>
        <v>BIDAUD Hervé</v>
      </c>
      <c r="I1026" t="str">
        <f ca="1">VLOOKUP(A1026,Import_SuiviGlobal_MigAppliSate!A:I,9,FALSE)</f>
        <v>herve.bidaud@systeme-u.fr</v>
      </c>
      <c r="J1026" s="24" t="str">
        <f ca="1">VLOOKUP(A1026,Import_SuiviGlobal_MigAppliSate!A:K,10,FALSE)</f>
        <v>Vaslin Nathalie</v>
      </c>
      <c r="K1026" t="str">
        <f ca="1">VLOOKUP(A1026,Import_SuiviGlobal_MigAppliSate!A:K,11,FALSE)</f>
        <v>superu.saintmarslajaille@systeme-u.fr</v>
      </c>
      <c r="O1026" s="1" t="s">
        <v>22</v>
      </c>
    </row>
    <row r="1027" spans="1:18" ht="12.75" hidden="1" x14ac:dyDescent="0.2">
      <c r="A1027">
        <v>32084</v>
      </c>
      <c r="B1027" t="str">
        <f ca="1">VLOOKUP(A1027,Import_SuiviGlobal_MigAppliSate!A:I,2,FALSE)</f>
        <v>ST-MARTIAL</v>
      </c>
      <c r="C1027" t="str">
        <f ca="1">VLOOKUP(A1027,Import_SuiviGlobal_MigAppliSate!A:I,3,FALSE)</f>
        <v>Super U</v>
      </c>
      <c r="D1027" s="1" t="str">
        <f ca="1">VLOOKUP(A1027,Import_SuiviGlobal_MigAppliSate!A:I,4,FALSE)</f>
        <v>Coop Atlantique</v>
      </c>
      <c r="E1027">
        <f ca="1">VLOOKUP(A1027,Import_SuiviGlobal_MigAppliSate!A:I,5,FALSE)</f>
        <v>24160</v>
      </c>
      <c r="F1027" t="str">
        <f ca="1">VLOOKUP(A1027,Import_SuiviGlobal_MigAppliSate!A:I,6,FALSE)</f>
        <v>LIEU-DIT LE MAYNE</v>
      </c>
      <c r="G1027" t="str">
        <f ca="1">VLOOKUP(A1027,Import_SuiviGlobal_MigAppliSate!A:I,7,FALSE)</f>
        <v>05.53.62.92.75</v>
      </c>
      <c r="H1027" t="str">
        <f ca="1">VLOOKUP(A1027,Import_SuiviGlobal_MigAppliSate!A:I,8,FALSE)</f>
        <v>FLAMBARD Hervé</v>
      </c>
      <c r="I1027" t="str">
        <f ca="1">VLOOKUP(A1027,Import_SuiviGlobal_MigAppliSate!A:I,9,FALSE)</f>
        <v>bertrand.defontaine_coop_su_uex@systeme-u.fr</v>
      </c>
      <c r="J1027" s="24" t="str">
        <f ca="1">VLOOKUP(A1027,Import_SuiviGlobal_MigAppliSate!A:K,10,FALSE)</f>
        <v>Mauricette TOURENNE / Philippe BONNEAU</v>
      </c>
      <c r="K1027" t="str">
        <f ca="1">VLOOKUP(A1027,Import_SuiviGlobal_MigAppliSate!A:K,11,FALSE)</f>
        <v>superu.saintmartialdalbarede.direction@systeme-u.fr,nbrigant@coop-atlantique.fr,sjaud@coop-atlantique.fr</v>
      </c>
      <c r="L1027" t="s">
        <v>17</v>
      </c>
      <c r="M1027" s="1" t="s">
        <v>31</v>
      </c>
      <c r="O1027" s="1" t="s">
        <v>22</v>
      </c>
    </row>
    <row r="1028" spans="1:18" ht="12.75" hidden="1" x14ac:dyDescent="0.2">
      <c r="A1028">
        <v>38088</v>
      </c>
      <c r="B1028" t="str">
        <f ca="1">VLOOKUP(A1028,Import_SuiviGlobal_MigAppliSate!A:I,2,FALSE)</f>
        <v>ST-MARTIN</v>
      </c>
      <c r="C1028" t="str">
        <f ca="1">VLOOKUP(A1028,Import_SuiviGlobal_MigAppliSate!A:I,3,FALSE)</f>
        <v>Super U</v>
      </c>
      <c r="D1028" s="1" t="str">
        <f ca="1">VLOOKUP(A1028,Import_SuiviGlobal_MigAppliSate!A:I,4,FALSE)</f>
        <v>Coop U Enseigne Ouest</v>
      </c>
      <c r="E1028">
        <f ca="1">VLOOKUP(A1028,Import_SuiviGlobal_MigAppliSate!A:I,5,FALSE)</f>
        <v>97150</v>
      </c>
      <c r="F1028" t="str">
        <f ca="1">VLOOKUP(A1028,Import_SuiviGlobal_MigAppliSate!A:I,6,FALSE)</f>
        <v>CENTRE COMMERCIAL HOWELL CENTER</v>
      </c>
      <c r="G1028" t="str">
        <f ca="1">VLOOKUP(A1028,Import_SuiviGlobal_MigAppliSate!A:I,7,FALSE)</f>
        <v>05.90.29.54.32</v>
      </c>
      <c r="H1028" t="str">
        <f ca="1">VLOOKUP(A1028,Import_SuiviGlobal_MigAppliSate!A:I,8,FALSE)</f>
        <v>DEGUILLE Jean-Pierre</v>
      </c>
      <c r="I1028" t="str">
        <f ca="1">VLOOKUP(A1028,Import_SuiviGlobal_MigAppliSate!A:I,9,FALSE)</f>
        <v>jean-pierre.deguille@systeme-u.fr</v>
      </c>
      <c r="J1028" s="24" t="str">
        <f ca="1">VLOOKUP(A1028,Import_SuiviGlobal_MigAppliSate!A:K,10,FALSE)</f>
        <v>M Vuillier Frédéric
M. Loo Philippe (second associé)</v>
      </c>
      <c r="K1028" t="str">
        <f ca="1">VLOOKUP(A1028,Import_SuiviGlobal_MigAppliSate!A:K,11,FALSE)</f>
        <v>frederic.vuillier@systeme-u.fr, philippe.loo@systeme-u.fr,martine.crevecoeur@systeme-u.fr</v>
      </c>
      <c r="O1028" s="1" t="s">
        <v>22</v>
      </c>
    </row>
    <row r="1029" spans="1:18" ht="12.75" hidden="1" x14ac:dyDescent="0.2">
      <c r="A1029">
        <v>34194</v>
      </c>
      <c r="B1029" t="str">
        <f ca="1">VLOOKUP(A1029,Import_SuiviGlobal_MigAppliSate!A:I,2,FALSE)</f>
        <v>ST-MAURE-DE-TOURAINE</v>
      </c>
      <c r="C1029" t="str">
        <f ca="1">VLOOKUP(A1029,Import_SuiviGlobal_MigAppliSate!A:I,3,FALSE)</f>
        <v>Utile</v>
      </c>
      <c r="D1029" s="1" t="str">
        <f ca="1">VLOOKUP(A1029,Import_SuiviGlobal_MigAppliSate!A:I,4,FALSE)</f>
        <v>Coop Atlantique</v>
      </c>
      <c r="E1029">
        <f ca="1">VLOOKUP(A1029,Import_SuiviGlobal_MigAppliSate!A:I,5,FALSE)</f>
        <v>37800</v>
      </c>
      <c r="F1029" t="str">
        <f ca="1">VLOOKUP(A1029,Import_SuiviGlobal_MigAppliSate!A:I,6,FALSE)</f>
        <v>ROUTE DE LOCHES</v>
      </c>
      <c r="G1029" t="str">
        <f ca="1">VLOOKUP(A1029,Import_SuiviGlobal_MigAppliSate!A:I,7,FALSE)</f>
        <v>02.47.65.43.00</v>
      </c>
      <c r="H1029" t="str">
        <f ca="1">VLOOKUP(A1029,Import_SuiviGlobal_MigAppliSate!A:I,8,FALSE)</f>
        <v>FLAMBARD Hervé</v>
      </c>
      <c r="I1029" t="str">
        <f ca="1">VLOOKUP(A1029,Import_SuiviGlobal_MigAppliSate!A:I,9,FALSE)</f>
        <v>bertrand.defontaine_coop_su_uex@systeme-u.fr</v>
      </c>
      <c r="J1029" s="24" t="str">
        <f ca="1">VLOOKUP(A1029,Import_SuiviGlobal_MigAppliSate!A:K,10,FALSE)</f>
        <v>M. HABAULD</v>
      </c>
      <c r="K1029" t="str">
        <f ca="1">VLOOKUP(A1029,Import_SuiviGlobal_MigAppliSate!A:K,11,FALSE)</f>
        <v>uexpress.saintemauredetouraine.direction@systeme-u.fr,nbrigant@coop-atlantique.fr,sjaud@coop-atlantique.fr</v>
      </c>
      <c r="O1029" s="1" t="s">
        <v>22</v>
      </c>
    </row>
    <row r="1030" spans="1:18" ht="12.75" hidden="1" x14ac:dyDescent="0.2">
      <c r="A1030">
        <v>35576</v>
      </c>
      <c r="B1030" t="str">
        <f ca="1">VLOOKUP(A1030,Import_SuiviGlobal_MigAppliSate!A:I,2,FALSE)</f>
        <v>ST-MEEN-LE-GRAND</v>
      </c>
      <c r="C1030" t="str">
        <f ca="1">VLOOKUP(A1030,Import_SuiviGlobal_MigAppliSate!A:I,3,FALSE)</f>
        <v>Super U</v>
      </c>
      <c r="D1030" s="1" t="str">
        <f ca="1">VLOOKUP(A1030,Import_SuiviGlobal_MigAppliSate!A:I,4,FALSE)</f>
        <v>Coop U Enseigne Ouest</v>
      </c>
      <c r="E1030">
        <f ca="1">VLOOKUP(A1030,Import_SuiviGlobal_MigAppliSate!A:I,5,FALSE)</f>
        <v>35290</v>
      </c>
      <c r="F1030" t="str">
        <f ca="1">VLOOKUP(A1030,Import_SuiviGlobal_MigAppliSate!A:I,6,FALSE)</f>
        <v>RUE HENRI LETORT</v>
      </c>
      <c r="G1030" t="str">
        <f ca="1">VLOOKUP(A1030,Import_SuiviGlobal_MigAppliSate!A:I,7,FALSE)</f>
        <v>02.99.09.57.33</v>
      </c>
      <c r="H1030" t="str">
        <f ca="1">VLOOKUP(A1030,Import_SuiviGlobal_MigAppliSate!A:I,8,FALSE)</f>
        <v>ROYER Fabrice</v>
      </c>
      <c r="I1030" t="str">
        <f ca="1">VLOOKUP(A1030,Import_SuiviGlobal_MigAppliSate!A:I,9,FALSE)</f>
        <v>fabrice.royer@systeme-u.fr</v>
      </c>
      <c r="J1030" s="24" t="str">
        <f ca="1">VLOOKUP(A1030,Import_SuiviGlobal_MigAppliSate!A:K,10,FALSE)</f>
        <v>Cécilie CHEVALIER</v>
      </c>
      <c r="K1030" t="str">
        <f ca="1">VLOOKUP(A1030,Import_SuiviGlobal_MigAppliSate!A:K,11,FALSE)</f>
        <v/>
      </c>
      <c r="O1030" s="1" t="s">
        <v>22</v>
      </c>
    </row>
    <row r="1031" spans="1:18" ht="12.75" hidden="1" x14ac:dyDescent="0.2">
      <c r="A1031">
        <v>30507</v>
      </c>
      <c r="B1031" t="str">
        <f ca="1">VLOOKUP(A1031,Import_SuiviGlobal_MigAppliSate!A:I,2,FALSE)</f>
        <v>ST-MICHEL-CHEF-CHEF</v>
      </c>
      <c r="C1031" t="str">
        <f ca="1">VLOOKUP(A1031,Import_SuiviGlobal_MigAppliSate!A:I,3,FALSE)</f>
        <v>Super U</v>
      </c>
      <c r="D1031" s="1" t="str">
        <f ca="1">VLOOKUP(A1031,Import_SuiviGlobal_MigAppliSate!A:I,4,FALSE)</f>
        <v>Coop U Enseigne Ouest</v>
      </c>
      <c r="E1031">
        <f ca="1">VLOOKUP(A1031,Import_SuiviGlobal_MigAppliSate!A:I,5,FALSE)</f>
        <v>44730</v>
      </c>
      <c r="F1031" t="str">
        <f ca="1">VLOOKUP(A1031,Import_SuiviGlobal_MigAppliSate!A:I,6,FALSE)</f>
        <v>ROUTE DE LA PLAINE</v>
      </c>
      <c r="G1031" t="str">
        <f ca="1">VLOOKUP(A1031,Import_SuiviGlobal_MigAppliSate!A:I,7,FALSE)</f>
        <v>02.40.27.94.36</v>
      </c>
      <c r="H1031" t="str">
        <f ca="1">VLOOKUP(A1031,Import_SuiviGlobal_MigAppliSate!A:I,8,FALSE)</f>
        <v>GOBIN Grégory</v>
      </c>
      <c r="I1031" t="str">
        <f ca="1">VLOOKUP(A1031,Import_SuiviGlobal_MigAppliSate!A:I,9,FALSE)</f>
        <v>gregory.gobin@systeme-u.fr</v>
      </c>
      <c r="J1031" s="24" t="str">
        <f ca="1">VLOOKUP(A1031,Import_SuiviGlobal_MigAppliSate!A:K,10,FALSE)</f>
        <v xml:space="preserve">LOQUET Cyrielle </v>
      </c>
      <c r="K1031" t="str">
        <f ca="1">VLOOKUP(A1031,Import_SuiviGlobal_MigAppliSate!A:K,11,FALSE)</f>
        <v>superu.saintmichelchefchef@systeme-u.fr</v>
      </c>
      <c r="O1031" s="1" t="s">
        <v>22</v>
      </c>
    </row>
    <row r="1032" spans="1:18" ht="12.75" hidden="1" x14ac:dyDescent="0.2">
      <c r="A1032">
        <v>38133</v>
      </c>
      <c r="B1032" t="str">
        <f ca="1">VLOOKUP(A1032,Import_SuiviGlobal_MigAppliSate!A:I,2,FALSE)</f>
        <v>ST-NAZAIRE</v>
      </c>
      <c r="C1032" t="str">
        <f ca="1">VLOOKUP(A1032,Import_SuiviGlobal_MigAppliSate!A:I,3,FALSE)</f>
        <v>Super U</v>
      </c>
      <c r="D1032" s="1" t="str">
        <f ca="1">VLOOKUP(A1032,Import_SuiviGlobal_MigAppliSate!A:I,4,FALSE)</f>
        <v>Coop U Enseigne Ouest</v>
      </c>
      <c r="E1032">
        <f ca="1">VLOOKUP(A1032,Import_SuiviGlobal_MigAppliSate!A:I,5,FALSE)</f>
        <v>44600</v>
      </c>
      <c r="F1032" t="str">
        <f ca="1">VLOOKUP(A1032,Import_SuiviGlobal_MigAppliSate!A:I,6,FALSE)</f>
        <v>54, RUE LÉON BOURGEOIS</v>
      </c>
      <c r="G1032" t="str">
        <f ca="1">VLOOKUP(A1032,Import_SuiviGlobal_MigAppliSate!A:I,7,FALSE)</f>
        <v>02.40.22.39.09</v>
      </c>
      <c r="H1032" t="str">
        <f ca="1">VLOOKUP(A1032,Import_SuiviGlobal_MigAppliSate!A:I,8,FALSE)</f>
        <v>CARIOU RPT SARL FICAPDIS Gilbert</v>
      </c>
      <c r="I1032" t="str">
        <f ca="1">VLOOKUP(A1032,Import_SuiviGlobal_MigAppliSate!A:I,9,FALSE)</f>
        <v>gilbert.cariou@systeme-u.fr</v>
      </c>
      <c r="J1032" s="24" t="str">
        <f ca="1">VLOOKUP(A1032,Import_SuiviGlobal_MigAppliSate!A:K,10,FALSE)</f>
        <v>Mme Gache</v>
      </c>
      <c r="K1032" t="str">
        <f ca="1">VLOOKUP(A1032,Import_SuiviGlobal_MigAppliSate!A:K,11,FALSE)</f>
        <v>superu.saintnazaire@systeme-u.fr</v>
      </c>
      <c r="O1032" s="1" t="s">
        <v>22</v>
      </c>
    </row>
    <row r="1033" spans="1:18" ht="12.75" hidden="1" x14ac:dyDescent="0.2">
      <c r="A1033">
        <v>33891</v>
      </c>
      <c r="B1033" t="str">
        <f ca="1">VLOOKUP(A1033,Import_SuiviGlobal_MigAppliSate!A:I,2,FALSE)</f>
        <v>ST-NICOLAS-DU-PELEM</v>
      </c>
      <c r="C1033" t="str">
        <f ca="1">VLOOKUP(A1033,Import_SuiviGlobal_MigAppliSate!A:I,3,FALSE)</f>
        <v>Super U</v>
      </c>
      <c r="D1033" s="1" t="str">
        <f ca="1">VLOOKUP(A1033,Import_SuiviGlobal_MigAppliSate!A:I,4,FALSE)</f>
        <v>Coop U Enseigne Ouest</v>
      </c>
      <c r="E1033">
        <f ca="1">VLOOKUP(A1033,Import_SuiviGlobal_MigAppliSate!A:I,5,FALSE)</f>
        <v>22480</v>
      </c>
      <c r="F1033" t="str">
        <f ca="1">VLOOKUP(A1033,Import_SuiviGlobal_MigAppliSate!A:I,6,FALSE)</f>
        <v>CROAS DOM HERRY</v>
      </c>
      <c r="G1033" t="str">
        <f ca="1">VLOOKUP(A1033,Import_SuiviGlobal_MigAppliSate!A:I,7,FALSE)</f>
        <v>02.96.29.51.13</v>
      </c>
      <c r="H1033" t="str">
        <f ca="1">VLOOKUP(A1033,Import_SuiviGlobal_MigAppliSate!A:I,8,FALSE)</f>
        <v>HUET RPT SAS ALMATMAX Olivier</v>
      </c>
      <c r="I1033" t="str">
        <f ca="1">VLOOKUP(A1033,Import_SuiviGlobal_MigAppliSate!A:I,9,FALSE)</f>
        <v>olivier.huet@systeme-u.fr</v>
      </c>
      <c r="J1033" s="24" t="str">
        <f ca="1">VLOOKUP(A1033,Import_SuiviGlobal_MigAppliSate!A:K,10,FALSE)</f>
        <v/>
      </c>
      <c r="K1033" t="str">
        <f ca="1">VLOOKUP(A1033,Import_SuiviGlobal_MigAppliSate!A:K,11,FALSE)</f>
        <v/>
      </c>
      <c r="O1033" s="1" t="s">
        <v>22</v>
      </c>
    </row>
    <row r="1034" spans="1:18" ht="12.75" hidden="1" x14ac:dyDescent="0.2">
      <c r="A1034">
        <v>32085</v>
      </c>
      <c r="B1034" t="str">
        <f ca="1">VLOOKUP(A1034,Import_SuiviGlobal_MigAppliSate!A:I,2,FALSE)</f>
        <v>ST-PALAIS-SUR-MER</v>
      </c>
      <c r="C1034" t="str">
        <f ca="1">VLOOKUP(A1034,Import_SuiviGlobal_MigAppliSate!A:I,3,FALSE)</f>
        <v>Super U</v>
      </c>
      <c r="D1034" s="1" t="str">
        <f ca="1">VLOOKUP(A1034,Import_SuiviGlobal_MigAppliSate!A:I,4,FALSE)</f>
        <v>Coop Atlantique</v>
      </c>
      <c r="E1034">
        <f ca="1">VLOOKUP(A1034,Import_SuiviGlobal_MigAppliSate!A:I,5,FALSE)</f>
        <v>17420</v>
      </c>
      <c r="F1034" t="str">
        <f ca="1">VLOOKUP(A1034,Import_SuiviGlobal_MigAppliSate!A:I,6,FALSE)</f>
        <v>AVENUE CHARLES DE GAULLE</v>
      </c>
      <c r="G1034" t="str">
        <f ca="1">VLOOKUP(A1034,Import_SuiviGlobal_MigAppliSate!A:I,7,FALSE)</f>
        <v>05.46.23.59.90</v>
      </c>
      <c r="H1034" t="str">
        <f ca="1">VLOOKUP(A1034,Import_SuiviGlobal_MigAppliSate!A:I,8,FALSE)</f>
        <v>FLAMBARD Hervé</v>
      </c>
      <c r="I1034" t="str">
        <f ca="1">VLOOKUP(A1034,Import_SuiviGlobal_MigAppliSate!A:I,9,FALSE)</f>
        <v>bertrand.defontaine_coop_su_uex@systeme-u.fr</v>
      </c>
      <c r="J1034" s="24" t="str">
        <f ca="1">VLOOKUP(A1034,Import_SuiviGlobal_MigAppliSate!A:K,10,FALSE)</f>
        <v>Hélène RIDEAU</v>
      </c>
      <c r="K1034" t="str">
        <f ca="1">VLOOKUP(A1034,Import_SuiviGlobal_MigAppliSate!A:K,11,FALSE)</f>
        <v>superu.saintpalaissurmer.direction@systeme-u.fr,nbrigant@coop-atlantique.fr,sjaud@coop-atlantique.fr,mmoreau@coop-atlantique.fr</v>
      </c>
      <c r="L1034" s="1" t="s">
        <v>17</v>
      </c>
      <c r="M1034" t="s">
        <v>23</v>
      </c>
      <c r="O1034" s="1" t="s">
        <v>22</v>
      </c>
    </row>
    <row r="1035" spans="1:18" ht="12.75" hidden="1" x14ac:dyDescent="0.2">
      <c r="A1035">
        <v>99101</v>
      </c>
      <c r="B1035" t="str">
        <f ca="1">VLOOKUP(A1035,Import_SuiviGlobal_MigAppliSate!A:I,2,FALSE)</f>
        <v>ST-PAUL-IDR</v>
      </c>
      <c r="C1035" t="str">
        <f ca="1">VLOOKUP(A1035,Import_SuiviGlobal_MigAppliSate!A:I,3,FALSE)</f>
        <v>Super U</v>
      </c>
      <c r="D1035" s="1" t="str">
        <f ca="1">VLOOKUP(A1035,Import_SuiviGlobal_MigAppliSate!A:I,4,FALSE)</f>
        <v>Coop U Enseigne Sud</v>
      </c>
      <c r="E1035">
        <f ca="1">VLOOKUP(A1035,Import_SuiviGlobal_MigAppliSate!A:I,5,FALSE)</f>
        <v>97460</v>
      </c>
      <c r="F1035" t="str">
        <f ca="1">VLOOKUP(A1035,Import_SuiviGlobal_MigAppliSate!A:I,6,FALSE)</f>
        <v>109 CHAUSSÉE ROYALE BP 30</v>
      </c>
      <c r="G1035" t="str">
        <f ca="1">VLOOKUP(A1035,Import_SuiviGlobal_MigAppliSate!A:I,7,FALSE)</f>
        <v>02.62.45.45.20</v>
      </c>
      <c r="H1035" t="str">
        <f ca="1">VLOOKUP(A1035,Import_SuiviGlobal_MigAppliSate!A:I,8,FALSE)</f>
        <v>LAO OUINE Jean-Pierre</v>
      </c>
      <c r="I1035" t="str">
        <f ca="1">VLOOKUP(A1035,Import_SuiviGlobal_MigAppliSate!A:I,9,FALSE)</f>
        <v>mary-pierre.terree@systeme-u.fr</v>
      </c>
      <c r="J1035" s="24" t="str">
        <f ca="1">VLOOKUP(A1035,Import_SuiviGlobal_MigAppliSate!A:K,10,FALSE)</f>
        <v>TELEF Olivier</v>
      </c>
      <c r="K1035" t="str">
        <f ca="1">VLOOKUP(A1035,Import_SuiviGlobal_MigAppliSate!A:K,11,FALSE)</f>
        <v>o.telef@slholding.re</v>
      </c>
      <c r="O1035" s="1" t="s">
        <v>22</v>
      </c>
    </row>
    <row r="1036" spans="1:18" ht="12.75" hidden="1" x14ac:dyDescent="0.2">
      <c r="A1036">
        <v>99205</v>
      </c>
      <c r="B1036" t="str">
        <f ca="1">VLOOKUP(A1036,Import_SuiviGlobal_MigAppliSate!A:I,2,FALSE)</f>
        <v>ST-PAUL-IDR</v>
      </c>
      <c r="C1036" t="str">
        <f ca="1">VLOOKUP(A1036,Import_SuiviGlobal_MigAppliSate!A:I,3,FALSE)</f>
        <v>Marché U</v>
      </c>
      <c r="D1036" s="1" t="str">
        <f ca="1">VLOOKUP(A1036,Import_SuiviGlobal_MigAppliSate!A:I,4,FALSE)</f>
        <v>Coop U Enseigne Sud</v>
      </c>
      <c r="E1036">
        <f ca="1">VLOOKUP(A1036,Import_SuiviGlobal_MigAppliSate!A:I,5,FALSE)</f>
        <v>97460</v>
      </c>
      <c r="F1036" t="str">
        <f ca="1">VLOOKUP(A1036,Import_SuiviGlobal_MigAppliSate!A:I,6,FALSE)</f>
        <v>2 RUE PAUL JULIUS BENARD</v>
      </c>
      <c r="G1036" t="str">
        <f ca="1">VLOOKUP(A1036,Import_SuiviGlobal_MigAppliSate!A:I,7,FALSE)</f>
        <v>02.62.22.95.95</v>
      </c>
      <c r="H1036" t="str">
        <f ca="1">VLOOKUP(A1036,Import_SuiviGlobal_MigAppliSate!A:I,8,FALSE)</f>
        <v>LAW THIME Jean</v>
      </c>
      <c r="I1036" t="str">
        <f ca="1">VLOOKUP(A1036,Import_SuiviGlobal_MigAppliSate!A:I,9,FALSE)</f>
        <v>jean.lawthime@systeme-u.fr</v>
      </c>
      <c r="J1036" s="24" t="str">
        <f ca="1">VLOOKUP(A1036,Import_SuiviGlobal_MigAppliSate!A:K,10,FALSE)</f>
        <v>CHANE Patrick</v>
      </c>
      <c r="K1036" t="str">
        <f ca="1">VLOOKUP(A1036,Import_SuiviGlobal_MigAppliSate!A:K,11,FALSE)</f>
        <v/>
      </c>
      <c r="O1036" s="1" t="s">
        <v>22</v>
      </c>
    </row>
    <row r="1037" spans="1:18" ht="12.75" hidden="1" x14ac:dyDescent="0.2">
      <c r="A1037">
        <v>30167</v>
      </c>
      <c r="B1037" t="str">
        <f ca="1">VLOOKUP(A1037,Import_SuiviGlobal_MigAppliSate!A:I,2,FALSE)</f>
        <v>ST-PERE-EN-RETZ</v>
      </c>
      <c r="C1037" t="str">
        <f ca="1">VLOOKUP(A1037,Import_SuiviGlobal_MigAppliSate!A:I,3,FALSE)</f>
        <v>U Express</v>
      </c>
      <c r="D1037" s="1" t="str">
        <f ca="1">VLOOKUP(A1037,Import_SuiviGlobal_MigAppliSate!A:I,4,FALSE)</f>
        <v>Coop U Enseigne Ouest</v>
      </c>
      <c r="E1037">
        <f ca="1">VLOOKUP(A1037,Import_SuiviGlobal_MigAppliSate!A:I,5,FALSE)</f>
        <v>44320</v>
      </c>
      <c r="F1037" t="str">
        <f ca="1">VLOOKUP(A1037,Import_SuiviGlobal_MigAppliSate!A:I,6,FALSE)</f>
        <v>RUE DU PRIEURÉ</v>
      </c>
      <c r="G1037" t="str">
        <f ca="1">VLOOKUP(A1037,Import_SuiviGlobal_MigAppliSate!A:I,7,FALSE)</f>
        <v>02.40.21.76.90</v>
      </c>
      <c r="H1037" t="str">
        <f ca="1">VLOOKUP(A1037,Import_SuiviGlobal_MigAppliSate!A:I,8,FALSE)</f>
        <v>BOURE Jérôme</v>
      </c>
      <c r="I1037" t="str">
        <f ca="1">VLOOKUP(A1037,Import_SuiviGlobal_MigAppliSate!A:I,9,FALSE)</f>
        <v>jerome.boure@systeme-u.fr</v>
      </c>
      <c r="J1037" s="24" t="str">
        <f ca="1">VLOOKUP(A1037,Import_SuiviGlobal_MigAppliSate!A:K,10,FALSE)</f>
        <v/>
      </c>
      <c r="K1037" t="str">
        <f ca="1">VLOOKUP(A1037,Import_SuiviGlobal_MigAppliSate!A:K,11,FALSE)</f>
        <v/>
      </c>
      <c r="O1037" s="1" t="s">
        <v>22</v>
      </c>
    </row>
    <row r="1038" spans="1:18" ht="12.75" hidden="1" x14ac:dyDescent="0.2">
      <c r="A1038">
        <v>32569</v>
      </c>
      <c r="B1038" t="str">
        <f ca="1">VLOOKUP(A1038,Import_SuiviGlobal_MigAppliSate!A:I,2,FALSE)</f>
        <v>ST-PERE-SUR-LOIRE</v>
      </c>
      <c r="C1038" t="str">
        <f ca="1">VLOOKUP(A1038,Import_SuiviGlobal_MigAppliSate!A:I,3,FALSE)</f>
        <v>Super U</v>
      </c>
      <c r="D1038" s="1" t="str">
        <f ca="1">VLOOKUP(A1038,Import_SuiviGlobal_MigAppliSate!A:I,4,FALSE)</f>
        <v>Coop U Enseigne Ouest</v>
      </c>
      <c r="E1038">
        <f ca="1">VLOOKUP(A1038,Import_SuiviGlobal_MigAppliSate!A:I,5,FALSE)</f>
        <v>45600</v>
      </c>
      <c r="F1038" t="str">
        <f ca="1">VLOOKUP(A1038,Import_SuiviGlobal_MigAppliSate!A:I,6,FALSE)</f>
        <v>RUE DE SAVOIE</v>
      </c>
      <c r="G1038" t="str">
        <f ca="1">VLOOKUP(A1038,Import_SuiviGlobal_MigAppliSate!A:I,7,FALSE)</f>
        <v>02.38.29.59.29</v>
      </c>
      <c r="H1038" t="str">
        <f ca="1">VLOOKUP(A1038,Import_SuiviGlobal_MigAppliSate!A:I,8,FALSE)</f>
        <v>AUBE RPT FINANCIERE PERDIS Denis</v>
      </c>
      <c r="I1038" t="str">
        <f ca="1">VLOOKUP(A1038,Import_SuiviGlobal_MigAppliSate!A:I,9,FALSE)</f>
        <v>denis.aube@systeme-u.fr</v>
      </c>
      <c r="J1038" s="24" t="str">
        <f ca="1">VLOOKUP(A1038,Import_SuiviGlobal_MigAppliSate!A:K,10,FALSE)</f>
        <v>GUISET CHANTAL</v>
      </c>
      <c r="K1038" t="str">
        <f ca="1">VLOOKUP(A1038,Import_SuiviGlobal_MigAppliSate!A:K,11,FALSE)</f>
        <v>superu.saintperesurloire.informatique@systeme-u.fr</v>
      </c>
      <c r="L1038" s="1" t="s">
        <v>17</v>
      </c>
      <c r="M1038" s="1" t="s">
        <v>24</v>
      </c>
      <c r="N1038" s="1" t="s">
        <v>18</v>
      </c>
      <c r="O1038" s="1" t="s">
        <v>19</v>
      </c>
      <c r="P1038" s="1"/>
      <c r="Q1038" s="1"/>
      <c r="R1038" s="1"/>
    </row>
    <row r="1039" spans="1:18" ht="12.75" hidden="1" x14ac:dyDescent="0.2">
      <c r="A1039">
        <v>32844</v>
      </c>
      <c r="B1039" t="str">
        <f ca="1">VLOOKUP(A1039,Import_SuiviGlobal_MigAppliSate!A:I,2,FALSE)</f>
        <v>ST-PHILBERT-DE-GRANDLIEU</v>
      </c>
      <c r="C1039" t="str">
        <f ca="1">VLOOKUP(A1039,Import_SuiviGlobal_MigAppliSate!A:I,3,FALSE)</f>
        <v>Hyper U</v>
      </c>
      <c r="D1039" s="1" t="str">
        <f ca="1">VLOOKUP(A1039,Import_SuiviGlobal_MigAppliSate!A:I,4,FALSE)</f>
        <v>Coop U Enseigne Ouest</v>
      </c>
      <c r="E1039">
        <f ca="1">VLOOKUP(A1039,Import_SuiviGlobal_MigAppliSate!A:I,5,FALSE)</f>
        <v>44310</v>
      </c>
      <c r="F1039" t="str">
        <f ca="1">VLOOKUP(A1039,Import_SuiviGlobal_MigAppliSate!A:I,6,FALSE)</f>
        <v>ESPACE COMMERCIAL GRAND LAC</v>
      </c>
      <c r="G1039" t="str">
        <f ca="1">VLOOKUP(A1039,Import_SuiviGlobal_MigAppliSate!A:I,7,FALSE)</f>
        <v>02.40.78.73.84</v>
      </c>
      <c r="H1039" t="str">
        <f ca="1">VLOOKUP(A1039,Import_SuiviGlobal_MigAppliSate!A:I,8,FALSE)</f>
        <v>MASSON Claude</v>
      </c>
      <c r="I1039" t="str">
        <f ca="1">VLOOKUP(A1039,Import_SuiviGlobal_MigAppliSate!A:I,9,FALSE)</f>
        <v>claude.masson@systeme-u.fr</v>
      </c>
      <c r="J1039" s="24" t="str">
        <f ca="1">VLOOKUP(A1039,Import_SuiviGlobal_MigAppliSate!A:K,10,FALSE)</f>
        <v>Mr Brisson Jean-Pierre</v>
      </c>
      <c r="K1039" t="str">
        <f ca="1">VLOOKUP(A1039,Import_SuiviGlobal_MigAppliSate!A:K,11,FALSE)</f>
        <v>hyperu.saintphilbertdegrandlieu.administratif@systeme-u.fr</v>
      </c>
      <c r="L1039" t="s">
        <v>17</v>
      </c>
      <c r="M1039" t="s">
        <v>24</v>
      </c>
      <c r="N1039" s="1" t="s">
        <v>26</v>
      </c>
      <c r="O1039" s="1" t="s">
        <v>19</v>
      </c>
    </row>
    <row r="1040" spans="1:18" ht="12.75" hidden="1" x14ac:dyDescent="0.2">
      <c r="A1040">
        <v>32086</v>
      </c>
      <c r="B1040" t="str">
        <f ca="1">VLOOKUP(A1040,Import_SuiviGlobal_MigAppliSate!A:I,2,FALSE)</f>
        <v>ST-PIERRE-OLERON</v>
      </c>
      <c r="C1040" t="str">
        <f ca="1">VLOOKUP(A1040,Import_SuiviGlobal_MigAppliSate!A:I,3,FALSE)</f>
        <v>Super U</v>
      </c>
      <c r="D1040" s="1" t="str">
        <f ca="1">VLOOKUP(A1040,Import_SuiviGlobal_MigAppliSate!A:I,4,FALSE)</f>
        <v>Coop Atlantique</v>
      </c>
      <c r="E1040">
        <f ca="1">VLOOKUP(A1040,Import_SuiviGlobal_MigAppliSate!A:I,5,FALSE)</f>
        <v>17310</v>
      </c>
      <c r="F1040" t="str">
        <f ca="1">VLOOKUP(A1040,Import_SuiviGlobal_MigAppliSate!A:I,6,FALSE)</f>
        <v>20, RUE DE LA CURE</v>
      </c>
      <c r="G1040" t="str">
        <f ca="1">VLOOKUP(A1040,Import_SuiviGlobal_MigAppliSate!A:I,7,FALSE)</f>
        <v>05.46.47.00.47</v>
      </c>
      <c r="H1040" t="str">
        <f ca="1">VLOOKUP(A1040,Import_SuiviGlobal_MigAppliSate!A:I,8,FALSE)</f>
        <v>FLAMBARD Hervé</v>
      </c>
      <c r="I1040" t="str">
        <f ca="1">VLOOKUP(A1040,Import_SuiviGlobal_MigAppliSate!A:I,9,FALSE)</f>
        <v>bertrand.defontaine_coop_su_uex@systeme-u.fr</v>
      </c>
      <c r="J1040" s="24" t="str">
        <f ca="1">VLOOKUP(A1040,Import_SuiviGlobal_MigAppliSate!A:K,10,FALSE)</f>
        <v>Martine FRAIGNE</v>
      </c>
      <c r="K1040" t="str">
        <f ca="1">VLOOKUP(A1040,Import_SuiviGlobal_MigAppliSate!A:K,11,FALSE)</f>
        <v>superu.saintpierredoleron.direction@systeme-u.fr,nbrigant@coop-atlantique.fr,sjaud@coop-atlantique.fr, cpressac@coop-atlantique.fr</v>
      </c>
      <c r="O1040" s="1" t="s">
        <v>22</v>
      </c>
    </row>
    <row r="1041" spans="1:18" ht="12.75" hidden="1" x14ac:dyDescent="0.2">
      <c r="A1041">
        <v>37633</v>
      </c>
      <c r="B1041" t="str">
        <f ca="1">VLOOKUP(A1041,Import_SuiviGlobal_MigAppliSate!A:I,2,FALSE)</f>
        <v>ST-POL-DE-LEON</v>
      </c>
      <c r="C1041" t="str">
        <f ca="1">VLOOKUP(A1041,Import_SuiviGlobal_MigAppliSate!A:I,3,FALSE)</f>
        <v>Super U</v>
      </c>
      <c r="D1041" s="1" t="str">
        <f ca="1">VLOOKUP(A1041,Import_SuiviGlobal_MigAppliSate!A:I,4,FALSE)</f>
        <v>Coop U Enseigne Ouest</v>
      </c>
      <c r="E1041">
        <f ca="1">VLOOKUP(A1041,Import_SuiviGlobal_MigAppliSate!A:I,5,FALSE)</f>
        <v>29250</v>
      </c>
      <c r="F1041" t="str">
        <f ca="1">VLOOKUP(A1041,Import_SuiviGlobal_MigAppliSate!A:I,6,FALSE)</f>
        <v>PLACE DE L'EVÊCHÉ</v>
      </c>
      <c r="G1041" t="str">
        <f ca="1">VLOOKUP(A1041,Import_SuiviGlobal_MigAppliSate!A:I,7,FALSE)</f>
        <v>02.98.69.24.24</v>
      </c>
      <c r="H1041" t="str">
        <f ca="1">VLOOKUP(A1041,Import_SuiviGlobal_MigAppliSate!A:I,8,FALSE)</f>
        <v>LOREY Stéphane</v>
      </c>
      <c r="I1041" t="str">
        <f ca="1">VLOOKUP(A1041,Import_SuiviGlobal_MigAppliSate!A:I,9,FALSE)</f>
        <v>stephane.lorey@systeme-u.fr</v>
      </c>
      <c r="J1041" s="24" t="str">
        <f ca="1">VLOOKUP(A1041,Import_SuiviGlobal_MigAppliSate!A:K,10,FALSE)</f>
        <v>GAUTHIER, Geoffray</v>
      </c>
      <c r="K1041" t="str">
        <f ca="1">VLOOKUP(A1041,Import_SuiviGlobal_MigAppliSate!A:K,11,FALSE)</f>
        <v>geoffray.gauthier@systeme-u.fr</v>
      </c>
      <c r="O1041" s="1" t="s">
        <v>22</v>
      </c>
    </row>
    <row r="1042" spans="1:18" ht="12.75" x14ac:dyDescent="0.2">
      <c r="A1042">
        <v>38210</v>
      </c>
      <c r="B1042" t="str">
        <f ca="1">VLOOKUP(A1042,Import_SuiviGlobal_MigAppliSate!A:I,2,FALSE)</f>
        <v>ST-PRYVE-ST-MESMIN</v>
      </c>
      <c r="C1042" t="str">
        <f ca="1">VLOOKUP(A1042,Import_SuiviGlobal_MigAppliSate!A:I,3,FALSE)</f>
        <v>Super U</v>
      </c>
      <c r="D1042" s="1" t="str">
        <f ca="1">VLOOKUP(A1042,Import_SuiviGlobal_MigAppliSate!A:I,4,FALSE)</f>
        <v>Coop U Enseigne Ouest</v>
      </c>
      <c r="E1042">
        <f ca="1">VLOOKUP(A1042,Import_SuiviGlobal_MigAppliSate!A:I,5,FALSE)</f>
        <v>45750</v>
      </c>
      <c r="F1042" t="str">
        <f ca="1">VLOOKUP(A1042,Import_SuiviGlobal_MigAppliSate!A:I,6,FALSE)</f>
        <v>AVENUE DU TRAITÉ DE ROME</v>
      </c>
      <c r="G1042" t="str">
        <f ca="1">VLOOKUP(A1042,Import_SuiviGlobal_MigAppliSate!A:I,7,FALSE)</f>
        <v>02.38.14.30.10</v>
      </c>
      <c r="H1042" t="str">
        <f ca="1">VLOOKUP(A1042,Import_SuiviGlobal_MigAppliSate!A:I,8,FALSE)</f>
        <v>BROSSARD Jean Paul</v>
      </c>
      <c r="I1042" t="str">
        <f ca="1">VLOOKUP(A1042,Import_SuiviGlobal_MigAppliSate!A:I,9,FALSE)</f>
        <v>jean-paul.brossard@systeme-u.fr</v>
      </c>
      <c r="J1042" s="24" t="str">
        <f ca="1">VLOOKUP(A1042,Import_SuiviGlobal_MigAppliSate!A:K,10,FALSE)</f>
        <v>DE LIMA Nathalie</v>
      </c>
      <c r="K1042" t="str">
        <f ca="1">VLOOKUP(A1042,Import_SuiviGlobal_MigAppliSate!A:K,11,FALSE)</f>
        <v>superu.saintpryvesaintmesmin.compta@systeme-u.fr</v>
      </c>
      <c r="L1042" t="s">
        <v>17</v>
      </c>
      <c r="M1042" t="s">
        <v>0</v>
      </c>
      <c r="O1042" s="1" t="s">
        <v>19</v>
      </c>
    </row>
    <row r="1043" spans="1:18" ht="12.75" hidden="1" x14ac:dyDescent="0.2">
      <c r="A1043">
        <v>38753</v>
      </c>
      <c r="B1043" t="str">
        <f ca="1">VLOOKUP(A1043,Import_SuiviGlobal_MigAppliSate!A:I,2,FALSE)</f>
        <v>ST-REMY-DE-SILLE</v>
      </c>
      <c r="C1043" t="str">
        <f ca="1">VLOOKUP(A1043,Import_SuiviGlobal_MigAppliSate!A:I,3,FALSE)</f>
        <v>Super U</v>
      </c>
      <c r="D1043" s="1" t="str">
        <f ca="1">VLOOKUP(A1043,Import_SuiviGlobal_MigAppliSate!A:I,4,FALSE)</f>
        <v>Coop U Enseigne Ouest</v>
      </c>
      <c r="E1043">
        <f ca="1">VLOOKUP(A1043,Import_SuiviGlobal_MigAppliSate!A:I,5,FALSE)</f>
        <v>72140</v>
      </c>
      <c r="F1043" t="str">
        <f ca="1">VLOOKUP(A1043,Import_SuiviGlobal_MigAppliSate!A:I,6,FALSE)</f>
        <v>ROUTE DU MANS</v>
      </c>
      <c r="G1043" t="str">
        <f ca="1">VLOOKUP(A1043,Import_SuiviGlobal_MigAppliSate!A:I,7,FALSE)</f>
        <v>02.43.20.29.80</v>
      </c>
      <c r="H1043" t="str">
        <f ca="1">VLOOKUP(A1043,Import_SuiviGlobal_MigAppliSate!A:I,8,FALSE)</f>
        <v>LE CORNEC BERTRAND</v>
      </c>
      <c r="I1043" t="str">
        <f ca="1">VLOOKUP(A1043,Import_SuiviGlobal_MigAppliSate!A:I,9,FALSE)</f>
        <v>bertrand.lecornec@systeme-u.fr</v>
      </c>
      <c r="J1043" s="24" t="str">
        <f ca="1">VLOOKUP(A1043,Import_SuiviGlobal_MigAppliSate!A:K,10,FALSE)</f>
        <v xml:space="preserve">
Guillaume CAPAYROUX</v>
      </c>
      <c r="K1043" t="str">
        <f ca="1">VLOOKUP(A1043,Import_SuiviGlobal_MigAppliSate!A:K,11,FALSE)</f>
        <v xml:space="preserve">
guillaume.capayroux@systeme-u.fr</v>
      </c>
      <c r="L1043" s="1" t="s">
        <v>17</v>
      </c>
      <c r="M1043" s="1" t="s">
        <v>24</v>
      </c>
      <c r="N1043" s="1" t="s">
        <v>18</v>
      </c>
      <c r="O1043" s="1" t="s">
        <v>19</v>
      </c>
      <c r="P1043" s="15"/>
      <c r="Q1043" s="18"/>
      <c r="R1043" s="18"/>
    </row>
    <row r="1044" spans="1:18" ht="12.75" hidden="1" x14ac:dyDescent="0.2">
      <c r="A1044">
        <v>38199</v>
      </c>
      <c r="B1044" t="str">
        <f ca="1">VLOOKUP(A1044,Import_SuiviGlobal_MigAppliSate!A:I,2,FALSE)</f>
        <v>ST-ROGATIEN</v>
      </c>
      <c r="C1044" t="str">
        <f ca="1">VLOOKUP(A1044,Import_SuiviGlobal_MigAppliSate!A:I,3,FALSE)</f>
        <v>U Express</v>
      </c>
      <c r="D1044" s="1" t="str">
        <f ca="1">VLOOKUP(A1044,Import_SuiviGlobal_MigAppliSate!A:I,4,FALSE)</f>
        <v>Coop U Enseigne Ouest</v>
      </c>
      <c r="E1044">
        <f ca="1">VLOOKUP(A1044,Import_SuiviGlobal_MigAppliSate!A:I,5,FALSE)</f>
        <v>17220</v>
      </c>
      <c r="F1044" t="str">
        <f ca="1">VLOOKUP(A1044,Import_SuiviGlobal_MigAppliSate!A:I,6,FALSE)</f>
        <v>1, BIS ROUTE DE LA JARNE</v>
      </c>
      <c r="G1044" t="str">
        <f ca="1">VLOOKUP(A1044,Import_SuiviGlobal_MigAppliSate!A:I,7,FALSE)</f>
        <v>05.46.28.13.50</v>
      </c>
      <c r="H1044" t="str">
        <f ca="1">VLOOKUP(A1044,Import_SuiviGlobal_MigAppliSate!A:I,8,FALSE)</f>
        <v>CORDIER André</v>
      </c>
      <c r="I1044" t="str">
        <f ca="1">VLOOKUP(A1044,Import_SuiviGlobal_MigAppliSate!A:I,9,FALSE)</f>
        <v>andre.cordier@systeme-u.fr</v>
      </c>
      <c r="J1044" s="24" t="str">
        <f ca="1">VLOOKUP(A1044,Import_SuiviGlobal_MigAppliSate!A:K,10,FALSE)</f>
        <v>Thomas CHARRET</v>
      </c>
      <c r="K1044" t="str">
        <f ca="1">VLOOKUP(A1044,Import_SuiviGlobal_MigAppliSate!A:K,11,FALSE)</f>
        <v>thomas.charret@systeme-u.fr</v>
      </c>
      <c r="L1044" s="1" t="s">
        <v>17</v>
      </c>
      <c r="M1044" s="1" t="s">
        <v>24</v>
      </c>
      <c r="N1044" s="1" t="s">
        <v>18</v>
      </c>
      <c r="O1044" s="1" t="s">
        <v>25</v>
      </c>
    </row>
    <row r="1045" spans="1:18" ht="12.75" hidden="1" x14ac:dyDescent="0.2">
      <c r="A1045">
        <v>32087</v>
      </c>
      <c r="B1045" t="str">
        <f ca="1">VLOOKUP(A1045,Import_SuiviGlobal_MigAppliSate!A:I,2,FALSE)</f>
        <v>ST-SAVINIEN</v>
      </c>
      <c r="C1045" t="str">
        <f ca="1">VLOOKUP(A1045,Import_SuiviGlobal_MigAppliSate!A:I,3,FALSE)</f>
        <v>Super U</v>
      </c>
      <c r="D1045" s="1" t="str">
        <f ca="1">VLOOKUP(A1045,Import_SuiviGlobal_MigAppliSate!A:I,4,FALSE)</f>
        <v>Coop Atlantique</v>
      </c>
      <c r="E1045">
        <f ca="1">VLOOKUP(A1045,Import_SuiviGlobal_MigAppliSate!A:I,5,FALSE)</f>
        <v>17350</v>
      </c>
      <c r="F1045" t="str">
        <f ca="1">VLOOKUP(A1045,Import_SuiviGlobal_MigAppliSate!A:I,6,FALSE)</f>
        <v>2,RUE FOND BOULET</v>
      </c>
      <c r="G1045" t="str">
        <f ca="1">VLOOKUP(A1045,Import_SuiviGlobal_MigAppliSate!A:I,7,FALSE)</f>
        <v>05.46.90.10.54</v>
      </c>
      <c r="H1045" t="str">
        <f ca="1">VLOOKUP(A1045,Import_SuiviGlobal_MigAppliSate!A:I,8,FALSE)</f>
        <v>FLAMBARD Hervé</v>
      </c>
      <c r="I1045" t="str">
        <f ca="1">VLOOKUP(A1045,Import_SuiviGlobal_MigAppliSate!A:I,9,FALSE)</f>
        <v>bertrand.defontaine_coop_su_uex@systeme-u.fr</v>
      </c>
      <c r="J1045" s="24" t="str">
        <f ca="1">VLOOKUP(A1045,Import_SuiviGlobal_MigAppliSate!A:K,10,FALSE)</f>
        <v>Pascal LESAGE</v>
      </c>
      <c r="K1045" t="str">
        <f ca="1">VLOOKUP(A1045,Import_SuiviGlobal_MigAppliSate!A:K,11,FALSE)</f>
        <v>superu.saintsavinien.direction@systeme-u.fr,nbrigant@coop-atlantique.fr,sjaud@coop-atlantique.fr,plesage@coop-atlantique.fr</v>
      </c>
      <c r="L1045" t="s">
        <v>17</v>
      </c>
      <c r="M1045" s="1" t="s">
        <v>31</v>
      </c>
      <c r="O1045" s="1" t="s">
        <v>22</v>
      </c>
    </row>
    <row r="1046" spans="1:18" ht="12.75" hidden="1" x14ac:dyDescent="0.2">
      <c r="A1046">
        <v>32313</v>
      </c>
      <c r="B1046" t="str">
        <f ca="1">VLOOKUP(A1046,Import_SuiviGlobal_MigAppliSate!A:I,2,FALSE)</f>
        <v>ST-SEBASTIEN-SUR-LOIRE</v>
      </c>
      <c r="C1046" t="str">
        <f ca="1">VLOOKUP(A1046,Import_SuiviGlobal_MigAppliSate!A:I,3,FALSE)</f>
        <v>Super U</v>
      </c>
      <c r="D1046" s="1" t="str">
        <f ca="1">VLOOKUP(A1046,Import_SuiviGlobal_MigAppliSate!A:I,4,FALSE)</f>
        <v>Coop U Enseigne Ouest</v>
      </c>
      <c r="E1046">
        <f ca="1">VLOOKUP(A1046,Import_SuiviGlobal_MigAppliSate!A:I,5,FALSE)</f>
        <v>44230</v>
      </c>
      <c r="F1046" t="str">
        <f ca="1">VLOOKUP(A1046,Import_SuiviGlobal_MigAppliSate!A:I,6,FALSE)</f>
        <v>80 BOULEVARD DES PAS ENCHANTÉS</v>
      </c>
      <c r="G1046" t="str">
        <f ca="1">VLOOKUP(A1046,Import_SuiviGlobal_MigAppliSate!A:I,7,FALSE)</f>
        <v>02.40.80.55.91</v>
      </c>
      <c r="H1046" t="str">
        <f ca="1">VLOOKUP(A1046,Import_SuiviGlobal_MigAppliSate!A:I,8,FALSE)</f>
        <v>EGONNEAU Franck</v>
      </c>
      <c r="I1046" t="str">
        <f ca="1">VLOOKUP(A1046,Import_SuiviGlobal_MigAppliSate!A:I,9,FALSE)</f>
        <v>franck.egonneau@systeme-u.fr</v>
      </c>
      <c r="J1046" s="24" t="str">
        <f ca="1">VLOOKUP(A1046,Import_SuiviGlobal_MigAppliSate!A:K,10,FALSE)</f>
        <v>COISCAUD Anabelle</v>
      </c>
      <c r="K1046" t="str">
        <f ca="1">VLOOKUP(A1046,Import_SuiviGlobal_MigAppliSate!A:K,11,FALSE)</f>
        <v>superu.saintsebastiensurloire.gescom@systeme-u.fr</v>
      </c>
      <c r="O1046" s="1" t="s">
        <v>22</v>
      </c>
    </row>
    <row r="1047" spans="1:18" ht="12.75" hidden="1" x14ac:dyDescent="0.2">
      <c r="A1047">
        <v>30639</v>
      </c>
      <c r="B1047" t="str">
        <f ca="1">VLOOKUP(A1047,Import_SuiviGlobal_MigAppliSate!A:I,2,FALSE)</f>
        <v>ST-SYLVAIN-D'ANJOU</v>
      </c>
      <c r="C1047" t="str">
        <f ca="1">VLOOKUP(A1047,Import_SuiviGlobal_MigAppliSate!A:I,3,FALSE)</f>
        <v>Super U</v>
      </c>
      <c r="D1047" s="1" t="str">
        <f ca="1">VLOOKUP(A1047,Import_SuiviGlobal_MigAppliSate!A:I,4,FALSE)</f>
        <v>Coop U Enseigne Ouest</v>
      </c>
      <c r="E1047">
        <f ca="1">VLOOKUP(A1047,Import_SuiviGlobal_MigAppliSate!A:I,5,FALSE)</f>
        <v>49480</v>
      </c>
      <c r="F1047" t="str">
        <f ca="1">VLOOKUP(A1047,Import_SuiviGlobal_MigAppliSate!A:I,6,FALSE)</f>
        <v>LA MAISON BLANCHE</v>
      </c>
      <c r="G1047" t="str">
        <f ca="1">VLOOKUP(A1047,Import_SuiviGlobal_MigAppliSate!A:I,7,FALSE)</f>
        <v>02.41.76.82.80</v>
      </c>
      <c r="H1047" t="str">
        <f ca="1">VLOOKUP(A1047,Import_SuiviGlobal_MigAppliSate!A:I,8,FALSE)</f>
        <v>TAUDON Sébastien</v>
      </c>
      <c r="I1047" t="str">
        <f ca="1">VLOOKUP(A1047,Import_SuiviGlobal_MigAppliSate!A:I,9,FALSE)</f>
        <v>sebastien.taudon@systeme-u.fr</v>
      </c>
      <c r="J1047" s="24" t="str">
        <f ca="1">VLOOKUP(A1047,Import_SuiviGlobal_MigAppliSate!A:K,10,FALSE)</f>
        <v>Mme Raimbault</v>
      </c>
      <c r="K1047" t="str">
        <f ca="1">VLOOKUP(A1047,Import_SuiviGlobal_MigAppliSate!A:K,11,FALSE)</f>
        <v>veronique.raimbault@systeme-u.fr</v>
      </c>
      <c r="L1047" s="1" t="s">
        <v>17</v>
      </c>
      <c r="M1047" s="1" t="s">
        <v>24</v>
      </c>
      <c r="N1047" s="1" t="s">
        <v>18</v>
      </c>
      <c r="O1047" s="1" t="s">
        <v>19</v>
      </c>
    </row>
    <row r="1048" spans="1:18" ht="12.75" hidden="1" x14ac:dyDescent="0.2">
      <c r="A1048">
        <v>30241</v>
      </c>
      <c r="B1048" t="str">
        <f ca="1">VLOOKUP(A1048,Import_SuiviGlobal_MigAppliSate!A:I,2,FALSE)</f>
        <v>ST-YRIEX-LA-PERCHE</v>
      </c>
      <c r="C1048" t="str">
        <f ca="1">VLOOKUP(A1048,Import_SuiviGlobal_MigAppliSate!A:I,3,FALSE)</f>
        <v>Utile</v>
      </c>
      <c r="D1048" s="1" t="str">
        <f ca="1">VLOOKUP(A1048,Import_SuiviGlobal_MigAppliSate!A:I,4,FALSE)</f>
        <v>Coop Atlantique</v>
      </c>
      <c r="E1048">
        <f ca="1">VLOOKUP(A1048,Import_SuiviGlobal_MigAppliSate!A:I,5,FALSE)</f>
        <v>87500</v>
      </c>
      <c r="F1048" t="str">
        <f ca="1">VLOOKUP(A1048,Import_SuiviGlobal_MigAppliSate!A:I,6,FALSE)</f>
        <v>13, AVENUE DE PÉRIGUEUX</v>
      </c>
      <c r="G1048" t="str">
        <f ca="1">VLOOKUP(A1048,Import_SuiviGlobal_MigAppliSate!A:I,7,FALSE)</f>
        <v>05.55.08.13.50</v>
      </c>
      <c r="H1048" t="str">
        <f ca="1">VLOOKUP(A1048,Import_SuiviGlobal_MigAppliSate!A:I,8,FALSE)</f>
        <v>FLAMBARD Hervé</v>
      </c>
      <c r="I1048" t="str">
        <f ca="1">VLOOKUP(A1048,Import_SuiviGlobal_MigAppliSate!A:I,9,FALSE)</f>
        <v>bertrand.defontaine_coop_su_uex@systeme-u.fr</v>
      </c>
      <c r="J1048" s="24" t="str">
        <f ca="1">VLOOKUP(A1048,Import_SuiviGlobal_MigAppliSate!A:K,10,FALSE)</f>
        <v>Alexandre BUREAU</v>
      </c>
      <c r="K1048" t="str">
        <f ca="1">VLOOKUP(A1048,Import_SuiviGlobal_MigAppliSate!A:K,11,FALSE)</f>
        <v xml:space="preserve">uexpress.saintyrieixlaperche.direction@systeme-u.fr, nbrigant@coop-atlantique.fr, sjaud@coop-atlantique.fr, abureau@coop-atlantique.fr                                                                                                                                                                                                                                          
</v>
      </c>
      <c r="O1048" s="1" t="s">
        <v>22</v>
      </c>
    </row>
    <row r="1049" spans="1:18" ht="12.75" hidden="1" x14ac:dyDescent="0.2">
      <c r="A1049">
        <v>34192</v>
      </c>
      <c r="B1049" t="str">
        <f ca="1">VLOOKUP(A1049,Import_SuiviGlobal_MigAppliSate!A:I,2,FALSE)</f>
        <v>ST-YRIEX-SUR-CHARENTE</v>
      </c>
      <c r="C1049" t="str">
        <f ca="1">VLOOKUP(A1049,Import_SuiviGlobal_MigAppliSate!A:I,3,FALSE)</f>
        <v>Super U</v>
      </c>
      <c r="D1049" s="1" t="str">
        <f ca="1">VLOOKUP(A1049,Import_SuiviGlobal_MigAppliSate!A:I,4,FALSE)</f>
        <v>Coop Atlantique</v>
      </c>
      <c r="E1049">
        <f ca="1">VLOOKUP(A1049,Import_SuiviGlobal_MigAppliSate!A:I,5,FALSE)</f>
        <v>16710</v>
      </c>
      <c r="F1049" t="str">
        <f ca="1">VLOOKUP(A1049,Import_SuiviGlobal_MigAppliSate!A:I,6,FALSE)</f>
        <v>183, RUE DE ST JEAN D'ANGELY</v>
      </c>
      <c r="G1049" t="str">
        <f ca="1">VLOOKUP(A1049,Import_SuiviGlobal_MigAppliSate!A:I,7,FALSE)</f>
        <v>05.45.92.48.87</v>
      </c>
      <c r="H1049" t="str">
        <f ca="1">VLOOKUP(A1049,Import_SuiviGlobal_MigAppliSate!A:I,8,FALSE)</f>
        <v>FLAMBARD Hervé</v>
      </c>
      <c r="I1049" t="str">
        <f ca="1">VLOOKUP(A1049,Import_SuiviGlobal_MigAppliSate!A:I,9,FALSE)</f>
        <v>bertrand.defontaine_coop_su_uex@systeme-u.fr</v>
      </c>
      <c r="J1049" s="24" t="str">
        <f ca="1">VLOOKUP(A1049,Import_SuiviGlobal_MigAppliSate!A:K,10,FALSE)</f>
        <v>BIELSA Laurent</v>
      </c>
      <c r="K1049" t="str">
        <f ca="1">VLOOKUP(A1049,Import_SuiviGlobal_MigAppliSate!A:K,11,FALSE)</f>
        <v>uexpress.saintyrieixsurcharente.direction@systeme-u.fr,nbrigant@coop-atlantique.fr,sjaud@coop-atlantique.fr,lbielsa@coop-atlantique.fr</v>
      </c>
      <c r="L1049" t="s">
        <v>17</v>
      </c>
      <c r="M1049" s="1" t="s">
        <v>31</v>
      </c>
      <c r="O1049" s="1" t="s">
        <v>22</v>
      </c>
    </row>
    <row r="1050" spans="1:18" ht="12.75" hidden="1" x14ac:dyDescent="0.2">
      <c r="A1050">
        <v>95176</v>
      </c>
      <c r="B1050" t="str">
        <f ca="1">VLOOKUP(A1050,Import_SuiviGlobal_MigAppliSate!A:I,2,FALSE)</f>
        <v>STE BAZEILLE</v>
      </c>
      <c r="C1050" t="str">
        <f ca="1">VLOOKUP(A1050,Import_SuiviGlobal_MigAppliSate!A:I,3,FALSE)</f>
        <v>Super U</v>
      </c>
      <c r="D1050" s="1" t="str">
        <f ca="1">VLOOKUP(A1050,Import_SuiviGlobal_MigAppliSate!A:I,4,FALSE)</f>
        <v>Coop U Enseigne Sud</v>
      </c>
      <c r="E1050">
        <f ca="1">VLOOKUP(A1050,Import_SuiviGlobal_MigAppliSate!A:I,5,FALSE)</f>
        <v>47180</v>
      </c>
      <c r="F1050" t="str">
        <f ca="1">VLOOKUP(A1050,Import_SuiviGlobal_MigAppliSate!A:I,6,FALSE)</f>
        <v>lieu dit BEYLARD</v>
      </c>
      <c r="G1050" t="str">
        <f ca="1">VLOOKUP(A1050,Import_SuiviGlobal_MigAppliSate!A:I,7,FALSE)</f>
        <v>05.53.89.39.50</v>
      </c>
      <c r="H1050" t="str">
        <f ca="1">VLOOKUP(A1050,Import_SuiviGlobal_MigAppliSate!A:I,8,FALSE)</f>
        <v>LECOUTRE Johann</v>
      </c>
      <c r="I1050" t="str">
        <f ca="1">VLOOKUP(A1050,Import_SuiviGlobal_MigAppliSate!A:I,9,FALSE)</f>
        <v>johann.lecoutre@systeme-u.fr</v>
      </c>
      <c r="J1050" s="24" t="str">
        <f ca="1">VLOOKUP(A1050,Import_SuiviGlobal_MigAppliSate!A:K,10,FALSE)</f>
        <v>Mathieu Trouvé</v>
      </c>
      <c r="K1050" t="str">
        <f ca="1">VLOOKUP(A1050,Import_SuiviGlobal_MigAppliSate!A:K,11,FALSE)</f>
        <v>superu.stbazeille.pf@systeme-u.fr</v>
      </c>
      <c r="O1050" s="1" t="s">
        <v>22</v>
      </c>
    </row>
    <row r="1051" spans="1:18" ht="12.75" hidden="1" x14ac:dyDescent="0.2">
      <c r="A1051">
        <v>24324</v>
      </c>
      <c r="B1051" t="str">
        <f ca="1">VLOOKUP(A1051,Import_SuiviGlobal_MigAppliSate!A:I,2,FALSE)</f>
        <v>STE GENEVIEVE</v>
      </c>
      <c r="C1051" t="str">
        <f ca="1">VLOOKUP(A1051,Import_SuiviGlobal_MigAppliSate!A:I,3,FALSE)</f>
        <v>Super U</v>
      </c>
      <c r="D1051" s="1" t="str">
        <f ca="1">VLOOKUP(A1051,Import_SuiviGlobal_MigAppliSate!A:I,4,FALSE)</f>
        <v>Coop U Enseigne NordOuest</v>
      </c>
      <c r="E1051">
        <f ca="1">VLOOKUP(A1051,Import_SuiviGlobal_MigAppliSate!A:I,5,FALSE)</f>
        <v>60730</v>
      </c>
      <c r="F1051" t="str">
        <f ca="1">VLOOKUP(A1051,Import_SuiviGlobal_MigAppliSate!A:I,6,FALSE)</f>
        <v>118 RD 1001</v>
      </c>
      <c r="G1051" t="str">
        <f ca="1">VLOOKUP(A1051,Import_SuiviGlobal_MigAppliSate!A:I,7,FALSE)</f>
        <v>03.44.08.16.90</v>
      </c>
      <c r="H1051" t="str">
        <f ca="1">VLOOKUP(A1051,Import_SuiviGlobal_MigAppliSate!A:I,8,FALSE)</f>
        <v>DEMAEGDT Arnaud</v>
      </c>
      <c r="I1051" t="str">
        <f ca="1">VLOOKUP(A1051,Import_SuiviGlobal_MigAppliSate!A:I,9,FALSE)</f>
        <v>arnaud.demaegdt@systeme-u.fr</v>
      </c>
      <c r="J1051" s="24" t="str">
        <f ca="1">VLOOKUP(A1051,Import_SuiviGlobal_MigAppliSate!A:K,10,FALSE)</f>
        <v>Alexandre de Grandmaison</v>
      </c>
      <c r="K1051" t="str">
        <f ca="1">VLOOKUP(A1051,Import_SuiviGlobal_MigAppliSate!A:K,11,FALSE)</f>
        <v>superu.saintegenevieve.direction@systeme-u.fr</v>
      </c>
      <c r="O1051" s="1" t="s">
        <v>22</v>
      </c>
    </row>
    <row r="1052" spans="1:18" ht="12.75" hidden="1" x14ac:dyDescent="0.2">
      <c r="A1052">
        <v>60703</v>
      </c>
      <c r="B1052" t="str">
        <f ca="1">VLOOKUP(A1052,Import_SuiviGlobal_MigAppliSate!A:I,2,FALSE)</f>
        <v>STE MARIE AUX MINES</v>
      </c>
      <c r="C1052" t="str">
        <f ca="1">VLOOKUP(A1052,Import_SuiviGlobal_MigAppliSate!A:I,3,FALSE)</f>
        <v>Super U</v>
      </c>
      <c r="D1052" s="1" t="str">
        <f ca="1">VLOOKUP(A1052,Import_SuiviGlobal_MigAppliSate!A:I,4,FALSE)</f>
        <v>Coop U Enseigne Est</v>
      </c>
      <c r="E1052">
        <f ca="1">VLOOKUP(A1052,Import_SuiviGlobal_MigAppliSate!A:I,5,FALSE)</f>
        <v>68160</v>
      </c>
      <c r="F1052" t="str">
        <f ca="1">VLOOKUP(A1052,Import_SuiviGlobal_MigAppliSate!A:I,6,FALSE)</f>
        <v>31 RUE RÉBER</v>
      </c>
      <c r="G1052" t="str">
        <f ca="1">VLOOKUP(A1052,Import_SuiviGlobal_MigAppliSate!A:I,7,FALSE)</f>
        <v>03.89.58.36.36</v>
      </c>
      <c r="H1052" t="str">
        <f ca="1">VLOOKUP(A1052,Import_SuiviGlobal_MigAppliSate!A:I,8,FALSE)</f>
        <v>FREY Stéphane</v>
      </c>
      <c r="I1052" t="str">
        <f ca="1">VLOOKUP(A1052,Import_SuiviGlobal_MigAppliSate!A:I,9,FALSE)</f>
        <v>stephane.frey@systeme-u.fr</v>
      </c>
      <c r="J1052" s="24" t="str">
        <f ca="1">VLOOKUP(A1052,Import_SuiviGlobal_MigAppliSate!A:K,10,FALSE)</f>
        <v>Mme Zimmermann
Valentin (UPLV)
Mme Monce Isabelle (compta)</v>
      </c>
      <c r="K1052" t="str">
        <f ca="1">VLOOKUP(A1052,Import_SuiviGlobal_MigAppliSate!A:K,11,FALSE)</f>
        <v>superu.stemarieauxmines.eldph@systeme-u.fr</v>
      </c>
      <c r="O1052" s="1" t="s">
        <v>22</v>
      </c>
    </row>
    <row r="1053" spans="1:18" ht="12.75" x14ac:dyDescent="0.2">
      <c r="A1053">
        <v>65436</v>
      </c>
      <c r="B1053" t="str">
        <f ca="1">VLOOKUP(A1053,Import_SuiviGlobal_MigAppliSate!A:I,2,FALSE)</f>
        <v>STE MENEHOULD</v>
      </c>
      <c r="C1053" t="str">
        <f ca="1">VLOOKUP(A1053,Import_SuiviGlobal_MigAppliSate!A:I,3,FALSE)</f>
        <v>Super U</v>
      </c>
      <c r="D1053" s="1" t="str">
        <f ca="1">VLOOKUP(A1053,Import_SuiviGlobal_MigAppliSate!A:I,4,FALSE)</f>
        <v>Coop U Enseigne Est</v>
      </c>
      <c r="E1053">
        <f ca="1">VLOOKUP(A1053,Import_SuiviGlobal_MigAppliSate!A:I,5,FALSE)</f>
        <v>51800</v>
      </c>
      <c r="F1053" t="str">
        <f ca="1">VLOOKUP(A1053,Import_SuiviGlobal_MigAppliSate!A:I,6,FALSE)</f>
        <v>AVENUE DE LA GARE</v>
      </c>
      <c r="G1053" t="str">
        <f ca="1">VLOOKUP(A1053,Import_SuiviGlobal_MigAppliSate!A:I,7,FALSE)</f>
        <v>03.26.60.81.14</v>
      </c>
      <c r="H1053" t="str">
        <f ca="1">VLOOKUP(A1053,Import_SuiviGlobal_MigAppliSate!A:I,8,FALSE)</f>
        <v>BONNIER Cyril</v>
      </c>
      <c r="I1053" t="str">
        <f ca="1">VLOOKUP(A1053,Import_SuiviGlobal_MigAppliSate!A:I,9,FALSE)</f>
        <v>cyril.bonnier@systeme-u.fr</v>
      </c>
      <c r="J1053" s="24" t="str">
        <f ca="1">VLOOKUP(A1053,Import_SuiviGlobal_MigAppliSate!A:K,10,FALSE)</f>
        <v/>
      </c>
      <c r="K1053" t="str">
        <f ca="1">VLOOKUP(A1053,Import_SuiviGlobal_MigAppliSate!A:K,11,FALSE)</f>
        <v/>
      </c>
      <c r="L1053" t="s">
        <v>17</v>
      </c>
      <c r="M1053" t="s">
        <v>0</v>
      </c>
      <c r="O1053" s="1" t="s">
        <v>22</v>
      </c>
    </row>
    <row r="1054" spans="1:18" ht="12.75" hidden="1" x14ac:dyDescent="0.2">
      <c r="A1054">
        <v>20140</v>
      </c>
      <c r="B1054" t="str">
        <f ca="1">VLOOKUP(A1054,Import_SuiviGlobal_MigAppliSate!A:I,2,FALSE)</f>
        <v>STE MERE EGLISE</v>
      </c>
      <c r="C1054" t="str">
        <f ca="1">VLOOKUP(A1054,Import_SuiviGlobal_MigAppliSate!A:I,3,FALSE)</f>
        <v>Super U</v>
      </c>
      <c r="D1054" s="1" t="str">
        <f ca="1">VLOOKUP(A1054,Import_SuiviGlobal_MigAppliSate!A:I,4,FALSE)</f>
        <v>Coop U Enseigne NordOuest</v>
      </c>
      <c r="E1054">
        <f ca="1">VLOOKUP(A1054,Import_SuiviGlobal_MigAppliSate!A:I,5,FALSE)</f>
        <v>50480</v>
      </c>
      <c r="F1054" t="str">
        <f ca="1">VLOOKUP(A1054,Import_SuiviGlobal_MigAppliSate!A:I,6,FALSE)</f>
        <v>ZA DES CRUTELLES</v>
      </c>
      <c r="G1054" t="str">
        <f ca="1">VLOOKUP(A1054,Import_SuiviGlobal_MigAppliSate!A:I,7,FALSE)</f>
        <v>02.33.41.30.95</v>
      </c>
      <c r="H1054" t="str">
        <f ca="1">VLOOKUP(A1054,Import_SuiviGlobal_MigAppliSate!A:I,8,FALSE)</f>
        <v>CREVEUIL Virginie</v>
      </c>
      <c r="I1054" t="str">
        <f ca="1">VLOOKUP(A1054,Import_SuiviGlobal_MigAppliSate!A:I,9,FALSE)</f>
        <v>virginie.creveuil@systeme-u.fr</v>
      </c>
      <c r="J1054" s="24" t="str">
        <f ca="1">VLOOKUP(A1054,Import_SuiviGlobal_MigAppliSate!A:K,10,FALSE)</f>
        <v/>
      </c>
      <c r="K1054" t="str">
        <f ca="1">VLOOKUP(A1054,Import_SuiviGlobal_MigAppliSate!A:K,11,FALSE)</f>
        <v/>
      </c>
      <c r="O1054" s="1" t="s">
        <v>22</v>
      </c>
    </row>
    <row r="1055" spans="1:18" ht="12.75" hidden="1" x14ac:dyDescent="0.2">
      <c r="A1055">
        <v>38137</v>
      </c>
      <c r="B1055" t="str">
        <f ca="1">VLOOKUP(A1055,Import_SuiviGlobal_MigAppliSate!A:I,2,FALSE)</f>
        <v>STE ROSE</v>
      </c>
      <c r="C1055" t="str">
        <f ca="1">VLOOKUP(A1055,Import_SuiviGlobal_MigAppliSate!A:I,3,FALSE)</f>
        <v>Super U</v>
      </c>
      <c r="D1055" s="1" t="str">
        <f ca="1">VLOOKUP(A1055,Import_SuiviGlobal_MigAppliSate!A:I,4,FALSE)</f>
        <v>Coop U Enseigne Ouest</v>
      </c>
      <c r="E1055">
        <f ca="1">VLOOKUP(A1055,Import_SuiviGlobal_MigAppliSate!A:I,5,FALSE)</f>
        <v>97115</v>
      </c>
      <c r="F1055" t="str">
        <f ca="1">VLOOKUP(A1055,Import_SuiviGlobal_MigAppliSate!A:I,6,FALSE)</f>
        <v>PLESSIS NOGENT</v>
      </c>
      <c r="G1055" t="str">
        <f ca="1">VLOOKUP(A1055,Import_SuiviGlobal_MigAppliSate!A:I,7,FALSE)</f>
        <v>05.90.48.44.40</v>
      </c>
      <c r="H1055" t="str">
        <f ca="1">VLOOKUP(A1055,Import_SuiviGlobal_MigAppliSate!A:I,8,FALSE)</f>
        <v>PARFAIT Robert</v>
      </c>
      <c r="I1055" t="str">
        <f ca="1">VLOOKUP(A1055,Import_SuiviGlobal_MigAppliSate!A:I,9,FALSE)</f>
        <v>kevin.parfait@systeme-u.fr</v>
      </c>
      <c r="J1055" s="24" t="str">
        <f ca="1">VLOOKUP(A1055,Import_SuiviGlobal_MigAppliSate!A:K,10,FALSE)</f>
        <v>Christophe MATHIEU (directeur)</v>
      </c>
      <c r="K1055" t="str">
        <f ca="1">VLOOKUP(A1055,Import_SuiviGlobal_MigAppliSate!A:K,11,FALSE)</f>
        <v>christophe.mathieu@uantilles.com, martine.crevecoeur@systeme-u.fr</v>
      </c>
      <c r="O1055" s="1" t="s">
        <v>22</v>
      </c>
    </row>
    <row r="1056" spans="1:18" ht="12.75" hidden="1" x14ac:dyDescent="0.2">
      <c r="A1056">
        <v>63310</v>
      </c>
      <c r="B1056" t="str">
        <f ca="1">VLOOKUP(A1056,Import_SuiviGlobal_MigAppliSate!A:I,2,FALSE)</f>
        <v>STE SUZANNE</v>
      </c>
      <c r="C1056" t="str">
        <f ca="1">VLOOKUP(A1056,Import_SuiviGlobal_MigAppliSate!A:I,3,FALSE)</f>
        <v>Super U</v>
      </c>
      <c r="D1056" s="1" t="str">
        <f ca="1">VLOOKUP(A1056,Import_SuiviGlobal_MigAppliSate!A:I,4,FALSE)</f>
        <v>Coop U Enseigne Est</v>
      </c>
      <c r="E1056">
        <f ca="1">VLOOKUP(A1056,Import_SuiviGlobal_MigAppliSate!A:I,5,FALSE)</f>
        <v>25200</v>
      </c>
      <c r="F1056" t="str">
        <f ca="1">VLOOKUP(A1056,Import_SuiviGlobal_MigAppliSate!A:I,6,FALSE)</f>
        <v>119 FAUBOURG DE BESANÇON</v>
      </c>
      <c r="G1056" t="str">
        <f ca="1">VLOOKUP(A1056,Import_SuiviGlobal_MigAppliSate!A:I,7,FALSE)</f>
        <v>03.81.96.71.78</v>
      </c>
      <c r="H1056" t="str">
        <f ca="1">VLOOKUP(A1056,Import_SuiviGlobal_MigAppliSate!A:I,8,FALSE)</f>
        <v>CAILLOT Xavier</v>
      </c>
      <c r="I1056" t="str">
        <f ca="1">VLOOKUP(A1056,Import_SuiviGlobal_MigAppliSate!A:I,9,FALSE)</f>
        <v>xavier.caillot@systeme-u.fr</v>
      </c>
      <c r="J1056" s="24" t="str">
        <f ca="1">VLOOKUP(A1056,Import_SuiviGlobal_MigAppliSate!A:K,10,FALSE)</f>
        <v/>
      </c>
      <c r="K1056" t="str">
        <f ca="1">VLOOKUP(A1056,Import_SuiviGlobal_MigAppliSate!A:K,11,FALSE)</f>
        <v/>
      </c>
      <c r="O1056" s="1" t="s">
        <v>22</v>
      </c>
    </row>
    <row r="1057" spans="1:18" ht="12.75" hidden="1" x14ac:dyDescent="0.2">
      <c r="A1057">
        <v>31945</v>
      </c>
      <c r="B1057" t="str">
        <f ca="1">VLOOKUP(A1057,Import_SuiviGlobal_MigAppliSate!A:I,2,FALSE)</f>
        <v>STE-JAMME-SUR-SARTHE</v>
      </c>
      <c r="C1057" t="str">
        <f ca="1">VLOOKUP(A1057,Import_SuiviGlobal_MigAppliSate!A:I,3,FALSE)</f>
        <v>Super U</v>
      </c>
      <c r="D1057" s="1" t="str">
        <f ca="1">VLOOKUP(A1057,Import_SuiviGlobal_MigAppliSate!A:I,4,FALSE)</f>
        <v>Coop U Enseigne Ouest</v>
      </c>
      <c r="E1057">
        <f ca="1">VLOOKUP(A1057,Import_SuiviGlobal_MigAppliSate!A:I,5,FALSE)</f>
        <v>72380</v>
      </c>
      <c r="F1057" t="str">
        <f ca="1">VLOOKUP(A1057,Import_SuiviGlobal_MigAppliSate!A:I,6,FALSE)</f>
        <v>ZAC DE LA PRAIRIE DES MOULINS</v>
      </c>
      <c r="G1057" t="str">
        <f ca="1">VLOOKUP(A1057,Import_SuiviGlobal_MigAppliSate!A:I,7,FALSE)</f>
        <v>02.43.27.60.41</v>
      </c>
      <c r="H1057" t="str">
        <f ca="1">VLOOKUP(A1057,Import_SuiviGlobal_MigAppliSate!A:I,8,FALSE)</f>
        <v>SAMELE RPT HOLDING TS INVEST Thierry</v>
      </c>
      <c r="I1057" t="str">
        <f ca="1">VLOOKUP(A1057,Import_SuiviGlobal_MigAppliSate!A:I,9,FALSE)</f>
        <v>thierry.samele@systeme-u.fr</v>
      </c>
      <c r="J1057" s="24" t="str">
        <f ca="1">VLOOKUP(A1057,Import_SuiviGlobal_MigAppliSate!A:K,10,FALSE)</f>
        <v>PINEAU Fabien</v>
      </c>
      <c r="K1057" t="str">
        <f ca="1">VLOOKUP(A1057,Import_SuiviGlobal_MigAppliSate!A:K,11,FALSE)</f>
        <v>superu.saintjammesursarthe.direction@systeme-u.fr</v>
      </c>
      <c r="O1057" s="1" t="s">
        <v>22</v>
      </c>
    </row>
    <row r="1058" spans="1:18" ht="12.75" hidden="1" x14ac:dyDescent="0.2">
      <c r="A1058">
        <v>32046</v>
      </c>
      <c r="B1058" t="str">
        <f ca="1">VLOOKUP(A1058,Import_SuiviGlobal_MigAppliSate!A:I,2,FALSE)</f>
        <v>STE-LUCE-SUR-LOIRE</v>
      </c>
      <c r="C1058" t="str">
        <f ca="1">VLOOKUP(A1058,Import_SuiviGlobal_MigAppliSate!A:I,3,FALSE)</f>
        <v>U Express</v>
      </c>
      <c r="D1058" s="1" t="str">
        <f ca="1">VLOOKUP(A1058,Import_SuiviGlobal_MigAppliSate!A:I,4,FALSE)</f>
        <v>Coop U Enseigne Ouest</v>
      </c>
      <c r="E1058">
        <f ca="1">VLOOKUP(A1058,Import_SuiviGlobal_MigAppliSate!A:I,5,FALSE)</f>
        <v>44980</v>
      </c>
      <c r="F1058" t="str">
        <f ca="1">VLOOKUP(A1058,Import_SuiviGlobal_MigAppliSate!A:I,6,FALSE)</f>
        <v>PLACE DU GÉNÉRAL DE GAULLE</v>
      </c>
      <c r="G1058" t="str">
        <f ca="1">VLOOKUP(A1058,Import_SuiviGlobal_MigAppliSate!A:I,7,FALSE)</f>
        <v>02.51.79.77.77</v>
      </c>
      <c r="H1058" t="str">
        <f ca="1">VLOOKUP(A1058,Import_SuiviGlobal_MigAppliSate!A:I,8,FALSE)</f>
        <v>JEANNIERE Christian</v>
      </c>
      <c r="I1058" t="str">
        <f ca="1">VLOOKUP(A1058,Import_SuiviGlobal_MigAppliSate!A:I,9,FALSE)</f>
        <v>christian.jeanniere@systeme-u.fr</v>
      </c>
      <c r="J1058" s="24" t="str">
        <f ca="1">VLOOKUP(A1058,Import_SuiviGlobal_MigAppliSate!A:K,10,FALSE)</f>
        <v/>
      </c>
      <c r="K1058" t="str">
        <f ca="1">VLOOKUP(A1058,Import_SuiviGlobal_MigAppliSate!A:K,11,FALSE)</f>
        <v/>
      </c>
      <c r="O1058" s="1" t="s">
        <v>22</v>
      </c>
    </row>
    <row r="1059" spans="1:18" ht="12.75" hidden="1" x14ac:dyDescent="0.2">
      <c r="A1059">
        <v>99209</v>
      </c>
      <c r="B1059" t="str">
        <f ca="1">VLOOKUP(A1059,Import_SuiviGlobal_MigAppliSate!A:I,2,FALSE)</f>
        <v>STE-MARIE-IDR</v>
      </c>
      <c r="C1059" t="str">
        <f ca="1">VLOOKUP(A1059,Import_SuiviGlobal_MigAppliSate!A:I,3,FALSE)</f>
        <v>U Express</v>
      </c>
      <c r="D1059" s="1" t="str">
        <f ca="1">VLOOKUP(A1059,Import_SuiviGlobal_MigAppliSate!A:I,4,FALSE)</f>
        <v>Coop U Enseigne Sud</v>
      </c>
      <c r="E1059">
        <f ca="1">VLOOKUP(A1059,Import_SuiviGlobal_MigAppliSate!A:I,5,FALSE)</f>
        <v>97438</v>
      </c>
      <c r="F1059" t="str">
        <f ca="1">VLOOKUP(A1059,Import_SuiviGlobal_MigAppliSate!A:I,6,FALSE)</f>
        <v>112 RUE ROGER PAYET</v>
      </c>
      <c r="G1059" t="str">
        <f ca="1">VLOOKUP(A1059,Import_SuiviGlobal_MigAppliSate!A:I,7,FALSE)</f>
        <v>02.62.53.55.73</v>
      </c>
      <c r="H1059" t="str">
        <f ca="1">VLOOKUP(A1059,Import_SuiviGlobal_MigAppliSate!A:I,8,FALSE)</f>
        <v>KWONG CHEONG Valerie</v>
      </c>
      <c r="I1059" t="str">
        <f ca="1">VLOOKUP(A1059,Import_SuiviGlobal_MigAppliSate!A:I,9,FALSE)</f>
        <v>valerie.law-yen@systeme-u.fr</v>
      </c>
      <c r="J1059" s="24" t="str">
        <f ca="1">VLOOKUP(A1059,Import_SuiviGlobal_MigAppliSate!A:K,10,FALSE)</f>
        <v>LAW YEN Laurent</v>
      </c>
      <c r="K1059" t="str">
        <f ca="1">VLOOKUP(A1059,Import_SuiviGlobal_MigAppliSate!A:K,11,FALSE)</f>
        <v>laurent.lawyen@gmail.com</v>
      </c>
      <c r="O1059" s="1" t="s">
        <v>22</v>
      </c>
    </row>
    <row r="1060" spans="1:18" ht="12.75" hidden="1" x14ac:dyDescent="0.2">
      <c r="A1060">
        <v>33085</v>
      </c>
      <c r="B1060" t="str">
        <f ca="1">VLOOKUP(A1060,Import_SuiviGlobal_MigAppliSate!A:I,2,FALSE)</f>
        <v>STE-PAZANNE</v>
      </c>
      <c r="C1060" t="str">
        <f ca="1">VLOOKUP(A1060,Import_SuiviGlobal_MigAppliSate!A:I,3,FALSE)</f>
        <v>Super U</v>
      </c>
      <c r="D1060" s="1" t="str">
        <f ca="1">VLOOKUP(A1060,Import_SuiviGlobal_MigAppliSate!A:I,4,FALSE)</f>
        <v>Coop U Enseigne Ouest</v>
      </c>
      <c r="E1060">
        <f ca="1">VLOOKUP(A1060,Import_SuiviGlobal_MigAppliSate!A:I,5,FALSE)</f>
        <v>44680</v>
      </c>
      <c r="F1060" t="str">
        <f ca="1">VLOOKUP(A1060,Import_SuiviGlobal_MigAppliSate!A:I,6,FALSE)</f>
        <v>RUE DES CHARMES</v>
      </c>
      <c r="G1060" t="str">
        <f ca="1">VLOOKUP(A1060,Import_SuiviGlobal_MigAppliSate!A:I,7,FALSE)</f>
        <v>02.40.02.45.22</v>
      </c>
      <c r="H1060" t="str">
        <f ca="1">VLOOKUP(A1060,Import_SuiviGlobal_MigAppliSate!A:I,8,FALSE)</f>
        <v>GANDRIEAU RPT SARL PROGAN DIS David</v>
      </c>
      <c r="I1060" t="str">
        <f ca="1">VLOOKUP(A1060,Import_SuiviGlobal_MigAppliSate!A:I,9,FALSE)</f>
        <v>david.gandrieau@systeme-u.fr</v>
      </c>
      <c r="J1060" s="24" t="str">
        <f ca="1">VLOOKUP(A1060,Import_SuiviGlobal_MigAppliSate!A:K,10,FALSE)</f>
        <v>GANDRIEAU Anita</v>
      </c>
      <c r="K1060" t="str">
        <f ca="1">VLOOKUP(A1060,Import_SuiviGlobal_MigAppliSate!A:K,11,FALSE)</f>
        <v>anita.gandrieau@systeme-u.fr</v>
      </c>
      <c r="O1060" s="1" t="s">
        <v>22</v>
      </c>
    </row>
    <row r="1061" spans="1:18" ht="12.75" hidden="1" x14ac:dyDescent="0.2">
      <c r="A1061">
        <v>60043</v>
      </c>
      <c r="B1061" t="str">
        <f ca="1">VLOOKUP(A1061,Import_SuiviGlobal_MigAppliSate!A:I,2,FALSE)</f>
        <v>STRASBOURG BOUCHERS</v>
      </c>
      <c r="C1061" t="str">
        <f ca="1">VLOOKUP(A1061,Import_SuiviGlobal_MigAppliSate!A:I,3,FALSE)</f>
        <v>U Express</v>
      </c>
      <c r="D1061" s="1" t="str">
        <f ca="1">VLOOKUP(A1061,Import_SuiviGlobal_MigAppliSate!A:I,4,FALSE)</f>
        <v>Coop U Enseigne Est</v>
      </c>
      <c r="E1061">
        <f ca="1">VLOOKUP(A1061,Import_SuiviGlobal_MigAppliSate!A:I,5,FALSE)</f>
        <v>67000</v>
      </c>
      <c r="F1061" t="str">
        <f ca="1">VLOOKUP(A1061,Import_SuiviGlobal_MigAppliSate!A:I,6,FALSE)</f>
        <v>4 RUE DES BOUCHERS</v>
      </c>
      <c r="G1061" t="str">
        <f ca="1">VLOOKUP(A1061,Import_SuiviGlobal_MigAppliSate!A:I,7,FALSE)</f>
        <v>03.88.36.16.02</v>
      </c>
      <c r="H1061" t="str">
        <f ca="1">VLOOKUP(A1061,Import_SuiviGlobal_MigAppliSate!A:I,8,FALSE)</f>
        <v>GROSS Eugène</v>
      </c>
      <c r="I1061" t="str">
        <f ca="1">VLOOKUP(A1061,Import_SuiviGlobal_MigAppliSate!A:I,9,FALSE)</f>
        <v>eugene.gross@systeme-u.fr</v>
      </c>
      <c r="J1061" s="24" t="str">
        <f ca="1">VLOOKUP(A1061,Import_SuiviGlobal_MigAppliSate!A:K,10,FALSE)</f>
        <v>Mme GROSS</v>
      </c>
      <c r="K1061" t="str">
        <f ca="1">VLOOKUP(A1061,Import_SuiviGlobal_MigAppliSate!A:K,11,FALSE)</f>
        <v>anne.gross@systeme-u.fr</v>
      </c>
      <c r="O1061" s="1" t="s">
        <v>22</v>
      </c>
    </row>
    <row r="1062" spans="1:18" ht="12.75" hidden="1" x14ac:dyDescent="0.2">
      <c r="A1062">
        <v>68531</v>
      </c>
      <c r="B1062" t="str">
        <f ca="1">VLOOKUP(A1062,Import_SuiviGlobal_MigAppliSate!A:I,2,FALSE)</f>
        <v>STRASBOURG GRAND RUE</v>
      </c>
      <c r="C1062" t="str">
        <f ca="1">VLOOKUP(A1062,Import_SuiviGlobal_MigAppliSate!A:I,3,FALSE)</f>
        <v>U Express</v>
      </c>
      <c r="D1062" s="1" t="str">
        <f ca="1">VLOOKUP(A1062,Import_SuiviGlobal_MigAppliSate!A:I,4,FALSE)</f>
        <v>Coop U Enseigne Est</v>
      </c>
      <c r="E1062">
        <f ca="1">VLOOKUP(A1062,Import_SuiviGlobal_MigAppliSate!A:I,5,FALSE)</f>
        <v>67000</v>
      </c>
      <c r="F1062" t="str">
        <f ca="1">VLOOKUP(A1062,Import_SuiviGlobal_MigAppliSate!A:I,6,FALSE)</f>
        <v>5 GRAND RUE</v>
      </c>
      <c r="G1062" t="str">
        <f ca="1">VLOOKUP(A1062,Import_SuiviGlobal_MigAppliSate!A:I,7,FALSE)</f>
        <v>03.88.75.63.11</v>
      </c>
      <c r="H1062" t="str">
        <f ca="1">VLOOKUP(A1062,Import_SuiviGlobal_MigAppliSate!A:I,8,FALSE)</f>
        <v>ALLARD David</v>
      </c>
      <c r="I1062" t="str">
        <f ca="1">VLOOKUP(A1062,Import_SuiviGlobal_MigAppliSate!A:I,9,FALSE)</f>
        <v>david.allard@systeme-u.fr</v>
      </c>
      <c r="J1062" s="24" t="str">
        <f ca="1">VLOOKUP(A1062,Import_SuiviGlobal_MigAppliSate!A:K,10,FALSE)</f>
        <v>Mme ALLARD</v>
      </c>
      <c r="K1062" t="str">
        <f ca="1">VLOOKUP(A1062,Import_SuiviGlobal_MigAppliSate!A:K,11,FALSE)</f>
        <v>jennifer.allard@systeme-u.fr</v>
      </c>
      <c r="O1062" s="1" t="s">
        <v>22</v>
      </c>
    </row>
    <row r="1063" spans="1:18" ht="12.75" hidden="1" x14ac:dyDescent="0.2">
      <c r="A1063">
        <v>60702</v>
      </c>
      <c r="B1063" t="str">
        <f ca="1">VLOOKUP(A1063,Import_SuiviGlobal_MigAppliSate!A:I,2,FALSE)</f>
        <v>STRASBOURG ROBERTSAU</v>
      </c>
      <c r="C1063" t="str">
        <f ca="1">VLOOKUP(A1063,Import_SuiviGlobal_MigAppliSate!A:I,3,FALSE)</f>
        <v>U Express</v>
      </c>
      <c r="D1063" s="1" t="str">
        <f ca="1">VLOOKUP(A1063,Import_SuiviGlobal_MigAppliSate!A:I,4,FALSE)</f>
        <v>Coop U Enseigne Est</v>
      </c>
      <c r="E1063">
        <f ca="1">VLOOKUP(A1063,Import_SuiviGlobal_MigAppliSate!A:I,5,FALSE)</f>
        <v>67000</v>
      </c>
      <c r="F1063" t="str">
        <f ca="1">VLOOKUP(A1063,Import_SuiviGlobal_MigAppliSate!A:I,6,FALSE)</f>
        <v>67 RUE BOECKLIN</v>
      </c>
      <c r="G1063" t="str">
        <f ca="1">VLOOKUP(A1063,Import_SuiviGlobal_MigAppliSate!A:I,7,FALSE)</f>
        <v>03.88.31.97.40</v>
      </c>
      <c r="H1063" t="str">
        <f ca="1">VLOOKUP(A1063,Import_SuiviGlobal_MigAppliSate!A:I,8,FALSE)</f>
        <v>KLEIN Angélique</v>
      </c>
      <c r="I1063" t="str">
        <f ca="1">VLOOKUP(A1063,Import_SuiviGlobal_MigAppliSate!A:I,9,FALSE)</f>
        <v>angelique.klein@systeme-u.fr</v>
      </c>
      <c r="J1063" s="24" t="str">
        <f ca="1">VLOOKUP(A1063,Import_SuiviGlobal_MigAppliSate!A:K,10,FALSE)</f>
        <v/>
      </c>
      <c r="K1063" t="str">
        <f ca="1">VLOOKUP(A1063,Import_SuiviGlobal_MigAppliSate!A:K,11,FALSE)</f>
        <v/>
      </c>
      <c r="O1063" s="1" t="s">
        <v>22</v>
      </c>
    </row>
    <row r="1064" spans="1:18" ht="12.75" hidden="1" x14ac:dyDescent="0.2">
      <c r="A1064">
        <v>60019</v>
      </c>
      <c r="B1064" t="str">
        <f ca="1">VLOOKUP(A1064,Import_SuiviGlobal_MigAppliSate!A:I,2,FALSE)</f>
        <v>STRASBOURG STOCKFELD</v>
      </c>
      <c r="C1064" t="str">
        <f ca="1">VLOOKUP(A1064,Import_SuiviGlobal_MigAppliSate!A:I,3,FALSE)</f>
        <v>U Express</v>
      </c>
      <c r="D1064" s="1" t="str">
        <f ca="1">VLOOKUP(A1064,Import_SuiviGlobal_MigAppliSate!A:I,4,FALSE)</f>
        <v>Coop U Enseigne Est</v>
      </c>
      <c r="E1064">
        <f ca="1">VLOOKUP(A1064,Import_SuiviGlobal_MigAppliSate!A:I,5,FALSE)</f>
        <v>67100</v>
      </c>
      <c r="F1064" t="str">
        <f ca="1">VLOOKUP(A1064,Import_SuiviGlobal_MigAppliSate!A:I,6,FALSE)</f>
        <v>84 RUE DES JÉSUITES</v>
      </c>
      <c r="G1064" t="str">
        <f ca="1">VLOOKUP(A1064,Import_SuiviGlobal_MigAppliSate!A:I,7,FALSE)</f>
        <v>03.90.40.09.56</v>
      </c>
      <c r="H1064" t="str">
        <f ca="1">VLOOKUP(A1064,Import_SuiviGlobal_MigAppliSate!A:I,8,FALSE)</f>
        <v>HIRSCHNER RPT SAS PAUJEMA Richard</v>
      </c>
      <c r="I1064" t="str">
        <f ca="1">VLOOKUP(A1064,Import_SuiviGlobal_MigAppliSate!A:I,9,FALSE)</f>
        <v>richard.hirschner@systeme-u.fr</v>
      </c>
      <c r="J1064" s="24" t="str">
        <f ca="1">VLOOKUP(A1064,Import_SuiviGlobal_MigAppliSate!A:K,10,FALSE)</f>
        <v/>
      </c>
      <c r="K1064" t="str">
        <f ca="1">VLOOKUP(A1064,Import_SuiviGlobal_MigAppliSate!A:K,11,FALSE)</f>
        <v/>
      </c>
      <c r="O1064" s="1" t="s">
        <v>22</v>
      </c>
    </row>
    <row r="1065" spans="1:18" ht="12.75" hidden="1" x14ac:dyDescent="0.2">
      <c r="A1065">
        <v>60072</v>
      </c>
      <c r="B1065" t="str">
        <f ca="1">VLOOKUP(A1065,Import_SuiviGlobal_MigAppliSate!A:I,2,FALSE)</f>
        <v>STRASBOURG YSER</v>
      </c>
      <c r="C1065" t="str">
        <f ca="1">VLOOKUP(A1065,Import_SuiviGlobal_MigAppliSate!A:I,3,FALSE)</f>
        <v>U Express</v>
      </c>
      <c r="D1065" s="1" t="str">
        <f ca="1">VLOOKUP(A1065,Import_SuiviGlobal_MigAppliSate!A:I,4,FALSE)</f>
        <v>Coop U Enseigne Est</v>
      </c>
      <c r="E1065">
        <f ca="1">VLOOKUP(A1065,Import_SuiviGlobal_MigAppliSate!A:I,5,FALSE)</f>
        <v>67000</v>
      </c>
      <c r="F1065" t="str">
        <f ca="1">VLOOKUP(A1065,Import_SuiviGlobal_MigAppliSate!A:I,6,FALSE)</f>
        <v>51 rue de l'Yser</v>
      </c>
      <c r="G1065" t="str">
        <f ca="1">VLOOKUP(A1065,Import_SuiviGlobal_MigAppliSate!A:I,7,FALSE)</f>
        <v>03.88.45.30.90</v>
      </c>
      <c r="H1065" t="str">
        <f ca="1">VLOOKUP(A1065,Import_SuiviGlobal_MigAppliSate!A:I,8,FALSE)</f>
        <v>KLEIN-THOMAS Chantal</v>
      </c>
      <c r="I1065" t="str">
        <f ca="1">VLOOKUP(A1065,Import_SuiviGlobal_MigAppliSate!A:I,9,FALSE)</f>
        <v>chantal.klein-thomas@systeme-u.fr</v>
      </c>
      <c r="J1065" s="24" t="str">
        <f ca="1">VLOOKUP(A1065,Import_SuiviGlobal_MigAppliSate!A:K,10,FALSE)</f>
        <v/>
      </c>
      <c r="K1065" t="str">
        <f ca="1">VLOOKUP(A1065,Import_SuiviGlobal_MigAppliSate!A:K,11,FALSE)</f>
        <v/>
      </c>
      <c r="O1065" s="1" t="s">
        <v>22</v>
      </c>
    </row>
    <row r="1066" spans="1:18" ht="12.75" hidden="1" x14ac:dyDescent="0.2">
      <c r="A1066">
        <v>60029</v>
      </c>
      <c r="B1066" t="str">
        <f ca="1">VLOOKUP(A1066,Import_SuiviGlobal_MigAppliSate!A:I,2,FALSE)</f>
        <v>SUNDHOUSE</v>
      </c>
      <c r="C1066" t="str">
        <f ca="1">VLOOKUP(A1066,Import_SuiviGlobal_MigAppliSate!A:I,3,FALSE)</f>
        <v>U Express</v>
      </c>
      <c r="D1066" s="1" t="str">
        <f ca="1">VLOOKUP(A1066,Import_SuiviGlobal_MigAppliSate!A:I,4,FALSE)</f>
        <v>Coop U Enseigne Est</v>
      </c>
      <c r="E1066">
        <f ca="1">VLOOKUP(A1066,Import_SuiviGlobal_MigAppliSate!A:I,5,FALSE)</f>
        <v>67920</v>
      </c>
      <c r="F1066" t="str">
        <f ca="1">VLOOKUP(A1066,Import_SuiviGlobal_MigAppliSate!A:I,6,FALSE)</f>
        <v>2 Rue de Wittisheim</v>
      </c>
      <c r="G1066" t="str">
        <f ca="1">VLOOKUP(A1066,Import_SuiviGlobal_MigAppliSate!A:I,7,FALSE)</f>
        <v>03.88.85.88.91</v>
      </c>
      <c r="H1066" t="str">
        <f ca="1">VLOOKUP(A1066,Import_SuiviGlobal_MigAppliSate!A:I,8,FALSE)</f>
        <v>BACQUET Vincent</v>
      </c>
      <c r="I1066" t="str">
        <f ca="1">VLOOKUP(A1066,Import_SuiviGlobal_MigAppliSate!A:I,9,FALSE)</f>
        <v>vincent.bacquet@systeme-u.fr</v>
      </c>
      <c r="J1066" s="24" t="str">
        <f ca="1">VLOOKUP(A1066,Import_SuiviGlobal_MigAppliSate!A:K,10,FALSE)</f>
        <v/>
      </c>
      <c r="K1066" t="str">
        <f ca="1">VLOOKUP(A1066,Import_SuiviGlobal_MigAppliSate!A:K,11,FALSE)</f>
        <v/>
      </c>
      <c r="O1066" s="1" t="s">
        <v>22</v>
      </c>
    </row>
    <row r="1067" spans="1:18" ht="12.75" hidden="1" x14ac:dyDescent="0.2">
      <c r="A1067">
        <v>23492</v>
      </c>
      <c r="B1067" t="str">
        <f ca="1">VLOOKUP(A1067,Import_SuiviGlobal_MigAppliSate!A:I,2,FALSE)</f>
        <v>SURESNES</v>
      </c>
      <c r="C1067" t="str">
        <f ca="1">VLOOKUP(A1067,Import_SuiviGlobal_MigAppliSate!A:I,3,FALSE)</f>
        <v>U Express</v>
      </c>
      <c r="D1067" s="1" t="str">
        <f ca="1">VLOOKUP(A1067,Import_SuiviGlobal_MigAppliSate!A:I,4,FALSE)</f>
        <v>Coop U Enseigne NordOuest</v>
      </c>
      <c r="E1067">
        <f ca="1">VLOOKUP(A1067,Import_SuiviGlobal_MigAppliSate!A:I,5,FALSE)</f>
        <v>92150</v>
      </c>
      <c r="F1067" t="str">
        <f ca="1">VLOOKUP(A1067,Import_SuiviGlobal_MigAppliSate!A:I,6,FALSE)</f>
        <v>85 RUE CARNOT</v>
      </c>
      <c r="G1067" t="str">
        <f ca="1">VLOOKUP(A1067,Import_SuiviGlobal_MigAppliSate!A:I,7,FALSE)</f>
        <v>01.47.28.06.51</v>
      </c>
      <c r="H1067" t="str">
        <f ca="1">VLOOKUP(A1067,Import_SuiviGlobal_MigAppliSate!A:I,8,FALSE)</f>
        <v>BECQ DE FOUQUIÈRES Arthur</v>
      </c>
      <c r="I1067" t="str">
        <f ca="1">VLOOKUP(A1067,Import_SuiviGlobal_MigAppliSate!A:I,9,FALSE)</f>
        <v>arthur.defouquieres@systeme-u.fr</v>
      </c>
      <c r="J1067" s="24" t="str">
        <f ca="1">VLOOKUP(A1067,Import_SuiviGlobal_MigAppliSate!A:K,10,FALSE)</f>
        <v>DAMHET Thomas
M. Belacel</v>
      </c>
      <c r="K1067" t="str">
        <f ca="1">VLOOKUP(A1067,Import_SuiviGlobal_MigAppliSate!A:K,11,FALSE)</f>
        <v>tdamhet@gmail.com,zbelacel.su@gmail.com</v>
      </c>
      <c r="O1067" s="1" t="s">
        <v>22</v>
      </c>
    </row>
    <row r="1068" spans="1:18" ht="12.75" hidden="1" x14ac:dyDescent="0.2">
      <c r="A1068">
        <v>34196</v>
      </c>
      <c r="B1068" t="str">
        <f ca="1">VLOOKUP(A1068,Import_SuiviGlobal_MigAppliSate!A:I,2,FALSE)</f>
        <v>SURGÈRES</v>
      </c>
      <c r="C1068" t="str">
        <f ca="1">VLOOKUP(A1068,Import_SuiviGlobal_MigAppliSate!A:I,3,FALSE)</f>
        <v>U Express</v>
      </c>
      <c r="D1068" s="1" t="str">
        <f ca="1">VLOOKUP(A1068,Import_SuiviGlobal_MigAppliSate!A:I,4,FALSE)</f>
        <v>Coop Atlantique</v>
      </c>
      <c r="E1068">
        <f ca="1">VLOOKUP(A1068,Import_SuiviGlobal_MigAppliSate!A:I,5,FALSE)</f>
        <v>17700</v>
      </c>
      <c r="F1068" t="str">
        <f ca="1">VLOOKUP(A1068,Import_SuiviGlobal_MigAppliSate!A:I,6,FALSE)</f>
        <v>13 RUE AVENUE ST PIERRE</v>
      </c>
      <c r="G1068" t="str">
        <f ca="1">VLOOKUP(A1068,Import_SuiviGlobal_MigAppliSate!A:I,7,FALSE)</f>
        <v>05.46.07.02.37</v>
      </c>
      <c r="H1068" t="str">
        <f ca="1">VLOOKUP(A1068,Import_SuiviGlobal_MigAppliSate!A:I,8,FALSE)</f>
        <v>FLAMBARD Hervé</v>
      </c>
      <c r="I1068" t="str">
        <f ca="1">VLOOKUP(A1068,Import_SuiviGlobal_MigAppliSate!A:I,9,FALSE)</f>
        <v>bertrand.defontaine_coop_su_uex@systeme-u.fr</v>
      </c>
      <c r="J1068" s="24" t="str">
        <f ca="1">VLOOKUP(A1068,Import_SuiviGlobal_MigAppliSate!A:K,10,FALSE)</f>
        <v>Mathieu Brunet</v>
      </c>
      <c r="K1068" t="str">
        <f ca="1">VLOOKUP(A1068,Import_SuiviGlobal_MigAppliSate!A:K,11,FALSE)</f>
        <v>nbrigant@coop-atlantique.fr,sjaud@coop-atlantique.fr,uexpress.surgeres.direction@systeme-u.fr,mbrunet@coop-atlantique.fr</v>
      </c>
      <c r="O1068" s="1" t="s">
        <v>22</v>
      </c>
    </row>
    <row r="1069" spans="1:18" ht="12.75" hidden="1" x14ac:dyDescent="0.2">
      <c r="A1069">
        <v>66179</v>
      </c>
      <c r="B1069" t="str">
        <f ca="1">VLOOKUP(A1069,Import_SuiviGlobal_MigAppliSate!A:I,2,FALSE)</f>
        <v>SURY LE COMTAL</v>
      </c>
      <c r="C1069" t="str">
        <f ca="1">VLOOKUP(A1069,Import_SuiviGlobal_MigAppliSate!A:I,3,FALSE)</f>
        <v>Super U</v>
      </c>
      <c r="D1069" s="1" t="str">
        <f ca="1">VLOOKUP(A1069,Import_SuiviGlobal_MigAppliSate!A:I,4,FALSE)</f>
        <v>Coop U Enseigne Est</v>
      </c>
      <c r="E1069">
        <f ca="1">VLOOKUP(A1069,Import_SuiviGlobal_MigAppliSate!A:I,5,FALSE)</f>
        <v>42450</v>
      </c>
      <c r="F1069" t="str">
        <f ca="1">VLOOKUP(A1069,Import_SuiviGlobal_MigAppliSate!A:I,6,FALSE)</f>
        <v>rue du 11 Novembre</v>
      </c>
      <c r="G1069" t="str">
        <f ca="1">VLOOKUP(A1069,Import_SuiviGlobal_MigAppliSate!A:I,7,FALSE)</f>
        <v>04.77.30.01.73</v>
      </c>
      <c r="H1069" t="str">
        <f ca="1">VLOOKUP(A1069,Import_SuiviGlobal_MigAppliSate!A:I,8,FALSE)</f>
        <v>SOUFFLEUX Pascal</v>
      </c>
      <c r="I1069" t="str">
        <f ca="1">VLOOKUP(A1069,Import_SuiviGlobal_MigAppliSate!A:I,9,FALSE)</f>
        <v>pascal.souffleux@systeme-u.fr</v>
      </c>
      <c r="J1069" s="24" t="str">
        <f ca="1">VLOOKUP(A1069,Import_SuiviGlobal_MigAppliSate!A:K,10,FALSE)</f>
        <v>GOUDET Aymeric</v>
      </c>
      <c r="K1069" t="str">
        <f ca="1">VLOOKUP(A1069,Import_SuiviGlobal_MigAppliSate!A:K,11,FALSE)</f>
        <v>superu.surylecomtal.direction@systeme-u.fr</v>
      </c>
      <c r="O1069" s="1" t="s">
        <v>22</v>
      </c>
    </row>
    <row r="1070" spans="1:18" ht="12.75" hidden="1" x14ac:dyDescent="0.2">
      <c r="A1070">
        <v>65460</v>
      </c>
      <c r="B1070" t="str">
        <f ca="1">VLOOKUP(A1070,Import_SuiviGlobal_MigAppliSate!A:I,2,FALSE)</f>
        <v>TALANGE</v>
      </c>
      <c r="C1070" t="str">
        <f ca="1">VLOOKUP(A1070,Import_SuiviGlobal_MigAppliSate!A:I,3,FALSE)</f>
        <v>Super U</v>
      </c>
      <c r="D1070" s="1" t="str">
        <f ca="1">VLOOKUP(A1070,Import_SuiviGlobal_MigAppliSate!A:I,4,FALSE)</f>
        <v>Coop U Enseigne Est</v>
      </c>
      <c r="E1070">
        <f ca="1">VLOOKUP(A1070,Import_SuiviGlobal_MigAppliSate!A:I,5,FALSE)</f>
        <v>57525</v>
      </c>
      <c r="F1070" t="str">
        <f ca="1">VLOOKUP(A1070,Import_SuiviGlobal_MigAppliSate!A:I,6,FALSE)</f>
        <v>Zone commerciale du Triangle</v>
      </c>
      <c r="G1070" t="str">
        <f ca="1">VLOOKUP(A1070,Import_SuiviGlobal_MigAppliSate!A:I,7,FALSE)</f>
        <v>03.87.70.24.10</v>
      </c>
      <c r="H1070" t="str">
        <f ca="1">VLOOKUP(A1070,Import_SuiviGlobal_MigAppliSate!A:I,8,FALSE)</f>
        <v>RICATEAU Frédéric</v>
      </c>
      <c r="I1070" t="str">
        <f ca="1">VLOOKUP(A1070,Import_SuiviGlobal_MigAppliSate!A:I,9,FALSE)</f>
        <v>frederic.ricateau@systeme-u.fr</v>
      </c>
      <c r="J1070" s="24" t="str">
        <f ca="1">VLOOKUP(A1070,Import_SuiviGlobal_MigAppliSate!A:K,10,FALSE)</f>
        <v>Mme Véronique Faivre</v>
      </c>
      <c r="K1070" t="str">
        <f ca="1">VLOOKUP(A1070,Import_SuiviGlobal_MigAppliSate!A:K,11,FALSE)</f>
        <v>superu.talange.accueil@systeme-u.fr</v>
      </c>
      <c r="O1070" s="1" t="s">
        <v>22</v>
      </c>
    </row>
    <row r="1071" spans="1:18" ht="12.75" hidden="1" x14ac:dyDescent="0.2">
      <c r="A1071">
        <v>62050</v>
      </c>
      <c r="B1071" t="str">
        <f ca="1">VLOOKUP(A1071,Import_SuiviGlobal_MigAppliSate!A:I,2,FALSE)</f>
        <v>TALANT ARANDES</v>
      </c>
      <c r="C1071" t="str">
        <f ca="1">VLOOKUP(A1071,Import_SuiviGlobal_MigAppliSate!A:I,3,FALSE)</f>
        <v>Super U</v>
      </c>
      <c r="D1071" s="1" t="str">
        <f ca="1">VLOOKUP(A1071,Import_SuiviGlobal_MigAppliSate!A:I,4,FALSE)</f>
        <v>Coop U Enseigne Est</v>
      </c>
      <c r="E1071">
        <f ca="1">VLOOKUP(A1071,Import_SuiviGlobal_MigAppliSate!A:I,5,FALSE)</f>
        <v>21240</v>
      </c>
      <c r="F1071" t="str">
        <f ca="1">VLOOKUP(A1071,Import_SuiviGlobal_MigAppliSate!A:I,6,FALSE)</f>
        <v>33 RUE DES ARANDES</v>
      </c>
      <c r="G1071" t="str">
        <f ca="1">VLOOKUP(A1071,Import_SuiviGlobal_MigAppliSate!A:I,7,FALSE)</f>
        <v>03.80.58.57.00</v>
      </c>
      <c r="H1071" t="str">
        <f ca="1">VLOOKUP(A1071,Import_SuiviGlobal_MigAppliSate!A:I,8,FALSE)</f>
        <v>ALVES Pierre</v>
      </c>
      <c r="I1071" t="str">
        <f ca="1">VLOOKUP(A1071,Import_SuiviGlobal_MigAppliSate!A:I,9,FALSE)</f>
        <v>christel.alves@systeme-u.fr</v>
      </c>
      <c r="J1071" s="24" t="str">
        <f ca="1">VLOOKUP(A1071,Import_SuiviGlobal_MigAppliSate!A:K,10,FALSE)</f>
        <v>Mr Mercier</v>
      </c>
      <c r="K1071" t="str">
        <f ca="1">VLOOKUP(A1071,Import_SuiviGlobal_MigAppliSate!A:K,11,FALSE)</f>
        <v>superu.talant.direction@systeme-u.fr</v>
      </c>
      <c r="O1071" s="1" t="s">
        <v>22</v>
      </c>
    </row>
    <row r="1072" spans="1:18" ht="12.75" hidden="1" x14ac:dyDescent="0.2">
      <c r="A1072">
        <v>62035</v>
      </c>
      <c r="B1072" t="str">
        <f ca="1">VLOOKUP(A1072,Import_SuiviGlobal_MigAppliSate!A:I,2,FALSE)</f>
        <v>TALANT BELVEDERE</v>
      </c>
      <c r="C1072" t="str">
        <f ca="1">VLOOKUP(A1072,Import_SuiviGlobal_MigAppliSate!A:I,3,FALSE)</f>
        <v>Super U</v>
      </c>
      <c r="D1072" s="1" t="str">
        <f ca="1">VLOOKUP(A1072,Import_SuiviGlobal_MigAppliSate!A:I,4,FALSE)</f>
        <v>Coop U Enseigne Est</v>
      </c>
      <c r="E1072">
        <f ca="1">VLOOKUP(A1072,Import_SuiviGlobal_MigAppliSate!A:I,5,FALSE)</f>
        <v>21240</v>
      </c>
      <c r="F1072" t="str">
        <f ca="1">VLOOKUP(A1072,Import_SuiviGlobal_MigAppliSate!A:I,6,FALSE)</f>
        <v>C.C. DU BELVÉDÈRE</v>
      </c>
      <c r="G1072" t="str">
        <f ca="1">VLOOKUP(A1072,Import_SuiviGlobal_MigAppliSate!A:I,7,FALSE)</f>
        <v>03.80.58.29.39</v>
      </c>
      <c r="H1072" t="str">
        <f ca="1">VLOOKUP(A1072,Import_SuiviGlobal_MigAppliSate!A:I,8,FALSE)</f>
        <v>ALVES Pierre</v>
      </c>
      <c r="I1072" t="str">
        <f ca="1">VLOOKUP(A1072,Import_SuiviGlobal_MigAppliSate!A:I,9,FALSE)</f>
        <v>pierre.alves@systeme-u.fr</v>
      </c>
      <c r="J1072" s="24" t="str">
        <f ca="1">VLOOKUP(A1072,Import_SuiviGlobal_MigAppliSate!A:K,10,FALSE)</f>
        <v xml:space="preserve">ALVES Christel, LEREUIL Vincent	</v>
      </c>
      <c r="K1072" t="str">
        <f ca="1">VLOOKUP(A1072,Import_SuiviGlobal_MigAppliSate!A:K,11,FALSE)</f>
        <v xml:space="preserve">christel.alves@gmail.com,superu.talantzac@systeme-u.fr        </v>
      </c>
      <c r="L1072" s="1" t="s">
        <v>17</v>
      </c>
      <c r="M1072" s="1" t="s">
        <v>24</v>
      </c>
      <c r="N1072" s="1" t="s">
        <v>18</v>
      </c>
      <c r="O1072" s="1" t="s">
        <v>19</v>
      </c>
      <c r="P1072" s="15"/>
      <c r="Q1072" s="18"/>
      <c r="R1072" s="18"/>
    </row>
    <row r="1073" spans="1:18" ht="12.75" hidden="1" x14ac:dyDescent="0.2">
      <c r="A1073">
        <v>32968</v>
      </c>
      <c r="B1073" t="str">
        <f ca="1">VLOOKUP(A1073,Import_SuiviGlobal_MigAppliSate!A:I,2,FALSE)</f>
        <v>TALMONT-ST-HILAIRE</v>
      </c>
      <c r="C1073" t="str">
        <f ca="1">VLOOKUP(A1073,Import_SuiviGlobal_MigAppliSate!A:I,3,FALSE)</f>
        <v>Super U</v>
      </c>
      <c r="D1073" s="1" t="str">
        <f ca="1">VLOOKUP(A1073,Import_SuiviGlobal_MigAppliSate!A:I,4,FALSE)</f>
        <v>Coop U Enseigne Ouest</v>
      </c>
      <c r="E1073">
        <f ca="1">VLOOKUP(A1073,Import_SuiviGlobal_MigAppliSate!A:I,5,FALSE)</f>
        <v>85440</v>
      </c>
      <c r="F1073" t="str">
        <f ca="1">VLOOKUP(A1073,Import_SuiviGlobal_MigAppliSate!A:I,6,FALSE)</f>
        <v>86, AVENUE DES SABLES</v>
      </c>
      <c r="G1073" t="str">
        <f ca="1">VLOOKUP(A1073,Import_SuiviGlobal_MigAppliSate!A:I,7,FALSE)</f>
        <v>02.51.20.79.79</v>
      </c>
      <c r="H1073" t="str">
        <f ca="1">VLOOKUP(A1073,Import_SuiviGlobal_MigAppliSate!A:I,8,FALSE)</f>
        <v>Mr Gandrieau</v>
      </c>
      <c r="I1073" t="str">
        <f ca="1">VLOOKUP(A1073,Import_SuiviGlobal_MigAppliSate!A:I,9,FALSE)</f>
        <v>david.gandrieau@systeme-u.fr</v>
      </c>
      <c r="J1073" s="24" t="str">
        <f ca="1">VLOOKUP(A1073,Import_SuiviGlobal_MigAppliSate!A:K,10,FALSE)</f>
        <v/>
      </c>
      <c r="K1073" t="str">
        <f ca="1">VLOOKUP(A1073,Import_SuiviGlobal_MigAppliSate!A:K,11,FALSE)</f>
        <v/>
      </c>
      <c r="O1073" s="1" t="s">
        <v>22</v>
      </c>
    </row>
    <row r="1074" spans="1:18" ht="12.75" hidden="1" x14ac:dyDescent="0.2">
      <c r="A1074">
        <v>99206</v>
      </c>
      <c r="B1074" t="str">
        <f ca="1">VLOOKUP(A1074,Import_SuiviGlobal_MigAppliSate!A:I,2,FALSE)</f>
        <v>TAMPON-IDR</v>
      </c>
      <c r="C1074" t="str">
        <f ca="1">VLOOKUP(A1074,Import_SuiviGlobal_MigAppliSate!A:I,3,FALSE)</f>
        <v>Marché U</v>
      </c>
      <c r="D1074" s="1" t="str">
        <f ca="1">VLOOKUP(A1074,Import_SuiviGlobal_MigAppliSate!A:I,4,FALSE)</f>
        <v>Coop U Enseigne Sud</v>
      </c>
      <c r="E1074">
        <f ca="1">VLOOKUP(A1074,Import_SuiviGlobal_MigAppliSate!A:I,5,FALSE)</f>
        <v>97430</v>
      </c>
      <c r="F1074" t="str">
        <f ca="1">VLOOKUP(A1074,Import_SuiviGlobal_MigAppliSate!A:I,6,FALSE)</f>
        <v>129 RUE MARTINEL LASSAYS BP283</v>
      </c>
      <c r="G1074" t="str">
        <f ca="1">VLOOKUP(A1074,Import_SuiviGlobal_MigAppliSate!A:I,7,FALSE)</f>
        <v>02.62.27.00.50</v>
      </c>
      <c r="H1074" t="str">
        <f ca="1">VLOOKUP(A1074,Import_SuiviGlobal_MigAppliSate!A:I,8,FALSE)</f>
        <v>THIEN-KIN-SIEN Jean-Marc</v>
      </c>
      <c r="I1074" t="str">
        <f ca="1">VLOOKUP(A1074,Import_SuiviGlobal_MigAppliSate!A:I,9,FALSE)</f>
        <v>jean-marc.thien-kin-sien@systeme-u.fr</v>
      </c>
      <c r="J1074" s="24" t="str">
        <f ca="1">VLOOKUP(A1074,Import_SuiviGlobal_MigAppliSate!A:K,10,FALSE)</f>
        <v/>
      </c>
      <c r="K1074" t="str">
        <f ca="1">VLOOKUP(A1074,Import_SuiviGlobal_MigAppliSate!A:K,11,FALSE)</f>
        <v/>
      </c>
      <c r="O1074" s="1" t="s">
        <v>22</v>
      </c>
    </row>
    <row r="1075" spans="1:18" ht="12.75" hidden="1" x14ac:dyDescent="0.2">
      <c r="A1075">
        <v>66130</v>
      </c>
      <c r="B1075" t="str">
        <f ca="1">VLOOKUP(A1075,Import_SuiviGlobal_MigAppliSate!A:I,2,FALSE)</f>
        <v>TANINGES</v>
      </c>
      <c r="C1075" t="str">
        <f ca="1">VLOOKUP(A1075,Import_SuiviGlobal_MigAppliSate!A:I,3,FALSE)</f>
        <v>Super U</v>
      </c>
      <c r="D1075" s="1" t="str">
        <f ca="1">VLOOKUP(A1075,Import_SuiviGlobal_MigAppliSate!A:I,4,FALSE)</f>
        <v>Coop U Enseigne Est</v>
      </c>
      <c r="E1075">
        <f ca="1">VLOOKUP(A1075,Import_SuiviGlobal_MigAppliSate!A:I,5,FALSE)</f>
        <v>74440</v>
      </c>
      <c r="F1075" t="str">
        <f ca="1">VLOOKUP(A1075,Import_SuiviGlobal_MigAppliSate!A:I,6,FALSE)</f>
        <v>182 Route d'Annemasse</v>
      </c>
      <c r="G1075" t="str">
        <f ca="1">VLOOKUP(A1075,Import_SuiviGlobal_MigAppliSate!A:I,7,FALSE)</f>
        <v>04.50.34.88.08</v>
      </c>
      <c r="H1075" t="str">
        <f ca="1">VLOOKUP(A1075,Import_SuiviGlobal_MigAppliSate!A:I,8,FALSE)</f>
        <v>RIAUTE Anthony</v>
      </c>
      <c r="I1075" t="str">
        <f ca="1">VLOOKUP(A1075,Import_SuiviGlobal_MigAppliSate!A:I,9,FALSE)</f>
        <v>anthony.riaute@systeme-u.fr</v>
      </c>
      <c r="J1075" s="24" t="str">
        <f ca="1">VLOOKUP(A1075,Import_SuiviGlobal_MigAppliSate!A:K,10,FALSE)</f>
        <v xml:space="preserve">M. ODET </v>
      </c>
      <c r="K1075" t="str">
        <f ca="1">VLOOKUP(A1075,Import_SuiviGlobal_MigAppliSate!A:K,11,FALSE)</f>
        <v>superu.taninges.directeur@systeme-u.fr</v>
      </c>
      <c r="O1075" s="1" t="s">
        <v>22</v>
      </c>
    </row>
    <row r="1076" spans="1:18" ht="12.75" hidden="1" x14ac:dyDescent="0.2">
      <c r="A1076">
        <v>62103</v>
      </c>
      <c r="B1076" t="str">
        <f ca="1">VLOOKUP(A1076,Import_SuiviGlobal_MigAppliSate!A:I,2,FALSE)</f>
        <v>TANNAY</v>
      </c>
      <c r="C1076" t="str">
        <f ca="1">VLOOKUP(A1076,Import_SuiviGlobal_MigAppliSate!A:I,3,FALSE)</f>
        <v>U Express</v>
      </c>
      <c r="D1076" s="1" t="str">
        <f ca="1">VLOOKUP(A1076,Import_SuiviGlobal_MigAppliSate!A:I,4,FALSE)</f>
        <v>Coop U Enseigne Est</v>
      </c>
      <c r="E1076">
        <f ca="1">VLOOKUP(A1076,Import_SuiviGlobal_MigAppliSate!A:I,5,FALSE)</f>
        <v>58190</v>
      </c>
      <c r="F1076" t="str">
        <f ca="1">VLOOKUP(A1076,Import_SuiviGlobal_MigAppliSate!A:I,6,FALSE)</f>
        <v>Rue de la Fringale</v>
      </c>
      <c r="G1076" t="str">
        <f ca="1">VLOOKUP(A1076,Import_SuiviGlobal_MigAppliSate!A:I,7,FALSE)</f>
        <v>03.86.29.30.65</v>
      </c>
      <c r="H1076" t="str">
        <f ca="1">VLOOKUP(A1076,Import_SuiviGlobal_MigAppliSate!A:I,8,FALSE)</f>
        <v>NEUVILLE Geoffroy</v>
      </c>
      <c r="I1076" t="str">
        <f ca="1">VLOOKUP(A1076,Import_SuiviGlobal_MigAppliSate!A:I,9,FALSE)</f>
        <v>johan.chapelais@systeme-u.fr</v>
      </c>
      <c r="J1076" s="24" t="str">
        <f ca="1">VLOOKUP(A1076,Import_SuiviGlobal_MigAppliSate!A:K,10,FALSE)</f>
        <v/>
      </c>
      <c r="K1076" t="str">
        <f ca="1">VLOOKUP(A1076,Import_SuiviGlobal_MigAppliSate!A:K,11,FALSE)</f>
        <v/>
      </c>
      <c r="O1076" s="1" t="s">
        <v>22</v>
      </c>
    </row>
    <row r="1077" spans="1:18" ht="12.75" hidden="1" x14ac:dyDescent="0.2">
      <c r="A1077">
        <v>90241</v>
      </c>
      <c r="B1077" t="str">
        <f ca="1">VLOOKUP(A1077,Import_SuiviGlobal_MigAppliSate!A:I,2,FALSE)</f>
        <v>TARASCON S/ARIEGE</v>
      </c>
      <c r="C1077" t="str">
        <f ca="1">VLOOKUP(A1077,Import_SuiviGlobal_MigAppliSate!A:I,3,FALSE)</f>
        <v>Super U</v>
      </c>
      <c r="D1077" s="1" t="str">
        <f ca="1">VLOOKUP(A1077,Import_SuiviGlobal_MigAppliSate!A:I,4,FALSE)</f>
        <v>Coop U Enseigne Sud</v>
      </c>
      <c r="E1077">
        <f ca="1">VLOOKUP(A1077,Import_SuiviGlobal_MigAppliSate!A:I,5,FALSE)</f>
        <v>9400</v>
      </c>
      <c r="F1077" t="str">
        <f ca="1">VLOOKUP(A1077,Import_SuiviGlobal_MigAppliSate!A:I,6,FALSE)</f>
        <v>ROUTE DE QUIE</v>
      </c>
      <c r="G1077" t="str">
        <f ca="1">VLOOKUP(A1077,Import_SuiviGlobal_MigAppliSate!A:I,7,FALSE)</f>
        <v>05.61.05.07.90</v>
      </c>
      <c r="H1077" t="str">
        <f ca="1">VLOOKUP(A1077,Import_SuiviGlobal_MigAppliSate!A:I,8,FALSE)</f>
        <v>LEON David et Laure</v>
      </c>
      <c r="I1077" t="str">
        <f ca="1">VLOOKUP(A1077,Import_SuiviGlobal_MigAppliSate!A:I,9,FALSE)</f>
        <v>david.leon@systeme-u.fr</v>
      </c>
      <c r="J1077" s="24" t="str">
        <f ca="1">VLOOKUP(A1077,Import_SuiviGlobal_MigAppliSate!A:K,10,FALSE)</f>
        <v>LEON Laure</v>
      </c>
      <c r="K1077" t="str">
        <f ca="1">VLOOKUP(A1077,Import_SuiviGlobal_MigAppliSate!A:K,11,FALSE)</f>
        <v>laure.leon@systeme-u.fr</v>
      </c>
      <c r="O1077" s="1" t="s">
        <v>22</v>
      </c>
    </row>
    <row r="1078" spans="1:18" ht="12.75" hidden="1" x14ac:dyDescent="0.2">
      <c r="A1078">
        <v>90474</v>
      </c>
      <c r="B1078" t="str">
        <f ca="1">VLOOKUP(A1078,Import_SuiviGlobal_MigAppliSate!A:I,2,FALSE)</f>
        <v>TARASCON</v>
      </c>
      <c r="C1078" t="str">
        <f ca="1">VLOOKUP(A1078,Import_SuiviGlobal_MigAppliSate!A:I,3,FALSE)</f>
        <v>U Express</v>
      </c>
      <c r="D1078" s="1" t="str">
        <f ca="1">VLOOKUP(A1078,Import_SuiviGlobal_MigAppliSate!A:I,4,FALSE)</f>
        <v>Coop MISTRAL</v>
      </c>
      <c r="E1078">
        <f ca="1">VLOOKUP(A1078,Import_SuiviGlobal_MigAppliSate!A:I,5,FALSE)</f>
        <v>13150</v>
      </c>
      <c r="F1078" t="str">
        <f ca="1">VLOOKUP(A1078,Import_SuiviGlobal_MigAppliSate!A:I,6,FALSE)</f>
        <v>4 ET 4 BIS BD VICTOR HUGO</v>
      </c>
      <c r="G1078" t="str">
        <f ca="1">VLOOKUP(A1078,Import_SuiviGlobal_MigAppliSate!A:I,7,FALSE)</f>
        <v>04.90.91.04.66</v>
      </c>
      <c r="H1078" t="str">
        <f ca="1">VLOOKUP(A1078,Import_SuiviGlobal_MigAppliSate!A:I,8,FALSE)</f>
        <v>DELATTRE Benoit</v>
      </c>
      <c r="I1078" t="str">
        <f ca="1">VLOOKUP(A1078,Import_SuiviGlobal_MigAppliSate!A:I,9,FALSE)</f>
        <v>uexpress.tarascon@mistral-u.fr</v>
      </c>
      <c r="J1078" s="24" t="str">
        <f ca="1">VLOOKUP(A1078,Import_SuiviGlobal_MigAppliSate!A:K,10,FALSE)</f>
        <v xml:space="preserve">Millet Thomas </v>
      </c>
      <c r="K1078" t="str">
        <f ca="1">VLOOKUP(A1078,Import_SuiviGlobal_MigAppliSate!A:K,11,FALSE)</f>
        <v>delphine.damian@lemistral.fr,helene.mina@lemistral.fr,uexpress.tarascon.direction@mistral-u.fr</v>
      </c>
      <c r="O1078" s="1" t="s">
        <v>22</v>
      </c>
    </row>
    <row r="1079" spans="1:18" ht="12.75" hidden="1" x14ac:dyDescent="0.2">
      <c r="A1079">
        <v>62010</v>
      </c>
      <c r="B1079" t="str">
        <f ca="1">VLOOKUP(A1079,Import_SuiviGlobal_MigAppliSate!A:I,2,FALSE)</f>
        <v>TAVAUX</v>
      </c>
      <c r="C1079" t="str">
        <f ca="1">VLOOKUP(A1079,Import_SuiviGlobal_MigAppliSate!A:I,3,FALSE)</f>
        <v>Super U</v>
      </c>
      <c r="D1079" s="1" t="str">
        <f ca="1">VLOOKUP(A1079,Import_SuiviGlobal_MigAppliSate!A:I,4,FALSE)</f>
        <v>Coop U Enseigne Est</v>
      </c>
      <c r="E1079">
        <f ca="1">VLOOKUP(A1079,Import_SuiviGlobal_MigAppliSate!A:I,5,FALSE)</f>
        <v>39500</v>
      </c>
      <c r="F1079" t="str">
        <f ca="1">VLOOKUP(A1079,Import_SuiviGlobal_MigAppliSate!A:I,6,FALSE)</f>
        <v>Route Nationale 73</v>
      </c>
      <c r="G1079" t="str">
        <f ca="1">VLOOKUP(A1079,Import_SuiviGlobal_MigAppliSate!A:I,7,FALSE)</f>
        <v>03.84.81.95.87</v>
      </c>
      <c r="H1079" t="str">
        <f ca="1">VLOOKUP(A1079,Import_SuiviGlobal_MigAppliSate!A:I,8,FALSE)</f>
        <v>GREA Laurent</v>
      </c>
      <c r="I1079" t="str">
        <f ca="1">VLOOKUP(A1079,Import_SuiviGlobal_MigAppliSate!A:I,9,FALSE)</f>
        <v>laurent.grea@systeme-u.fr</v>
      </c>
      <c r="J1079" s="24" t="str">
        <f ca="1">VLOOKUP(A1079,Import_SuiviGlobal_MigAppliSate!A:K,10,FALSE)</f>
        <v xml:space="preserve">Mr Genoudet (directeur - UPLV)
</v>
      </c>
      <c r="K1079" t="str">
        <f ca="1">VLOOKUP(A1079,Import_SuiviGlobal_MigAppliSate!A:K,11,FALSE)</f>
        <v>superu.tavaux.direction@systeme-u.fr</v>
      </c>
      <c r="O1079" s="1" t="s">
        <v>22</v>
      </c>
    </row>
    <row r="1080" spans="1:18" ht="12.75" hidden="1" x14ac:dyDescent="0.2">
      <c r="A1080">
        <v>91170</v>
      </c>
      <c r="B1080" t="str">
        <f ca="1">VLOOKUP(A1080,Import_SuiviGlobal_MigAppliSate!A:I,2,FALSE)</f>
        <v>TENCIN</v>
      </c>
      <c r="C1080" t="str">
        <f ca="1">VLOOKUP(A1080,Import_SuiviGlobal_MigAppliSate!A:I,3,FALSE)</f>
        <v>U Express</v>
      </c>
      <c r="D1080" s="1" t="str">
        <f ca="1">VLOOKUP(A1080,Import_SuiviGlobal_MigAppliSate!A:I,4,FALSE)</f>
        <v>Coop MISTRAL</v>
      </c>
      <c r="E1080">
        <f ca="1">VLOOKUP(A1080,Import_SuiviGlobal_MigAppliSate!A:I,5,FALSE)</f>
        <v>38570</v>
      </c>
      <c r="F1080" t="str">
        <f ca="1">VLOOKUP(A1080,Import_SuiviGlobal_MigAppliSate!A:I,6,FALSE)</f>
        <v>AVENUE DU GRESIVAUDAN</v>
      </c>
      <c r="G1080" t="str">
        <f ca="1">VLOOKUP(A1080,Import_SuiviGlobal_MigAppliSate!A:I,7,FALSE)</f>
        <v>04.76.45.47.22</v>
      </c>
      <c r="H1080" t="str">
        <f ca="1">VLOOKUP(A1080,Import_SuiviGlobal_MigAppliSate!A:I,8,FALSE)</f>
        <v>MOULIN Jean-Marc</v>
      </c>
      <c r="I1080" t="str">
        <f ca="1">VLOOKUP(A1080,Import_SuiviGlobal_MigAppliSate!A:I,9,FALSE)</f>
        <v>uexpress.tencin@mistral-u.fr</v>
      </c>
      <c r="J1080" s="24" t="str">
        <f ca="1">VLOOKUP(A1080,Import_SuiviGlobal_MigAppliSate!A:K,10,FALSE)</f>
        <v/>
      </c>
      <c r="K1080" t="str">
        <f ca="1">VLOOKUP(A1080,Import_SuiviGlobal_MigAppliSate!A:K,11,FALSE)</f>
        <v>delphine.damian@lemistral.fr,helene.mina@lemistral.fr</v>
      </c>
      <c r="O1080" s="1" t="s">
        <v>22</v>
      </c>
    </row>
    <row r="1081" spans="1:18" ht="12.75" hidden="1" x14ac:dyDescent="0.2">
      <c r="A1081">
        <v>25975</v>
      </c>
      <c r="B1081" t="str">
        <f ca="1">VLOOKUP(A1081,Import_SuiviGlobal_MigAppliSate!A:I,2,FALSE)</f>
        <v>TERDEGHEM</v>
      </c>
      <c r="C1081" t="str">
        <f ca="1">VLOOKUP(A1081,Import_SuiviGlobal_MigAppliSate!A:I,3,FALSE)</f>
        <v>Super U</v>
      </c>
      <c r="D1081" s="1" t="str">
        <f ca="1">VLOOKUP(A1081,Import_SuiviGlobal_MigAppliSate!A:I,4,FALSE)</f>
        <v>Coop U Enseigne NordOuest</v>
      </c>
      <c r="E1081">
        <f ca="1">VLOOKUP(A1081,Import_SuiviGlobal_MigAppliSate!A:I,5,FALSE)</f>
        <v>59114</v>
      </c>
      <c r="F1081" t="str">
        <f ca="1">VLOOKUP(A1081,Import_SuiviGlobal_MigAppliSate!A:I,6,FALSE)</f>
        <v>ROUTE D'HAZEBROUCK</v>
      </c>
      <c r="G1081" t="str">
        <f ca="1">VLOOKUP(A1081,Import_SuiviGlobal_MigAppliSate!A:I,7,FALSE)</f>
        <v>03.28.42.97.80</v>
      </c>
      <c r="H1081" t="str">
        <f ca="1">VLOOKUP(A1081,Import_SuiviGlobal_MigAppliSate!A:I,8,FALSE)</f>
        <v>WILLEPOTTE Marius-Christophe</v>
      </c>
      <c r="I1081" t="str">
        <f ca="1">VLOOKUP(A1081,Import_SuiviGlobal_MigAppliSate!A:I,9,FALSE)</f>
        <v>marius.willepotte@systeme-u.fr</v>
      </c>
      <c r="J1081" s="24" t="str">
        <f ca="1">VLOOKUP(A1081,Import_SuiviGlobal_MigAppliSate!A:K,10,FALSE)</f>
        <v>COTTIGNY PAULINE</v>
      </c>
      <c r="K1081" t="str">
        <f ca="1">VLOOKUP(A1081,Import_SuiviGlobal_MigAppliSate!A:K,11,FALSE)</f>
        <v>superu.terdeghem@systeme-u.fr</v>
      </c>
      <c r="O1081" s="1" t="s">
        <v>22</v>
      </c>
    </row>
    <row r="1082" spans="1:18" ht="12.75" hidden="1" x14ac:dyDescent="0.2">
      <c r="A1082">
        <v>90175</v>
      </c>
      <c r="B1082" t="str">
        <f ca="1">VLOOKUP(A1082,Import_SuiviGlobal_MigAppliSate!A:I,2,FALSE)</f>
        <v>THEZAN LES BEZIERS</v>
      </c>
      <c r="C1082" t="str">
        <f ca="1">VLOOKUP(A1082,Import_SuiviGlobal_MigAppliSate!A:I,3,FALSE)</f>
        <v>Super U</v>
      </c>
      <c r="D1082" s="1" t="str">
        <f ca="1">VLOOKUP(A1082,Import_SuiviGlobal_MigAppliSate!A:I,4,FALSE)</f>
        <v>Coop U Enseigne Sud</v>
      </c>
      <c r="E1082">
        <f ca="1">VLOOKUP(A1082,Import_SuiviGlobal_MigAppliSate!A:I,5,FALSE)</f>
        <v>34490</v>
      </c>
      <c r="F1082" t="str">
        <f ca="1">VLOOKUP(A1082,Import_SuiviGlobal_MigAppliSate!A:I,6,FALSE)</f>
        <v>ZAE LES MASSELETTES</v>
      </c>
      <c r="G1082" t="str">
        <f ca="1">VLOOKUP(A1082,Import_SuiviGlobal_MigAppliSate!A:I,7,FALSE)</f>
        <v>04.67.37.88.32</v>
      </c>
      <c r="H1082" t="str">
        <f ca="1">VLOOKUP(A1082,Import_SuiviGlobal_MigAppliSate!A:I,8,FALSE)</f>
        <v>ET JEAN-PIERRE BARTHEZ ANNIE MONLLOR</v>
      </c>
      <c r="I1082" t="str">
        <f ca="1">VLOOKUP(A1082,Import_SuiviGlobal_MigAppliSate!A:I,9,FALSE)</f>
        <v>annie.monllor@systeme-u.fr</v>
      </c>
      <c r="J1082" s="24" t="str">
        <f ca="1">VLOOKUP(A1082,Import_SuiviGlobal_MigAppliSate!A:K,10,FALSE)</f>
        <v/>
      </c>
      <c r="K1082" t="str">
        <f ca="1">VLOOKUP(A1082,Import_SuiviGlobal_MigAppliSate!A:K,11,FALSE)</f>
        <v/>
      </c>
      <c r="O1082" s="1" t="s">
        <v>22</v>
      </c>
    </row>
    <row r="1083" spans="1:18" ht="12.75" hidden="1" x14ac:dyDescent="0.2">
      <c r="A1083">
        <v>63002</v>
      </c>
      <c r="B1083" t="str">
        <f ca="1">VLOOKUP(A1083,Import_SuiviGlobal_MigAppliSate!A:I,2,FALSE)</f>
        <v>THISE</v>
      </c>
      <c r="C1083" t="str">
        <f ca="1">VLOOKUP(A1083,Import_SuiviGlobal_MigAppliSate!A:I,3,FALSE)</f>
        <v>Utile</v>
      </c>
      <c r="D1083" s="1" t="str">
        <f ca="1">VLOOKUP(A1083,Import_SuiviGlobal_MigAppliSate!A:I,4,FALSE)</f>
        <v>Coop U Enseigne Est</v>
      </c>
      <c r="E1083">
        <f ca="1">VLOOKUP(A1083,Import_SuiviGlobal_MigAppliSate!A:I,5,FALSE)</f>
        <v>25220</v>
      </c>
      <c r="F1083" t="str">
        <f ca="1">VLOOKUP(A1083,Import_SuiviGlobal_MigAppliSate!A:I,6,FALSE)</f>
        <v>2 RUE DU RONDEY</v>
      </c>
      <c r="G1083" t="str">
        <f ca="1">VLOOKUP(A1083,Import_SuiviGlobal_MigAppliSate!A:I,7,FALSE)</f>
        <v>03.81.61.03.80</v>
      </c>
      <c r="H1083" t="str">
        <f ca="1">VLOOKUP(A1083,Import_SuiviGlobal_MigAppliSate!A:I,8,FALSE)</f>
        <v>NEUVILLE Geoffroy</v>
      </c>
      <c r="I1083" t="str">
        <f ca="1">VLOOKUP(A1083,Import_SuiviGlobal_MigAppliSate!A:I,9,FALSE)</f>
        <v>geoffroy.neuville@systeme-u.fr</v>
      </c>
      <c r="J1083" s="24" t="str">
        <f ca="1">VLOOKUP(A1083,Import_SuiviGlobal_MigAppliSate!A:K,10,FALSE)</f>
        <v/>
      </c>
      <c r="K1083" t="str">
        <f ca="1">VLOOKUP(A1083,Import_SuiviGlobal_MigAppliSate!A:K,11,FALSE)</f>
        <v/>
      </c>
      <c r="O1083" s="1" t="s">
        <v>22</v>
      </c>
    </row>
    <row r="1084" spans="1:18" ht="12.75" hidden="1" x14ac:dyDescent="0.2">
      <c r="A1084">
        <v>36106</v>
      </c>
      <c r="B1084" t="str">
        <f ca="1">VLOOKUP(A1084,Import_SuiviGlobal_MigAppliSate!A:I,2,FALSE)</f>
        <v>THOUARCE</v>
      </c>
      <c r="C1084" t="str">
        <f ca="1">VLOOKUP(A1084,Import_SuiviGlobal_MigAppliSate!A:I,3,FALSE)</f>
        <v>Super U</v>
      </c>
      <c r="D1084" s="1" t="str">
        <f ca="1">VLOOKUP(A1084,Import_SuiviGlobal_MigAppliSate!A:I,4,FALSE)</f>
        <v>Coop U Enseigne Ouest</v>
      </c>
      <c r="E1084">
        <f ca="1">VLOOKUP(A1084,Import_SuiviGlobal_MigAppliSate!A:I,5,FALSE)</f>
        <v>49380</v>
      </c>
      <c r="F1084" t="str">
        <f ca="1">VLOOKUP(A1084,Import_SuiviGlobal_MigAppliSate!A:I,6,FALSE)</f>
        <v>2, BOULEVARDD DE LA RÉPUBLIQUE</v>
      </c>
      <c r="G1084" t="str">
        <f ca="1">VLOOKUP(A1084,Import_SuiviGlobal_MigAppliSate!A:I,7,FALSE)</f>
        <v>02.41.54.15.17</v>
      </c>
      <c r="H1084" t="str">
        <f ca="1">VLOOKUP(A1084,Import_SuiviGlobal_MigAppliSate!A:I,8,FALSE)</f>
        <v>MENARD RPT SARL BREHMEN Sébastien</v>
      </c>
      <c r="I1084" t="str">
        <f ca="1">VLOOKUP(A1084,Import_SuiviGlobal_MigAppliSate!A:I,9,FALSE)</f>
        <v>sebastien.menard@systeme-u.fr</v>
      </c>
      <c r="J1084" s="24" t="str">
        <f ca="1">VLOOKUP(A1084,Import_SuiviGlobal_MigAppliSate!A:K,10,FALSE)</f>
        <v>Mme Vallant</v>
      </c>
      <c r="K1084" t="str">
        <f ca="1">VLOOKUP(A1084,Import_SuiviGlobal_MigAppliSate!A:K,11,FALSE)</f>
        <v>superu.thouarce@systeme-u.fr</v>
      </c>
      <c r="O1084" s="1" t="s">
        <v>22</v>
      </c>
    </row>
    <row r="1085" spans="1:18" ht="12.75" hidden="1" x14ac:dyDescent="0.2">
      <c r="A1085">
        <v>32356</v>
      </c>
      <c r="B1085" t="str">
        <f ca="1">VLOOKUP(A1085,Import_SuiviGlobal_MigAppliSate!A:I,2,FALSE)</f>
        <v>THOUARE-SUR-LOIRE</v>
      </c>
      <c r="C1085" t="str">
        <f ca="1">VLOOKUP(A1085,Import_SuiviGlobal_MigAppliSate!A:I,3,FALSE)</f>
        <v>Super U</v>
      </c>
      <c r="D1085" s="1" t="str">
        <f ca="1">VLOOKUP(A1085,Import_SuiviGlobal_MigAppliSate!A:I,4,FALSE)</f>
        <v>Coop U Enseigne Ouest</v>
      </c>
      <c r="E1085">
        <f ca="1">VLOOKUP(A1085,Import_SuiviGlobal_MigAppliSate!A:I,5,FALSE)</f>
        <v>44470</v>
      </c>
      <c r="F1085" t="str">
        <f ca="1">VLOOKUP(A1085,Import_SuiviGlobal_MigAppliSate!A:I,6,FALSE)</f>
        <v>ROUTE DE LA MALNOUE</v>
      </c>
      <c r="G1085" t="str">
        <f ca="1">VLOOKUP(A1085,Import_SuiviGlobal_MigAppliSate!A:I,7,FALSE)</f>
        <v>02.40.68.09.41</v>
      </c>
      <c r="H1085" t="str">
        <f ca="1">VLOOKUP(A1085,Import_SuiviGlobal_MigAppliSate!A:I,8,FALSE)</f>
        <v>BOURE RPT SARL JERDIS Jérôme</v>
      </c>
      <c r="I1085" t="str">
        <f ca="1">VLOOKUP(A1085,Import_SuiviGlobal_MigAppliSate!A:I,9,FALSE)</f>
        <v>jerome.boure@systeme-u.fr</v>
      </c>
      <c r="J1085" s="24" t="str">
        <f ca="1">VLOOKUP(A1085,Import_SuiviGlobal_MigAppliSate!A:K,10,FALSE)</f>
        <v>Legueenec Valerie</v>
      </c>
      <c r="K1085" t="str">
        <f ca="1">VLOOKUP(A1085,Import_SuiviGlobal_MigAppliSate!A:K,11,FALSE)</f>
        <v>superu.thouaresurloire.informatique@systeme-u.fr</v>
      </c>
      <c r="O1085" s="1" t="s">
        <v>22</v>
      </c>
    </row>
    <row r="1086" spans="1:18" ht="12.75" hidden="1" x14ac:dyDescent="0.2">
      <c r="A1086">
        <v>34223</v>
      </c>
      <c r="B1086" t="str">
        <f ca="1">VLOOKUP(A1086,Import_SuiviGlobal_MigAppliSate!A:I,2,FALSE)</f>
        <v>THOUARS</v>
      </c>
      <c r="C1086" t="str">
        <f ca="1">VLOOKUP(A1086,Import_SuiviGlobal_MigAppliSate!A:I,3,FALSE)</f>
        <v>Utile</v>
      </c>
      <c r="D1086" s="1" t="str">
        <f ca="1">VLOOKUP(A1086,Import_SuiviGlobal_MigAppliSate!A:I,4,FALSE)</f>
        <v>Coop Atlantique</v>
      </c>
      <c r="E1086">
        <f ca="1">VLOOKUP(A1086,Import_SuiviGlobal_MigAppliSate!A:I,5,FALSE)</f>
        <v>79100</v>
      </c>
      <c r="F1086" t="str">
        <f ca="1">VLOOKUP(A1086,Import_SuiviGlobal_MigAppliSate!A:I,6,FALSE)</f>
        <v>21, BD PIERRE CURIE</v>
      </c>
      <c r="G1086" t="str">
        <f ca="1">VLOOKUP(A1086,Import_SuiviGlobal_MigAppliSate!A:I,7,FALSE)</f>
        <v>05.49.66.26.89</v>
      </c>
      <c r="H1086" t="str">
        <f ca="1">VLOOKUP(A1086,Import_SuiviGlobal_MigAppliSate!A:I,8,FALSE)</f>
        <v>FLAMBARD Hervé</v>
      </c>
      <c r="I1086" t="str">
        <f ca="1">VLOOKUP(A1086,Import_SuiviGlobal_MigAppliSate!A:I,9,FALSE)</f>
        <v>bertrand.defontaine_coop_su_uex@systeme-u.fr</v>
      </c>
      <c r="J1086" s="24" t="str">
        <f ca="1">VLOOKUP(A1086,Import_SuiviGlobal_MigAppliSate!A:K,10,FALSE)</f>
        <v>Malika COUTET</v>
      </c>
      <c r="K1086" t="str">
        <f ca="1">VLOOKUP(A1086,Import_SuiviGlobal_MigAppliSate!A:K,11,FALSE)</f>
        <v>uexpress.thouars.direction@systeme-u.fr,nbrigant@coop-atlantique.fr,sjaud@coop-atlantique.fr</v>
      </c>
      <c r="L1086" s="1" t="s">
        <v>17</v>
      </c>
      <c r="M1086" t="s">
        <v>23</v>
      </c>
      <c r="O1086" s="1" t="s">
        <v>22</v>
      </c>
      <c r="P1086" s="1"/>
      <c r="Q1086" s="1"/>
      <c r="R1086" s="1"/>
    </row>
    <row r="1087" spans="1:18" ht="12.75" hidden="1" x14ac:dyDescent="0.2">
      <c r="A1087">
        <v>39741</v>
      </c>
      <c r="B1087" t="str">
        <f ca="1">VLOOKUP(A1087,Import_SuiviGlobal_MigAppliSate!A:I,2,FALSE)</f>
        <v>THOUARS</v>
      </c>
      <c r="C1087" t="str">
        <f ca="1">VLOOKUP(A1087,Import_SuiviGlobal_MigAppliSate!A:I,3,FALSE)</f>
        <v>Super U</v>
      </c>
      <c r="D1087" s="1" t="str">
        <f ca="1">VLOOKUP(A1087,Import_SuiviGlobal_MigAppliSate!A:I,4,FALSE)</f>
        <v>Coop U Enseigne Ouest</v>
      </c>
      <c r="E1087">
        <f ca="1">VLOOKUP(A1087,Import_SuiviGlobal_MigAppliSate!A:I,5,FALSE)</f>
        <v>79100</v>
      </c>
      <c r="F1087" t="str">
        <f ca="1">VLOOKUP(A1087,Import_SuiviGlobal_MigAppliSate!A:I,6,FALSE)</f>
        <v>2, BOULEVARD DE DIEPHOLZ</v>
      </c>
      <c r="G1087" t="str">
        <f ca="1">VLOOKUP(A1087,Import_SuiviGlobal_MigAppliSate!A:I,7,FALSE)</f>
        <v>05.49.66.30.34</v>
      </c>
      <c r="H1087" t="str">
        <f ca="1">VLOOKUP(A1087,Import_SuiviGlobal_MigAppliSate!A:I,8,FALSE)</f>
        <v>BARRIET RPT SARL BARGE Jacky</v>
      </c>
      <c r="I1087" t="str">
        <f ca="1">VLOOKUP(A1087,Import_SuiviGlobal_MigAppliSate!A:I,9,FALSE)</f>
        <v>jacky.barriet@systeme-u.fr</v>
      </c>
      <c r="J1087" s="24" t="str">
        <f ca="1">VLOOKUP(A1087,Import_SuiviGlobal_MigAppliSate!A:K,10,FALSE)</f>
        <v>DURAND FREDERIC</v>
      </c>
      <c r="K1087" t="str">
        <f ca="1">VLOOKUP(A1087,Import_SuiviGlobal_MigAppliSate!A:K,11,FALSE)</f>
        <v>superu.thouars@systeme-u.fr</v>
      </c>
      <c r="O1087" s="1" t="s">
        <v>22</v>
      </c>
    </row>
    <row r="1088" spans="1:18" ht="12.75" hidden="1" x14ac:dyDescent="0.2">
      <c r="A1088">
        <v>26092</v>
      </c>
      <c r="B1088" t="str">
        <f ca="1">VLOOKUP(A1088,Import_SuiviGlobal_MigAppliSate!A:I,2,FALSE)</f>
        <v>THOUROTTE</v>
      </c>
      <c r="C1088" t="str">
        <f ca="1">VLOOKUP(A1088,Import_SuiviGlobal_MigAppliSate!A:I,3,FALSE)</f>
        <v>Super U</v>
      </c>
      <c r="D1088" s="1" t="str">
        <f ca="1">VLOOKUP(A1088,Import_SuiviGlobal_MigAppliSate!A:I,4,FALSE)</f>
        <v>Coop U Enseigne NordOuest</v>
      </c>
      <c r="E1088">
        <f ca="1">VLOOKUP(A1088,Import_SuiviGlobal_MigAppliSate!A:I,5,FALSE)</f>
        <v>60150</v>
      </c>
      <c r="F1088" t="str">
        <f ca="1">VLOOKUP(A1088,Import_SuiviGlobal_MigAppliSate!A:I,6,FALSE)</f>
        <v>AVENUE DE RIMBACH</v>
      </c>
      <c r="G1088" t="str">
        <f ca="1">VLOOKUP(A1088,Import_SuiviGlobal_MigAppliSate!A:I,7,FALSE)</f>
        <v>03.44.30.44.80</v>
      </c>
      <c r="H1088" t="str">
        <f ca="1">VLOOKUP(A1088,Import_SuiviGlobal_MigAppliSate!A:I,8,FALSE)</f>
        <v>BLAISE David</v>
      </c>
      <c r="I1088" t="str">
        <f ca="1">VLOOKUP(A1088,Import_SuiviGlobal_MigAppliSate!A:I,9,FALSE)</f>
        <v>david.blaise@systeme-u.fr</v>
      </c>
      <c r="J1088" s="24" t="str">
        <f ca="1">VLOOKUP(A1088,Import_SuiviGlobal_MigAppliSate!A:K,10,FALSE)</f>
        <v/>
      </c>
      <c r="K1088" t="str">
        <f ca="1">VLOOKUP(A1088,Import_SuiviGlobal_MigAppliSate!A:K,11,FALSE)</f>
        <v/>
      </c>
      <c r="O1088" s="1" t="s">
        <v>22</v>
      </c>
    </row>
    <row r="1089" spans="1:15" ht="12.75" x14ac:dyDescent="0.2">
      <c r="A1089">
        <v>90550</v>
      </c>
      <c r="B1089" t="str">
        <f ca="1">VLOOKUP(A1089,Import_SuiviGlobal_MigAppliSate!A:I,2,FALSE)</f>
        <v>THUIR LES ASPRES</v>
      </c>
      <c r="C1089" t="str">
        <f ca="1">VLOOKUP(A1089,Import_SuiviGlobal_MigAppliSate!A:I,3,FALSE)</f>
        <v>Super U</v>
      </c>
      <c r="D1089" s="1" t="str">
        <f ca="1">VLOOKUP(A1089,Import_SuiviGlobal_MigAppliSate!A:I,4,FALSE)</f>
        <v>Coop U Enseigne Sud</v>
      </c>
      <c r="E1089">
        <f ca="1">VLOOKUP(A1089,Import_SuiviGlobal_MigAppliSate!A:I,5,FALSE)</f>
        <v>66300</v>
      </c>
      <c r="F1089" t="str">
        <f ca="1">VLOOKUP(A1089,Import_SuiviGlobal_MigAppliSate!A:I,6,FALSE)</f>
        <v>9 AVENUE DE LA PRADOUZE</v>
      </c>
      <c r="G1089" t="str">
        <f ca="1">VLOOKUP(A1089,Import_SuiviGlobal_MigAppliSate!A:I,7,FALSE)</f>
        <v>04.68.52.52.52</v>
      </c>
      <c r="H1089" t="str">
        <f ca="1">VLOOKUP(A1089,Import_SuiviGlobal_MigAppliSate!A:I,8,FALSE)</f>
        <v>ROSELLO Laurent</v>
      </c>
      <c r="I1089" t="str">
        <f ca="1">VLOOKUP(A1089,Import_SuiviGlobal_MigAppliSate!A:I,9,FALSE)</f>
        <v>laurent.rosello@systeme-u.fr</v>
      </c>
      <c r="J1089" s="24" t="str">
        <f ca="1">VLOOKUP(A1089,Import_SuiviGlobal_MigAppliSate!A:K,10,FALSE)</f>
        <v/>
      </c>
      <c r="K1089" t="str">
        <f ca="1">VLOOKUP(A1089,Import_SuiviGlobal_MigAppliSate!A:K,11,FALSE)</f>
        <v/>
      </c>
      <c r="L1089" t="s">
        <v>17</v>
      </c>
      <c r="M1089" t="s">
        <v>30</v>
      </c>
      <c r="N1089" s="1" t="s">
        <v>29</v>
      </c>
      <c r="O1089" s="1" t="s">
        <v>19</v>
      </c>
    </row>
    <row r="1090" spans="1:15" ht="12.75" hidden="1" x14ac:dyDescent="0.2">
      <c r="A1090">
        <v>38230</v>
      </c>
      <c r="B1090" t="str">
        <f ca="1">VLOOKUP(A1090,Import_SuiviGlobal_MigAppliSate!A:I,2,FALSE)</f>
        <v>TIERCE</v>
      </c>
      <c r="C1090" t="str">
        <f ca="1">VLOOKUP(A1090,Import_SuiviGlobal_MigAppliSate!A:I,3,FALSE)</f>
        <v>Super U</v>
      </c>
      <c r="D1090" s="1" t="str">
        <f ca="1">VLOOKUP(A1090,Import_SuiviGlobal_MigAppliSate!A:I,4,FALSE)</f>
        <v>Coop U Enseigne Ouest</v>
      </c>
      <c r="E1090">
        <f ca="1">VLOOKUP(A1090,Import_SuiviGlobal_MigAppliSate!A:I,5,FALSE)</f>
        <v>49125</v>
      </c>
      <c r="F1090" t="str">
        <f ca="1">VLOOKUP(A1090,Import_SuiviGlobal_MigAppliSate!A:I,6,FALSE)</f>
        <v>6 PLACE DE COUBERTIN</v>
      </c>
      <c r="G1090" t="str">
        <f ca="1">VLOOKUP(A1090,Import_SuiviGlobal_MigAppliSate!A:I,7,FALSE)</f>
        <v>02.41.42.60.63</v>
      </c>
      <c r="H1090" t="str">
        <f ca="1">VLOOKUP(A1090,Import_SuiviGlobal_MigAppliSate!A:I,8,FALSE)</f>
        <v>DOUILLARD RPT SARL SAMAMO Delphine</v>
      </c>
      <c r="I1090" t="str">
        <f ca="1">VLOOKUP(A1090,Import_SuiviGlobal_MigAppliSate!A:I,9,FALSE)</f>
        <v>delphine.douillard@systeme-u.fr</v>
      </c>
      <c r="J1090" s="24" t="str">
        <f ca="1">VLOOKUP(A1090,Import_SuiviGlobal_MigAppliSate!A:K,10,FALSE)</f>
        <v/>
      </c>
      <c r="K1090" t="str">
        <f ca="1">VLOOKUP(A1090,Import_SuiviGlobal_MigAppliSate!A:K,11,FALSE)</f>
        <v>superu.tierce.gescom@systeme-u.fr</v>
      </c>
      <c r="O1090" s="1" t="s">
        <v>22</v>
      </c>
    </row>
    <row r="1091" spans="1:15" ht="12.75" hidden="1" x14ac:dyDescent="0.2">
      <c r="A1091">
        <v>35088</v>
      </c>
      <c r="B1091" t="str">
        <f ca="1">VLOOKUP(A1091,Import_SuiviGlobal_MigAppliSate!A:I,2,FALSE)</f>
        <v>TINTENIAC</v>
      </c>
      <c r="C1091" t="str">
        <f ca="1">VLOOKUP(A1091,Import_SuiviGlobal_MigAppliSate!A:I,3,FALSE)</f>
        <v>Super U</v>
      </c>
      <c r="D1091" s="1" t="str">
        <f ca="1">VLOOKUP(A1091,Import_SuiviGlobal_MigAppliSate!A:I,4,FALSE)</f>
        <v>Coop U Enseigne Ouest</v>
      </c>
      <c r="E1091">
        <f ca="1">VLOOKUP(A1091,Import_SuiviGlobal_MigAppliSate!A:I,5,FALSE)</f>
        <v>35190</v>
      </c>
      <c r="F1091" t="str">
        <f ca="1">VLOOKUP(A1091,Import_SuiviGlobal_MigAppliSate!A:I,6,FALSE)</f>
        <v>RUE DU PAPEGAULT</v>
      </c>
      <c r="G1091" t="str">
        <f ca="1">VLOOKUP(A1091,Import_SuiviGlobal_MigAppliSate!A:I,7,FALSE)</f>
        <v>02.99.68.09.22</v>
      </c>
      <c r="H1091" t="str">
        <f ca="1">VLOOKUP(A1091,Import_SuiviGlobal_MigAppliSate!A:I,8,FALSE)</f>
        <v>PETITPAS RPT GROUPE PETITPAS Marine</v>
      </c>
      <c r="I1091" t="str">
        <f ca="1">VLOOKUP(A1091,Import_SuiviGlobal_MigAppliSate!A:I,9,FALSE)</f>
        <v>marine.petitpas@systeme-u.fr</v>
      </c>
      <c r="J1091" s="24" t="str">
        <f ca="1">VLOOKUP(A1091,Import_SuiviGlobal_MigAppliSate!A:K,10,FALSE)</f>
        <v>Gallerand Mickael
Maryse (UPLV)</v>
      </c>
      <c r="K1091" t="str">
        <f ca="1">VLOOKUP(A1091,Import_SuiviGlobal_MigAppliSate!A:K,11,FALSE)</f>
        <v>superu.tinteniac@systeme-u.fr, superu.tinteniac.gescom@systeme-u.fr</v>
      </c>
      <c r="O1091" s="1" t="s">
        <v>22</v>
      </c>
    </row>
    <row r="1092" spans="1:15" ht="12.75" hidden="1" x14ac:dyDescent="0.2">
      <c r="A1092">
        <v>35592</v>
      </c>
      <c r="B1092" t="str">
        <f ca="1">VLOOKUP(A1092,Import_SuiviGlobal_MigAppliSate!A:I,2,FALSE)</f>
        <v>TONNAY-CHARENTE</v>
      </c>
      <c r="C1092" t="str">
        <f ca="1">VLOOKUP(A1092,Import_SuiviGlobal_MigAppliSate!A:I,3,FALSE)</f>
        <v>Super U</v>
      </c>
      <c r="D1092" s="1" t="str">
        <f ca="1">VLOOKUP(A1092,Import_SuiviGlobal_MigAppliSate!A:I,4,FALSE)</f>
        <v>Coop U Enseigne Ouest</v>
      </c>
      <c r="E1092">
        <f ca="1">VLOOKUP(A1092,Import_SuiviGlobal_MigAppliSate!A:I,5,FALSE)</f>
        <v>17430</v>
      </c>
      <c r="F1092" t="str">
        <f ca="1">VLOOKUP(A1092,Import_SuiviGlobal_MigAppliSate!A:I,6,FALSE)</f>
        <v>ZAC DE LA VARENNE N 137</v>
      </c>
      <c r="G1092" t="str">
        <f ca="1">VLOOKUP(A1092,Import_SuiviGlobal_MigAppliSate!A:I,7,FALSE)</f>
        <v>05.46.88.01.57</v>
      </c>
      <c r="H1092" t="str">
        <f ca="1">VLOOKUP(A1092,Import_SuiviGlobal_MigAppliSate!A:I,8,FALSE)</f>
        <v>LEQUIPPE Nicolas</v>
      </c>
      <c r="I1092" t="str">
        <f ca="1">VLOOKUP(A1092,Import_SuiviGlobal_MigAppliSate!A:I,9,FALSE)</f>
        <v>nicolas.lequippe@systeme-u.fr</v>
      </c>
      <c r="J1092" s="24" t="str">
        <f ca="1">VLOOKUP(A1092,Import_SuiviGlobal_MigAppliSate!A:K,10,FALSE)</f>
        <v>Mme Beaujean</v>
      </c>
      <c r="K1092" t="str">
        <f ca="1">VLOOKUP(A1092,Import_SuiviGlobal_MigAppliSate!A:K,11,FALSE)</f>
        <v>superu.tonnaysurcharente.caisse@systeme-u.fr,nicolas.lequippe@systeme-u.fr</v>
      </c>
      <c r="O1092" s="1" t="s">
        <v>22</v>
      </c>
    </row>
    <row r="1093" spans="1:15" ht="12.75" hidden="1" x14ac:dyDescent="0.2">
      <c r="A1093">
        <v>38264</v>
      </c>
      <c r="B1093" t="str">
        <f ca="1">VLOOKUP(A1093,Import_SuiviGlobal_MigAppliSate!A:I,2,FALSE)</f>
        <v>TOURS GARE</v>
      </c>
      <c r="C1093" t="str">
        <f ca="1">VLOOKUP(A1093,Import_SuiviGlobal_MigAppliSate!A:I,3,FALSE)</f>
        <v>U Express</v>
      </c>
      <c r="D1093" s="1" t="str">
        <f ca="1">VLOOKUP(A1093,Import_SuiviGlobal_MigAppliSate!A:I,4,FALSE)</f>
        <v>Coop U Enseigne Ouest</v>
      </c>
      <c r="E1093">
        <f ca="1">VLOOKUP(A1093,Import_SuiviGlobal_MigAppliSate!A:I,5,FALSE)</f>
        <v>37000</v>
      </c>
      <c r="F1093" t="str">
        <f ca="1">VLOOKUP(A1093,Import_SuiviGlobal_MigAppliSate!A:I,6,FALSE)</f>
        <v>4 RUE MARCEL TRIBUT</v>
      </c>
      <c r="G1093" t="str">
        <f ca="1">VLOOKUP(A1093,Import_SuiviGlobal_MigAppliSate!A:I,7,FALSE)</f>
        <v>02.47.70.50.50</v>
      </c>
      <c r="H1093" t="str">
        <f ca="1">VLOOKUP(A1093,Import_SuiviGlobal_MigAppliSate!A:I,8,FALSE)</f>
        <v>GALLI Fabien</v>
      </c>
      <c r="I1093" t="str">
        <f ca="1">VLOOKUP(A1093,Import_SuiviGlobal_MigAppliSate!A:I,9,FALSE)</f>
        <v>fabien.galli@systeme-u.fr</v>
      </c>
      <c r="J1093" s="24" t="str">
        <f ca="1">VLOOKUP(A1093,Import_SuiviGlobal_MigAppliSate!A:K,10,FALSE)</f>
        <v/>
      </c>
      <c r="K1093" t="str">
        <f ca="1">VLOOKUP(A1093,Import_SuiviGlobal_MigAppliSate!A:K,11,FALSE)</f>
        <v/>
      </c>
      <c r="O1093" s="1" t="s">
        <v>22</v>
      </c>
    </row>
    <row r="1094" spans="1:15" ht="12.75" hidden="1" x14ac:dyDescent="0.2">
      <c r="A1094">
        <v>33328</v>
      </c>
      <c r="B1094" t="str">
        <f ca="1">VLOOKUP(A1094,Import_SuiviGlobal_MigAppliSate!A:I,2,FALSE)</f>
        <v>TOURS JEMMAPES</v>
      </c>
      <c r="C1094" t="str">
        <f ca="1">VLOOKUP(A1094,Import_SuiviGlobal_MigAppliSate!A:I,3,FALSE)</f>
        <v>U Express</v>
      </c>
      <c r="D1094" s="1" t="str">
        <f ca="1">VLOOKUP(A1094,Import_SuiviGlobal_MigAppliSate!A:I,4,FALSE)</f>
        <v>Coop U Enseigne Ouest</v>
      </c>
      <c r="E1094">
        <f ca="1">VLOOKUP(A1094,Import_SuiviGlobal_MigAppliSate!A:I,5,FALSE)</f>
        <v>37100</v>
      </c>
      <c r="F1094" t="str">
        <f ca="1">VLOOKUP(A1094,Import_SuiviGlobal_MigAppliSate!A:I,6,FALSE)</f>
        <v>35, RUE DE JEMMAPES</v>
      </c>
      <c r="G1094" t="str">
        <f ca="1">VLOOKUP(A1094,Import_SuiviGlobal_MigAppliSate!A:I,7,FALSE)</f>
        <v>02.47.85.40.00</v>
      </c>
      <c r="H1094" t="str">
        <f ca="1">VLOOKUP(A1094,Import_SuiviGlobal_MigAppliSate!A:I,8,FALSE)</f>
        <v>BELLARD RPT SARL ATLANTICOS Sylvie</v>
      </c>
      <c r="I1094" t="str">
        <f ca="1">VLOOKUP(A1094,Import_SuiviGlobal_MigAppliSate!A:I,9,FALSE)</f>
        <v>sylvie.bellard@systeme-u.fr</v>
      </c>
      <c r="J1094" s="24" t="str">
        <f ca="1">VLOOKUP(A1094,Import_SuiviGlobal_MigAppliSate!A:K,10,FALSE)</f>
        <v/>
      </c>
      <c r="K1094" t="str">
        <f ca="1">VLOOKUP(A1094,Import_SuiviGlobal_MigAppliSate!A:K,11,FALSE)</f>
        <v/>
      </c>
      <c r="O1094" s="1" t="s">
        <v>22</v>
      </c>
    </row>
    <row r="1095" spans="1:15" ht="12.75" hidden="1" x14ac:dyDescent="0.2">
      <c r="A1095">
        <v>90401</v>
      </c>
      <c r="B1095" t="str">
        <f ca="1">VLOOKUP(A1095,Import_SuiviGlobal_MigAppliSate!A:I,2,FALSE)</f>
        <v>TREBES</v>
      </c>
      <c r="C1095" t="str">
        <f ca="1">VLOOKUP(A1095,Import_SuiviGlobal_MigAppliSate!A:I,3,FALSE)</f>
        <v>Super U</v>
      </c>
      <c r="D1095" s="1" t="str">
        <f ca="1">VLOOKUP(A1095,Import_SuiviGlobal_MigAppliSate!A:I,4,FALSE)</f>
        <v>Coop U Enseigne Sud</v>
      </c>
      <c r="E1095">
        <f ca="1">VLOOKUP(A1095,Import_SuiviGlobal_MigAppliSate!A:I,5,FALSE)</f>
        <v>11800</v>
      </c>
      <c r="F1095" t="str">
        <f ca="1">VLOOKUP(A1095,Import_SuiviGlobal_MigAppliSate!A:I,6,FALSE)</f>
        <v>RN 113</v>
      </c>
      <c r="G1095" t="str">
        <f ca="1">VLOOKUP(A1095,Import_SuiviGlobal_MigAppliSate!A:I,7,FALSE)</f>
        <v>04.68.78.76.31</v>
      </c>
      <c r="H1095" t="str">
        <f ca="1">VLOOKUP(A1095,Import_SuiviGlobal_MigAppliSate!A:I,8,FALSE)</f>
        <v>ROUSSILLE Thomas</v>
      </c>
      <c r="I1095" t="str">
        <f ca="1">VLOOKUP(A1095,Import_SuiviGlobal_MigAppliSate!A:I,9,FALSE)</f>
        <v>eric.delajonquiere@systeme-u.fr</v>
      </c>
      <c r="J1095" s="24" t="str">
        <f ca="1">VLOOKUP(A1095,Import_SuiviGlobal_MigAppliSate!A:K,10,FALSE)</f>
        <v>Martine PRUNET</v>
      </c>
      <c r="K1095" t="str">
        <f ca="1">VLOOKUP(A1095,Import_SuiviGlobal_MigAppliSate!A:K,11,FALSE)</f>
        <v>superu.trebes.compta@systeme-u.fr</v>
      </c>
      <c r="L1095" s="1" t="s">
        <v>20</v>
      </c>
      <c r="M1095" s="1" t="s">
        <v>27</v>
      </c>
      <c r="O1095" s="1" t="s">
        <v>22</v>
      </c>
    </row>
    <row r="1096" spans="1:15" ht="12.75" hidden="1" x14ac:dyDescent="0.2">
      <c r="A1096">
        <v>31910</v>
      </c>
      <c r="B1096" t="str">
        <f ca="1">VLOOKUP(A1096,Import_SuiviGlobal_MigAppliSate!A:I,2,FALSE)</f>
        <v>TREGASTEL</v>
      </c>
      <c r="C1096" t="str">
        <f ca="1">VLOOKUP(A1096,Import_SuiviGlobal_MigAppliSate!A:I,3,FALSE)</f>
        <v>Super U</v>
      </c>
      <c r="D1096" s="1" t="str">
        <f ca="1">VLOOKUP(A1096,Import_SuiviGlobal_MigAppliSate!A:I,4,FALSE)</f>
        <v>Coop U Enseigne Ouest</v>
      </c>
      <c r="E1096">
        <f ca="1">VLOOKUP(A1096,Import_SuiviGlobal_MigAppliSate!A:I,5,FALSE)</f>
        <v>22730</v>
      </c>
      <c r="F1096" t="str">
        <f ca="1">VLOOKUP(A1096,Import_SuiviGlobal_MigAppliSate!A:I,6,FALSE)</f>
        <v>RUE POUL PALUD</v>
      </c>
      <c r="G1096" t="str">
        <f ca="1">VLOOKUP(A1096,Import_SuiviGlobal_MigAppliSate!A:I,7,FALSE)</f>
        <v>02.96.23.48.40</v>
      </c>
      <c r="H1096" t="str">
        <f ca="1">VLOOKUP(A1096,Import_SuiviGlobal_MigAppliSate!A:I,8,FALSE)</f>
        <v>COLLET RPT SARL WAR RAOK Gilles</v>
      </c>
      <c r="I1096" t="str">
        <f ca="1">VLOOKUP(A1096,Import_SuiviGlobal_MigAppliSate!A:I,9,FALSE)</f>
        <v>gilles.collet@systeme-u.fr</v>
      </c>
      <c r="J1096" s="24" t="str">
        <f ca="1">VLOOKUP(A1096,Import_SuiviGlobal_MigAppliSate!A:K,10,FALSE)</f>
        <v>Lepeintre Nicolas</v>
      </c>
      <c r="K1096" t="str">
        <f ca="1">VLOOKUP(A1096,Import_SuiviGlobal_MigAppliSate!A:K,11,FALSE)</f>
        <v>superu.tregastel.direction@systeme-u.fr</v>
      </c>
      <c r="O1096" s="1" t="s">
        <v>22</v>
      </c>
    </row>
    <row r="1097" spans="1:15" ht="12.75" hidden="1" x14ac:dyDescent="0.2">
      <c r="A1097">
        <v>34588</v>
      </c>
      <c r="B1097" t="str">
        <f ca="1">VLOOKUP(A1097,Import_SuiviGlobal_MigAppliSate!A:I,2,FALSE)</f>
        <v>TREGUIER</v>
      </c>
      <c r="C1097" t="str">
        <f ca="1">VLOOKUP(A1097,Import_SuiviGlobal_MigAppliSate!A:I,3,FALSE)</f>
        <v>Super U</v>
      </c>
      <c r="D1097" s="1" t="str">
        <f ca="1">VLOOKUP(A1097,Import_SuiviGlobal_MigAppliSate!A:I,4,FALSE)</f>
        <v>Coop U Enseigne Ouest</v>
      </c>
      <c r="E1097">
        <f ca="1">VLOOKUP(A1097,Import_SuiviGlobal_MigAppliSate!A:I,5,FALSE)</f>
        <v>22220</v>
      </c>
      <c r="F1097" t="str">
        <f ca="1">VLOOKUP(A1097,Import_SuiviGlobal_MigAppliSate!A:I,6,FALSE)</f>
        <v>4 BOULEVARD JEAN GHEHENNO</v>
      </c>
      <c r="G1097" t="str">
        <f ca="1">VLOOKUP(A1097,Import_SuiviGlobal_MigAppliSate!A:I,7,FALSE)</f>
        <v>02.96.92.13.14</v>
      </c>
      <c r="H1097" t="str">
        <f ca="1">VLOOKUP(A1097,Import_SuiviGlobal_MigAppliSate!A:I,8,FALSE)</f>
        <v>BOIVIN Franck</v>
      </c>
      <c r="I1097" t="str">
        <f ca="1">VLOOKUP(A1097,Import_SuiviGlobal_MigAppliSate!A:I,9,FALSE)</f>
        <v>franck.boivin@systeme-u.fr</v>
      </c>
      <c r="J1097" s="24" t="str">
        <f ca="1">VLOOKUP(A1097,Import_SuiviGlobal_MigAppliSate!A:K,10,FALSE)</f>
        <v>Mme Coiteroc; Mme Flory</v>
      </c>
      <c r="K1097" t="str">
        <f ca="1">VLOOKUP(A1097,Import_SuiviGlobal_MigAppliSate!A:K,11,FALSE)</f>
        <v>superu.treguier.direction@systeme-u.fr</v>
      </c>
      <c r="O1097" s="1" t="s">
        <v>22</v>
      </c>
    </row>
    <row r="1098" spans="1:15" ht="12.75" hidden="1" x14ac:dyDescent="0.2">
      <c r="A1098">
        <v>39482</v>
      </c>
      <c r="B1098" t="str">
        <f ca="1">VLOOKUP(A1098,Import_SuiviGlobal_MigAppliSate!A:I,2,FALSE)</f>
        <v>TREILLIERES</v>
      </c>
      <c r="C1098" t="str">
        <f ca="1">VLOOKUP(A1098,Import_SuiviGlobal_MigAppliSate!A:I,3,FALSE)</f>
        <v>Super U</v>
      </c>
      <c r="D1098" s="1" t="str">
        <f ca="1">VLOOKUP(A1098,Import_SuiviGlobal_MigAppliSate!A:I,4,FALSE)</f>
        <v>Coop U Enseigne Ouest</v>
      </c>
      <c r="E1098">
        <f ca="1">VLOOKUP(A1098,Import_SuiviGlobal_MigAppliSate!A:I,5,FALSE)</f>
        <v>44119</v>
      </c>
      <c r="F1098" t="str">
        <f ca="1">VLOOKUP(A1098,Import_SuiviGlobal_MigAppliSate!A:I,6,FALSE)</f>
        <v>LA BELLE ETOILE</v>
      </c>
      <c r="G1098" t="str">
        <f ca="1">VLOOKUP(A1098,Import_SuiviGlobal_MigAppliSate!A:I,7,FALSE)</f>
        <v>02.40.94.58.57</v>
      </c>
      <c r="H1098" t="str">
        <f ca="1">VLOOKUP(A1098,Import_SuiviGlobal_MigAppliSate!A:I,8,FALSE)</f>
        <v>PRODHOMME RPT SOFIGI Gilles</v>
      </c>
      <c r="I1098" t="str">
        <f ca="1">VLOOKUP(A1098,Import_SuiviGlobal_MigAppliSate!A:I,9,FALSE)</f>
        <v>gilles.prodhomme@systeme-u.fr</v>
      </c>
      <c r="J1098" s="24" t="str">
        <f ca="1">VLOOKUP(A1098,Import_SuiviGlobal_MigAppliSate!A:K,10,FALSE)</f>
        <v>PRODHOMME Sandrine</v>
      </c>
      <c r="K1098" t="str">
        <f ca="1">VLOOKUP(A1098,Import_SuiviGlobal_MigAppliSate!A:K,11,FALSE)</f>
        <v>sandrine.prodhomme@systeme-u.fr</v>
      </c>
      <c r="O1098" s="1" t="s">
        <v>22</v>
      </c>
    </row>
    <row r="1099" spans="1:15" ht="12.75" hidden="1" x14ac:dyDescent="0.2">
      <c r="A1099">
        <v>38157</v>
      </c>
      <c r="B1099" t="str">
        <f ca="1">VLOOKUP(A1099,Import_SuiviGlobal_MigAppliSate!A:I,2,FALSE)</f>
        <v>TRELAZE LA QUANTINIERE</v>
      </c>
      <c r="C1099" t="str">
        <f ca="1">VLOOKUP(A1099,Import_SuiviGlobal_MigAppliSate!A:I,3,FALSE)</f>
        <v>Super U</v>
      </c>
      <c r="D1099" s="1" t="str">
        <f ca="1">VLOOKUP(A1099,Import_SuiviGlobal_MigAppliSate!A:I,4,FALSE)</f>
        <v>Coop U Enseigne Ouest</v>
      </c>
      <c r="E1099">
        <f ca="1">VLOOKUP(A1099,Import_SuiviGlobal_MigAppliSate!A:I,5,FALSE)</f>
        <v>49800</v>
      </c>
      <c r="F1099" t="str">
        <f ca="1">VLOOKUP(A1099,Import_SuiviGlobal_MigAppliSate!A:I,6,FALSE)</f>
        <v>2 SQUARE ROBERT SURCOUF</v>
      </c>
      <c r="G1099" t="str">
        <f ca="1">VLOOKUP(A1099,Import_SuiviGlobal_MigAppliSate!A:I,7,FALSE)</f>
        <v>02.41.41.41.10</v>
      </c>
      <c r="H1099" t="str">
        <f ca="1">VLOOKUP(A1099,Import_SuiviGlobal_MigAppliSate!A:I,8,FALSE)</f>
        <v>LERENDU RPT SARL LA MOUETTE Emmanuel</v>
      </c>
      <c r="I1099" t="str">
        <f ca="1">VLOOKUP(A1099,Import_SuiviGlobal_MigAppliSate!A:I,9,FALSE)</f>
        <v>emmanuel.lerendu@systeme-u.fr</v>
      </c>
      <c r="J1099" s="24" t="str">
        <f ca="1">VLOOKUP(A1099,Import_SuiviGlobal_MigAppliSate!A:K,10,FALSE)</f>
        <v xml:space="preserve">Aimeric Gilbert </v>
      </c>
      <c r="K1099" t="str">
        <f ca="1">VLOOKUP(A1099,Import_SuiviGlobal_MigAppliSate!A:K,11,FALSE)</f>
        <v>aimeric.gilbert@systeme-u.fr</v>
      </c>
      <c r="O1099" s="1" t="s">
        <v>22</v>
      </c>
    </row>
    <row r="1100" spans="1:15" ht="12.75" hidden="1" x14ac:dyDescent="0.2">
      <c r="A1100">
        <v>37992</v>
      </c>
      <c r="B1100" t="str">
        <f ca="1">VLOOKUP(A1100,Import_SuiviGlobal_MigAppliSate!A:I,2,FALSE)</f>
        <v>TRELAZE PYRAMIDE</v>
      </c>
      <c r="C1100" t="str">
        <f ca="1">VLOOKUP(A1100,Import_SuiviGlobal_MigAppliSate!A:I,3,FALSE)</f>
        <v>Super U</v>
      </c>
      <c r="D1100" s="1" t="str">
        <f ca="1">VLOOKUP(A1100,Import_SuiviGlobal_MigAppliSate!A:I,4,FALSE)</f>
        <v>Coop U Enseigne Ouest</v>
      </c>
      <c r="E1100">
        <f ca="1">VLOOKUP(A1100,Import_SuiviGlobal_MigAppliSate!A:I,5,FALSE)</f>
        <v>49800</v>
      </c>
      <c r="F1100" t="str">
        <f ca="1">VLOOKUP(A1100,Import_SuiviGlobal_MigAppliSate!A:I,6,FALSE)</f>
        <v>220, AVENUE MENDÈS FRANCE</v>
      </c>
      <c r="G1100" t="str">
        <f ca="1">VLOOKUP(A1100,Import_SuiviGlobal_MigAppliSate!A:I,7,FALSE)</f>
        <v>02.41.86.86.25</v>
      </c>
      <c r="H1100" t="str">
        <f ca="1">VLOOKUP(A1100,Import_SuiviGlobal_MigAppliSate!A:I,8,FALSE)</f>
        <v>GERMOND RPT SAS HGCP Philippe</v>
      </c>
      <c r="I1100" t="str">
        <f ca="1">VLOOKUP(A1100,Import_SuiviGlobal_MigAppliSate!A:I,9,FALSE)</f>
        <v>philippe.germond@systeme-u.fr</v>
      </c>
      <c r="J1100" s="24" t="str">
        <f ca="1">VLOOKUP(A1100,Import_SuiviGlobal_MigAppliSate!A:K,10,FALSE)</f>
        <v>Cyndie LE SOLLIEc</v>
      </c>
      <c r="K1100" t="str">
        <f ca="1">VLOOKUP(A1100,Import_SuiviGlobal_MigAppliSate!A:K,11,FALSE)</f>
        <v>superu.trelazelapyramide.compta@systeme-u.fr</v>
      </c>
      <c r="O1100" s="1" t="s">
        <v>22</v>
      </c>
    </row>
    <row r="1101" spans="1:15" ht="12.75" hidden="1" x14ac:dyDescent="0.2">
      <c r="A1101">
        <v>22305</v>
      </c>
      <c r="B1101" t="str">
        <f ca="1">VLOOKUP(A1101,Import_SuiviGlobal_MigAppliSate!A:I,2,FALSE)</f>
        <v>TROARN</v>
      </c>
      <c r="C1101" t="str">
        <f ca="1">VLOOKUP(A1101,Import_SuiviGlobal_MigAppliSate!A:I,3,FALSE)</f>
        <v>Super U</v>
      </c>
      <c r="D1101" s="1" t="str">
        <f ca="1">VLOOKUP(A1101,Import_SuiviGlobal_MigAppliSate!A:I,4,FALSE)</f>
        <v>Coop U Enseigne NordOuest</v>
      </c>
      <c r="E1101">
        <f ca="1">VLOOKUP(A1101,Import_SuiviGlobal_MigAppliSate!A:I,5,FALSE)</f>
        <v>14670</v>
      </c>
      <c r="F1101" t="str">
        <f ca="1">VLOOKUP(A1101,Import_SuiviGlobal_MigAppliSate!A:I,6,FALSE)</f>
        <v>ROUTE DE ROUEN</v>
      </c>
      <c r="G1101" t="str">
        <f ca="1">VLOOKUP(A1101,Import_SuiviGlobal_MigAppliSate!A:I,7,FALSE)</f>
        <v>02.31.23.65.65</v>
      </c>
      <c r="H1101" t="str">
        <f ca="1">VLOOKUP(A1101,Import_SuiviGlobal_MigAppliSate!A:I,8,FALSE)</f>
        <v>VERNIER Julien</v>
      </c>
      <c r="I1101" t="str">
        <f ca="1">VLOOKUP(A1101,Import_SuiviGlobal_MigAppliSate!A:I,9,FALSE)</f>
        <v>julien.vernier@systeme-u.fr</v>
      </c>
      <c r="J1101" s="24" t="str">
        <f ca="1">VLOOKUP(A1101,Import_SuiviGlobal_MigAppliSate!A:K,10,FALSE)</f>
        <v>VERNIER Julien
Elodie (UPLV)</v>
      </c>
      <c r="K1101" t="str">
        <f ca="1">VLOOKUP(A1101,Import_SuiviGlobal_MigAppliSate!A:K,11,FALSE)</f>
        <v>julien.vernier@systeme-u.fr, superu.troarn@systeme-u.fr</v>
      </c>
      <c r="O1101" s="1" t="s">
        <v>22</v>
      </c>
    </row>
    <row r="1102" spans="1:15" ht="12.75" hidden="1" x14ac:dyDescent="0.2">
      <c r="A1102">
        <v>99236</v>
      </c>
      <c r="B1102" t="str">
        <f ca="1">VLOOKUP(A1102,Import_SuiviGlobal_MigAppliSate!A:I,2,FALSE)</f>
        <v>TROIS-BASSINS-IDR</v>
      </c>
      <c r="C1102" t="str">
        <f ca="1">VLOOKUP(A1102,Import_SuiviGlobal_MigAppliSate!A:I,3,FALSE)</f>
        <v>Super U</v>
      </c>
      <c r="D1102" s="1" t="str">
        <f ca="1">VLOOKUP(A1102,Import_SuiviGlobal_MigAppliSate!A:I,4,FALSE)</f>
        <v>Coop U Enseigne Sud</v>
      </c>
      <c r="E1102">
        <f ca="1">VLOOKUP(A1102,Import_SuiviGlobal_MigAppliSate!A:I,5,FALSE)</f>
        <v>97426</v>
      </c>
      <c r="F1102" t="str">
        <f ca="1">VLOOKUP(A1102,Import_SuiviGlobal_MigAppliSate!A:I,6,FALSE)</f>
        <v>13 RUE DES FRANCICEAS</v>
      </c>
      <c r="G1102" t="str">
        <f ca="1">VLOOKUP(A1102,Import_SuiviGlobal_MigAppliSate!A:I,7,FALSE)</f>
        <v>02.62.54.65.20</v>
      </c>
      <c r="H1102" t="str">
        <f ca="1">VLOOKUP(A1102,Import_SuiviGlobal_MigAppliSate!A:I,8,FALSE)</f>
        <v>THIA KIME Prosper</v>
      </c>
      <c r="I1102" t="str">
        <f ca="1">VLOOKUP(A1102,Import_SuiviGlobal_MigAppliSate!A:I,9,FALSE)</f>
        <v>christophe.thiakime@systeme-u.fr</v>
      </c>
      <c r="J1102" s="24" t="str">
        <f ca="1">VLOOKUP(A1102,Import_SuiviGlobal_MigAppliSate!A:K,10,FALSE)</f>
        <v xml:space="preserve"> M Christophe THIA-KIME</v>
      </c>
      <c r="K1102" t="str">
        <f ca="1">VLOOKUP(A1102,Import_SuiviGlobal_MigAppliSate!A:K,11,FALSE)</f>
        <v>christophe.thiakime@systeme-u.fr</v>
      </c>
      <c r="O1102" s="1" t="s">
        <v>22</v>
      </c>
    </row>
    <row r="1103" spans="1:15" ht="12.75" hidden="1" x14ac:dyDescent="0.2">
      <c r="A1103">
        <v>60001</v>
      </c>
      <c r="B1103" t="str">
        <f ca="1">VLOOKUP(A1103,Import_SuiviGlobal_MigAppliSate!A:I,2,FALSE)</f>
        <v>TRUCHTERSHEIM</v>
      </c>
      <c r="C1103" t="str">
        <f ca="1">VLOOKUP(A1103,Import_SuiviGlobal_MigAppliSate!A:I,3,FALSE)</f>
        <v>Super U</v>
      </c>
      <c r="D1103" s="1" t="str">
        <f ca="1">VLOOKUP(A1103,Import_SuiviGlobal_MigAppliSate!A:I,4,FALSE)</f>
        <v>Coop U Enseigne Est</v>
      </c>
      <c r="E1103">
        <f ca="1">VLOOKUP(A1103,Import_SuiviGlobal_MigAppliSate!A:I,5,FALSE)</f>
        <v>67370</v>
      </c>
      <c r="F1103" t="str">
        <f ca="1">VLOOKUP(A1103,Import_SuiviGlobal_MigAppliSate!A:I,6,FALSE)</f>
        <v>29 RUE DE LA GARE</v>
      </c>
      <c r="G1103" t="str">
        <f ca="1">VLOOKUP(A1103,Import_SuiviGlobal_MigAppliSate!A:I,7,FALSE)</f>
        <v>03.88.59.69.29</v>
      </c>
      <c r="H1103" t="str">
        <f ca="1">VLOOKUP(A1103,Import_SuiviGlobal_MigAppliSate!A:I,8,FALSE)</f>
        <v>NOPPER Jean-Luc</v>
      </c>
      <c r="I1103" t="str">
        <f ca="1">VLOOKUP(A1103,Import_SuiviGlobal_MigAppliSate!A:I,9,FALSE)</f>
        <v>jean-luc.nopper@systeme-u.fr</v>
      </c>
      <c r="J1103" s="24" t="str">
        <f ca="1">VLOOKUP(A1103,Import_SuiviGlobal_MigAppliSate!A:K,10,FALSE)</f>
        <v>SCHNEIDER Josiane (comptable)
Jean-Michel ZERMANN (directeur)</v>
      </c>
      <c r="K1103" t="str">
        <f ca="1">VLOOKUP(A1103,Import_SuiviGlobal_MigAppliSate!A:K,11,FALSE)</f>
        <v>josiane.schneider@systeme-u.fr, jean-michel.zermann@systeme-u.fr</v>
      </c>
      <c r="O1103" s="1" t="s">
        <v>22</v>
      </c>
    </row>
    <row r="1104" spans="1:15" ht="12.75" hidden="1" x14ac:dyDescent="0.2">
      <c r="A1104">
        <v>91081</v>
      </c>
      <c r="B1104" t="str">
        <f ca="1">VLOOKUP(A1104,Import_SuiviGlobal_MigAppliSate!A:I,2,FALSE)</f>
        <v>TULETTE</v>
      </c>
      <c r="C1104" t="str">
        <f ca="1">VLOOKUP(A1104,Import_SuiviGlobal_MigAppliSate!A:I,3,FALSE)</f>
        <v>U Express</v>
      </c>
      <c r="D1104" s="1" t="str">
        <f ca="1">VLOOKUP(A1104,Import_SuiviGlobal_MigAppliSate!A:I,4,FALSE)</f>
        <v>Coop MISTRAL</v>
      </c>
      <c r="E1104">
        <f ca="1">VLOOKUP(A1104,Import_SuiviGlobal_MigAppliSate!A:I,5,FALSE)</f>
        <v>26790</v>
      </c>
      <c r="F1104" t="str">
        <f ca="1">VLOOKUP(A1104,Import_SuiviGlobal_MigAppliSate!A:I,6,FALSE)</f>
        <v>ROUTE DE NYONS</v>
      </c>
      <c r="G1104" t="str">
        <f ca="1">VLOOKUP(A1104,Import_SuiviGlobal_MigAppliSate!A:I,7,FALSE)</f>
        <v>04.75.98.54.03</v>
      </c>
      <c r="H1104" t="str">
        <f ca="1">VLOOKUP(A1104,Import_SuiviGlobal_MigAppliSate!A:I,8,FALSE)</f>
        <v>VERRIER Yohan</v>
      </c>
      <c r="I1104" t="str">
        <f ca="1">VLOOKUP(A1104,Import_SuiviGlobal_MigAppliSate!A:I,9,FALSE)</f>
        <v/>
      </c>
      <c r="J1104" s="24" t="str">
        <f ca="1">VLOOKUP(A1104,Import_SuiviGlobal_MigAppliSate!A:K,10,FALSE)</f>
        <v>Mme BOYER</v>
      </c>
      <c r="K1104" t="str">
        <f ca="1">VLOOKUP(A1104,Import_SuiviGlobal_MigAppliSate!A:K,11,FALSE)</f>
        <v>uexpress.tulette@mistral-u.fr, delphine.damian@lemistral.fr, helene.mina@lemistral.fr</v>
      </c>
      <c r="O1104" s="1" t="s">
        <v>22</v>
      </c>
    </row>
    <row r="1105" spans="1:15" ht="12.75" hidden="1" x14ac:dyDescent="0.2">
      <c r="A1105">
        <v>90665</v>
      </c>
      <c r="B1105" t="str">
        <f ca="1">VLOOKUP(A1105,Import_SuiviGlobal_MigAppliSate!A:I,2,FALSE)</f>
        <v>UPIE</v>
      </c>
      <c r="C1105" t="str">
        <f ca="1">VLOOKUP(A1105,Import_SuiviGlobal_MigAppliSate!A:I,3,FALSE)</f>
        <v>U Express</v>
      </c>
      <c r="D1105" s="1" t="str">
        <f ca="1">VLOOKUP(A1105,Import_SuiviGlobal_MigAppliSate!A:I,4,FALSE)</f>
        <v>Coop MISTRAL</v>
      </c>
      <c r="E1105">
        <f ca="1">VLOOKUP(A1105,Import_SuiviGlobal_MigAppliSate!A:I,5,FALSE)</f>
        <v>26120</v>
      </c>
      <c r="F1105" t="str">
        <f ca="1">VLOOKUP(A1105,Import_SuiviGlobal_MigAppliSate!A:I,6,FALSE)</f>
        <v>PARC LES CLOS</v>
      </c>
      <c r="G1105" t="str">
        <f ca="1">VLOOKUP(A1105,Import_SuiviGlobal_MigAppliSate!A:I,7,FALSE)</f>
        <v>04.75.57.53.32</v>
      </c>
      <c r="H1105" t="str">
        <f ca="1">VLOOKUP(A1105,Import_SuiviGlobal_MigAppliSate!A:I,8,FALSE)</f>
        <v>SANGLARD Pascal</v>
      </c>
      <c r="I1105" t="str">
        <f ca="1">VLOOKUP(A1105,Import_SuiviGlobal_MigAppliSate!A:I,9,FALSE)</f>
        <v/>
      </c>
      <c r="J1105" s="24" t="str">
        <f ca="1">VLOOKUP(A1105,Import_SuiviGlobal_MigAppliSate!A:K,10,FALSE)</f>
        <v/>
      </c>
      <c r="K1105" t="str">
        <f ca="1">VLOOKUP(A1105,Import_SuiviGlobal_MigAppliSate!A:K,11,FALSE)</f>
        <v>delphine.damian@lemistral.fr,helene.mina@lemistral.fr</v>
      </c>
      <c r="O1105" s="1" t="s">
        <v>22</v>
      </c>
    </row>
    <row r="1106" spans="1:15" ht="12.75" hidden="1" x14ac:dyDescent="0.2">
      <c r="A1106">
        <v>95262</v>
      </c>
      <c r="B1106" t="str">
        <f ca="1">VLOOKUP(A1106,Import_SuiviGlobal_MigAppliSate!A:I,2,FALSE)</f>
        <v>USTARITZ</v>
      </c>
      <c r="C1106" t="str">
        <f ca="1">VLOOKUP(A1106,Import_SuiviGlobal_MigAppliSate!A:I,3,FALSE)</f>
        <v>Super U</v>
      </c>
      <c r="D1106" s="1" t="str">
        <f ca="1">VLOOKUP(A1106,Import_SuiviGlobal_MigAppliSate!A:I,4,FALSE)</f>
        <v>Coop U Enseigne Sud</v>
      </c>
      <c r="E1106">
        <f ca="1">VLOOKUP(A1106,Import_SuiviGlobal_MigAppliSate!A:I,5,FALSE)</f>
        <v>64480</v>
      </c>
      <c r="F1106" t="str">
        <f ca="1">VLOOKUP(A1106,Import_SuiviGlobal_MigAppliSate!A:I,6,FALSE)</f>
        <v>ROUTE DE BAYONNE CD 932</v>
      </c>
      <c r="G1106" t="str">
        <f ca="1">VLOOKUP(A1106,Import_SuiviGlobal_MigAppliSate!A:I,7,FALSE)</f>
        <v>05.59.93.15.30</v>
      </c>
      <c r="H1106" t="str">
        <f ca="1">VLOOKUP(A1106,Import_SuiviGlobal_MigAppliSate!A:I,8,FALSE)</f>
        <v>ELISSONDO Sandrine</v>
      </c>
      <c r="I1106" t="str">
        <f ca="1">VLOOKUP(A1106,Import_SuiviGlobal_MigAppliSate!A:I,9,FALSE)</f>
        <v>sandrine.elissondo@systeme-u.fr</v>
      </c>
      <c r="J1106" s="24" t="str">
        <f ca="1">VLOOKUP(A1106,Import_SuiviGlobal_MigAppliSate!A:K,10,FALSE)</f>
        <v/>
      </c>
      <c r="K1106" t="str">
        <f ca="1">VLOOKUP(A1106,Import_SuiviGlobal_MigAppliSate!A:K,11,FALSE)</f>
        <v/>
      </c>
      <c r="O1106" s="1" t="s">
        <v>22</v>
      </c>
    </row>
    <row r="1107" spans="1:15" ht="12.75" hidden="1" x14ac:dyDescent="0.2">
      <c r="A1107">
        <v>95134</v>
      </c>
      <c r="B1107" t="str">
        <f ca="1">VLOOKUP(A1107,Import_SuiviGlobal_MigAppliSate!A:I,2,FALSE)</f>
        <v>UZERCHE</v>
      </c>
      <c r="C1107" t="str">
        <f ca="1">VLOOKUP(A1107,Import_SuiviGlobal_MigAppliSate!A:I,3,FALSE)</f>
        <v>Super U</v>
      </c>
      <c r="D1107" s="1" t="str">
        <f ca="1">VLOOKUP(A1107,Import_SuiviGlobal_MigAppliSate!A:I,4,FALSE)</f>
        <v>Coop U Enseigne Sud</v>
      </c>
      <c r="E1107">
        <f ca="1">VLOOKUP(A1107,Import_SuiviGlobal_MigAppliSate!A:I,5,FALSE)</f>
        <v>19140</v>
      </c>
      <c r="F1107" t="str">
        <f ca="1">VLOOKUP(A1107,Import_SuiviGlobal_MigAppliSate!A:I,6,FALSE)</f>
        <v>LA JONCASSE RTE DE LIMOGES</v>
      </c>
      <c r="G1107" t="str">
        <f ca="1">VLOOKUP(A1107,Import_SuiviGlobal_MigAppliSate!A:I,7,FALSE)</f>
        <v>05.55.98.80.80</v>
      </c>
      <c r="H1107" t="str">
        <f ca="1">VLOOKUP(A1107,Import_SuiviGlobal_MigAppliSate!A:I,8,FALSE)</f>
        <v>TARDIEU Yann</v>
      </c>
      <c r="I1107" t="str">
        <f ca="1">VLOOKUP(A1107,Import_SuiviGlobal_MigAppliSate!A:I,9,FALSE)</f>
        <v>yann.tardieu@systeme-u.fr</v>
      </c>
      <c r="J1107" s="24" t="str">
        <f ca="1">VLOOKUP(A1107,Import_SuiviGlobal_MigAppliSate!A:K,10,FALSE)</f>
        <v>M. BORDES</v>
      </c>
      <c r="K1107" t="str">
        <f ca="1">VLOOKUP(A1107,Import_SuiviGlobal_MigAppliSate!A:K,11,FALSE)</f>
        <v>superu.uzerche.compta@systeme-u.fr</v>
      </c>
      <c r="O1107" s="1" t="s">
        <v>22</v>
      </c>
    </row>
    <row r="1108" spans="1:15" ht="12.75" hidden="1" x14ac:dyDescent="0.2">
      <c r="A1108">
        <v>65089</v>
      </c>
      <c r="B1108" t="str">
        <f ca="1">VLOOKUP(A1108,Import_SuiviGlobal_MigAppliSate!A:I,2,FALSE)</f>
        <v>VAGNEY</v>
      </c>
      <c r="C1108" t="str">
        <f ca="1">VLOOKUP(A1108,Import_SuiviGlobal_MigAppliSate!A:I,3,FALSE)</f>
        <v>Super U</v>
      </c>
      <c r="D1108" s="1" t="str">
        <f ca="1">VLOOKUP(A1108,Import_SuiviGlobal_MigAppliSate!A:I,4,FALSE)</f>
        <v>Coop U Enseigne Est</v>
      </c>
      <c r="E1108">
        <f ca="1">VLOOKUP(A1108,Import_SuiviGlobal_MigAppliSate!A:I,5,FALSE)</f>
        <v>88125</v>
      </c>
      <c r="F1108" t="str">
        <f ca="1">VLOOKUP(A1108,Import_SuiviGlobal_MigAppliSate!A:I,6,FALSE)</f>
        <v>11B RUE DU GENERAL DE GAULLE</v>
      </c>
      <c r="G1108" t="str">
        <f ca="1">VLOOKUP(A1108,Import_SuiviGlobal_MigAppliSate!A:I,7,FALSE)</f>
        <v>03.29.24.85.90</v>
      </c>
      <c r="H1108" t="str">
        <f ca="1">VLOOKUP(A1108,Import_SuiviGlobal_MigAppliSate!A:I,8,FALSE)</f>
        <v>ZAUG Pascal</v>
      </c>
      <c r="I1108" t="str">
        <f ca="1">VLOOKUP(A1108,Import_SuiviGlobal_MigAppliSate!A:I,9,FALSE)</f>
        <v>claude.roussel@systeme-u.fr</v>
      </c>
      <c r="J1108" s="24" t="str">
        <f ca="1">VLOOKUP(A1108,Import_SuiviGlobal_MigAppliSate!A:K,10,FALSE)</f>
        <v>M. ROUSSEL</v>
      </c>
      <c r="K1108" t="str">
        <f ca="1">VLOOKUP(A1108,Import_SuiviGlobal_MigAppliSate!A:K,11,FALSE)</f>
        <v>claude.roussel@systeme-u.fr, superu.vagney@systeme-u.fr</v>
      </c>
      <c r="O1108" s="1" t="s">
        <v>22</v>
      </c>
    </row>
    <row r="1109" spans="1:15" ht="12.75" hidden="1" x14ac:dyDescent="0.2">
      <c r="A1109">
        <v>90252</v>
      </c>
      <c r="B1109" t="str">
        <f ca="1">VLOOKUP(A1109,Import_SuiviGlobal_MigAppliSate!A:I,2,FALSE)</f>
        <v>VAISON LA ROMAINE</v>
      </c>
      <c r="C1109" t="str">
        <f ca="1">VLOOKUP(A1109,Import_SuiviGlobal_MigAppliSate!A:I,3,FALSE)</f>
        <v>Super U</v>
      </c>
      <c r="D1109" s="1" t="str">
        <f ca="1">VLOOKUP(A1109,Import_SuiviGlobal_MigAppliSate!A:I,4,FALSE)</f>
        <v>Coop U Enseigne Sud</v>
      </c>
      <c r="E1109">
        <f ca="1">VLOOKUP(A1109,Import_SuiviGlobal_MigAppliSate!A:I,5,FALSE)</f>
        <v>84110</v>
      </c>
      <c r="F1109" t="str">
        <f ca="1">VLOOKUP(A1109,Import_SuiviGlobal_MigAppliSate!A:I,6,FALSE)</f>
        <v>AVENUE MARCEL PAGNOL</v>
      </c>
      <c r="G1109" t="str">
        <f ca="1">VLOOKUP(A1109,Import_SuiviGlobal_MigAppliSate!A:I,7,FALSE)</f>
        <v>04.90.10.06.00</v>
      </c>
      <c r="H1109" t="str">
        <f ca="1">VLOOKUP(A1109,Import_SuiviGlobal_MigAppliSate!A:I,8,FALSE)</f>
        <v>RENET Etienne</v>
      </c>
      <c r="I1109" t="str">
        <f ca="1">VLOOKUP(A1109,Import_SuiviGlobal_MigAppliSate!A:I,9,FALSE)</f>
        <v>etienne.renet@systeme-u.fr</v>
      </c>
      <c r="J1109" s="24" t="str">
        <f ca="1">VLOOKUP(A1109,Import_SuiviGlobal_MigAppliSate!A:K,10,FALSE)</f>
        <v>Mr Seyssiecq</v>
      </c>
      <c r="K1109" t="str">
        <f ca="1">VLOOKUP(A1109,Import_SuiviGlobal_MigAppliSate!A:K,11,FALSE)</f>
        <v>superu.vaisonlaromaine.directeur@systeme-u.fr</v>
      </c>
      <c r="O1109" s="1" t="s">
        <v>22</v>
      </c>
    </row>
    <row r="1110" spans="1:15" ht="12.75" hidden="1" x14ac:dyDescent="0.2">
      <c r="A1110">
        <v>62108</v>
      </c>
      <c r="B1110" t="str">
        <f ca="1">VLOOKUP(A1110,Import_SuiviGlobal_MigAppliSate!A:I,2,FALSE)</f>
        <v>VALDAHON</v>
      </c>
      <c r="C1110" t="str">
        <f ca="1">VLOOKUP(A1110,Import_SuiviGlobal_MigAppliSate!A:I,3,FALSE)</f>
        <v>Super U</v>
      </c>
      <c r="D1110" s="1" t="str">
        <f ca="1">VLOOKUP(A1110,Import_SuiviGlobal_MigAppliSate!A:I,4,FALSE)</f>
        <v>Coop U Enseigne Est</v>
      </c>
      <c r="E1110">
        <f ca="1">VLOOKUP(A1110,Import_SuiviGlobal_MigAppliSate!A:I,5,FALSE)</f>
        <v>25800</v>
      </c>
      <c r="F1110" t="str">
        <f ca="1">VLOOKUP(A1110,Import_SuiviGlobal_MigAppliSate!A:I,6,FALSE)</f>
        <v>Rue du Maréchal De LATTRE</v>
      </c>
      <c r="G1110" t="str">
        <f ca="1">VLOOKUP(A1110,Import_SuiviGlobal_MigAppliSate!A:I,7,FALSE)</f>
        <v>03.81.56.42.22</v>
      </c>
      <c r="H1110" t="str">
        <f ca="1">VLOOKUP(A1110,Import_SuiviGlobal_MigAppliSate!A:I,8,FALSE)</f>
        <v>AUBERT Fabrice</v>
      </c>
      <c r="I1110" t="str">
        <f ca="1">VLOOKUP(A1110,Import_SuiviGlobal_MigAppliSate!A:I,9,FALSE)</f>
        <v>fabrice.aubert@systeme-u.fr</v>
      </c>
      <c r="J1110" s="24" t="str">
        <f ca="1">VLOOKUP(A1110,Import_SuiviGlobal_MigAppliSate!A:K,10,FALSE)</f>
        <v/>
      </c>
      <c r="K1110" t="str">
        <f ca="1">VLOOKUP(A1110,Import_SuiviGlobal_MigAppliSate!A:K,11,FALSE)</f>
        <v/>
      </c>
      <c r="O1110" s="1" t="s">
        <v>22</v>
      </c>
    </row>
    <row r="1111" spans="1:15" ht="12.75" hidden="1" x14ac:dyDescent="0.2">
      <c r="A1111">
        <v>69150</v>
      </c>
      <c r="B1111" t="str">
        <f ca="1">VLOOKUP(A1111,Import_SuiviGlobal_MigAppliSate!A:I,2,FALSE)</f>
        <v>VALDOIE</v>
      </c>
      <c r="C1111" t="str">
        <f ca="1">VLOOKUP(A1111,Import_SuiviGlobal_MigAppliSate!A:I,3,FALSE)</f>
        <v>Super U</v>
      </c>
      <c r="D1111" s="1" t="str">
        <f ca="1">VLOOKUP(A1111,Import_SuiviGlobal_MigAppliSate!A:I,4,FALSE)</f>
        <v>Coop U Enseigne Est</v>
      </c>
      <c r="E1111">
        <f ca="1">VLOOKUP(A1111,Import_SuiviGlobal_MigAppliSate!A:I,5,FALSE)</f>
        <v>90300</v>
      </c>
      <c r="F1111" t="str">
        <f ca="1">VLOOKUP(A1111,Import_SuiviGlobal_MigAppliSate!A:I,6,FALSE)</f>
        <v>30 rue de Turenne</v>
      </c>
      <c r="G1111" t="str">
        <f ca="1">VLOOKUP(A1111,Import_SuiviGlobal_MigAppliSate!A:I,7,FALSE)</f>
        <v>03.84.36.61.20</v>
      </c>
      <c r="H1111" t="str">
        <f ca="1">VLOOKUP(A1111,Import_SuiviGlobal_MigAppliSate!A:I,8,FALSE)</f>
        <v>MOISSENOT Alain</v>
      </c>
      <c r="I1111" t="str">
        <f ca="1">VLOOKUP(A1111,Import_SuiviGlobal_MigAppliSate!A:I,9,FALSE)</f>
        <v>alain.moissenot@systeme-u.fr</v>
      </c>
      <c r="J1111" s="24" t="str">
        <f ca="1">VLOOKUP(A1111,Import_SuiviGlobal_MigAppliSate!A:K,10,FALSE)</f>
        <v/>
      </c>
      <c r="K1111" t="str">
        <f ca="1">VLOOKUP(A1111,Import_SuiviGlobal_MigAppliSate!A:K,11,FALSE)</f>
        <v/>
      </c>
      <c r="O1111" s="1" t="s">
        <v>22</v>
      </c>
    </row>
    <row r="1112" spans="1:15" ht="12.75" hidden="1" x14ac:dyDescent="0.2">
      <c r="A1112">
        <v>32836</v>
      </c>
      <c r="B1112" t="str">
        <f ca="1">VLOOKUP(A1112,Import_SuiviGlobal_MigAppliSate!A:I,2,FALSE)</f>
        <v>VALLET</v>
      </c>
      <c r="C1112" t="str">
        <f ca="1">VLOOKUP(A1112,Import_SuiviGlobal_MigAppliSate!A:I,3,FALSE)</f>
        <v>Hyper U</v>
      </c>
      <c r="D1112" s="1" t="str">
        <f ca="1">VLOOKUP(A1112,Import_SuiviGlobal_MigAppliSate!A:I,4,FALSE)</f>
        <v>Coop U Enseigne Ouest</v>
      </c>
      <c r="E1112">
        <f ca="1">VLOOKUP(A1112,Import_SuiviGlobal_MigAppliSate!A:I,5,FALSE)</f>
        <v>44330</v>
      </c>
      <c r="F1112" t="str">
        <f ca="1">VLOOKUP(A1112,Import_SuiviGlobal_MigAppliSate!A:I,6,FALSE)</f>
        <v>ROUTE D ANCENIS</v>
      </c>
      <c r="G1112" t="str">
        <f ca="1">VLOOKUP(A1112,Import_SuiviGlobal_MigAppliSate!A:I,7,FALSE)</f>
        <v>02.40.36.33.44</v>
      </c>
      <c r="H1112" t="str">
        <f ca="1">VLOOKUP(A1112,Import_SuiviGlobal_MigAppliSate!A:I,8,FALSE)</f>
        <v>BOIZIAU Cécile</v>
      </c>
      <c r="I1112" t="str">
        <f ca="1">VLOOKUP(A1112,Import_SuiviGlobal_MigAppliSate!A:I,9,FALSE)</f>
        <v>cecile.boiziau@systeme-u.fr</v>
      </c>
      <c r="J1112" s="24" t="str">
        <f ca="1">VLOOKUP(A1112,Import_SuiviGlobal_MigAppliSate!A:K,10,FALSE)</f>
        <v xml:space="preserve"> Mr AUGEREAU</v>
      </c>
      <c r="K1112" t="str">
        <f ca="1">VLOOKUP(A1112,Import_SuiviGlobal_MigAppliSate!A:K,11,FALSE)</f>
        <v>hyperu.vallet.administratif@systeme-u.fr</v>
      </c>
      <c r="O1112" s="1" t="s">
        <v>22</v>
      </c>
    </row>
    <row r="1113" spans="1:15" ht="12.75" hidden="1" x14ac:dyDescent="0.2">
      <c r="A1113">
        <v>65107</v>
      </c>
      <c r="B1113" t="str">
        <f ca="1">VLOOKUP(A1113,Import_SuiviGlobal_MigAppliSate!A:I,2,FALSE)</f>
        <v>VALMONT</v>
      </c>
      <c r="C1113" t="str">
        <f ca="1">VLOOKUP(A1113,Import_SuiviGlobal_MigAppliSate!A:I,3,FALSE)</f>
        <v>Super U</v>
      </c>
      <c r="D1113" s="1" t="str">
        <f ca="1">VLOOKUP(A1113,Import_SuiviGlobal_MigAppliSate!A:I,4,FALSE)</f>
        <v>Coop U Enseigne Est</v>
      </c>
      <c r="E1113">
        <f ca="1">VLOOKUP(A1113,Import_SuiviGlobal_MigAppliSate!A:I,5,FALSE)</f>
        <v>57730</v>
      </c>
      <c r="F1113" t="str">
        <f ca="1">VLOOKUP(A1113,Import_SuiviGlobal_MigAppliSate!A:I,6,FALSE)</f>
        <v>LIEU DIT HERRENWALD</v>
      </c>
      <c r="G1113" t="str">
        <f ca="1">VLOOKUP(A1113,Import_SuiviGlobal_MigAppliSate!A:I,7,FALSE)</f>
        <v>03.87.92.54.53</v>
      </c>
      <c r="H1113" t="str">
        <f ca="1">VLOOKUP(A1113,Import_SuiviGlobal_MigAppliSate!A:I,8,FALSE)</f>
        <v>MERTZ Frédéric</v>
      </c>
      <c r="I1113" t="str">
        <f ca="1">VLOOKUP(A1113,Import_SuiviGlobal_MigAppliSate!A:I,9,FALSE)</f>
        <v>frederic.mertz@systeme-u.fr</v>
      </c>
      <c r="J1113" s="24" t="str">
        <f ca="1">VLOOKUP(A1113,Import_SuiviGlobal_MigAppliSate!A:K,10,FALSE)</f>
        <v>MERTZ Sophie</v>
      </c>
      <c r="K1113" t="str">
        <f ca="1">VLOOKUP(A1113,Import_SuiviGlobal_MigAppliSate!A:K,11,FALSE)</f>
        <v>superu.valmont@systeme-u.fr</v>
      </c>
      <c r="O1113" s="1" t="s">
        <v>22</v>
      </c>
    </row>
    <row r="1114" spans="1:15" ht="12.75" hidden="1" x14ac:dyDescent="0.2">
      <c r="A1114">
        <v>65180</v>
      </c>
      <c r="B1114" t="str">
        <f ca="1">VLOOKUP(A1114,Import_SuiviGlobal_MigAppliSate!A:I,2,FALSE)</f>
        <v>VANDOEUVRE LES NANCY</v>
      </c>
      <c r="C1114" t="str">
        <f ca="1">VLOOKUP(A1114,Import_SuiviGlobal_MigAppliSate!A:I,3,FALSE)</f>
        <v>U Express</v>
      </c>
      <c r="D1114" s="1" t="str">
        <f ca="1">VLOOKUP(A1114,Import_SuiviGlobal_MigAppliSate!A:I,4,FALSE)</f>
        <v>Coop U Enseigne Est</v>
      </c>
      <c r="E1114">
        <f ca="1">VLOOKUP(A1114,Import_SuiviGlobal_MigAppliSate!A:I,5,FALSE)</f>
        <v>54500</v>
      </c>
      <c r="F1114" t="str">
        <f ca="1">VLOOKUP(A1114,Import_SuiviGlobal_MigAppliSate!A:I,6,FALSE)</f>
        <v>2 AVENUE JEAN JAURÈS</v>
      </c>
      <c r="G1114" t="str">
        <f ca="1">VLOOKUP(A1114,Import_SuiviGlobal_MigAppliSate!A:I,7,FALSE)</f>
        <v>03.83.96.32.92</v>
      </c>
      <c r="H1114" t="str">
        <f ca="1">VLOOKUP(A1114,Import_SuiviGlobal_MigAppliSate!A:I,8,FALSE)</f>
        <v>GUERIN Emmanuel</v>
      </c>
      <c r="I1114" t="str">
        <f ca="1">VLOOKUP(A1114,Import_SuiviGlobal_MigAppliSate!A:I,9,FALSE)</f>
        <v>emmanuel.guerin@systeme-u.fr</v>
      </c>
      <c r="J1114" s="24" t="str">
        <f ca="1">VLOOKUP(A1114,Import_SuiviGlobal_MigAppliSate!A:K,10,FALSE)</f>
        <v/>
      </c>
      <c r="K1114" t="str">
        <f ca="1">VLOOKUP(A1114,Import_SuiviGlobal_MigAppliSate!A:K,11,FALSE)</f>
        <v/>
      </c>
      <c r="O1114" s="1" t="s">
        <v>22</v>
      </c>
    </row>
    <row r="1115" spans="1:15" ht="12.75" hidden="1" x14ac:dyDescent="0.2">
      <c r="A1115">
        <v>37933</v>
      </c>
      <c r="B1115" t="str">
        <f ca="1">VLOOKUP(A1115,Import_SuiviGlobal_MigAppliSate!A:I,2,FALSE)</f>
        <v>VANNES</v>
      </c>
      <c r="C1115" t="str">
        <f ca="1">VLOOKUP(A1115,Import_SuiviGlobal_MigAppliSate!A:I,3,FALSE)</f>
        <v>U Express</v>
      </c>
      <c r="D1115" s="1" t="str">
        <f ca="1">VLOOKUP(A1115,Import_SuiviGlobal_MigAppliSate!A:I,4,FALSE)</f>
        <v>Coop U Enseigne Ouest</v>
      </c>
      <c r="E1115">
        <f ca="1">VLOOKUP(A1115,Import_SuiviGlobal_MigAppliSate!A:I,5,FALSE)</f>
        <v>56000</v>
      </c>
      <c r="F1115" t="str">
        <f ca="1">VLOOKUP(A1115,Import_SuiviGlobal_MigAppliSate!A:I,6,FALSE)</f>
        <v>ZAC DE CLISCOUET</v>
      </c>
      <c r="G1115" t="str">
        <f ca="1">VLOOKUP(A1115,Import_SuiviGlobal_MigAppliSate!A:I,7,FALSE)</f>
        <v>02.97.40.32.38</v>
      </c>
      <c r="H1115" t="str">
        <f ca="1">VLOOKUP(A1115,Import_SuiviGlobal_MigAppliSate!A:I,8,FALSE)</f>
        <v>SAINT JALMES CARL</v>
      </c>
      <c r="I1115" t="str">
        <f ca="1">VLOOKUP(A1115,Import_SuiviGlobal_MigAppliSate!A:I,9,FALSE)</f>
        <v>carl.saintjalmes@systeme-u.fr</v>
      </c>
      <c r="J1115" s="24" t="str">
        <f ca="1">VLOOKUP(A1115,Import_SuiviGlobal_MigAppliSate!A:K,10,FALSE)</f>
        <v/>
      </c>
      <c r="K1115" t="str">
        <f ca="1">VLOOKUP(A1115,Import_SuiviGlobal_MigAppliSate!A:K,11,FALSE)</f>
        <v/>
      </c>
      <c r="O1115" s="1" t="s">
        <v>22</v>
      </c>
    </row>
    <row r="1116" spans="1:15" ht="12.75" hidden="1" x14ac:dyDescent="0.2">
      <c r="A1116">
        <v>30329</v>
      </c>
      <c r="B1116" t="str">
        <f ca="1">VLOOKUP(A1116,Import_SuiviGlobal_MigAppliSate!A:I,2,FALSE)</f>
        <v>VARADES</v>
      </c>
      <c r="C1116" t="str">
        <f ca="1">VLOOKUP(A1116,Import_SuiviGlobal_MigAppliSate!A:I,3,FALSE)</f>
        <v>Super U</v>
      </c>
      <c r="D1116" s="1" t="str">
        <f ca="1">VLOOKUP(A1116,Import_SuiviGlobal_MigAppliSate!A:I,4,FALSE)</f>
        <v>Coop U Enseigne Ouest</v>
      </c>
      <c r="E1116">
        <f ca="1">VLOOKUP(A1116,Import_SuiviGlobal_MigAppliSate!A:I,5,FALSE)</f>
        <v>44370</v>
      </c>
      <c r="F1116" t="str">
        <f ca="1">VLOOKUP(A1116,Import_SuiviGlobal_MigAppliSate!A:I,6,FALSE)</f>
        <v>ROUTE D'ANGERS</v>
      </c>
      <c r="G1116" t="str">
        <f ca="1">VLOOKUP(A1116,Import_SuiviGlobal_MigAppliSate!A:I,7,FALSE)</f>
        <v>02.40.09.31.31</v>
      </c>
      <c r="H1116" t="str">
        <f ca="1">VLOOKUP(A1116,Import_SuiviGlobal_MigAppliSate!A:I,8,FALSE)</f>
        <v>NEVEUX LETIC Nadège</v>
      </c>
      <c r="I1116" t="str">
        <f ca="1">VLOOKUP(A1116,Import_SuiviGlobal_MigAppliSate!A:I,9,FALSE)</f>
        <v>nadege.neveux@systeme-u.fr</v>
      </c>
      <c r="J1116" s="24" t="str">
        <f ca="1">VLOOKUP(A1116,Import_SuiviGlobal_MigAppliSate!A:K,10,FALSE)</f>
        <v xml:space="preserve">Mr Brizay </v>
      </c>
      <c r="K1116" t="str">
        <f ca="1">VLOOKUP(A1116,Import_SuiviGlobal_MigAppliSate!A:K,11,FALSE)</f>
        <v>superu.varades@systeme-u.fr</v>
      </c>
      <c r="O1116" s="1" t="s">
        <v>22</v>
      </c>
    </row>
    <row r="1117" spans="1:15" ht="12.75" hidden="1" x14ac:dyDescent="0.2">
      <c r="A1117">
        <v>24049</v>
      </c>
      <c r="B1117" t="str">
        <f ca="1">VLOOKUP(A1117,Import_SuiviGlobal_MigAppliSate!A:I,2,FALSE)</f>
        <v>VAUCRESSON</v>
      </c>
      <c r="C1117" t="str">
        <f ca="1">VLOOKUP(A1117,Import_SuiviGlobal_MigAppliSate!A:I,3,FALSE)</f>
        <v>Super U</v>
      </c>
      <c r="D1117" s="1" t="str">
        <f ca="1">VLOOKUP(A1117,Import_SuiviGlobal_MigAppliSate!A:I,4,FALSE)</f>
        <v>Coop U Enseigne NordOuest</v>
      </c>
      <c r="E1117">
        <f ca="1">VLOOKUP(A1117,Import_SuiviGlobal_MigAppliSate!A:I,5,FALSE)</f>
        <v>92420</v>
      </c>
      <c r="F1117" t="str">
        <f ca="1">VLOOKUP(A1117,Import_SuiviGlobal_MigAppliSate!A:I,6,FALSE)</f>
        <v>18 BD DE LA REPUBLIQUE</v>
      </c>
      <c r="G1117" t="str">
        <f ca="1">VLOOKUP(A1117,Import_SuiviGlobal_MigAppliSate!A:I,7,FALSE)</f>
        <v>01.47.41.55.12</v>
      </c>
      <c r="H1117" t="str">
        <f ca="1">VLOOKUP(A1117,Import_SuiviGlobal_MigAppliSate!A:I,8,FALSE)</f>
        <v>SAGEAU Maxime</v>
      </c>
      <c r="I1117" t="str">
        <f ca="1">VLOOKUP(A1117,Import_SuiviGlobal_MigAppliSate!A:I,9,FALSE)</f>
        <v>maxime.sageau@systeme-u.fr</v>
      </c>
      <c r="J1117" s="24" t="str">
        <f ca="1">VLOOKUP(A1117,Import_SuiviGlobal_MigAppliSate!A:K,10,FALSE)</f>
        <v>GINER Nicolas</v>
      </c>
      <c r="K1117" t="str">
        <f ca="1">VLOOKUP(A1117,Import_SuiviGlobal_MigAppliSate!A:K,11,FALSE)</f>
        <v>superu.vaucresson@systeme-u.fr</v>
      </c>
      <c r="O1117" s="1" t="s">
        <v>22</v>
      </c>
    </row>
    <row r="1118" spans="1:15" ht="12.75" hidden="1" x14ac:dyDescent="0.2">
      <c r="A1118">
        <v>37099</v>
      </c>
      <c r="B1118" t="str">
        <f ca="1">VLOOKUP(A1118,Import_SuiviGlobal_MigAppliSate!A:I,2,FALSE)</f>
        <v>VAUX-SUR-MER</v>
      </c>
      <c r="C1118" t="str">
        <f ca="1">VLOOKUP(A1118,Import_SuiviGlobal_MigAppliSate!A:I,3,FALSE)</f>
        <v>U Express</v>
      </c>
      <c r="D1118" s="1" t="str">
        <f ca="1">VLOOKUP(A1118,Import_SuiviGlobal_MigAppliSate!A:I,4,FALSE)</f>
        <v>Coop U Enseigne Ouest</v>
      </c>
      <c r="E1118">
        <f ca="1">VLOOKUP(A1118,Import_SuiviGlobal_MigAppliSate!A:I,5,FALSE)</f>
        <v>17640</v>
      </c>
      <c r="F1118" t="str">
        <f ca="1">VLOOKUP(A1118,Import_SuiviGlobal_MigAppliSate!A:I,6,FALSE)</f>
        <v>AVENUE DES HAUTES FOLIES</v>
      </c>
      <c r="G1118" t="str">
        <f ca="1">VLOOKUP(A1118,Import_SuiviGlobal_MigAppliSate!A:I,7,FALSE)</f>
        <v>05.46.39.10.75</v>
      </c>
      <c r="H1118" t="str">
        <f ca="1">VLOOKUP(A1118,Import_SuiviGlobal_MigAppliSate!A:I,8,FALSE)</f>
        <v>MARAIS MICHEL</v>
      </c>
      <c r="I1118" t="str">
        <f ca="1">VLOOKUP(A1118,Import_SuiviGlobal_MigAppliSate!A:I,9,FALSE)</f>
        <v>michel.marais@systeme-u.fr</v>
      </c>
      <c r="J1118" s="24" t="str">
        <f ca="1">VLOOKUP(A1118,Import_SuiviGlobal_MigAppliSate!A:K,10,FALSE)</f>
        <v>Mme Catherine Marais</v>
      </c>
      <c r="K1118" t="str">
        <f ca="1">VLOOKUP(A1118,Import_SuiviGlobal_MigAppliSate!A:K,11,FALSE)</f>
        <v>catherine.marais@systeme-u.fr</v>
      </c>
      <c r="O1118" s="1" t="s">
        <v>22</v>
      </c>
    </row>
    <row r="1119" spans="1:15" ht="12.75" hidden="1" x14ac:dyDescent="0.2">
      <c r="A1119">
        <v>62089</v>
      </c>
      <c r="B1119" t="str">
        <f ca="1">VLOOKUP(A1119,Import_SuiviGlobal_MigAppliSate!A:I,2,FALSE)</f>
        <v>VENAREY LES LAUMES</v>
      </c>
      <c r="C1119" t="str">
        <f ca="1">VLOOKUP(A1119,Import_SuiviGlobal_MigAppliSate!A:I,3,FALSE)</f>
        <v>Super U</v>
      </c>
      <c r="D1119" s="1" t="str">
        <f ca="1">VLOOKUP(A1119,Import_SuiviGlobal_MigAppliSate!A:I,4,FALSE)</f>
        <v>Coop U Enseigne Est</v>
      </c>
      <c r="E1119">
        <f ca="1">VLOOKUP(A1119,Import_SuiviGlobal_MigAppliSate!A:I,5,FALSE)</f>
        <v>21150</v>
      </c>
      <c r="F1119" t="str">
        <f ca="1">VLOOKUP(A1119,Import_SuiviGlobal_MigAppliSate!A:I,6,FALSE)</f>
        <v>Place de la Libération</v>
      </c>
      <c r="G1119" t="str">
        <f ca="1">VLOOKUP(A1119,Import_SuiviGlobal_MigAppliSate!A:I,7,FALSE)</f>
        <v>03.80.96.00.53</v>
      </c>
      <c r="H1119" t="str">
        <f ca="1">VLOOKUP(A1119,Import_SuiviGlobal_MigAppliSate!A:I,8,FALSE)</f>
        <v>VAUBOURG RPT SAS ARNALIA Maximilien</v>
      </c>
      <c r="I1119" t="str">
        <f ca="1">VLOOKUP(A1119,Import_SuiviGlobal_MigAppliSate!A:I,9,FALSE)</f>
        <v>maximilien.vaubourg@systeme-u.fr</v>
      </c>
      <c r="J1119" s="24" t="str">
        <f ca="1">VLOOKUP(A1119,Import_SuiviGlobal_MigAppliSate!A:K,10,FALSE)</f>
        <v>M. LEMAIRE</v>
      </c>
      <c r="K1119" t="str">
        <f ca="1">VLOOKUP(A1119,Import_SuiviGlobal_MigAppliSate!A:K,11,FALSE)</f>
        <v>superu.venareyleslaumes.managerderayon@systeme-u.fr</v>
      </c>
      <c r="O1119" s="1" t="s">
        <v>22</v>
      </c>
    </row>
    <row r="1120" spans="1:15" ht="12.75" hidden="1" x14ac:dyDescent="0.2">
      <c r="A1120">
        <v>90660</v>
      </c>
      <c r="B1120" t="str">
        <f ca="1">VLOOKUP(A1120,Import_SuiviGlobal_MigAppliSate!A:I,2,FALSE)</f>
        <v>VENELLES</v>
      </c>
      <c r="C1120" t="str">
        <f ca="1">VLOOKUP(A1120,Import_SuiviGlobal_MigAppliSate!A:I,3,FALSE)</f>
        <v>U Express</v>
      </c>
      <c r="D1120" s="1" t="str">
        <f ca="1">VLOOKUP(A1120,Import_SuiviGlobal_MigAppliSate!A:I,4,FALSE)</f>
        <v>Coop MISTRAL</v>
      </c>
      <c r="E1120">
        <f ca="1">VLOOKUP(A1120,Import_SuiviGlobal_MigAppliSate!A:I,5,FALSE)</f>
        <v>13770</v>
      </c>
      <c r="F1120" t="str">
        <f ca="1">VLOOKUP(A1120,Import_SuiviGlobal_MigAppliSate!A:I,6,FALSE)</f>
        <v>RUE DES ECOLES</v>
      </c>
      <c r="G1120" t="str">
        <f ca="1">VLOOKUP(A1120,Import_SuiviGlobal_MigAppliSate!A:I,7,FALSE)</f>
        <v>04.42.54.72.78</v>
      </c>
      <c r="H1120" t="str">
        <f ca="1">VLOOKUP(A1120,Import_SuiviGlobal_MigAppliSate!A:I,8,FALSE)</f>
        <v>Mr FERRO</v>
      </c>
      <c r="I1120" t="str">
        <f ca="1">VLOOKUP(A1120,Import_SuiviGlobal_MigAppliSate!A:I,9,FALSE)</f>
        <v>uexpress.venelles@mistral-u.fr</v>
      </c>
      <c r="J1120" s="24" t="str">
        <f ca="1">VLOOKUP(A1120,Import_SuiviGlobal_MigAppliSate!A:K,10,FALSE)</f>
        <v>Mme Gauthier</v>
      </c>
      <c r="K1120" t="str">
        <f ca="1">VLOOKUP(A1120,Import_SuiviGlobal_MigAppliSate!A:K,11,FALSE)</f>
        <v>delphine.damian@lemistral.fr,helene.mina@lemistral.fr, uexpress.venelles@mistral-u.fr</v>
      </c>
      <c r="O1120" s="1" t="s">
        <v>22</v>
      </c>
    </row>
    <row r="1121" spans="1:18" ht="12.75" hidden="1" x14ac:dyDescent="0.2">
      <c r="A1121">
        <v>90613</v>
      </c>
      <c r="B1121" t="str">
        <f ca="1">VLOOKUP(A1121,Import_SuiviGlobal_MigAppliSate!A:I,2,FALSE)</f>
        <v>VERCLAUSE</v>
      </c>
      <c r="C1121" t="str">
        <f ca="1">VLOOKUP(A1121,Import_SuiviGlobal_MigAppliSate!A:I,3,FALSE)</f>
        <v>U Express</v>
      </c>
      <c r="D1121" s="1" t="str">
        <f ca="1">VLOOKUP(A1121,Import_SuiviGlobal_MigAppliSate!A:I,4,FALSE)</f>
        <v>Coop MISTRAL</v>
      </c>
      <c r="E1121">
        <f ca="1">VLOOKUP(A1121,Import_SuiviGlobal_MigAppliSate!A:I,5,FALSE)</f>
        <v>26510</v>
      </c>
      <c r="F1121" t="str">
        <f ca="1">VLOOKUP(A1121,Import_SuiviGlobal_MigAppliSate!A:I,6,FALSE)</f>
        <v>QUARTIER DU PONT</v>
      </c>
      <c r="G1121" t="str">
        <f ca="1">VLOOKUP(A1121,Import_SuiviGlobal_MigAppliSate!A:I,7,FALSE)</f>
        <v>04.75.27.80.86</v>
      </c>
      <c r="H1121" t="str">
        <f ca="1">VLOOKUP(A1121,Import_SuiviGlobal_MigAppliSate!A:I,8,FALSE)</f>
        <v>PEYRONNEL Philippe</v>
      </c>
      <c r="I1121" t="str">
        <f ca="1">VLOOKUP(A1121,Import_SuiviGlobal_MigAppliSate!A:I,9,FALSE)</f>
        <v/>
      </c>
      <c r="J1121" s="24" t="str">
        <f ca="1">VLOOKUP(A1121,Import_SuiviGlobal_MigAppliSate!A:K,10,FALSE)</f>
        <v>peyronnel christine ou peyronnel charlène</v>
      </c>
      <c r="K1121" t="str">
        <f ca="1">VLOOKUP(A1121,Import_SuiviGlobal_MigAppliSate!A:K,11,FALSE)</f>
        <v>ch.peyronnel@orange.fr,delphine.damian@lemistral.fr,helene.mina@lemistral.fr</v>
      </c>
      <c r="O1121" s="1" t="s">
        <v>22</v>
      </c>
    </row>
    <row r="1122" spans="1:18" ht="12.75" hidden="1" x14ac:dyDescent="0.2">
      <c r="A1122">
        <v>96970</v>
      </c>
      <c r="B1122" t="str">
        <f ca="1">VLOOKUP(A1122,Import_SuiviGlobal_MigAppliSate!A:I,2,FALSE)</f>
        <v>VERDUN S/GARONNE</v>
      </c>
      <c r="C1122" t="str">
        <f ca="1">VLOOKUP(A1122,Import_SuiviGlobal_MigAppliSate!A:I,3,FALSE)</f>
        <v>Super U</v>
      </c>
      <c r="D1122" s="1" t="str">
        <f ca="1">VLOOKUP(A1122,Import_SuiviGlobal_MigAppliSate!A:I,4,FALSE)</f>
        <v>Coop U Enseigne Sud</v>
      </c>
      <c r="E1122">
        <f ca="1">VLOOKUP(A1122,Import_SuiviGlobal_MigAppliSate!A:I,5,FALSE)</f>
        <v>82600</v>
      </c>
      <c r="F1122" t="str">
        <f ca="1">VLOOKUP(A1122,Import_SuiviGlobal_MigAppliSate!A:I,6,FALSE)</f>
        <v>ROUTE DE MAS GRENIER</v>
      </c>
      <c r="G1122" t="str">
        <f ca="1">VLOOKUP(A1122,Import_SuiviGlobal_MigAppliSate!A:I,7,FALSE)</f>
        <v>05.63.64.37.32</v>
      </c>
      <c r="H1122" t="str">
        <f ca="1">VLOOKUP(A1122,Import_SuiviGlobal_MigAppliSate!A:I,8,FALSE)</f>
        <v>LAHIRLE Daniel</v>
      </c>
      <c r="I1122" t="str">
        <f ca="1">VLOOKUP(A1122,Import_SuiviGlobal_MigAppliSate!A:I,9,FALSE)</f>
        <v>superu.verdunsurgaronne.direction@systeme-u.fr</v>
      </c>
      <c r="J1122" s="24" t="str">
        <f ca="1">VLOOKUP(A1122,Import_SuiviGlobal_MigAppliSate!A:K,10,FALSE)</f>
        <v>M. Bégué Cédric</v>
      </c>
      <c r="K1122" t="str">
        <f ca="1">VLOOKUP(A1122,Import_SuiviGlobal_MigAppliSate!A:K,11,FALSE)</f>
        <v>superu.verdunsurgaronne.direction@systeme-u.fr</v>
      </c>
      <c r="O1122" s="1" t="s">
        <v>22</v>
      </c>
    </row>
    <row r="1123" spans="1:18" ht="12.75" hidden="1" x14ac:dyDescent="0.2">
      <c r="A1123">
        <v>90130</v>
      </c>
      <c r="B1123" t="str">
        <f ca="1">VLOOKUP(A1123,Import_SuiviGlobal_MigAppliSate!A:I,2,FALSE)</f>
        <v>VERGEZE</v>
      </c>
      <c r="C1123" t="str">
        <f ca="1">VLOOKUP(A1123,Import_SuiviGlobal_MigAppliSate!A:I,3,FALSE)</f>
        <v>Super U</v>
      </c>
      <c r="D1123" s="1" t="str">
        <f ca="1">VLOOKUP(A1123,Import_SuiviGlobal_MigAppliSate!A:I,4,FALSE)</f>
        <v>Coop U Enseigne Sud</v>
      </c>
      <c r="E1123">
        <f ca="1">VLOOKUP(A1123,Import_SuiviGlobal_MigAppliSate!A:I,5,FALSE)</f>
        <v>30310</v>
      </c>
      <c r="F1123" t="str">
        <f ca="1">VLOOKUP(A1123,Import_SuiviGlobal_MigAppliSate!A:I,6,FALSE)</f>
        <v>ROUTE DE CODOGNAN</v>
      </c>
      <c r="G1123" t="str">
        <f ca="1">VLOOKUP(A1123,Import_SuiviGlobal_MigAppliSate!A:I,7,FALSE)</f>
        <v>04.66.35.36.30</v>
      </c>
      <c r="H1123" t="str">
        <f ca="1">VLOOKUP(A1123,Import_SuiviGlobal_MigAppliSate!A:I,8,FALSE)</f>
        <v>BONNEMORT ALAIN</v>
      </c>
      <c r="I1123" t="str">
        <f ca="1">VLOOKUP(A1123,Import_SuiviGlobal_MigAppliSate!A:I,9,FALSE)</f>
        <v>amanda.bonnemort@systeme-u.fr</v>
      </c>
      <c r="J1123" s="24" t="str">
        <f ca="1">VLOOKUP(A1123,Import_SuiviGlobal_MigAppliSate!A:K,10,FALSE)</f>
        <v>BONNEMORT Amanda</v>
      </c>
      <c r="K1123" t="str">
        <f ca="1">VLOOKUP(A1123,Import_SuiviGlobal_MigAppliSate!A:K,11,FALSE)</f>
        <v/>
      </c>
      <c r="O1123" s="1" t="s">
        <v>22</v>
      </c>
    </row>
    <row r="1124" spans="1:18" ht="12.75" hidden="1" x14ac:dyDescent="0.2">
      <c r="A1124">
        <v>38260</v>
      </c>
      <c r="B1124" t="str">
        <f ca="1">VLOOKUP(A1124,Import_SuiviGlobal_MigAppliSate!A:I,2,FALSE)</f>
        <v>VERNEUIL-SUR-VIENNE</v>
      </c>
      <c r="C1124" t="str">
        <f ca="1">VLOOKUP(A1124,Import_SuiviGlobal_MigAppliSate!A:I,3,FALSE)</f>
        <v>Super U</v>
      </c>
      <c r="D1124" s="1" t="str">
        <f ca="1">VLOOKUP(A1124,Import_SuiviGlobal_MigAppliSate!A:I,4,FALSE)</f>
        <v>Coop U Enseigne Ouest</v>
      </c>
      <c r="E1124">
        <f ca="1">VLOOKUP(A1124,Import_SuiviGlobal_MigAppliSate!A:I,5,FALSE)</f>
        <v>87430</v>
      </c>
      <c r="F1124" t="str">
        <f ca="1">VLOOKUP(A1124,Import_SuiviGlobal_MigAppliSate!A:I,6,FALSE)</f>
        <v>LES BETOULLES</v>
      </c>
      <c r="G1124" t="str">
        <f ca="1">VLOOKUP(A1124,Import_SuiviGlobal_MigAppliSate!A:I,7,FALSE)</f>
        <v>05.55.75.45.60</v>
      </c>
      <c r="H1124" t="str">
        <f ca="1">VLOOKUP(A1124,Import_SuiviGlobal_MigAppliSate!A:I,8,FALSE)</f>
        <v>BELIVIER Michel</v>
      </c>
      <c r="I1124" t="str">
        <f ca="1">VLOOKUP(A1124,Import_SuiviGlobal_MigAppliSate!A:I,9,FALSE)</f>
        <v>michel.belivier@systeme-u.fr</v>
      </c>
      <c r="J1124" s="24" t="str">
        <f ca="1">VLOOKUP(A1124,Import_SuiviGlobal_MigAppliSate!A:K,10,FALSE)</f>
        <v>Mr David ou Raynaud</v>
      </c>
      <c r="K1124" t="str">
        <f ca="1">VLOOKUP(A1124,Import_SuiviGlobal_MigAppliSate!A:K,11,FALSE)</f>
        <v/>
      </c>
      <c r="O1124" s="1" t="s">
        <v>22</v>
      </c>
    </row>
    <row r="1125" spans="1:18" ht="12.75" hidden="1" x14ac:dyDescent="0.2">
      <c r="A1125">
        <v>90539</v>
      </c>
      <c r="B1125" t="str">
        <f ca="1">VLOOKUP(A1125,Import_SuiviGlobal_MigAppliSate!A:I,2,FALSE)</f>
        <v>VERNIOLLE</v>
      </c>
      <c r="C1125" t="str">
        <f ca="1">VLOOKUP(A1125,Import_SuiviGlobal_MigAppliSate!A:I,3,FALSE)</f>
        <v>Super U</v>
      </c>
      <c r="D1125" s="1" t="str">
        <f ca="1">VLOOKUP(A1125,Import_SuiviGlobal_MigAppliSate!A:I,4,FALSE)</f>
        <v>Coop U Enseigne Sud</v>
      </c>
      <c r="E1125">
        <f ca="1">VLOOKUP(A1125,Import_SuiviGlobal_MigAppliSate!A:I,5,FALSE)</f>
        <v>9340</v>
      </c>
      <c r="F1125" t="str">
        <f ca="1">VLOOKUP(A1125,Import_SuiviGlobal_MigAppliSate!A:I,6,FALSE)</f>
        <v>120 RUE CLEMENT ADER</v>
      </c>
      <c r="G1125" t="str">
        <f ca="1">VLOOKUP(A1125,Import_SuiviGlobal_MigAppliSate!A:I,7,FALSE)</f>
        <v>05.34.01.08.60</v>
      </c>
      <c r="H1125" t="str">
        <f ca="1">VLOOKUP(A1125,Import_SuiviGlobal_MigAppliSate!A:I,8,FALSE)</f>
        <v>GUIDET Alexandre</v>
      </c>
      <c r="I1125" t="str">
        <f ca="1">VLOOKUP(A1125,Import_SuiviGlobal_MigAppliSate!A:I,9,FALSE)</f>
        <v>alexandre.guidet@systeme-u.fr</v>
      </c>
      <c r="J1125" s="24" t="str">
        <f ca="1">VLOOKUP(A1125,Import_SuiviGlobal_MigAppliSate!A:K,10,FALSE)</f>
        <v>Alexandre Guidet</v>
      </c>
      <c r="K1125" t="str">
        <f ca="1">VLOOKUP(A1125,Import_SuiviGlobal_MigAppliSate!A:K,11,FALSE)</f>
        <v/>
      </c>
      <c r="L1125" s="1" t="s">
        <v>20</v>
      </c>
      <c r="M1125" s="1" t="s">
        <v>27</v>
      </c>
      <c r="O1125" s="1" t="s">
        <v>22</v>
      </c>
    </row>
    <row r="1126" spans="1:18" ht="12.75" hidden="1" x14ac:dyDescent="0.2">
      <c r="A1126">
        <v>39857</v>
      </c>
      <c r="B1126" t="str">
        <f ca="1">VLOOKUP(A1126,Import_SuiviGlobal_MigAppliSate!A:I,2,FALSE)</f>
        <v>VERNOIL-LE FOURRIER</v>
      </c>
      <c r="C1126" t="str">
        <f ca="1">VLOOKUP(A1126,Import_SuiviGlobal_MigAppliSate!A:I,3,FALSE)</f>
        <v>Super U</v>
      </c>
      <c r="D1126" s="1" t="str">
        <f ca="1">VLOOKUP(A1126,Import_SuiviGlobal_MigAppliSate!A:I,4,FALSE)</f>
        <v>Coop U Enseigne Ouest</v>
      </c>
      <c r="E1126">
        <f ca="1">VLOOKUP(A1126,Import_SuiviGlobal_MigAppliSate!A:I,5,FALSE)</f>
        <v>49390</v>
      </c>
      <c r="F1126" t="str">
        <f ca="1">VLOOKUP(A1126,Import_SuiviGlobal_MigAppliSate!A:I,6,FALSE)</f>
        <v>ROUTE DE VERNANTES</v>
      </c>
      <c r="G1126" t="str">
        <f ca="1">VLOOKUP(A1126,Import_SuiviGlobal_MigAppliSate!A:I,7,FALSE)</f>
        <v>02.41.51.54.82</v>
      </c>
      <c r="H1126" t="str">
        <f ca="1">VLOOKUP(A1126,Import_SuiviGlobal_MigAppliSate!A:I,8,FALSE)</f>
        <v>BEAUCHARD Annabelle</v>
      </c>
      <c r="I1126" t="str">
        <f ca="1">VLOOKUP(A1126,Import_SuiviGlobal_MigAppliSate!A:I,9,FALSE)</f>
        <v>annabelle.beauchard@systeme-u.fr</v>
      </c>
      <c r="J1126" s="24" t="str">
        <f ca="1">VLOOKUP(A1126,Import_SuiviGlobal_MigAppliSate!A:K,10,FALSE)</f>
        <v>Noel Marie</v>
      </c>
      <c r="K1126" t="str">
        <f ca="1">VLOOKUP(A1126,Import_SuiviGlobal_MigAppliSate!A:K,11,FALSE)</f>
        <v xml:space="preserve"> superu.vernoillefourrier@systeme-u.fr</v>
      </c>
      <c r="O1126" s="1" t="s">
        <v>22</v>
      </c>
    </row>
    <row r="1127" spans="1:18" ht="12.75" hidden="1" x14ac:dyDescent="0.2">
      <c r="A1127">
        <v>33301</v>
      </c>
      <c r="B1127" t="str">
        <f ca="1">VLOOKUP(A1127,Import_SuiviGlobal_MigAppliSate!A:I,2,FALSE)</f>
        <v>VERNOU-SUR-BRENNE</v>
      </c>
      <c r="C1127" t="str">
        <f ca="1">VLOOKUP(A1127,Import_SuiviGlobal_MigAppliSate!A:I,3,FALSE)</f>
        <v>Super U</v>
      </c>
      <c r="D1127" s="1" t="str">
        <f ca="1">VLOOKUP(A1127,Import_SuiviGlobal_MigAppliSate!A:I,4,FALSE)</f>
        <v>Coop U Enseigne Ouest</v>
      </c>
      <c r="E1127">
        <f ca="1">VLOOKUP(A1127,Import_SuiviGlobal_MigAppliSate!A:I,5,FALSE)</f>
        <v>37210</v>
      </c>
      <c r="F1127" t="str">
        <f ca="1">VLOOKUP(A1127,Import_SuiviGlobal_MigAppliSate!A:I,6,FALSE)</f>
        <v>25 RUE DU PROFESSEUR DEBRE</v>
      </c>
      <c r="G1127" t="str">
        <f ca="1">VLOOKUP(A1127,Import_SuiviGlobal_MigAppliSate!A:I,7,FALSE)</f>
        <v>02.47.52.13.13</v>
      </c>
      <c r="H1127" t="str">
        <f ca="1">VLOOKUP(A1127,Import_SuiviGlobal_MigAppliSate!A:I,8,FALSE)</f>
        <v>SORNAIS RPT SC JODIAM Didier</v>
      </c>
      <c r="I1127" t="str">
        <f ca="1">VLOOKUP(A1127,Import_SuiviGlobal_MigAppliSate!A:I,9,FALSE)</f>
        <v>didier.sornais@systeme-u.fr</v>
      </c>
      <c r="J1127" s="24" t="str">
        <f ca="1">VLOOKUP(A1127,Import_SuiviGlobal_MigAppliSate!A:K,10,FALSE)</f>
        <v>Sornais Sophie</v>
      </c>
      <c r="K1127" t="str">
        <f ca="1">VLOOKUP(A1127,Import_SuiviGlobal_MigAppliSate!A:K,11,FALSE)</f>
        <v/>
      </c>
      <c r="O1127" s="1" t="s">
        <v>22</v>
      </c>
    </row>
    <row r="1128" spans="1:18" ht="12.75" hidden="1" x14ac:dyDescent="0.2">
      <c r="A1128">
        <v>20345</v>
      </c>
      <c r="B1128" t="str">
        <f ca="1">VLOOKUP(A1128,Import_SuiviGlobal_MigAppliSate!A:I,2,FALSE)</f>
        <v>VERNOUILLET</v>
      </c>
      <c r="C1128" t="str">
        <f ca="1">VLOOKUP(A1128,Import_SuiviGlobal_MigAppliSate!A:I,3,FALSE)</f>
        <v>Hyper U</v>
      </c>
      <c r="D1128" s="1" t="str">
        <f ca="1">VLOOKUP(A1128,Import_SuiviGlobal_MigAppliSate!A:I,4,FALSE)</f>
        <v>Coop U Enseigne NordOuest</v>
      </c>
      <c r="E1128">
        <f ca="1">VLOOKUP(A1128,Import_SuiviGlobal_MigAppliSate!A:I,5,FALSE)</f>
        <v>28500</v>
      </c>
      <c r="F1128" t="str">
        <f ca="1">VLOOKUP(A1128,Import_SuiviGlobal_MigAppliSate!A:I,6,FALSE)</f>
        <v>RN 154</v>
      </c>
      <c r="G1128" t="str">
        <f ca="1">VLOOKUP(A1128,Import_SuiviGlobal_MigAppliSate!A:I,7,FALSE)</f>
        <v>02.37.62.62.00</v>
      </c>
      <c r="H1128" t="str">
        <f ca="1">VLOOKUP(A1128,Import_SuiviGlobal_MigAppliSate!A:I,8,FALSE)</f>
        <v>GOURNAY Daniel</v>
      </c>
      <c r="I1128" t="str">
        <f ca="1">VLOOKUP(A1128,Import_SuiviGlobal_MigAppliSate!A:I,9,FALSE)</f>
        <v>daniel.gournay@systeme-u.fr</v>
      </c>
      <c r="J1128" s="24" t="str">
        <f ca="1">VLOOKUP(A1128,Import_SuiviGlobal_MigAppliSate!A:K,10,FALSE)</f>
        <v>M Turrière
Mme Lussiana</v>
      </c>
      <c r="K1128" t="str">
        <f ca="1">VLOOKUP(A1128,Import_SuiviGlobal_MigAppliSate!A:K,11,FALSE)</f>
        <v>hyperu.vernouillet.direction@systeme-u.fr</v>
      </c>
      <c r="O1128" s="1" t="s">
        <v>22</v>
      </c>
    </row>
    <row r="1129" spans="1:18" ht="12.75" hidden="1" x14ac:dyDescent="0.2">
      <c r="A1129">
        <v>24987</v>
      </c>
      <c r="B1129" t="str">
        <f ca="1">VLOOKUP(A1129,Import_SuiviGlobal_MigAppliSate!A:I,2,FALSE)</f>
        <v>VERSAILLES</v>
      </c>
      <c r="C1129" t="str">
        <f ca="1">VLOOKUP(A1129,Import_SuiviGlobal_MigAppliSate!A:I,3,FALSE)</f>
        <v>U Express</v>
      </c>
      <c r="D1129" s="1" t="str">
        <f ca="1">VLOOKUP(A1129,Import_SuiviGlobal_MigAppliSate!A:I,4,FALSE)</f>
        <v>Coop U Enseigne NordOuest</v>
      </c>
      <c r="E1129">
        <f ca="1">VLOOKUP(A1129,Import_SuiviGlobal_MigAppliSate!A:I,5,FALSE)</f>
        <v>78000</v>
      </c>
      <c r="F1129" t="str">
        <f ca="1">VLOOKUP(A1129,Import_SuiviGlobal_MigAppliSate!A:I,6,FALSE)</f>
        <v>45 RUE DU MARECHAL FOCH</v>
      </c>
      <c r="G1129" t="str">
        <f ca="1">VLOOKUP(A1129,Import_SuiviGlobal_MigAppliSate!A:I,7,FALSE)</f>
        <v>01.39.50.25.62</v>
      </c>
      <c r="H1129" t="str">
        <f ca="1">VLOOKUP(A1129,Import_SuiviGlobal_MigAppliSate!A:I,8,FALSE)</f>
        <v>FARIA Francisco</v>
      </c>
      <c r="I1129" t="str">
        <f ca="1">VLOOKUP(A1129,Import_SuiviGlobal_MigAppliSate!A:I,9,FALSE)</f>
        <v>francisco.faria@systeme-u.fr</v>
      </c>
      <c r="J1129" s="24" t="str">
        <f ca="1">VLOOKUP(A1129,Import_SuiviGlobal_MigAppliSate!A:K,10,FALSE)</f>
        <v/>
      </c>
      <c r="K1129" t="str">
        <f ca="1">VLOOKUP(A1129,Import_SuiviGlobal_MigAppliSate!A:K,11,FALSE)</f>
        <v>uexpress.versailles@systeme-u.fr</v>
      </c>
      <c r="O1129" s="1" t="s">
        <v>22</v>
      </c>
    </row>
    <row r="1130" spans="1:18" ht="12.75" hidden="1" x14ac:dyDescent="0.2">
      <c r="A1130">
        <v>32887</v>
      </c>
      <c r="B1130" t="str">
        <f ca="1">VLOOKUP(A1130,Import_SuiviGlobal_MigAppliSate!A:I,2,FALSE)</f>
        <v>VERTOU</v>
      </c>
      <c r="C1130" t="str">
        <f ca="1">VLOOKUP(A1130,Import_SuiviGlobal_MigAppliSate!A:I,3,FALSE)</f>
        <v>Super U</v>
      </c>
      <c r="D1130" s="1" t="str">
        <f ca="1">VLOOKUP(A1130,Import_SuiviGlobal_MigAppliSate!A:I,4,FALSE)</f>
        <v>Coop U Enseigne Ouest</v>
      </c>
      <c r="E1130">
        <f ca="1">VLOOKUP(A1130,Import_SuiviGlobal_MigAppliSate!A:I,5,FALSE)</f>
        <v>44124</v>
      </c>
      <c r="F1130" t="str">
        <f ca="1">VLOOKUP(A1130,Import_SuiviGlobal_MigAppliSate!A:I,6,FALSE)</f>
        <v>BOULEVARD DE L' EUROPE</v>
      </c>
      <c r="G1130" t="str">
        <f ca="1">VLOOKUP(A1130,Import_SuiviGlobal_MigAppliSate!A:I,7,FALSE)</f>
        <v>02.51.71.36.00</v>
      </c>
      <c r="H1130" t="str">
        <f ca="1">VLOOKUP(A1130,Import_SuiviGlobal_MigAppliSate!A:I,8,FALSE)</f>
        <v>GODINEAU Thomas</v>
      </c>
      <c r="I1130" t="str">
        <f ca="1">VLOOKUP(A1130,Import_SuiviGlobal_MigAppliSate!A:I,9,FALSE)</f>
        <v>thomas.godineau@systeme-u.fr</v>
      </c>
      <c r="J1130" s="24" t="str">
        <f ca="1">VLOOKUP(A1130,Import_SuiviGlobal_MigAppliSate!A:K,10,FALSE)</f>
        <v>Mme Bourcier</v>
      </c>
      <c r="K1130" t="str">
        <f ca="1">VLOOKUP(A1130,Import_SuiviGlobal_MigAppliSate!A:K,11,FALSE)</f>
        <v>superu.vertou.gescom@systeme-u.fr</v>
      </c>
      <c r="O1130" s="1" t="s">
        <v>22</v>
      </c>
    </row>
    <row r="1131" spans="1:18" ht="12.75" hidden="1" x14ac:dyDescent="0.2">
      <c r="A1131">
        <v>90679</v>
      </c>
      <c r="B1131" t="str">
        <f ca="1">VLOOKUP(A1131,Import_SuiviGlobal_MigAppliSate!A:I,2,FALSE)</f>
        <v>VESCOVATO</v>
      </c>
      <c r="C1131" t="str">
        <f ca="1">VLOOKUP(A1131,Import_SuiviGlobal_MigAppliSate!A:I,3,FALSE)</f>
        <v>U Express</v>
      </c>
      <c r="D1131" s="1" t="str">
        <f ca="1">VLOOKUP(A1131,Import_SuiviGlobal_MigAppliSate!A:I,4,FALSE)</f>
        <v>Coop MISTRAL</v>
      </c>
      <c r="E1131">
        <f ca="1">VLOOKUP(A1131,Import_SuiviGlobal_MigAppliSate!A:I,5,FALSE)</f>
        <v>20215</v>
      </c>
      <c r="F1131" t="str">
        <f ca="1">VLOOKUP(A1131,Import_SuiviGlobal_MigAppliSate!A:I,6,FALSE)</f>
        <v>RN 198</v>
      </c>
      <c r="G1131" t="str">
        <f ca="1">VLOOKUP(A1131,Import_SuiviGlobal_MigAppliSate!A:I,7,FALSE)</f>
        <v>04.95.38.02.80</v>
      </c>
      <c r="H1131" t="str">
        <f ca="1">VLOOKUP(A1131,Import_SuiviGlobal_MigAppliSate!A:I,8,FALSE)</f>
        <v>TORZUOLI Alain</v>
      </c>
      <c r="I1131" t="str">
        <f ca="1">VLOOKUP(A1131,Import_SuiviGlobal_MigAppliSate!A:I,9,FALSE)</f>
        <v/>
      </c>
      <c r="J1131" s="24" t="str">
        <f ca="1">VLOOKUP(A1131,Import_SuiviGlobal_MigAppliSate!A:K,10,FALSE)</f>
        <v>TORZUOLI alex</v>
      </c>
      <c r="K1131" t="str">
        <f ca="1">VLOOKUP(A1131,Import_SuiviGlobal_MigAppliSate!A:K,11,FALSE)</f>
        <v>delphine.damian@lemistral.fr,helene.mina@lemistral.fr,vescodis@wanadoo.fr</v>
      </c>
      <c r="O1131" s="1" t="s">
        <v>22</v>
      </c>
    </row>
    <row r="1132" spans="1:18" ht="12.75" hidden="1" x14ac:dyDescent="0.2">
      <c r="A1132">
        <v>63004</v>
      </c>
      <c r="B1132" t="str">
        <f ca="1">VLOOKUP(A1132,Import_SuiviGlobal_MigAppliSate!A:I,2,FALSE)</f>
        <v>VESOUL</v>
      </c>
      <c r="C1132" t="str">
        <f ca="1">VLOOKUP(A1132,Import_SuiviGlobal_MigAppliSate!A:I,3,FALSE)</f>
        <v>Super U</v>
      </c>
      <c r="D1132" s="1" t="str">
        <f ca="1">VLOOKUP(A1132,Import_SuiviGlobal_MigAppliSate!A:I,4,FALSE)</f>
        <v>Coop U Enseigne Est</v>
      </c>
      <c r="E1132">
        <f ca="1">VLOOKUP(A1132,Import_SuiviGlobal_MigAppliSate!A:I,5,FALSE)</f>
        <v>70000</v>
      </c>
      <c r="F1132" t="str">
        <f ca="1">VLOOKUP(A1132,Import_SuiviGlobal_MigAppliSate!A:I,6,FALSE)</f>
        <v>Rue de Pontarcher</v>
      </c>
      <c r="G1132" t="str">
        <f ca="1">VLOOKUP(A1132,Import_SuiviGlobal_MigAppliSate!A:I,7,FALSE)</f>
        <v>03.84.97.10.30</v>
      </c>
      <c r="H1132" t="str">
        <f ca="1">VLOOKUP(A1132,Import_SuiviGlobal_MigAppliSate!A:I,8,FALSE)</f>
        <v>FAYET Pierre</v>
      </c>
      <c r="I1132" t="str">
        <f ca="1">VLOOKUP(A1132,Import_SuiviGlobal_MigAppliSate!A:I,9,FALSE)</f>
        <v>pierre.fayet@systeme-u.fr</v>
      </c>
      <c r="J1132" s="24" t="str">
        <f ca="1">VLOOKUP(A1132,Import_SuiviGlobal_MigAppliSate!A:K,10,FALSE)</f>
        <v>M. BAUER</v>
      </c>
      <c r="K1132" t="str">
        <f ca="1">VLOOKUP(A1132,Import_SuiviGlobal_MigAppliSate!A:K,11,FALSE)</f>
        <v>superu.vesoul.filiale@systeme-u.fr</v>
      </c>
      <c r="L1132" s="1" t="s">
        <v>17</v>
      </c>
      <c r="M1132" s="1" t="s">
        <v>24</v>
      </c>
      <c r="N1132" s="1" t="s">
        <v>18</v>
      </c>
      <c r="O1132" s="1" t="s">
        <v>19</v>
      </c>
      <c r="P1132" s="15"/>
      <c r="Q1132" s="18"/>
      <c r="R1132" s="18"/>
    </row>
    <row r="1133" spans="1:18" ht="12.75" hidden="1" x14ac:dyDescent="0.2">
      <c r="A1133">
        <v>90265</v>
      </c>
      <c r="B1133" t="str">
        <f ca="1">VLOOKUP(A1133,Import_SuiviGlobal_MigAppliSate!A:I,2,FALSE)</f>
        <v>VEYNES</v>
      </c>
      <c r="C1133" t="str">
        <f ca="1">VLOOKUP(A1133,Import_SuiviGlobal_MigAppliSate!A:I,3,FALSE)</f>
        <v>Super U</v>
      </c>
      <c r="D1133" s="1" t="str">
        <f ca="1">VLOOKUP(A1133,Import_SuiviGlobal_MigAppliSate!A:I,4,FALSE)</f>
        <v>Coop U Enseigne Sud</v>
      </c>
      <c r="E1133">
        <f ca="1">VLOOKUP(A1133,Import_SuiviGlobal_MigAppliSate!A:I,5,FALSE)</f>
        <v>5400</v>
      </c>
      <c r="F1133" t="str">
        <f ca="1">VLOOKUP(A1133,Import_SuiviGlobal_MigAppliSate!A:I,6,FALSE)</f>
        <v>ROUTE DE GAP</v>
      </c>
      <c r="G1133" t="str">
        <f ca="1">VLOOKUP(A1133,Import_SuiviGlobal_MigAppliSate!A:I,7,FALSE)</f>
        <v>04.92.58.00.56</v>
      </c>
      <c r="H1133" t="str">
        <f ca="1">VLOOKUP(A1133,Import_SuiviGlobal_MigAppliSate!A:I,8,FALSE)</f>
        <v>PATROSSO Roger</v>
      </c>
      <c r="I1133" t="str">
        <f ca="1">VLOOKUP(A1133,Import_SuiviGlobal_MigAppliSate!A:I,9,FALSE)</f>
        <v>roger.patrosso@systeme-u.fr</v>
      </c>
      <c r="J1133" s="24" t="str">
        <f ca="1">VLOOKUP(A1133,Import_SuiviGlobal_MigAppliSate!A:K,10,FALSE)</f>
        <v>Rémy PATROSSO</v>
      </c>
      <c r="K1133" t="str">
        <f ca="1">VLOOKUP(A1133,Import_SuiviGlobal_MigAppliSate!A:K,11,FALSE)</f>
        <v>remy.patrosso@systeme-u.fr</v>
      </c>
      <c r="O1133" s="1" t="s">
        <v>22</v>
      </c>
    </row>
    <row r="1134" spans="1:18" ht="12.75" hidden="1" x14ac:dyDescent="0.2">
      <c r="A1134">
        <v>66111</v>
      </c>
      <c r="B1134" t="str">
        <f ca="1">VLOOKUP(A1134,Import_SuiviGlobal_MigAppliSate!A:I,2,FALSE)</f>
        <v>VIC-LE-COMTE</v>
      </c>
      <c r="C1134" t="str">
        <f ca="1">VLOOKUP(A1134,Import_SuiviGlobal_MigAppliSate!A:I,3,FALSE)</f>
        <v>Super U</v>
      </c>
      <c r="D1134" s="1" t="str">
        <f ca="1">VLOOKUP(A1134,Import_SuiviGlobal_MigAppliSate!A:I,4,FALSE)</f>
        <v>Coop U Enseigne Est</v>
      </c>
      <c r="E1134">
        <f ca="1">VLOOKUP(A1134,Import_SuiviGlobal_MigAppliSate!A:I,5,FALSE)</f>
        <v>63270</v>
      </c>
      <c r="F1134" t="str">
        <f ca="1">VLOOKUP(A1134,Import_SuiviGlobal_MigAppliSate!A:I,6,FALSE)</f>
        <v>BOULEVARD BARGOIN</v>
      </c>
      <c r="G1134" t="str">
        <f ca="1">VLOOKUP(A1134,Import_SuiviGlobal_MigAppliSate!A:I,7,FALSE)</f>
        <v>04.73.69.14.22</v>
      </c>
      <c r="H1134" t="str">
        <f ca="1">VLOOKUP(A1134,Import_SuiviGlobal_MigAppliSate!A:I,8,FALSE)</f>
        <v>RELIER Isabelle</v>
      </c>
      <c r="I1134" t="str">
        <f ca="1">VLOOKUP(A1134,Import_SuiviGlobal_MigAppliSate!A:I,9,FALSE)</f>
        <v>isabelle.relier@systeme-u.fr</v>
      </c>
      <c r="J1134" s="24" t="str">
        <f ca="1">VLOOKUP(A1134,Import_SuiviGlobal_MigAppliSate!A:K,10,FALSE)</f>
        <v>LALLEMAN Myriam</v>
      </c>
      <c r="K1134" t="str">
        <f ca="1">VLOOKUP(A1134,Import_SuiviGlobal_MigAppliSate!A:K,11,FALSE)</f>
        <v>superu.viclecomte@systeme-u.fr</v>
      </c>
      <c r="O1134" s="1" t="s">
        <v>22</v>
      </c>
    </row>
    <row r="1135" spans="1:18" ht="12.75" hidden="1" x14ac:dyDescent="0.2">
      <c r="A1135">
        <v>31448</v>
      </c>
      <c r="B1135" t="str">
        <f ca="1">VLOOKUP(A1135,Import_SuiviGlobal_MigAppliSate!A:I,2,FALSE)</f>
        <v>VIERZON</v>
      </c>
      <c r="C1135" t="str">
        <f ca="1">VLOOKUP(A1135,Import_SuiviGlobal_MigAppliSate!A:I,3,FALSE)</f>
        <v>Hyper U</v>
      </c>
      <c r="D1135" s="1" t="str">
        <f ca="1">VLOOKUP(A1135,Import_SuiviGlobal_MigAppliSate!A:I,4,FALSE)</f>
        <v>Coop Atlantique</v>
      </c>
      <c r="E1135">
        <f ca="1">VLOOKUP(A1135,Import_SuiviGlobal_MigAppliSate!A:I,5,FALSE)</f>
        <v>18100</v>
      </c>
      <c r="F1135" t="str">
        <f ca="1">VLOOKUP(A1135,Import_SuiviGlobal_MigAppliSate!A:I,6,FALSE)</f>
        <v>18, AVENUE DU 19 MARS 1962</v>
      </c>
      <c r="G1135" t="str">
        <f ca="1">VLOOKUP(A1135,Import_SuiviGlobal_MigAppliSate!A:I,7,FALSE)</f>
        <v>02.48.53.53.53</v>
      </c>
      <c r="H1135" t="str">
        <f ca="1">VLOOKUP(A1135,Import_SuiviGlobal_MigAppliSate!A:I,8,FALSE)</f>
        <v>FLAMBARD Hervé</v>
      </c>
      <c r="I1135" t="str">
        <f ca="1">VLOOKUP(A1135,Import_SuiviGlobal_MigAppliSate!A:I,9,FALSE)</f>
        <v>laurent.fleury_coop_hu@systeme-u.fr</v>
      </c>
      <c r="J1135" s="24" t="str">
        <f ca="1">VLOOKUP(A1135,Import_SuiviGlobal_MigAppliSate!A:K,10,FALSE)</f>
        <v>DULUARD ludovic / Nadège Robin</v>
      </c>
      <c r="K1135" t="str">
        <f ca="1">VLOOKUP(A1135,Import_SuiviGlobal_MigAppliSate!A:K,11,FALSE)</f>
        <v>nrobin@coop-atlantique.fr,nbrigant@coop-atlantique.fr,sjaud@coop-atlantique.fr,lduluard@coop-atlantique.fr</v>
      </c>
      <c r="L1135" s="1" t="s">
        <v>17</v>
      </c>
      <c r="M1135" t="s">
        <v>23</v>
      </c>
      <c r="O1135" s="1" t="s">
        <v>22</v>
      </c>
    </row>
    <row r="1136" spans="1:18" ht="12.75" hidden="1" x14ac:dyDescent="0.2">
      <c r="A1136">
        <v>36246</v>
      </c>
      <c r="B1136" t="str">
        <f ca="1">VLOOKUP(A1136,Import_SuiviGlobal_MigAppliSate!A:I,2,FALSE)</f>
        <v>VIGNEUX-DE-BRETAGNE</v>
      </c>
      <c r="C1136" t="str">
        <f ca="1">VLOOKUP(A1136,Import_SuiviGlobal_MigAppliSate!A:I,3,FALSE)</f>
        <v>U Express</v>
      </c>
      <c r="D1136" s="1" t="str">
        <f ca="1">VLOOKUP(A1136,Import_SuiviGlobal_MigAppliSate!A:I,4,FALSE)</f>
        <v>Coop U Enseigne Ouest</v>
      </c>
      <c r="E1136">
        <f ca="1">VLOOKUP(A1136,Import_SuiviGlobal_MigAppliSate!A:I,5,FALSE)</f>
        <v>44360</v>
      </c>
      <c r="F1136" t="str">
        <f ca="1">VLOOKUP(A1136,Import_SuiviGlobal_MigAppliSate!A:I,6,FALSE)</f>
        <v>RUE DU PETIT PRINCE</v>
      </c>
      <c r="G1136" t="str">
        <f ca="1">VLOOKUP(A1136,Import_SuiviGlobal_MigAppliSate!A:I,7,FALSE)</f>
        <v>02.40.57.30.46</v>
      </c>
      <c r="H1136" t="str">
        <f ca="1">VLOOKUP(A1136,Import_SuiviGlobal_MigAppliSate!A:I,8,FALSE)</f>
        <v>LEMAN Henri Frédéric</v>
      </c>
      <c r="I1136" t="str">
        <f ca="1">VLOOKUP(A1136,Import_SuiviGlobal_MigAppliSate!A:I,9,FALSE)</f>
        <v>frederic.leman@systeme-u.fr</v>
      </c>
      <c r="J1136" s="24" t="str">
        <f ca="1">VLOOKUP(A1136,Import_SuiviGlobal_MigAppliSate!A:K,10,FALSE)</f>
        <v>Mlle Foucher
Mr Serré (directeur)</v>
      </c>
      <c r="K1136" t="str">
        <f ca="1">VLOOKUP(A1136,Import_SuiviGlobal_MigAppliSate!A:K,11,FALSE)</f>
        <v>uexpress.vigneuxdebretagne.compta@systeme-u.fr, uexpress.vigneuxdebretagne@systeme-u.fr</v>
      </c>
      <c r="O1136" s="1" t="s">
        <v>22</v>
      </c>
    </row>
    <row r="1137" spans="1:15" ht="12.75" hidden="1" x14ac:dyDescent="0.2">
      <c r="A1137">
        <v>38559</v>
      </c>
      <c r="B1137" t="str">
        <f ca="1">VLOOKUP(A1137,Import_SuiviGlobal_MigAppliSate!A:I,2,FALSE)</f>
        <v>VIHIERS</v>
      </c>
      <c r="C1137" t="str">
        <f ca="1">VLOOKUP(A1137,Import_SuiviGlobal_MigAppliSate!A:I,3,FALSE)</f>
        <v>Super U</v>
      </c>
      <c r="D1137" s="1" t="str">
        <f ca="1">VLOOKUP(A1137,Import_SuiviGlobal_MigAppliSate!A:I,4,FALSE)</f>
        <v>Coop U Enseigne Ouest</v>
      </c>
      <c r="E1137">
        <f ca="1">VLOOKUP(A1137,Import_SuiviGlobal_MigAppliSate!A:I,5,FALSE)</f>
        <v>49310</v>
      </c>
      <c r="F1137" t="str">
        <f ca="1">VLOOKUP(A1137,Import_SuiviGlobal_MigAppliSate!A:I,6,FALSE)</f>
        <v>CENTRE COMMERCIAL LES COURTILS</v>
      </c>
      <c r="G1137" t="str">
        <f ca="1">VLOOKUP(A1137,Import_SuiviGlobal_MigAppliSate!A:I,7,FALSE)</f>
        <v>02.41.75.01.39</v>
      </c>
      <c r="H1137" t="str">
        <f ca="1">VLOOKUP(A1137,Import_SuiviGlobal_MigAppliSate!A:I,8,FALSE)</f>
        <v>VALLEE RPT SARL VALYS Louis Marie</v>
      </c>
      <c r="I1137" t="str">
        <f ca="1">VLOOKUP(A1137,Import_SuiviGlobal_MigAppliSate!A:I,9,FALSE)</f>
        <v>louis-marie.vallee@systeme-u.fr</v>
      </c>
      <c r="J1137" s="24" t="str">
        <f ca="1">VLOOKUP(A1137,Import_SuiviGlobal_MigAppliSate!A:K,10,FALSE)</f>
        <v>FONTENY Vanessa</v>
      </c>
      <c r="K1137" t="str">
        <f ca="1">VLOOKUP(A1137,Import_SuiviGlobal_MigAppliSate!A:K,11,FALSE)</f>
        <v>superu.vihierscourtils.gescom@systeme-u.fr</v>
      </c>
      <c r="O1137" s="1" t="s">
        <v>22</v>
      </c>
    </row>
    <row r="1138" spans="1:15" ht="12.75" hidden="1" x14ac:dyDescent="0.2">
      <c r="A1138">
        <v>33662</v>
      </c>
      <c r="B1138" t="str">
        <f ca="1">VLOOKUP(A1138,Import_SuiviGlobal_MigAppliSate!A:I,2,FALSE)</f>
        <v>VILLAINES-LA-JUHEL</v>
      </c>
      <c r="C1138" t="str">
        <f ca="1">VLOOKUP(A1138,Import_SuiviGlobal_MigAppliSate!A:I,3,FALSE)</f>
        <v>Super U</v>
      </c>
      <c r="D1138" s="1" t="str">
        <f ca="1">VLOOKUP(A1138,Import_SuiviGlobal_MigAppliSate!A:I,4,FALSE)</f>
        <v>Coop U Enseigne Ouest</v>
      </c>
      <c r="E1138">
        <f ca="1">VLOOKUP(A1138,Import_SuiviGlobal_MigAppliSate!A:I,5,FALSE)</f>
        <v>53700</v>
      </c>
      <c r="F1138" t="str">
        <f ca="1">VLOOKUP(A1138,Import_SuiviGlobal_MigAppliSate!A:I,6,FALSE)</f>
        <v>ROUTE DU MANS</v>
      </c>
      <c r="G1138" t="str">
        <f ca="1">VLOOKUP(A1138,Import_SuiviGlobal_MigAppliSate!A:I,7,FALSE)</f>
        <v>02.43.03.21.35</v>
      </c>
      <c r="H1138" t="str">
        <f ca="1">VLOOKUP(A1138,Import_SuiviGlobal_MigAppliSate!A:I,8,FALSE)</f>
        <v>VALLEE Benoît</v>
      </c>
      <c r="I1138" t="str">
        <f ca="1">VLOOKUP(A1138,Import_SuiviGlobal_MigAppliSate!A:I,9,FALSE)</f>
        <v>benoit.vallee@systeme-u.fr</v>
      </c>
      <c r="J1138" s="24" t="str">
        <f ca="1">VLOOKUP(A1138,Import_SuiviGlobal_MigAppliSate!A:K,10,FALSE)</f>
        <v>Perigois Nadine</v>
      </c>
      <c r="K1138" t="str">
        <f ca="1">VLOOKUP(A1138,Import_SuiviGlobal_MigAppliSate!A:K,11,FALSE)</f>
        <v>superu.villaineslajuhel.affichage@systeme-u.fr</v>
      </c>
      <c r="O1138" s="1" t="s">
        <v>22</v>
      </c>
    </row>
    <row r="1139" spans="1:15" ht="12.75" hidden="1" x14ac:dyDescent="0.2">
      <c r="A1139">
        <v>66152</v>
      </c>
      <c r="B1139" t="str">
        <f ca="1">VLOOKUP(A1139,Import_SuiviGlobal_MigAppliSate!A:I,2,FALSE)</f>
        <v>VILLARS LES DOMBES</v>
      </c>
      <c r="C1139" t="str">
        <f ca="1">VLOOKUP(A1139,Import_SuiviGlobal_MigAppliSate!A:I,3,FALSE)</f>
        <v>Super U</v>
      </c>
      <c r="D1139" s="1" t="str">
        <f ca="1">VLOOKUP(A1139,Import_SuiviGlobal_MigAppliSate!A:I,4,FALSE)</f>
        <v>Coop U Enseigne Est</v>
      </c>
      <c r="E1139">
        <f ca="1">VLOOKUP(A1139,Import_SuiviGlobal_MigAppliSate!A:I,5,FALSE)</f>
        <v>1330</v>
      </c>
      <c r="F1139" t="str">
        <f ca="1">VLOOKUP(A1139,Import_SuiviGlobal_MigAppliSate!A:I,6,FALSE)</f>
        <v>Zac de la Tuilerie</v>
      </c>
      <c r="G1139" t="str">
        <f ca="1">VLOOKUP(A1139,Import_SuiviGlobal_MigAppliSate!A:I,7,FALSE)</f>
        <v>04.74.98.11.50</v>
      </c>
      <c r="H1139" t="str">
        <f ca="1">VLOOKUP(A1139,Import_SuiviGlobal_MigAppliSate!A:I,8,FALSE)</f>
        <v>MALAMAN RPT SAS VILDIS Jean Philippe</v>
      </c>
      <c r="I1139" t="str">
        <f ca="1">VLOOKUP(A1139,Import_SuiviGlobal_MigAppliSate!A:I,9,FALSE)</f>
        <v>jean-philippe.malaman@systeme-u.fr</v>
      </c>
      <c r="J1139" s="24" t="str">
        <f ca="1">VLOOKUP(A1139,Import_SuiviGlobal_MigAppliSate!A:K,10,FALSE)</f>
        <v/>
      </c>
      <c r="K1139" t="str">
        <f ca="1">VLOOKUP(A1139,Import_SuiviGlobal_MigAppliSate!A:K,11,FALSE)</f>
        <v/>
      </c>
      <c r="O1139" s="1" t="s">
        <v>22</v>
      </c>
    </row>
    <row r="1140" spans="1:15" ht="12.75" hidden="1" x14ac:dyDescent="0.2">
      <c r="A1140">
        <v>60743</v>
      </c>
      <c r="B1140" t="str">
        <f ca="1">VLOOKUP(A1140,Import_SuiviGlobal_MigAppliSate!A:I,2,FALSE)</f>
        <v>VILLE</v>
      </c>
      <c r="C1140" t="str">
        <f ca="1">VLOOKUP(A1140,Import_SuiviGlobal_MigAppliSate!A:I,3,FALSE)</f>
        <v>Super U</v>
      </c>
      <c r="D1140" s="1" t="str">
        <f ca="1">VLOOKUP(A1140,Import_SuiviGlobal_MigAppliSate!A:I,4,FALSE)</f>
        <v>Coop U Enseigne Est</v>
      </c>
      <c r="E1140">
        <f ca="1">VLOOKUP(A1140,Import_SuiviGlobal_MigAppliSate!A:I,5,FALSE)</f>
        <v>67220</v>
      </c>
      <c r="F1140" t="str">
        <f ca="1">VLOOKUP(A1140,Import_SuiviGlobal_MigAppliSate!A:I,6,FALSE)</f>
        <v>Rue de l'Ungersberg</v>
      </c>
      <c r="G1140" t="str">
        <f ca="1">VLOOKUP(A1140,Import_SuiviGlobal_MigAppliSate!A:I,7,FALSE)</f>
        <v>03.88.58.93.10</v>
      </c>
      <c r="H1140" t="str">
        <f ca="1">VLOOKUP(A1140,Import_SuiviGlobal_MigAppliSate!A:I,8,FALSE)</f>
        <v>ROMARY David</v>
      </c>
      <c r="I1140" t="str">
        <f ca="1">VLOOKUP(A1140,Import_SuiviGlobal_MigAppliSate!A:I,9,FALSE)</f>
        <v>david.romary@systeme-u.fr</v>
      </c>
      <c r="J1140" s="24" t="str">
        <f ca="1">VLOOKUP(A1140,Import_SuiviGlobal_MigAppliSate!A:K,10,FALSE)</f>
        <v/>
      </c>
      <c r="K1140" t="str">
        <f ca="1">VLOOKUP(A1140,Import_SuiviGlobal_MigAppliSate!A:K,11,FALSE)</f>
        <v/>
      </c>
      <c r="O1140" s="1" t="s">
        <v>22</v>
      </c>
    </row>
    <row r="1141" spans="1:15" ht="12.75" hidden="1" x14ac:dyDescent="0.2">
      <c r="A1141">
        <v>21791</v>
      </c>
      <c r="B1141" t="str">
        <f ca="1">VLOOKUP(A1141,Import_SuiviGlobal_MigAppliSate!A:I,2,FALSE)</f>
        <v>VILLE D'AVRAY</v>
      </c>
      <c r="C1141" t="str">
        <f ca="1">VLOOKUP(A1141,Import_SuiviGlobal_MigAppliSate!A:I,3,FALSE)</f>
        <v>U Express</v>
      </c>
      <c r="D1141" s="1" t="str">
        <f ca="1">VLOOKUP(A1141,Import_SuiviGlobal_MigAppliSate!A:I,4,FALSE)</f>
        <v>Coop U Enseigne NordOuest</v>
      </c>
      <c r="E1141">
        <f ca="1">VLOOKUP(A1141,Import_SuiviGlobal_MigAppliSate!A:I,5,FALSE)</f>
        <v>92410</v>
      </c>
      <c r="F1141" t="str">
        <f ca="1">VLOOKUP(A1141,Import_SuiviGlobal_MigAppliSate!A:I,6,FALSE)</f>
        <v>9 RUE DE SEVRES</v>
      </c>
      <c r="G1141" t="str">
        <f ca="1">VLOOKUP(A1141,Import_SuiviGlobal_MigAppliSate!A:I,7,FALSE)</f>
        <v>01.47.50.33.95</v>
      </c>
      <c r="H1141" t="str">
        <f ca="1">VLOOKUP(A1141,Import_SuiviGlobal_MigAppliSate!A:I,8,FALSE)</f>
        <v>LEFEBVRE Yann</v>
      </c>
      <c r="I1141" t="str">
        <f ca="1">VLOOKUP(A1141,Import_SuiviGlobal_MigAppliSate!A:I,9,FALSE)</f>
        <v>yann.lefebvre@systeme-u.fr</v>
      </c>
      <c r="J1141" s="24" t="str">
        <f ca="1">VLOOKUP(A1141,Import_SuiviGlobal_MigAppliSate!A:K,10,FALSE)</f>
        <v>M. TRIBOUILLAT</v>
      </c>
      <c r="K1141" t="str">
        <f ca="1">VLOOKUP(A1141,Import_SuiviGlobal_MigAppliSate!A:K,11,FALSE)</f>
        <v>superu.villedavray.direction@systeme-u.fr</v>
      </c>
      <c r="O1141" s="1" t="s">
        <v>22</v>
      </c>
    </row>
    <row r="1142" spans="1:15" ht="12.75" hidden="1" x14ac:dyDescent="0.2">
      <c r="A1142">
        <v>35762</v>
      </c>
      <c r="B1142" t="str">
        <f ca="1">VLOOKUP(A1142,Import_SuiviGlobal_MigAppliSate!A:I,2,FALSE)</f>
        <v>VILLEBOIS-LAVALETTE</v>
      </c>
      <c r="C1142" t="str">
        <f ca="1">VLOOKUP(A1142,Import_SuiviGlobal_MigAppliSate!A:I,3,FALSE)</f>
        <v>Super U</v>
      </c>
      <c r="D1142" s="1" t="str">
        <f ca="1">VLOOKUP(A1142,Import_SuiviGlobal_MigAppliSate!A:I,4,FALSE)</f>
        <v>Coop U Enseigne Ouest</v>
      </c>
      <c r="E1142">
        <f ca="1">VLOOKUP(A1142,Import_SuiviGlobal_MigAppliSate!A:I,5,FALSE)</f>
        <v>16320</v>
      </c>
      <c r="F1142" t="str">
        <f ca="1">VLOOKUP(A1142,Import_SuiviGlobal_MigAppliSate!A:I,6,FALSE)</f>
        <v>ZAC DE SIGALAUD</v>
      </c>
      <c r="G1142" t="str">
        <f ca="1">VLOOKUP(A1142,Import_SuiviGlobal_MigAppliSate!A:I,7,FALSE)</f>
        <v>05.45.64.95.95</v>
      </c>
      <c r="H1142" t="str">
        <f ca="1">VLOOKUP(A1142,Import_SuiviGlobal_MigAppliSate!A:I,8,FALSE)</f>
        <v>BOURREAU RPT SARL ALMASA Stéphane</v>
      </c>
      <c r="I1142" t="str">
        <f ca="1">VLOOKUP(A1142,Import_SuiviGlobal_MigAppliSate!A:I,9,FALSE)</f>
        <v>stephane.bourreau@systeme-u.fr</v>
      </c>
      <c r="J1142" s="24" t="str">
        <f ca="1">VLOOKUP(A1142,Import_SuiviGlobal_MigAppliSate!A:K,10,FALSE)</f>
        <v>VILLENEUVE Loïc</v>
      </c>
      <c r="K1142" t="str">
        <f ca="1">VLOOKUP(A1142,Import_SuiviGlobal_MigAppliSate!A:K,11,FALSE)</f>
        <v>superu.villeboislavalette.direction@systeme-u.fr</v>
      </c>
      <c r="O1142" s="1" t="s">
        <v>22</v>
      </c>
    </row>
    <row r="1143" spans="1:15" ht="12.75" hidden="1" x14ac:dyDescent="0.2">
      <c r="A1143">
        <v>95127</v>
      </c>
      <c r="B1143" t="str">
        <f ca="1">VLOOKUP(A1143,Import_SuiviGlobal_MigAppliSate!A:I,2,FALSE)</f>
        <v>VILLEFRANCHE DE LAURAGAIS</v>
      </c>
      <c r="C1143" t="str">
        <f ca="1">VLOOKUP(A1143,Import_SuiviGlobal_MigAppliSate!A:I,3,FALSE)</f>
        <v>Hyper U</v>
      </c>
      <c r="D1143" s="1" t="str">
        <f ca="1">VLOOKUP(A1143,Import_SuiviGlobal_MigAppliSate!A:I,4,FALSE)</f>
        <v>Coop U Enseigne Sud</v>
      </c>
      <c r="E1143">
        <f ca="1">VLOOKUP(A1143,Import_SuiviGlobal_MigAppliSate!A:I,5,FALSE)</f>
        <v>31290</v>
      </c>
      <c r="F1143" t="str">
        <f ca="1">VLOOKUP(A1143,Import_SuiviGlobal_MigAppliSate!A:I,6,FALSE)</f>
        <v>SUPER U ZAC BORDE BLANCHE</v>
      </c>
      <c r="G1143" t="str">
        <f ca="1">VLOOKUP(A1143,Import_SuiviGlobal_MigAppliSate!A:I,7,FALSE)</f>
        <v>05.62.71.72.22</v>
      </c>
      <c r="H1143" t="str">
        <f ca="1">VLOOKUP(A1143,Import_SuiviGlobal_MigAppliSate!A:I,8,FALSE)</f>
        <v>BRULIERE ROMAIN</v>
      </c>
      <c r="I1143" t="str">
        <f ca="1">VLOOKUP(A1143,Import_SuiviGlobal_MigAppliSate!A:I,9,FALSE)</f>
        <v>romain.bruliere@systeme-u.fr</v>
      </c>
      <c r="J1143" s="24" t="str">
        <f ca="1">VLOOKUP(A1143,Import_SuiviGlobal_MigAppliSate!A:K,10,FALSE)</f>
        <v/>
      </c>
      <c r="K1143" t="str">
        <f ca="1">VLOOKUP(A1143,Import_SuiviGlobal_MigAppliSate!A:K,11,FALSE)</f>
        <v/>
      </c>
      <c r="O1143" s="1" t="s">
        <v>22</v>
      </c>
    </row>
    <row r="1144" spans="1:15" ht="12.75" hidden="1" x14ac:dyDescent="0.2">
      <c r="A1144">
        <v>24693</v>
      </c>
      <c r="B1144" t="str">
        <f ca="1">VLOOKUP(A1144,Import_SuiviGlobal_MigAppliSate!A:I,2,FALSE)</f>
        <v>#N/A</v>
      </c>
      <c r="C1144" t="str">
        <f ca="1">VLOOKUP(A1144,Import_SuiviGlobal_MigAppliSate!A:I,3,FALSE)</f>
        <v>#N/A</v>
      </c>
      <c r="D1144" s="1" t="str">
        <f ca="1">VLOOKUP(A1144,Import_SuiviGlobal_MigAppliSate!A:I,4,FALSE)</f>
        <v>#N/A</v>
      </c>
      <c r="E1144" t="str">
        <f ca="1">VLOOKUP(A1144,Import_SuiviGlobal_MigAppliSate!A:I,5,FALSE)</f>
        <v/>
      </c>
      <c r="F1144" t="str">
        <f ca="1">VLOOKUP(A1144,Import_SuiviGlobal_MigAppliSate!A:I,6,FALSE)</f>
        <v>#N/A</v>
      </c>
      <c r="G1144" t="str">
        <f ca="1">VLOOKUP(A1144,Import_SuiviGlobal_MigAppliSate!A:I,7,FALSE)</f>
        <v>#N/A</v>
      </c>
      <c r="H1144" t="str">
        <f ca="1">VLOOKUP(A1144,Import_SuiviGlobal_MigAppliSate!A:I,8,FALSE)</f>
        <v>#N/A</v>
      </c>
      <c r="I1144" t="str">
        <f ca="1">VLOOKUP(A1144,Import_SuiviGlobal_MigAppliSate!A:I,9,FALSE)</f>
        <v>#N/A</v>
      </c>
      <c r="J1144" s="24" t="str">
        <f ca="1">VLOOKUP(A1144,Import_SuiviGlobal_MigAppliSate!A:K,10,FALSE)</f>
        <v/>
      </c>
      <c r="K1144" t="str">
        <f ca="1">VLOOKUP(A1144,Import_SuiviGlobal_MigAppliSate!A:K,11,FALSE)</f>
        <v/>
      </c>
      <c r="O1144" s="1" t="s">
        <v>22</v>
      </c>
    </row>
    <row r="1145" spans="1:15" ht="12.75" hidden="1" x14ac:dyDescent="0.2">
      <c r="A1145">
        <v>24863</v>
      </c>
      <c r="B1145" t="str">
        <f ca="1">VLOOKUP(A1145,Import_SuiviGlobal_MigAppliSate!A:I,2,FALSE)</f>
        <v>#N/A</v>
      </c>
      <c r="C1145" t="str">
        <f ca="1">VLOOKUP(A1145,Import_SuiviGlobal_MigAppliSate!A:I,3,FALSE)</f>
        <v>#N/A</v>
      </c>
      <c r="D1145" s="1" t="str">
        <f ca="1">VLOOKUP(A1145,Import_SuiviGlobal_MigAppliSate!A:I,4,FALSE)</f>
        <v>#N/A</v>
      </c>
      <c r="E1145" t="str">
        <f ca="1">VLOOKUP(A1145,Import_SuiviGlobal_MigAppliSate!A:I,5,FALSE)</f>
        <v/>
      </c>
      <c r="F1145" t="str">
        <f ca="1">VLOOKUP(A1145,Import_SuiviGlobal_MigAppliSate!A:I,6,FALSE)</f>
        <v>#N/A</v>
      </c>
      <c r="G1145" t="str">
        <f ca="1">VLOOKUP(A1145,Import_SuiviGlobal_MigAppliSate!A:I,7,FALSE)</f>
        <v>#N/A</v>
      </c>
      <c r="H1145" t="str">
        <f ca="1">VLOOKUP(A1145,Import_SuiviGlobal_MigAppliSate!A:I,8,FALSE)</f>
        <v>#N/A</v>
      </c>
      <c r="I1145" t="str">
        <f ca="1">VLOOKUP(A1145,Import_SuiviGlobal_MigAppliSate!A:I,9,FALSE)</f>
        <v>#N/A</v>
      </c>
      <c r="J1145" s="24" t="str">
        <f ca="1">VLOOKUP(A1145,Import_SuiviGlobal_MigAppliSate!A:K,10,FALSE)</f>
        <v/>
      </c>
      <c r="K1145" t="str">
        <f ca="1">VLOOKUP(A1145,Import_SuiviGlobal_MigAppliSate!A:K,11,FALSE)</f>
        <v/>
      </c>
      <c r="O1145" s="1" t="s">
        <v>22</v>
      </c>
    </row>
    <row r="1146" spans="1:15" ht="12.75" hidden="1" x14ac:dyDescent="0.2">
      <c r="A1146">
        <v>66209</v>
      </c>
      <c r="B1146" t="str">
        <f ca="1">VLOOKUP(A1146,Import_SuiviGlobal_MigAppliSate!A:I,2,FALSE)</f>
        <v>VILLEURBANNE</v>
      </c>
      <c r="C1146" t="str">
        <f ca="1">VLOOKUP(A1146,Import_SuiviGlobal_MigAppliSate!A:I,3,FALSE)</f>
        <v>Super U</v>
      </c>
      <c r="D1146" s="1" t="str">
        <f ca="1">VLOOKUP(A1146,Import_SuiviGlobal_MigAppliSate!A:I,4,FALSE)</f>
        <v>Coop U Enseigne Est</v>
      </c>
      <c r="E1146">
        <f ca="1">VLOOKUP(A1146,Import_SuiviGlobal_MigAppliSate!A:I,5,FALSE)</f>
        <v>69100</v>
      </c>
      <c r="F1146" t="str">
        <f ca="1">VLOOKUP(A1146,Import_SuiviGlobal_MigAppliSate!A:I,6,FALSE)</f>
        <v>305 COUR EMILE ZOLA</v>
      </c>
      <c r="G1146" t="str">
        <f ca="1">VLOOKUP(A1146,Import_SuiviGlobal_MigAppliSate!A:I,7,FALSE)</f>
        <v>04.72.56.81.13</v>
      </c>
      <c r="H1146" t="str">
        <f ca="1">VLOOKUP(A1146,Import_SuiviGlobal_MigAppliSate!A:I,8,FALSE)</f>
        <v xml:space="preserve">20/09 ERI Rappeler Mr Digne le 21/09 vers 11h
Attente de confirmation du créneau du vendredi matin
Stand-by +8 postes
15/10 CLA rappeler jeudi </v>
      </c>
      <c r="I1146" t="str">
        <f ca="1">VLOOKUP(A1146,Import_SuiviGlobal_MigAppliSate!A:I,9,FALSE)</f>
        <v>sacha.levy@systeme-u.fr</v>
      </c>
      <c r="J1146" s="24" t="str">
        <f ca="1">VLOOKUP(A1146,Import_SuiviGlobal_MigAppliSate!A:K,10,FALSE)</f>
        <v/>
      </c>
      <c r="K1146" t="str">
        <f ca="1">VLOOKUP(A1146,Import_SuiviGlobal_MigAppliSate!A:K,11,FALSE)</f>
        <v/>
      </c>
      <c r="O1146" s="1" t="s">
        <v>22</v>
      </c>
    </row>
    <row r="1147" spans="1:15" ht="12.75" hidden="1" x14ac:dyDescent="0.2">
      <c r="A1147">
        <v>26009</v>
      </c>
      <c r="B1147" t="str">
        <f ca="1">VLOOKUP(A1147,Import_SuiviGlobal_MigAppliSate!A:I,2,FALSE)</f>
        <v>VILLIERS SUR MARNE</v>
      </c>
      <c r="C1147" t="str">
        <f ca="1">VLOOKUP(A1147,Import_SuiviGlobal_MigAppliSate!A:I,3,FALSE)</f>
        <v>U Express</v>
      </c>
      <c r="D1147" s="1" t="str">
        <f ca="1">VLOOKUP(A1147,Import_SuiviGlobal_MigAppliSate!A:I,4,FALSE)</f>
        <v>Coop U Enseigne NordOuest</v>
      </c>
      <c r="E1147">
        <f ca="1">VLOOKUP(A1147,Import_SuiviGlobal_MigAppliSate!A:I,5,FALSE)</f>
        <v>94354</v>
      </c>
      <c r="F1147" t="str">
        <f ca="1">VLOOKUP(A1147,Import_SuiviGlobal_MigAppliSate!A:I,6,FALSE)</f>
        <v>51 AVENUE ANDRE ROUY</v>
      </c>
      <c r="G1147" t="str">
        <f ca="1">VLOOKUP(A1147,Import_SuiviGlobal_MigAppliSate!A:I,7,FALSE)</f>
        <v>01.49.30.24.72</v>
      </c>
      <c r="H1147" t="str">
        <f ca="1">VLOOKUP(A1147,Import_SuiviGlobal_MigAppliSate!A:I,8,FALSE)</f>
        <v>DELMOTTE Jérôme</v>
      </c>
      <c r="I1147" t="str">
        <f ca="1">VLOOKUP(A1147,Import_SuiviGlobal_MigAppliSate!A:I,9,FALSE)</f>
        <v>jerome.delmotte@systeme-u.fr</v>
      </c>
      <c r="J1147" s="24" t="str">
        <f ca="1">VLOOKUP(A1147,Import_SuiviGlobal_MigAppliSate!A:K,10,FALSE)</f>
        <v>FARIA Alexandre</v>
      </c>
      <c r="K1147" t="str">
        <f ca="1">VLOOKUP(A1147,Import_SuiviGlobal_MigAppliSate!A:K,11,FALSE)</f>
        <v>uexpress.villierssurmarne@systeme-u.fr</v>
      </c>
      <c r="O1147" s="1" t="s">
        <v>22</v>
      </c>
    </row>
    <row r="1148" spans="1:15" ht="12.75" hidden="1" x14ac:dyDescent="0.2">
      <c r="A1148">
        <v>66174</v>
      </c>
      <c r="B1148" t="str">
        <f ca="1">VLOOKUP(A1148,Import_SuiviGlobal_MigAppliSate!A:I,2,FALSE)</f>
        <v>VINAY</v>
      </c>
      <c r="C1148" t="str">
        <f ca="1">VLOOKUP(A1148,Import_SuiviGlobal_MigAppliSate!A:I,3,FALSE)</f>
        <v>Super U</v>
      </c>
      <c r="D1148" s="1" t="str">
        <f ca="1">VLOOKUP(A1148,Import_SuiviGlobal_MigAppliSate!A:I,4,FALSE)</f>
        <v>Coop U Enseigne Est</v>
      </c>
      <c r="E1148">
        <f ca="1">VLOOKUP(A1148,Import_SuiviGlobal_MigAppliSate!A:I,5,FALSE)</f>
        <v>38470</v>
      </c>
      <c r="F1148" t="str">
        <f ca="1">VLOOKUP(A1148,Import_SuiviGlobal_MigAppliSate!A:I,6,FALSE)</f>
        <v>123 AVENUE DE LA GARE</v>
      </c>
      <c r="G1148" t="str">
        <f ca="1">VLOOKUP(A1148,Import_SuiviGlobal_MigAppliSate!A:I,7,FALSE)</f>
        <v>04.76.36.73.55</v>
      </c>
      <c r="H1148" t="str">
        <f ca="1">VLOOKUP(A1148,Import_SuiviGlobal_MigAppliSate!A:I,8,FALSE)</f>
        <v>BEDROSSIAN Jean-Paul</v>
      </c>
      <c r="I1148" t="str">
        <f ca="1">VLOOKUP(A1148,Import_SuiviGlobal_MigAppliSate!A:I,9,FALSE)</f>
        <v>jean-paul.bedrossian@systeme-u.fr</v>
      </c>
      <c r="J1148" s="24" t="str">
        <f ca="1">VLOOKUP(A1148,Import_SuiviGlobal_MigAppliSate!A:K,10,FALSE)</f>
        <v>M. Hervé Grangier</v>
      </c>
      <c r="K1148" t="str">
        <f ca="1">VLOOKUP(A1148,Import_SuiviGlobal_MigAppliSate!A:K,11,FALSE)</f>
        <v>superu.vinay.bazar@systeme-u.fr</v>
      </c>
      <c r="O1148" s="1" t="s">
        <v>22</v>
      </c>
    </row>
    <row r="1149" spans="1:15" ht="12.75" hidden="1" x14ac:dyDescent="0.2">
      <c r="A1149">
        <v>24014</v>
      </c>
      <c r="B1149" t="str">
        <f ca="1">VLOOKUP(A1149,Import_SuiviGlobal_MigAppliSate!A:I,2,FALSE)</f>
        <v>VINCENNES DEFRANCE</v>
      </c>
      <c r="C1149" t="str">
        <f ca="1">VLOOKUP(A1149,Import_SuiviGlobal_MigAppliSate!A:I,3,FALSE)</f>
        <v>U Express</v>
      </c>
      <c r="D1149" s="1" t="str">
        <f ca="1">VLOOKUP(A1149,Import_SuiviGlobal_MigAppliSate!A:I,4,FALSE)</f>
        <v>Coop U Enseigne NordOuest</v>
      </c>
      <c r="E1149">
        <f ca="1">VLOOKUP(A1149,Import_SuiviGlobal_MigAppliSate!A:I,5,FALSE)</f>
        <v>94300</v>
      </c>
      <c r="F1149" t="str">
        <f ca="1">VLOOKUP(A1149,Import_SuiviGlobal_MigAppliSate!A:I,6,FALSE)</f>
        <v>42 RUE DEFRANCE</v>
      </c>
      <c r="G1149" t="str">
        <f ca="1">VLOOKUP(A1149,Import_SuiviGlobal_MigAppliSate!A:I,7,FALSE)</f>
        <v>01.43.65.00.92</v>
      </c>
      <c r="H1149" t="str">
        <f ca="1">VLOOKUP(A1149,Import_SuiviGlobal_MigAppliSate!A:I,8,FALSE)</f>
        <v>JACQUIN Denis</v>
      </c>
      <c r="I1149" t="str">
        <f ca="1">VLOOKUP(A1149,Import_SuiviGlobal_MigAppliSate!A:I,9,FALSE)</f>
        <v>denis.jacquin@systeme-u.fr</v>
      </c>
      <c r="J1149" s="24" t="str">
        <f ca="1">VLOOKUP(A1149,Import_SuiviGlobal_MigAppliSate!A:K,10,FALSE)</f>
        <v/>
      </c>
      <c r="K1149" t="str">
        <f ca="1">VLOOKUP(A1149,Import_SuiviGlobal_MigAppliSate!A:K,11,FALSE)</f>
        <v/>
      </c>
      <c r="O1149" s="1" t="s">
        <v>22</v>
      </c>
    </row>
    <row r="1150" spans="1:15" ht="12.75" hidden="1" x14ac:dyDescent="0.2">
      <c r="A1150">
        <v>66137</v>
      </c>
      <c r="B1150" t="str">
        <f ca="1">VLOOKUP(A1150,Import_SuiviGlobal_MigAppliSate!A:I,2,FALSE)</f>
        <v>VINZIER</v>
      </c>
      <c r="C1150" t="str">
        <f ca="1">VLOOKUP(A1150,Import_SuiviGlobal_MigAppliSate!A:I,3,FALSE)</f>
        <v>Super U</v>
      </c>
      <c r="D1150" s="1" t="str">
        <f ca="1">VLOOKUP(A1150,Import_SuiviGlobal_MigAppliSate!A:I,4,FALSE)</f>
        <v>Coop U Enseigne Est</v>
      </c>
      <c r="E1150">
        <f ca="1">VLOOKUP(A1150,Import_SuiviGlobal_MigAppliSate!A:I,5,FALSE)</f>
        <v>74500</v>
      </c>
      <c r="F1150" t="str">
        <f ca="1">VLOOKUP(A1150,Import_SuiviGlobal_MigAppliSate!A:I,6,FALSE)</f>
        <v>267 ROUTE DE VERS LES GRANGES</v>
      </c>
      <c r="G1150" t="str">
        <f ca="1">VLOOKUP(A1150,Import_SuiviGlobal_MigAppliSate!A:I,7,FALSE)</f>
        <v>04.50.73.18.01</v>
      </c>
      <c r="H1150" t="str">
        <f ca="1">VLOOKUP(A1150,Import_SuiviGlobal_MigAppliSate!A:I,8,FALSE)</f>
        <v>RIAUTE Anthony</v>
      </c>
      <c r="I1150" t="str">
        <f ca="1">VLOOKUP(A1150,Import_SuiviGlobal_MigAppliSate!A:I,9,FALSE)</f>
        <v>anthony.riaute@systeme-u.fr</v>
      </c>
      <c r="J1150" s="24" t="str">
        <f ca="1">VLOOKUP(A1150,Import_SuiviGlobal_MigAppliSate!A:K,10,FALSE)</f>
        <v>Colas Stephane
Mme Buffet</v>
      </c>
      <c r="K1150" t="str">
        <f ca="1">VLOOKUP(A1150,Import_SuiviGlobal_MigAppliSate!A:K,11,FALSE)</f>
        <v>superu.vinzier@systeme-u.fr, superu.vinzier.direction@systeme-u.fr</v>
      </c>
      <c r="O1150" s="1" t="s">
        <v>22</v>
      </c>
    </row>
    <row r="1151" spans="1:15" ht="12.75" hidden="1" x14ac:dyDescent="0.2">
      <c r="A1151">
        <v>24022</v>
      </c>
      <c r="B1151" t="str">
        <f ca="1">VLOOKUP(A1151,Import_SuiviGlobal_MigAppliSate!A:I,2,FALSE)</f>
        <v>VIROFLAY</v>
      </c>
      <c r="C1151" t="str">
        <f ca="1">VLOOKUP(A1151,Import_SuiviGlobal_MigAppliSate!A:I,3,FALSE)</f>
        <v>Super U</v>
      </c>
      <c r="D1151" s="1" t="str">
        <f ca="1">VLOOKUP(A1151,Import_SuiviGlobal_MigAppliSate!A:I,4,FALSE)</f>
        <v>Coop U Enseigne NordOuest</v>
      </c>
      <c r="E1151">
        <f ca="1">VLOOKUP(A1151,Import_SuiviGlobal_MigAppliSate!A:I,5,FALSE)</f>
        <v>78220</v>
      </c>
      <c r="F1151" t="str">
        <f ca="1">VLOOKUP(A1151,Import_SuiviGlobal_MigAppliSate!A:I,6,FALSE)</f>
        <v>47-51 AVENUE DU GENERAL LECLERC</v>
      </c>
      <c r="G1151" t="str">
        <f ca="1">VLOOKUP(A1151,Import_SuiviGlobal_MigAppliSate!A:I,7,FALSE)</f>
        <v>01.30.24.45.00</v>
      </c>
      <c r="H1151" t="str">
        <f ca="1">VLOOKUP(A1151,Import_SuiviGlobal_MigAppliSate!A:I,8,FALSE)</f>
        <v>JACQUIN Denis</v>
      </c>
      <c r="I1151" t="str">
        <f ca="1">VLOOKUP(A1151,Import_SuiviGlobal_MigAppliSate!A:I,9,FALSE)</f>
        <v>denis.jacquin@systeme-u.fr</v>
      </c>
      <c r="J1151" s="24" t="str">
        <f ca="1">VLOOKUP(A1151,Import_SuiviGlobal_MigAppliSate!A:K,10,FALSE)</f>
        <v>M Campins</v>
      </c>
      <c r="K1151" t="str">
        <f ca="1">VLOOKUP(A1151,Import_SuiviGlobal_MigAppliSate!A:K,11,FALSE)</f>
        <v>superu.viroflay@systeme-u.fr</v>
      </c>
      <c r="O1151" s="1" t="s">
        <v>22</v>
      </c>
    </row>
    <row r="1152" spans="1:15" ht="12.75" hidden="1" x14ac:dyDescent="0.2">
      <c r="A1152">
        <v>39385</v>
      </c>
      <c r="B1152" t="str">
        <f ca="1">VLOOKUP(A1152,Import_SuiviGlobal_MigAppliSate!A:I,2,FALSE)</f>
        <v>VITRE</v>
      </c>
      <c r="C1152" t="str">
        <f ca="1">VLOOKUP(A1152,Import_SuiviGlobal_MigAppliSate!A:I,3,FALSE)</f>
        <v>Hyper U</v>
      </c>
      <c r="D1152" s="1" t="str">
        <f ca="1">VLOOKUP(A1152,Import_SuiviGlobal_MigAppliSate!A:I,4,FALSE)</f>
        <v>Coop U Enseigne Ouest</v>
      </c>
      <c r="E1152">
        <f ca="1">VLOOKUP(A1152,Import_SuiviGlobal_MigAppliSate!A:I,5,FALSE)</f>
        <v>35500</v>
      </c>
      <c r="F1152" t="str">
        <f ca="1">VLOOKUP(A1152,Import_SuiviGlobal_MigAppliSate!A:I,6,FALSE)</f>
        <v>21 RUE DE REDON</v>
      </c>
      <c r="G1152" t="str">
        <f ca="1">VLOOKUP(A1152,Import_SuiviGlobal_MigAppliSate!A:I,7,FALSE)</f>
        <v>02.99.75.30.05</v>
      </c>
      <c r="H1152" t="str">
        <f ca="1">VLOOKUP(A1152,Import_SuiviGlobal_MigAppliSate!A:I,8,FALSE)</f>
        <v>DUVERGER RPT SODEXMA Jean-Louis</v>
      </c>
      <c r="I1152" t="str">
        <f ca="1">VLOOKUP(A1152,Import_SuiviGlobal_MigAppliSate!A:I,9,FALSE)</f>
        <v>jean-louis.duverger@systeme-u.fr</v>
      </c>
      <c r="J1152" s="24" t="str">
        <f ca="1">VLOOKUP(A1152,Import_SuiviGlobal_MigAppliSate!A:K,10,FALSE)</f>
        <v>Cognard charly</v>
      </c>
      <c r="K1152" t="str">
        <f ca="1">VLOOKUP(A1152,Import_SuiviGlobal_MigAppliSate!A:K,11,FALSE)</f>
        <v>hyperu.vitre.direction@systeme-u.fr</v>
      </c>
      <c r="O1152" s="1" t="s">
        <v>22</v>
      </c>
    </row>
    <row r="1153" spans="1:18" ht="12.75" hidden="1" x14ac:dyDescent="0.2">
      <c r="A1153">
        <v>20442</v>
      </c>
      <c r="B1153" t="str">
        <f ca="1">VLOOKUP(A1153,Import_SuiviGlobal_MigAppliSate!A:I,2,FALSE)</f>
        <v>VITRY EN ARTOIS</v>
      </c>
      <c r="C1153" t="str">
        <f ca="1">VLOOKUP(A1153,Import_SuiviGlobal_MigAppliSate!A:I,3,FALSE)</f>
        <v>Super U</v>
      </c>
      <c r="D1153" s="1" t="str">
        <f ca="1">VLOOKUP(A1153,Import_SuiviGlobal_MigAppliSate!A:I,4,FALSE)</f>
        <v>Coop U Enseigne NordOuest</v>
      </c>
      <c r="E1153">
        <f ca="1">VLOOKUP(A1153,Import_SuiviGlobal_MigAppliSate!A:I,5,FALSE)</f>
        <v>62490</v>
      </c>
      <c r="F1153" t="str">
        <f ca="1">VLOOKUP(A1153,Import_SuiviGlobal_MigAppliSate!A:I,6,FALSE)</f>
        <v>ROUTE DE BREBIÈRES</v>
      </c>
      <c r="G1153" t="str">
        <f ca="1">VLOOKUP(A1153,Import_SuiviGlobal_MigAppliSate!A:I,7,FALSE)</f>
        <v>03.21.50.17.18</v>
      </c>
      <c r="H1153" t="str">
        <f ca="1">VLOOKUP(A1153,Import_SuiviGlobal_MigAppliSate!A:I,8,FALSE)</f>
        <v>CASETTA Antoine</v>
      </c>
      <c r="I1153" t="str">
        <f ca="1">VLOOKUP(A1153,Import_SuiviGlobal_MigAppliSate!A:I,9,FALSE)</f>
        <v>antoine.casetta@systeme-u.fr</v>
      </c>
      <c r="J1153" s="24" t="str">
        <f ca="1">VLOOKUP(A1153,Import_SuiviGlobal_MigAppliSate!A:K,10,FALSE)</f>
        <v>DELECROIX Ludivine
M. Diliberto</v>
      </c>
      <c r="K1153" t="str">
        <f ca="1">VLOOKUP(A1153,Import_SuiviGlobal_MigAppliSate!A:K,11,FALSE)</f>
        <v>superu.vitryenartois.direction@systeme-u.fr, superu.vitryenartois.adjointdirection@systeme-u.fr</v>
      </c>
      <c r="O1153" s="1" t="s">
        <v>22</v>
      </c>
    </row>
    <row r="1154" spans="1:18" ht="12.75" hidden="1" x14ac:dyDescent="0.2">
      <c r="A1154">
        <v>35061</v>
      </c>
      <c r="B1154" t="str">
        <f ca="1">VLOOKUP(A1154,Import_SuiviGlobal_MigAppliSate!A:I,2,FALSE)</f>
        <v>VIVONNE</v>
      </c>
      <c r="C1154" t="str">
        <f ca="1">VLOOKUP(A1154,Import_SuiviGlobal_MigAppliSate!A:I,3,FALSE)</f>
        <v>Super U</v>
      </c>
      <c r="D1154" s="1" t="str">
        <f ca="1">VLOOKUP(A1154,Import_SuiviGlobal_MigAppliSate!A:I,4,FALSE)</f>
        <v>Coop U Enseigne Ouest</v>
      </c>
      <c r="E1154">
        <f ca="1">VLOOKUP(A1154,Import_SuiviGlobal_MigAppliSate!A:I,5,FALSE)</f>
        <v>86370</v>
      </c>
      <c r="F1154" t="str">
        <f ca="1">VLOOKUP(A1154,Import_SuiviGlobal_MigAppliSate!A:I,6,FALSE)</f>
        <v>17, RUE DES PORTES ROUGES</v>
      </c>
      <c r="G1154" t="str">
        <f ca="1">VLOOKUP(A1154,Import_SuiviGlobal_MigAppliSate!A:I,7,FALSE)</f>
        <v>05.49.43.47.96</v>
      </c>
      <c r="H1154" t="str">
        <f ca="1">VLOOKUP(A1154,Import_SuiviGlobal_MigAppliSate!A:I,8,FALSE)</f>
        <v>PATINIER RPT VIVODIS Hervé</v>
      </c>
      <c r="I1154" t="str">
        <f ca="1">VLOOKUP(A1154,Import_SuiviGlobal_MigAppliSate!A:I,9,FALSE)</f>
        <v>herve.patinier@systeme-u.fr</v>
      </c>
      <c r="J1154" s="24" t="str">
        <f ca="1">VLOOKUP(A1154,Import_SuiviGlobal_MigAppliSate!A:K,10,FALSE)</f>
        <v>Brothier cathy</v>
      </c>
      <c r="K1154" t="str">
        <f ca="1">VLOOKUP(A1154,Import_SuiviGlobal_MigAppliSate!A:K,11,FALSE)</f>
        <v>superu.vivonne.affichage@systeme-u.fr</v>
      </c>
      <c r="O1154" s="1" t="s">
        <v>22</v>
      </c>
    </row>
    <row r="1155" spans="1:18" ht="12.75" hidden="1" x14ac:dyDescent="0.2">
      <c r="A1155">
        <v>66147</v>
      </c>
      <c r="B1155" t="str">
        <f ca="1">VLOOKUP(A1155,Import_SuiviGlobal_MigAppliSate!A:I,2,FALSE)</f>
        <v>VOIRON</v>
      </c>
      <c r="C1155" t="str">
        <f ca="1">VLOOKUP(A1155,Import_SuiviGlobal_MigAppliSate!A:I,3,FALSE)</f>
        <v>Super U</v>
      </c>
      <c r="D1155" s="1" t="str">
        <f ca="1">VLOOKUP(A1155,Import_SuiviGlobal_MigAppliSate!A:I,4,FALSE)</f>
        <v>Coop U Enseigne Est</v>
      </c>
      <c r="E1155">
        <f ca="1">VLOOKUP(A1155,Import_SuiviGlobal_MigAppliSate!A:I,5,FALSE)</f>
        <v>38500</v>
      </c>
      <c r="F1155" t="str">
        <f ca="1">VLOOKUP(A1155,Import_SuiviGlobal_MigAppliSate!A:I,6,FALSE)</f>
        <v>76 BOULEVARD DENFERT ROCHEREAU</v>
      </c>
      <c r="G1155" t="str">
        <f ca="1">VLOOKUP(A1155,Import_SuiviGlobal_MigAppliSate!A:I,7,FALSE)</f>
        <v>04.76.05.82.25</v>
      </c>
      <c r="H1155" t="str">
        <f ca="1">VLOOKUP(A1155,Import_SuiviGlobal_MigAppliSate!A:I,8,FALSE)</f>
        <v>CACOUB Stéphane</v>
      </c>
      <c r="I1155" t="str">
        <f ca="1">VLOOKUP(A1155,Import_SuiviGlobal_MigAppliSate!A:I,9,FALSE)</f>
        <v>stephane.cacoub@systeme-u.fr</v>
      </c>
      <c r="J1155" s="24" t="str">
        <f ca="1">VLOOKUP(A1155,Import_SuiviGlobal_MigAppliSate!A:K,10,FALSE)</f>
        <v/>
      </c>
      <c r="K1155" t="str">
        <f ca="1">VLOOKUP(A1155,Import_SuiviGlobal_MigAppliSate!A:K,11,FALSE)</f>
        <v>superu.voiron.frais@systeme-u.fr</v>
      </c>
      <c r="O1155" s="1" t="s">
        <v>22</v>
      </c>
    </row>
    <row r="1156" spans="1:18" ht="12.75" hidden="1" x14ac:dyDescent="0.2">
      <c r="A1156">
        <v>66157</v>
      </c>
      <c r="B1156" t="str">
        <f ca="1">VLOOKUP(A1156,Import_SuiviGlobal_MigAppliSate!A:I,2,FALSE)</f>
        <v>VOREPPE</v>
      </c>
      <c r="C1156" t="str">
        <f ca="1">VLOOKUP(A1156,Import_SuiviGlobal_MigAppliSate!A:I,3,FALSE)</f>
        <v>U Express</v>
      </c>
      <c r="D1156" s="1" t="str">
        <f ca="1">VLOOKUP(A1156,Import_SuiviGlobal_MigAppliSate!A:I,4,FALSE)</f>
        <v>Coop U Enseigne Est</v>
      </c>
      <c r="E1156">
        <f ca="1">VLOOKUP(A1156,Import_SuiviGlobal_MigAppliSate!A:I,5,FALSE)</f>
        <v>38340</v>
      </c>
      <c r="F1156" t="str">
        <f ca="1">VLOOKUP(A1156,Import_SuiviGlobal_MigAppliSate!A:I,6,FALSE)</f>
        <v>Rue de la Gare</v>
      </c>
      <c r="G1156" t="str">
        <f ca="1">VLOOKUP(A1156,Import_SuiviGlobal_MigAppliSate!A:I,7,FALSE)</f>
        <v>04.76.50.61.81</v>
      </c>
      <c r="H1156" t="str">
        <f ca="1">VLOOKUP(A1156,Import_SuiviGlobal_MigAppliSate!A:I,8,FALSE)</f>
        <v>JUVANON Didier</v>
      </c>
      <c r="I1156" t="str">
        <f ca="1">VLOOKUP(A1156,Import_SuiviGlobal_MigAppliSate!A:I,9,FALSE)</f>
        <v>didier.juvanon@systeme-u.fr</v>
      </c>
      <c r="J1156" s="24" t="str">
        <f ca="1">VLOOKUP(A1156,Import_SuiviGlobal_MigAppliSate!A:K,10,FALSE)</f>
        <v xml:space="preserve">ROUX Anthony </v>
      </c>
      <c r="K1156" t="str">
        <f ca="1">VLOOKUP(A1156,Import_SuiviGlobal_MigAppliSate!A:K,11,FALSE)</f>
        <v>uexpress.voreppe.direction@systeme-u.fr</v>
      </c>
      <c r="O1156" s="1" t="s">
        <v>22</v>
      </c>
    </row>
    <row r="1157" spans="1:18" ht="12.75" hidden="1" x14ac:dyDescent="0.2">
      <c r="A1157">
        <v>30515</v>
      </c>
      <c r="B1157" t="str">
        <f ca="1">VLOOKUP(A1157,Import_SuiviGlobal_MigAppliSate!A:I,2,FALSE)</f>
        <v>VOUILLE</v>
      </c>
      <c r="C1157" t="str">
        <f ca="1">VLOOKUP(A1157,Import_SuiviGlobal_MigAppliSate!A:I,3,FALSE)</f>
        <v>Super U</v>
      </c>
      <c r="D1157" s="1" t="str">
        <f ca="1">VLOOKUP(A1157,Import_SuiviGlobal_MigAppliSate!A:I,4,FALSE)</f>
        <v>Coop U Enseigne Ouest</v>
      </c>
      <c r="E1157">
        <f ca="1">VLOOKUP(A1157,Import_SuiviGlobal_MigAppliSate!A:I,5,FALSE)</f>
        <v>86190</v>
      </c>
      <c r="F1157" t="str">
        <f ca="1">VLOOKUP(A1157,Import_SuiviGlobal_MigAppliSate!A:I,6,FALSE)</f>
        <v>ZAE DE VAUGENDRON</v>
      </c>
      <c r="G1157" t="str">
        <f ca="1">VLOOKUP(A1157,Import_SuiviGlobal_MigAppliSate!A:I,7,FALSE)</f>
        <v>05.49.51.81.35</v>
      </c>
      <c r="H1157" t="str">
        <f ca="1">VLOOKUP(A1157,Import_SuiviGlobal_MigAppliSate!A:I,8,FALSE)</f>
        <v>DALLIER Patrice</v>
      </c>
      <c r="I1157" t="str">
        <f ca="1">VLOOKUP(A1157,Import_SuiviGlobal_MigAppliSate!A:I,9,FALSE)</f>
        <v>patrice.dallier@systeme-u.fr</v>
      </c>
      <c r="J1157" s="24" t="str">
        <f ca="1">VLOOKUP(A1157,Import_SuiviGlobal_MigAppliSate!A:K,10,FALSE)</f>
        <v/>
      </c>
      <c r="K1157" t="str">
        <f ca="1">VLOOKUP(A1157,Import_SuiviGlobal_MigAppliSate!A:K,11,FALSE)</f>
        <v/>
      </c>
      <c r="O1157" s="1" t="s">
        <v>22</v>
      </c>
    </row>
    <row r="1158" spans="1:18" ht="12.75" hidden="1" x14ac:dyDescent="0.2">
      <c r="A1158">
        <v>60638</v>
      </c>
      <c r="B1158" t="str">
        <f ca="1">VLOOKUP(A1158,Import_SuiviGlobal_MigAppliSate!A:I,2,FALSE)</f>
        <v>WITTELSHEIM</v>
      </c>
      <c r="C1158" t="str">
        <f ca="1">VLOOKUP(A1158,Import_SuiviGlobal_MigAppliSate!A:I,3,FALSE)</f>
        <v>Super U</v>
      </c>
      <c r="D1158" s="1" t="str">
        <f ca="1">VLOOKUP(A1158,Import_SuiviGlobal_MigAppliSate!A:I,4,FALSE)</f>
        <v>Coop U Enseigne Est</v>
      </c>
      <c r="E1158">
        <f ca="1">VLOOKUP(A1158,Import_SuiviGlobal_MigAppliSate!A:I,5,FALSE)</f>
        <v>68310</v>
      </c>
      <c r="F1158" t="str">
        <f ca="1">VLOOKUP(A1158,Import_SuiviGlobal_MigAppliSate!A:I,6,FALSE)</f>
        <v>1 Rue de la hohmatten</v>
      </c>
      <c r="G1158" t="str">
        <f ca="1">VLOOKUP(A1158,Import_SuiviGlobal_MigAppliSate!A:I,7,FALSE)</f>
        <v>03.89.55.23.01</v>
      </c>
      <c r="H1158" t="str">
        <f ca="1">VLOOKUP(A1158,Import_SuiviGlobal_MigAppliSate!A:I,8,FALSE)</f>
        <v>CORRADI Daniel</v>
      </c>
      <c r="I1158" t="str">
        <f ca="1">VLOOKUP(A1158,Import_SuiviGlobal_MigAppliSate!A:I,9,FALSE)</f>
        <v>daniel.corradi@systeme-u.fr</v>
      </c>
      <c r="J1158" s="24" t="str">
        <f ca="1">VLOOKUP(A1158,Import_SuiviGlobal_MigAppliSate!A:K,10,FALSE)</f>
        <v>Mme Corradi</v>
      </c>
      <c r="K1158" t="str">
        <f ca="1">VLOOKUP(A1158,Import_SuiviGlobal_MigAppliSate!A:K,11,FALSE)</f>
        <v>pascale.corradi@systeme-u.fr</v>
      </c>
      <c r="O1158" s="1" t="s">
        <v>22</v>
      </c>
    </row>
    <row r="1159" spans="1:18" ht="12.75" hidden="1" x14ac:dyDescent="0.2">
      <c r="A1159">
        <v>60045</v>
      </c>
      <c r="B1159" t="str">
        <f ca="1">VLOOKUP(A1159,Import_SuiviGlobal_MigAppliSate!A:I,2,FALSE)</f>
        <v>WITTENHEIM</v>
      </c>
      <c r="C1159" t="str">
        <f ca="1">VLOOKUP(A1159,Import_SuiviGlobal_MigAppliSate!A:I,3,FALSE)</f>
        <v>Super U</v>
      </c>
      <c r="D1159" s="1" t="str">
        <f ca="1">VLOOKUP(A1159,Import_SuiviGlobal_MigAppliSate!A:I,4,FALSE)</f>
        <v>Coop U Enseigne Est</v>
      </c>
      <c r="E1159">
        <f ca="1">VLOOKUP(A1159,Import_SuiviGlobal_MigAppliSate!A:I,5,FALSE)</f>
        <v>68270</v>
      </c>
      <c r="F1159" t="str">
        <f ca="1">VLOOKUP(A1159,Import_SuiviGlobal_MigAppliSate!A:I,6,FALSE)</f>
        <v>66 RUE DE KINGERSHEIM</v>
      </c>
      <c r="G1159" t="str">
        <f ca="1">VLOOKUP(A1159,Import_SuiviGlobal_MigAppliSate!A:I,7,FALSE)</f>
        <v>03.89.57.32.32</v>
      </c>
      <c r="H1159" t="str">
        <f ca="1">VLOOKUP(A1159,Import_SuiviGlobal_MigAppliSate!A:I,8,FALSE)</f>
        <v>BARRERE Stéphane</v>
      </c>
      <c r="I1159" t="str">
        <f ca="1">VLOOKUP(A1159,Import_SuiviGlobal_MigAppliSate!A:I,9,FALSE)</f>
        <v>stephane.barrere@systeme-u.fr</v>
      </c>
      <c r="J1159" s="24" t="str">
        <f ca="1">VLOOKUP(A1159,Import_SuiviGlobal_MigAppliSate!A:K,10,FALSE)</f>
        <v/>
      </c>
      <c r="K1159" t="str">
        <f ca="1">VLOOKUP(A1159,Import_SuiviGlobal_MigAppliSate!A:K,11,FALSE)</f>
        <v>superu.wittenheim.direction@systeme-u.fr</v>
      </c>
      <c r="O1159" s="1" t="s">
        <v>22</v>
      </c>
    </row>
    <row r="1160" spans="1:18" ht="12.75" hidden="1" x14ac:dyDescent="0.2">
      <c r="A1160">
        <v>60748</v>
      </c>
      <c r="B1160" t="str">
        <f ca="1">VLOOKUP(A1160,Import_SuiviGlobal_MigAppliSate!A:I,2,FALSE)</f>
        <v>WOERTH</v>
      </c>
      <c r="C1160" t="str">
        <f ca="1">VLOOKUP(A1160,Import_SuiviGlobal_MigAppliSate!A:I,3,FALSE)</f>
        <v>Super U</v>
      </c>
      <c r="D1160" s="1" t="str">
        <f ca="1">VLOOKUP(A1160,Import_SuiviGlobal_MigAppliSate!A:I,4,FALSE)</f>
        <v>Coop U Enseigne Est</v>
      </c>
      <c r="E1160">
        <f ca="1">VLOOKUP(A1160,Import_SuiviGlobal_MigAppliSate!A:I,5,FALSE)</f>
        <v>67360</v>
      </c>
      <c r="F1160" t="str">
        <f ca="1">VLOOKUP(A1160,Import_SuiviGlobal_MigAppliSate!A:I,6,FALSE)</f>
        <v>ZAC ROUTE DE HAGUENAU</v>
      </c>
      <c r="G1160" t="str">
        <f ca="1">VLOOKUP(A1160,Import_SuiviGlobal_MigAppliSate!A:I,7,FALSE)</f>
        <v>03.88.05.70.00</v>
      </c>
      <c r="H1160" t="str">
        <f ca="1">VLOOKUP(A1160,Import_SuiviGlobal_MigAppliSate!A:I,8,FALSE)</f>
        <v>LANG Emmanuel</v>
      </c>
      <c r="I1160" t="str">
        <f ca="1">VLOOKUP(A1160,Import_SuiviGlobal_MigAppliSate!A:I,9,FALSE)</f>
        <v>emmanuel.lang@systeme-u.fr</v>
      </c>
      <c r="J1160" s="24" t="str">
        <f ca="1">VLOOKUP(A1160,Import_SuiviGlobal_MigAppliSate!A:K,10,FALSE)</f>
        <v/>
      </c>
      <c r="K1160" t="str">
        <f ca="1">VLOOKUP(A1160,Import_SuiviGlobal_MigAppliSate!A:K,11,FALSE)</f>
        <v/>
      </c>
      <c r="O1160" s="1" t="s">
        <v>22</v>
      </c>
    </row>
    <row r="1161" spans="1:18" ht="12.75" hidden="1" x14ac:dyDescent="0.2">
      <c r="A1161">
        <v>60081</v>
      </c>
      <c r="B1161" t="str">
        <f ca="1">VLOOKUP(A1161,Import_SuiviGlobal_MigAppliSate!A:I,2,FALSE)</f>
        <v>WOLFISHEIM</v>
      </c>
      <c r="C1161" t="str">
        <f ca="1">VLOOKUP(A1161,Import_SuiviGlobal_MigAppliSate!A:I,3,FALSE)</f>
        <v>Super U</v>
      </c>
      <c r="D1161" s="1" t="str">
        <f ca="1">VLOOKUP(A1161,Import_SuiviGlobal_MigAppliSate!A:I,4,FALSE)</f>
        <v>Coop U Enseigne Est</v>
      </c>
      <c r="E1161">
        <f ca="1">VLOOKUP(A1161,Import_SuiviGlobal_MigAppliSate!A:I,5,FALSE)</f>
        <v>67202</v>
      </c>
      <c r="F1161" t="str">
        <f ca="1">VLOOKUP(A1161,Import_SuiviGlobal_MigAppliSate!A:I,6,FALSE)</f>
        <v>1A rue Hans Arp</v>
      </c>
      <c r="G1161" t="str">
        <f ca="1">VLOOKUP(A1161,Import_SuiviGlobal_MigAppliSate!A:I,7,FALSE)</f>
        <v>03.88.76.18.38</v>
      </c>
      <c r="H1161" t="str">
        <f ca="1">VLOOKUP(A1161,Import_SuiviGlobal_MigAppliSate!A:I,8,FALSE)</f>
        <v>GALLO Benoît</v>
      </c>
      <c r="I1161" t="str">
        <f ca="1">VLOOKUP(A1161,Import_SuiviGlobal_MigAppliSate!A:I,9,FALSE)</f>
        <v>benoit.gallo@systeme-u.fr</v>
      </c>
      <c r="J1161" s="24" t="str">
        <f ca="1">VLOOKUP(A1161,Import_SuiviGlobal_MigAppliSate!A:K,10,FALSE)</f>
        <v>Mme Julie RICHERTE</v>
      </c>
      <c r="K1161" t="str">
        <f ca="1">VLOOKUP(A1161,Import_SuiviGlobal_MigAppliSate!A:K,11,FALSE)</f>
        <v>superu.wolfisheim@systeme-u.fr</v>
      </c>
      <c r="O1161" s="1" t="s">
        <v>22</v>
      </c>
    </row>
    <row r="1162" spans="1:18" ht="12.75" hidden="1" x14ac:dyDescent="0.2">
      <c r="A1162">
        <v>21813</v>
      </c>
      <c r="B1162" t="str">
        <f ca="1">VLOOKUP(A1162,Import_SuiviGlobal_MigAppliSate!A:I,2,FALSE)</f>
        <v>WORMHOUT</v>
      </c>
      <c r="C1162" t="str">
        <f ca="1">VLOOKUP(A1162,Import_SuiviGlobal_MigAppliSate!A:I,3,FALSE)</f>
        <v>Super U</v>
      </c>
      <c r="D1162" s="1" t="str">
        <f ca="1">VLOOKUP(A1162,Import_SuiviGlobal_MigAppliSate!A:I,4,FALSE)</f>
        <v>Coop U Enseigne NordOuest</v>
      </c>
      <c r="E1162">
        <f ca="1">VLOOKUP(A1162,Import_SuiviGlobal_MigAppliSate!A:I,5,FALSE)</f>
        <v>59470</v>
      </c>
      <c r="F1162" t="str">
        <f ca="1">VLOOKUP(A1162,Import_SuiviGlobal_MigAppliSate!A:I,6,FALSE)</f>
        <v>747 ROUTE DE BERGUES</v>
      </c>
      <c r="G1162" t="str">
        <f ca="1">VLOOKUP(A1162,Import_SuiviGlobal_MigAppliSate!A:I,7,FALSE)</f>
        <v>03.28.65.85.10</v>
      </c>
      <c r="H1162" t="str">
        <f ca="1">VLOOKUP(A1162,Import_SuiviGlobal_MigAppliSate!A:I,8,FALSE)</f>
        <v>LEFEBVRE Pascal</v>
      </c>
      <c r="I1162" t="str">
        <f ca="1">VLOOKUP(A1162,Import_SuiviGlobal_MigAppliSate!A:I,9,FALSE)</f>
        <v>pascal.lefebvre@systeme-u.fr</v>
      </c>
      <c r="J1162" s="24" t="str">
        <f ca="1">VLOOKUP(A1162,Import_SuiviGlobal_MigAppliSate!A:K,10,FALSE)</f>
        <v>Mme WAWRZYNIAK Dany</v>
      </c>
      <c r="K1162" t="str">
        <f ca="1">VLOOKUP(A1162,Import_SuiviGlobal_MigAppliSate!A:K,11,FALSE)</f>
        <v/>
      </c>
      <c r="O1162" s="1" t="s">
        <v>22</v>
      </c>
    </row>
    <row r="1163" spans="1:18" ht="12.75" hidden="1" x14ac:dyDescent="0.2">
      <c r="A1163">
        <v>95150</v>
      </c>
      <c r="B1163" t="str">
        <f ca="1">VLOOKUP(A1163,Import_SuiviGlobal_MigAppliSate!A:I,2,FALSE)</f>
        <v>YDES</v>
      </c>
      <c r="C1163" t="str">
        <f ca="1">VLOOKUP(A1163,Import_SuiviGlobal_MigAppliSate!A:I,3,FALSE)</f>
        <v>Super U</v>
      </c>
      <c r="D1163" s="1" t="str">
        <f ca="1">VLOOKUP(A1163,Import_SuiviGlobal_MigAppliSate!A:I,4,FALSE)</f>
        <v>Coop U Enseigne Sud</v>
      </c>
      <c r="E1163">
        <f ca="1">VLOOKUP(A1163,Import_SuiviGlobal_MigAppliSate!A:I,5,FALSE)</f>
        <v>15210</v>
      </c>
      <c r="F1163" t="str">
        <f ca="1">VLOOKUP(A1163,Import_SuiviGlobal_MigAppliSate!A:I,6,FALSE)</f>
        <v>AVENUE DE LA REPUBLIQUE</v>
      </c>
      <c r="G1163" t="str">
        <f ca="1">VLOOKUP(A1163,Import_SuiviGlobal_MigAppliSate!A:I,7,FALSE)</f>
        <v>04.71.67.39.85</v>
      </c>
      <c r="H1163" t="str">
        <f ca="1">VLOOKUP(A1163,Import_SuiviGlobal_MigAppliSate!A:I,8,FALSE)</f>
        <v>TURPIN Stéphane-Catherine</v>
      </c>
      <c r="I1163" t="str">
        <f ca="1">VLOOKUP(A1163,Import_SuiviGlobal_MigAppliSate!A:I,9,FALSE)</f>
        <v>stephane.turpin1@systeme-u.fr</v>
      </c>
      <c r="J1163" s="24" t="str">
        <f ca="1">VLOOKUP(A1163,Import_SuiviGlobal_MigAppliSate!A:K,10,FALSE)</f>
        <v>Stéphane TURPIN</v>
      </c>
      <c r="K1163" t="str">
        <f ca="1">VLOOKUP(A1163,Import_SuiviGlobal_MigAppliSate!A:K,11,FALSE)</f>
        <v>stephane.turpin1@systeme-u.fr</v>
      </c>
      <c r="O1163" s="1" t="s">
        <v>22</v>
      </c>
    </row>
    <row r="1164" spans="1:18" ht="12.75" hidden="1" x14ac:dyDescent="0.2">
      <c r="A1164">
        <v>24308</v>
      </c>
      <c r="B1164" t="str">
        <f ca="1">VLOOKUP(A1164,Import_SuiviGlobal_MigAppliSate!A:I,2,FALSE)</f>
        <v>YERVILLE</v>
      </c>
      <c r="C1164" t="str">
        <f ca="1">VLOOKUP(A1164,Import_SuiviGlobal_MigAppliSate!A:I,3,FALSE)</f>
        <v>Super U</v>
      </c>
      <c r="D1164" s="1" t="str">
        <f ca="1">VLOOKUP(A1164,Import_SuiviGlobal_MigAppliSate!A:I,4,FALSE)</f>
        <v>Coop U Enseigne NordOuest</v>
      </c>
      <c r="E1164">
        <f ca="1">VLOOKUP(A1164,Import_SuiviGlobal_MigAppliSate!A:I,5,FALSE)</f>
        <v>76760</v>
      </c>
      <c r="F1164" t="str">
        <f ca="1">VLOOKUP(A1164,Import_SuiviGlobal_MigAppliSate!A:I,6,FALSE)</f>
        <v>RUE DE LA MYRE</v>
      </c>
      <c r="G1164" t="str">
        <f ca="1">VLOOKUP(A1164,Import_SuiviGlobal_MigAppliSate!A:I,7,FALSE)</f>
        <v>02.35.56.05.88</v>
      </c>
      <c r="H1164" t="str">
        <f ca="1">VLOOKUP(A1164,Import_SuiviGlobal_MigAppliSate!A:I,8,FALSE)</f>
        <v>DIERICK (SUNO) Sébastien</v>
      </c>
      <c r="I1164" t="str">
        <f ca="1">VLOOKUP(A1164,Import_SuiviGlobal_MigAppliSate!A:I,9,FALSE)</f>
        <v>sebastien.dierick@systeme-u.fr</v>
      </c>
      <c r="J1164" s="24" t="str">
        <f ca="1">VLOOKUP(A1164,Import_SuiviGlobal_MigAppliSate!A:K,10,FALSE)</f>
        <v>Mme Gunst</v>
      </c>
      <c r="K1164" t="str">
        <f ca="1">VLOOKUP(A1164,Import_SuiviGlobal_MigAppliSate!A:K,11,FALSE)</f>
        <v/>
      </c>
      <c r="O1164" s="1" t="s">
        <v>22</v>
      </c>
    </row>
    <row r="1165" spans="1:18" ht="12.75" hidden="1" x14ac:dyDescent="0.2">
      <c r="A1165">
        <v>33832</v>
      </c>
      <c r="B1165" t="str">
        <f ca="1">VLOOKUP(A1165,Import_SuiviGlobal_MigAppliSate!A:I,2,FALSE)</f>
        <v>YFFINIAC</v>
      </c>
      <c r="C1165" t="str">
        <f ca="1">VLOOKUP(A1165,Import_SuiviGlobal_MigAppliSate!A:I,3,FALSE)</f>
        <v>Hyper U</v>
      </c>
      <c r="D1165" s="1" t="str">
        <f ca="1">VLOOKUP(A1165,Import_SuiviGlobal_MigAppliSate!A:I,4,FALSE)</f>
        <v>Coop U Enseigne Ouest</v>
      </c>
      <c r="E1165">
        <f ca="1">VLOOKUP(A1165,Import_SuiviGlobal_MigAppliSate!A:I,5,FALSE)</f>
        <v>22120</v>
      </c>
      <c r="F1165" t="str">
        <f ca="1">VLOOKUP(A1165,Import_SuiviGlobal_MigAppliSate!A:I,6,FALSE)</f>
        <v>CENTRE COMMERCIAL DE LA BAIE</v>
      </c>
      <c r="G1165" t="str">
        <f ca="1">VLOOKUP(A1165,Import_SuiviGlobal_MigAppliSate!A:I,7,FALSE)</f>
        <v>02.96.63.36.33</v>
      </c>
      <c r="H1165" t="str">
        <f ca="1">VLOOKUP(A1165,Import_SuiviGlobal_MigAppliSate!A:I,8,FALSE)</f>
        <v>MEDARD RPT SARL FIMED Franck</v>
      </c>
      <c r="I1165" t="str">
        <f ca="1">VLOOKUP(A1165,Import_SuiviGlobal_MigAppliSate!A:I,9,FALSE)</f>
        <v>franck.medard@systeme-u.fr</v>
      </c>
      <c r="J1165" s="24" t="str">
        <f ca="1">VLOOKUP(A1165,Import_SuiviGlobal_MigAppliSate!A:K,10,FALSE)</f>
        <v>M Bielva José</v>
      </c>
      <c r="K1165" t="str">
        <f ca="1">VLOOKUP(A1165,Import_SuiviGlobal_MigAppliSate!A:K,11,FALSE)</f>
        <v>hyperu.yffiniac.direction@systeme-u.fr</v>
      </c>
      <c r="O1165" s="1" t="s">
        <v>22</v>
      </c>
    </row>
    <row r="1166" spans="1:18" ht="12.75" hidden="1" x14ac:dyDescent="0.2">
      <c r="A1166">
        <v>66021</v>
      </c>
      <c r="B1166" t="str">
        <f ca="1">VLOOKUP(A1166,Import_SuiviGlobal_MigAppliSate!A:I,2,FALSE)</f>
        <v>YSSINGEAUX</v>
      </c>
      <c r="C1166" t="str">
        <f ca="1">VLOOKUP(A1166,Import_SuiviGlobal_MigAppliSate!A:I,3,FALSE)</f>
        <v>Super U</v>
      </c>
      <c r="D1166" s="1" t="str">
        <f ca="1">VLOOKUP(A1166,Import_SuiviGlobal_MigAppliSate!A:I,4,FALSE)</f>
        <v>Coop U Enseigne Est</v>
      </c>
      <c r="E1166">
        <f ca="1">VLOOKUP(A1166,Import_SuiviGlobal_MigAppliSate!A:I,5,FALSE)</f>
        <v>43200</v>
      </c>
      <c r="F1166" t="str">
        <f ca="1">VLOOKUP(A1166,Import_SuiviGlobal_MigAppliSate!A:I,6,FALSE)</f>
        <v>-</v>
      </c>
      <c r="G1166" t="str">
        <f ca="1">VLOOKUP(A1166,Import_SuiviGlobal_MigAppliSate!A:I,7,FALSE)</f>
        <v>04.71.65.55.55</v>
      </c>
      <c r="H1166" t="str">
        <f ca="1">VLOOKUP(A1166,Import_SuiviGlobal_MigAppliSate!A:I,8,FALSE)</f>
        <v>POUYET RPT SAS CLEMADIS Stéphane</v>
      </c>
      <c r="I1166" t="str">
        <f ca="1">VLOOKUP(A1166,Import_SuiviGlobal_MigAppliSate!A:I,9,FALSE)</f>
        <v>stephane.pouyet@systeme-u.fr</v>
      </c>
      <c r="J1166" s="24" t="str">
        <f ca="1">VLOOKUP(A1166,Import_SuiviGlobal_MigAppliSate!A:K,10,FALSE)</f>
        <v>BLEU JOSIANE</v>
      </c>
      <c r="K1166" t="str">
        <f ca="1">VLOOKUP(A1166,Import_SuiviGlobal_MigAppliSate!A:K,11,FALSE)</f>
        <v>superu.yssingeaux@systeme-u.fr</v>
      </c>
      <c r="O1166" s="1" t="s">
        <v>22</v>
      </c>
    </row>
    <row r="1167" spans="1:18" ht="12.75" hidden="1" x14ac:dyDescent="0.2">
      <c r="A1167">
        <v>24758</v>
      </c>
      <c r="B1167" t="str">
        <f ca="1">VLOOKUP(A1167,Import_SuiviGlobal_MigAppliSate!A:I,2,FALSE)</f>
        <v>YVETOT</v>
      </c>
      <c r="C1167" t="str">
        <f ca="1">VLOOKUP(A1167,Import_SuiviGlobal_MigAppliSate!A:I,3,FALSE)</f>
        <v>U Express</v>
      </c>
      <c r="D1167" s="1" t="str">
        <f ca="1">VLOOKUP(A1167,Import_SuiviGlobal_MigAppliSate!A:I,4,FALSE)</f>
        <v>Coop U Enseigne NordOuest</v>
      </c>
      <c r="E1167">
        <f ca="1">VLOOKUP(A1167,Import_SuiviGlobal_MigAppliSate!A:I,5,FALSE)</f>
        <v>76190</v>
      </c>
      <c r="F1167" t="str">
        <f ca="1">VLOOKUP(A1167,Import_SuiviGlobal_MigAppliSate!A:I,6,FALSE)</f>
        <v>20 RUE GUY DE MAUPASSANT</v>
      </c>
      <c r="G1167" t="str">
        <f ca="1">VLOOKUP(A1167,Import_SuiviGlobal_MigAppliSate!A:I,7,FALSE)</f>
        <v>02.35.95.47.54</v>
      </c>
      <c r="H1167" t="str">
        <f ca="1">VLOOKUP(A1167,Import_SuiviGlobal_MigAppliSate!A:I,8,FALSE)</f>
        <v>LEMIERE Philippe</v>
      </c>
      <c r="I1167" t="str">
        <f ca="1">VLOOKUP(A1167,Import_SuiviGlobal_MigAppliSate!A:I,9,FALSE)</f>
        <v>philippe.lemiere@systeme-u.fr</v>
      </c>
      <c r="J1167" s="24" t="str">
        <f ca="1">VLOOKUP(A1167,Import_SuiviGlobal_MigAppliSate!A:K,10,FALSE)</f>
        <v/>
      </c>
      <c r="K1167" t="str">
        <f ca="1">VLOOKUP(A1167,Import_SuiviGlobal_MigAppliSate!A:K,11,FALSE)</f>
        <v/>
      </c>
      <c r="O1167" s="1" t="s">
        <v>22</v>
      </c>
    </row>
    <row r="1168" spans="1:18" ht="12.75" hidden="1" x14ac:dyDescent="0.2">
      <c r="A1168" s="20">
        <v>38298</v>
      </c>
      <c r="B1168" s="21" t="str">
        <f ca="1">VLOOKUP(A1168,Import_SuiviGlobal_MigAppliSate!A:I,2,FALSE)</f>
        <v>NANTES CHENAIE Bottière</v>
      </c>
      <c r="C1168" s="21" t="str">
        <f ca="1">VLOOKUP(A1168,Import_SuiviGlobal_MigAppliSate!A:I,3,FALSE)</f>
        <v>Super U</v>
      </c>
      <c r="D1168" s="20" t="str">
        <f ca="1">VLOOKUP(A1168,Import_SuiviGlobal_MigAppliSate!A:I,4,FALSE)</f>
        <v>Coop U Enseigne Ouest</v>
      </c>
      <c r="E1168" s="21" t="str">
        <f ca="1">VLOOKUP(A1168,Import_SuiviGlobal_MigAppliSate!A:I,5,FALSE)</f>
        <v/>
      </c>
      <c r="F1168" s="21" t="str">
        <f ca="1">VLOOKUP(A1168,Import_SuiviGlobal_MigAppliSate!A:I,6,FALSE)</f>
        <v/>
      </c>
      <c r="G1168" s="21" t="str">
        <f ca="1">VLOOKUP(A1168,Import_SuiviGlobal_MigAppliSate!A:I,7,FALSE)</f>
        <v/>
      </c>
      <c r="H1168" s="21" t="str">
        <f ca="1">VLOOKUP(A1168,Import_SuiviGlobal_MigAppliSate!A:I,8,FALSE)</f>
        <v/>
      </c>
      <c r="I1168" s="21" t="str">
        <f ca="1">VLOOKUP(A1168,Import_SuiviGlobal_MigAppliSate!A:I,9,FALSE)</f>
        <v/>
      </c>
      <c r="J1168" s="26" t="str">
        <f ca="1">VLOOKUP(A1168,Import_SuiviGlobal_MigAppliSate!A:K,10,FALSE)</f>
        <v/>
      </c>
      <c r="K1168" s="21" t="str">
        <f ca="1">VLOOKUP(A1168,Import_SuiviGlobal_MigAppliSate!A:K,11,FALSE)</f>
        <v/>
      </c>
      <c r="L1168" s="20" t="s">
        <v>17</v>
      </c>
      <c r="M1168" s="20" t="s">
        <v>24</v>
      </c>
      <c r="N1168" s="20" t="s">
        <v>18</v>
      </c>
      <c r="O1168" s="20" t="s">
        <v>19</v>
      </c>
      <c r="P1168" s="21"/>
      <c r="Q1168" s="21"/>
      <c r="R1168" s="21"/>
    </row>
    <row r="1169" spans="1:18" ht="12.75" hidden="1" x14ac:dyDescent="0.2">
      <c r="A1169" s="20">
        <v>25999</v>
      </c>
      <c r="B1169" s="21" t="str">
        <f ca="1">VLOOKUP(A1169,Import_SuiviGlobal_MigAppliSate!A:I,2,FALSE)</f>
        <v>CAMPHIN EN PEVELE</v>
      </c>
      <c r="C1169" s="21"/>
      <c r="D1169" s="20" t="str">
        <f ca="1">VLOOKUP(A1169,Import_SuiviGlobal_MigAppliSate!A:I,4,FALSE)</f>
        <v/>
      </c>
      <c r="E1169" s="21">
        <f ca="1">VLOOKUP(A1169,Import_SuiviGlobal_MigAppliSate!A:I,5,FALSE)</f>
        <v>59780</v>
      </c>
      <c r="F1169" s="21" t="str">
        <f ca="1">VLOOKUP(A1169,Import_SuiviGlobal_MigAppliSate!A:I,6,FALSE)</f>
        <v>RD93 Grande Rue</v>
      </c>
      <c r="G1169" s="21"/>
      <c r="H1169" s="21"/>
      <c r="I1169" s="21"/>
      <c r="J1169" s="26"/>
      <c r="K1169" s="21"/>
      <c r="L1169" s="20" t="s">
        <v>17</v>
      </c>
      <c r="M1169" s="20" t="s">
        <v>24</v>
      </c>
      <c r="N1169" s="20" t="s">
        <v>18</v>
      </c>
      <c r="O1169" s="20" t="s">
        <v>25</v>
      </c>
      <c r="P1169" s="20"/>
      <c r="Q1169" s="20"/>
      <c r="R1169" s="20"/>
    </row>
  </sheetData>
  <autoFilter ref="A1:P1169" xr:uid="{00000000-0009-0000-0000-000000000000}">
    <filterColumn colId="3">
      <filters blank="1">
        <filter val="#N/A"/>
        <filter val="Coop MISTRAL"/>
        <filter val="Coop U Enseigne Est"/>
        <filter val="Coop U Enseigne NordOuest"/>
        <filter val="Coop U Enseigne Ouest"/>
        <filter val="Coop U Enseigne Sud"/>
        <filter val="Coop UPSO"/>
      </filters>
    </filterColumn>
    <filterColumn colId="11">
      <filters>
        <filter val="R5"/>
      </filters>
    </filterColumn>
    <filterColumn colId="12">
      <filters>
        <filter val="Pricer"/>
        <filter val="Pricer &lt;8Go"/>
        <filter val="VM magasin"/>
      </filters>
    </filterColumn>
  </autoFilter>
  <customSheetViews>
    <customSheetView guid="{35ABB0E9-C725-4DF4-B626-446637449D3C}" filter="1" showAutoFilter="1">
      <pageMargins left="0.7" right="0.7" top="0.75" bottom="0.75" header="0.3" footer="0.3"/>
      <autoFilter ref="A2:AF1170" xr:uid="{00000000-0000-0000-0000-000000000000}">
        <filterColumn colId="27">
          <filters>
            <filter val="Commande validée"/>
          </filters>
        </filterColumn>
      </autoFilter>
    </customSheetView>
    <customSheetView guid="{DBE43D38-03D7-4520-B1E6-63326FDB5935}" filter="1" showAutoFilter="1">
      <pageMargins left="0.7" right="0.7" top="0.75" bottom="0.75" header="0.3" footer="0.3"/>
      <autoFilter ref="R1:R1169" xr:uid="{00000000-0000-0000-0000-000000000000}"/>
    </customSheetView>
  </customSheetViews>
  <conditionalFormatting sqref="L32:M32">
    <cfRule type="expression" dxfId="11" priority="36">
      <formula>AND(#REF!&lt;&gt;"",#REF!="",$O34="Prérequis déposés")</formula>
    </cfRule>
  </conditionalFormatting>
  <conditionalFormatting sqref="L32:M32">
    <cfRule type="expression" dxfId="10" priority="37">
      <formula>AND(#REF!&gt;=#REF!,#REF!&lt;&gt;"",#REF!&lt;&gt;"",$O34="Prérequis déposés")</formula>
    </cfRule>
  </conditionalFormatting>
  <conditionalFormatting sqref="L32:M32">
    <cfRule type="expression" dxfId="9" priority="38">
      <formula>AND(#REF!&lt;#REF!,#REF!&lt;&gt;"",#REF!&lt;&gt;"",$O34="Prérequis déposés")</formula>
    </cfRule>
  </conditionalFormatting>
  <conditionalFormatting sqref="L1:M31 N1:P1169 M33:M1169 L35:L1169 A1:K1169">
    <cfRule type="expression" dxfId="8" priority="39">
      <formula>AND(#REF!&lt;&gt;"",#REF!="",$O1="Prérequis déposés")</formula>
    </cfRule>
  </conditionalFormatting>
  <conditionalFormatting sqref="L1:M31 N1:P1169 M33:M1169 L35:L1169 A1:K1169">
    <cfRule type="expression" dxfId="7" priority="45">
      <formula>AND(#REF!&gt;=#REF!,#REF!&lt;&gt;"",#REF!&lt;&gt;"",$O1="Prérequis déposés")</formula>
    </cfRule>
  </conditionalFormatting>
  <conditionalFormatting sqref="L1:M31 N1:P1169 M33:M1169 L35:L1169 A1:K1169">
    <cfRule type="expression" dxfId="6" priority="51">
      <formula>AND(#REF!&lt;#REF!,#REF!&lt;&gt;"",#REF!&lt;&gt;"",$O1="Prérequis déposés")</formula>
    </cfRule>
  </conditionalFormatting>
  <conditionalFormatting sqref="Q1:Q1169">
    <cfRule type="expression" dxfId="5" priority="4">
      <formula>AND(#REF!&lt;&gt;"",#REF!="",$O1="Prérequis déposés")</formula>
    </cfRule>
  </conditionalFormatting>
  <conditionalFormatting sqref="Q1:Q1169">
    <cfRule type="expression" dxfId="4" priority="5">
      <formula>AND(#REF!&gt;=#REF!,#REF!&lt;&gt;"",#REF!&lt;&gt;"",$O1="Prérequis déposés")</formula>
    </cfRule>
  </conditionalFormatting>
  <conditionalFormatting sqref="Q1:Q1169">
    <cfRule type="expression" dxfId="3" priority="6">
      <formula>AND(#REF!&lt;#REF!,#REF!&lt;&gt;"",#REF!&lt;&gt;"",$O1="Prérequis déposés")</formula>
    </cfRule>
  </conditionalFormatting>
  <conditionalFormatting sqref="R1:R1169">
    <cfRule type="expression" dxfId="2" priority="1">
      <formula>AND(#REF!&lt;&gt;"",#REF!="",$O1="Prérequis déposés")</formula>
    </cfRule>
  </conditionalFormatting>
  <conditionalFormatting sqref="R1:R1169">
    <cfRule type="expression" dxfId="1" priority="2">
      <formula>AND(#REF!&gt;=#REF!,#REF!&lt;&gt;"",#REF!&lt;&gt;"",$O1="Prérequis déposés")</formula>
    </cfRule>
  </conditionalFormatting>
  <conditionalFormatting sqref="R1:R1169">
    <cfRule type="expression" dxfId="0" priority="3">
      <formula>AND(#REF!&lt;#REF!,#REF!&lt;&gt;"",#REF!&lt;&gt;"",$O1="Prérequis déposés")</formula>
    </cfRule>
  </conditionalFormatting>
  <dataValidations count="5">
    <dataValidation type="list" allowBlank="1" showErrorMessage="1" sqref="M2:M3 M6:M7 M17 M32 M51:M52 M66 M81 M85 M87 M91 M101 M104 M109 M116:M117 M124:M125 M142:M143 M163 M168:M169 M180 M184 M205:M206 M214:M215 M230 M233 M235 M238 M257:M258 M264 M268 M273 M286 M293 M299 M302 M305 M309:M311 M319 M323 M328 M330 M332 M345 M354 M359 M369 M371 M376 M388:M389 M403 M417 M420 M430:M431 M443 M447 M450 M453 M459:M460 M462:M463 M467 M475 M486:M487 M495 M505 M523 M527 M533:M534 M540:M542 M545 M554:M555 M557 M580 M588 M608 M611 M616 M620 M629 M633:M634 M639 M642 M657:M658 M663:M664 M669 M685 M690 M714:M715 M732:M733 M745 M753 M757:M758 M764 M767:M768 M772 M781 M788 M797 M804 M823 M835 M839 M842 M845 M851 M869 M871:M872 M878 M881 M887 M889 M902:M903 M915 M917:M918 M933:M934 M939 M942 M947 M959 M965 M969 M974 M984 M1000 M1006 M1015 M1018 M1021 M1027 M1034 M1038:M1039 M1042:M1043 M1045 M1047 M1049 M1053 M1072 M1086:M1087 M1089 M1095 M1125 M1132 M1135" xr:uid="{00000000-0002-0000-0000-000000000000}">
      <formula1>"Toshiba,PC mag &lt;8Go,PC mag,PC Coop Atlantique,Pricer &lt;8Go,Pricer,VM magasin,U StoreBox"</formula1>
    </dataValidation>
    <dataValidation type="list" allowBlank="1" showErrorMessage="1" sqref="O2:O204 O206:O344 O346:O628 O630:O684 O686:O689 O691:O714 O716:O787 O789:O850 O852:O916 O918:O964 O966:O1020 O1022:O1037 O1039:O1041 O1044:O1071 O1073:O1131 O1133:O1169" xr:uid="{00000000-0002-0000-0000-000001000000}">
      <formula1>"Pas de commande,Commande validée,Prérequis déposés,Terminé"</formula1>
    </dataValidation>
    <dataValidation type="list" allowBlank="1" showErrorMessage="1" sqref="O205 O345 O629 O685 O690 O715 O788 O851 O917 O965 O1021 O1038 O1042:O1043 O1072 O1132" xr:uid="{00000000-0002-0000-0000-000002000000}">
      <formula1>"Commande validée,Prérequis déposés,Terminé"</formula1>
    </dataValidation>
    <dataValidation type="list" allowBlank="1" sqref="N2:N1169" xr:uid="{00000000-0002-0000-0000-000003000000}">
      <formula1>"Primo,Mig_std,Mig_spe"</formula1>
    </dataValidation>
    <dataValidation type="list" allowBlank="1" showErrorMessage="1" sqref="M4:M5 M8:M16 M18:M31 M33:M50 M53:M65 M67:M80 M82:M84 M86 M88:M90 M92:M100 M102:M103 M105:M108 M110:M115 M118:M123 M126:M141 M144:M162 M164:M167 M170:M179 M181:M183 M185:M204 M207:M213 M216:M229 M231:M232 M234 M236:M237 M239:M256 M259:M263 M265:M267 M269:M272 M274:M285 M287:M292 M294:M298 M300:M301 M303:M304 M306:M308 M312:M318 M320:M322 M324:M327 M329 M331 M333:M344 M346:M353 M355:M358 M360:M368 M370 M372:M375 M377:M387 M390:M402 M404:M416 M418:M419 M421:M429 M432:M442 M444:M446 M448:M449 M451:M452 M454:M458 M461 M464:M466 M468:M474 M476:M485 M488:M494 M496:M504 M506:M522 M524:M526 M528:M532 M535:M539 M543:M544 M546:M553 M556 M558:M579 M581:M587 M589:M607 M609:M610 M612:M615 M617:M619 M621:M628 M630:M632 M635:M638 M640:M641 M643:M656 M659:M662 M665:M668 M670:M684 M686:M689 M691:M713 M716:M731 M734:M744 M746:M752 M754:M756 M759:M763 M765:M766 M769:M771 M773:M780 M782:M787 M789:M796 M798:M803 M805:M822 M824:M834 M836:M838 M840:M841 M843:M844 M846:M850 M852:M868 M870 M873:M877 M879:M880 M882:M886 M888 M890:M901 M904:M914 M916 M919:M932 M935:M938 M940:M941 M943:M946 M948:M958 M960:M964 M966:M968 M970:M973 M975:M983 M985:M999 M1001:M1005 M1007:M1014 M1016:M1017 M1019:M1020 M1022:M1026 M1028:M1033 M1035:M1037 M1040:M1041 M1044 M1046 M1048 M1050:M1052 M1054:M1071 M1073:M1085 M1088 M1090:M1094 M1096:M1124 M1126:M1131 M1133:M1134 M1136:M1169" xr:uid="{00000000-0002-0000-0000-000004000000}">
      <formula1>"Toshiba,PC mag &lt;8Go,Pricer &lt;8Go,Pricer,VM magasin,U StoreBox"</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E1499"/>
  <sheetViews>
    <sheetView workbookViewId="0"/>
  </sheetViews>
  <sheetFormatPr baseColWidth="10" defaultColWidth="14.42578125" defaultRowHeight="15.75" customHeight="1" x14ac:dyDescent="0.2"/>
  <cols>
    <col min="1" max="1" width="7.42578125" customWidth="1"/>
    <col min="2" max="2" width="27.5703125" customWidth="1"/>
    <col min="4" max="4" width="24.28515625" customWidth="1"/>
    <col min="11" max="11" width="50.28515625" customWidth="1"/>
  </cols>
  <sheetData>
    <row r="1" spans="1:31" ht="15.75" customHeight="1" x14ac:dyDescent="0.2">
      <c r="A1" t="str">
        <f ca="1">IFERROR(__xludf.DUMMYFUNCTION("QUERY(importrange(""https://docs.google.com/spreadsheets/d/1QlW622y7LdYx8kig307phSd6QInIyGFr2R3UjsJ8X_A/edit?usp=sharing"",""SuiviGlobal_MigAppliSatellite!A2:BI1500""),""select Col1,Col2,Col3,Col4, Col5, Col6, Col7, Col8, Col9,Col10, Col11,Col42,Col43,Col"&amp;"44,Col45,Col46,Col47,Col48,Col49, Col50, Col51, Col52, Col53, Col54, Col55, Col56, Col57, Col58, Col59, Col60, Col61"")"),"CCU")</f>
        <v>CCU</v>
      </c>
      <c r="B1" t="str">
        <f ca="1">IFERROR(__xludf.DUMMYFUNCTION("""COMPUTED_VALUE"""),"Magasin")</f>
        <v>Magasin</v>
      </c>
      <c r="C1" t="str">
        <f ca="1">IFERROR(__xludf.DUMMYFUNCTION("""COMPUTED_VALUE"""),"Ens.")</f>
        <v>Ens.</v>
      </c>
      <c r="D1" t="str">
        <f ca="1">IFERROR(__xludf.DUMMYFUNCTION("""COMPUTED_VALUE"""),"Affiliation")</f>
        <v>Affiliation</v>
      </c>
      <c r="E1" t="str">
        <f ca="1">IFERROR(__xludf.DUMMYFUNCTION("""COMPUTED_VALUE"""),"Dpt")</f>
        <v>Dpt</v>
      </c>
      <c r="F1" t="str">
        <f ca="1">IFERROR(__xludf.DUMMYFUNCTION("""COMPUTED_VALUE"""),"Adresse")</f>
        <v>Adresse</v>
      </c>
      <c r="G1" t="str">
        <f ca="1">IFERROR(__xludf.DUMMYFUNCTION("""COMPUTED_VALUE"""),"Téléphone")</f>
        <v>Téléphone</v>
      </c>
      <c r="H1" t="str">
        <f ca="1">IFERROR(__xludf.DUMMYFUNCTION("""COMPUTED_VALUE"""),"Nom associé")</f>
        <v>Nom associé</v>
      </c>
      <c r="I1" t="str">
        <f ca="1">IFERROR(__xludf.DUMMYFUNCTION("""COMPUTED_VALUE"""),"Email Associé")</f>
        <v>Email Associé</v>
      </c>
      <c r="J1" t="str">
        <f ca="1">IFERROR(__xludf.DUMMYFUNCTION("""COMPUTED_VALUE"""),"Ref PDV USB")</f>
        <v>Ref PDV USB</v>
      </c>
      <c r="K1" t="str">
        <f ca="1">IFERROR(__xludf.DUMMYFUNCTION("""COMPUTED_VALUE"""),"Email Ref PDV USB")</f>
        <v>Email Ref PDV USB</v>
      </c>
      <c r="L1" t="str">
        <f ca="1">IFERROR(__xludf.DUMMYFUNCTION("""COMPUTED_VALUE"""),"Contexte")</f>
        <v>Contexte</v>
      </c>
      <c r="M1" t="str">
        <f ca="1">IFERROR(__xludf.DUMMYFUNCTION("""COMPUTED_VALUE"""),"Statut PRICER")</f>
        <v>Statut PRICER</v>
      </c>
      <c r="N1" t="str">
        <f ca="1">IFERROR(__xludf.DUMMYFUNCTION("""COMPUTED_VALUE"""),"Resp Réserve")</f>
        <v>Resp Réserve</v>
      </c>
      <c r="O1" t="str">
        <f ca="1">IFERROR(__xludf.DUMMYFUNCTION("""COMPUTED_VALUE"""),"Commentaires")</f>
        <v>Commentaires</v>
      </c>
      <c r="P1" t="str">
        <f ca="1">IFERROR(__xludf.DUMMYFUNCTION("""COMPUTED_VALUE"""),"Sem Mig.")</f>
        <v>Sem Mig.</v>
      </c>
      <c r="Q1" t="str">
        <f ca="1">IFERROR(__xludf.DUMMYFUNCTION("""COMPUTED_VALUE"""),"Date ""Bon pour Accord""")</f>
        <v>Date "Bon pour Accord"</v>
      </c>
      <c r="R1" t="str">
        <f ca="1">IFERROR(__xludf.DUMMYFUNCTION("""COMPUTED_VALUE"""),"Date Réelle")</f>
        <v>Date Réelle</v>
      </c>
      <c r="S1" t="str">
        <f ca="1">IFERROR(__xludf.DUMMYFUNCTION("""COMPUTED_VALUE"""),"REQ Diff VM (UO47)")</f>
        <v>REQ Diff VM (UO47)</v>
      </c>
      <c r="T1" t="str">
        <f ca="1">IFERROR(__xludf.DUMMYFUNCTION("""COMPUTED_VALUE"""),"REQ Exploit (UO46)")</f>
        <v>REQ Exploit (UO46)</v>
      </c>
      <c r="U1" t="str">
        <f ca="1">IFERROR(__xludf.DUMMYFUNCTION("""COMPUTED_VALUE"""),"Acces Distant")</f>
        <v>Acces Distant</v>
      </c>
      <c r="V1" t="str">
        <f ca="1">IFERROR(__xludf.DUMMYFUNCTION("""COMPUTED_VALUE"""),"IP VM")</f>
        <v>IP VM</v>
      </c>
      <c r="W1" t="str">
        <f ca="1">IFERROR(__xludf.DUMMYFUNCTION("""COMPUTED_VALUE"""),"Version du serveur")</f>
        <v>Version du serveur</v>
      </c>
      <c r="X1" t="str">
        <f ca="1">IFERROR(__xludf.DUMMYFUNCTION("""COMPUTED_VALUE"""),"Srv Pricer")</f>
        <v>Srv Pricer</v>
      </c>
      <c r="Y1" t="str">
        <f ca="1">IFERROR(__xludf.DUMMYFUNCTION("""COMPUTED_VALUE"""),"Type migration")</f>
        <v>Type migration</v>
      </c>
      <c r="Z1" t="str">
        <f ca="1">IFERROR(__xludf.DUMMYFUNCTION("""COMPUTED_VALUE"""),"")</f>
        <v/>
      </c>
      <c r="AA1" t="str">
        <f ca="1">IFERROR(__xludf.DUMMYFUNCTION("""COMPUTED_VALUE"""),"Statut")</f>
        <v>Statut</v>
      </c>
      <c r="AB1" t="str">
        <f ca="1">IFERROR(__xludf.DUMMYFUNCTION("""COMPUTED_VALUE"""),"Date début des travaux")</f>
        <v>Date début des travaux</v>
      </c>
      <c r="AC1" t="str">
        <f ca="1">IFERROR(__xludf.DUMMYFUNCTION("""COMPUTED_VALUE"""),"Date de mise en service souhaitée")</f>
        <v>Date de mise en service souhaitée</v>
      </c>
      <c r="AD1" t="str">
        <f ca="1">IFERROR(__xludf.DUMMYFUNCTION("""COMPUTED_VALUE"""),"Date de formation")</f>
        <v>Date de formation</v>
      </c>
      <c r="AE1" t="str">
        <f ca="1">IFERROR(__xludf.DUMMYFUNCTION("""COMPUTED_VALUE"""),"Commentaires")</f>
        <v>Commentaires</v>
      </c>
    </row>
    <row r="2" spans="1:31" ht="15.75" customHeight="1" x14ac:dyDescent="0.2">
      <c r="A2">
        <f ca="1">IFERROR(__xludf.DUMMYFUNCTION("""COMPUTED_VALUE"""),24278)</f>
        <v>24278</v>
      </c>
      <c r="B2" t="str">
        <f ca="1">IFERROR(__xludf.DUMMYFUNCTION("""COMPUTED_VALUE"""),"ROUEN CAUCHOISE")</f>
        <v>ROUEN CAUCHOISE</v>
      </c>
      <c r="C2" t="str">
        <f ca="1">IFERROR(__xludf.DUMMYFUNCTION("""COMPUTED_VALUE"""),"U Express")</f>
        <v>U Express</v>
      </c>
      <c r="D2" t="str">
        <f ca="1">IFERROR(__xludf.DUMMYFUNCTION("""COMPUTED_VALUE"""),"Coop U Enseigne NordOuest")</f>
        <v>Coop U Enseigne NordOuest</v>
      </c>
      <c r="E2">
        <f ca="1">IFERROR(__xludf.DUMMYFUNCTION("""COMPUTED_VALUE"""),76000)</f>
        <v>76000</v>
      </c>
      <c r="F2" t="str">
        <f ca="1">IFERROR(__xludf.DUMMYFUNCTION("""COMPUTED_VALUE"""),"1 A 9 RUE CAUCHOISE")</f>
        <v>1 A 9 RUE CAUCHOISE</v>
      </c>
      <c r="G2" t="str">
        <f ca="1">IFERROR(__xludf.DUMMYFUNCTION("""COMPUTED_VALUE"""),"02.35.71.83.04")</f>
        <v>02.35.71.83.04</v>
      </c>
      <c r="H2" t="str">
        <f ca="1">IFERROR(__xludf.DUMMYFUNCTION("""COMPUTED_VALUE"""),"SAGEAU Maxime")</f>
        <v>SAGEAU Maxime</v>
      </c>
      <c r="I2" t="str">
        <f ca="1">IFERROR(__xludf.DUMMYFUNCTION("""COMPUTED_VALUE"""),"maxime.sageau@systeme-u.fr")</f>
        <v>maxime.sageau@systeme-u.fr</v>
      </c>
      <c r="J2" t="str">
        <f ca="1">IFERROR(__xludf.DUMMYFUNCTION("""COMPUTED_VALUE"""),"Philippe Ravier")</f>
        <v>Philippe Ravier</v>
      </c>
      <c r="K2" t="str">
        <f ca="1">IFERROR(__xludf.DUMMYFUNCTION("""COMPUTED_VALUE"""),"philippe.ravier@systeme-u.fr")</f>
        <v>philippe.ravier@systeme-u.fr</v>
      </c>
      <c r="L2" t="str">
        <f ca="1">IFERROR(__xludf.DUMMYFUNCTION("""COMPUTED_VALUE"""),"PiloteDepl")</f>
        <v>PiloteDepl</v>
      </c>
      <c r="M2" t="str">
        <f ca="1">IFERROR(__xludf.DUMMYFUNCTION("""COMPUTED_VALUE"""),"3. Migration réalisée")</f>
        <v>3. Migration réalisée</v>
      </c>
      <c r="N2" t="str">
        <f ca="1">IFERROR(__xludf.DUMMYFUNCTION("""COMPUTED_VALUE"""),"")</f>
        <v/>
      </c>
      <c r="O2" t="str">
        <f ca="1">IFERROR(__xludf.DUMMYFUNCTION("""COMPUTED_VALUE"""),"(stand-by)
16/01 NLA : Vu avec S.VERDIER : 
- Modification DNS PRICER01 + pricerbs01
- Envoi PKG sur ROU7105F - CDE02 - 7104F")</f>
        <v>(stand-by)
16/01 NLA : Vu avec S.VERDIER : 
- Modification DNS PRICER01 + pricerbs01
- Envoi PKG sur ROU7105F - CDE02 - 7104F</v>
      </c>
      <c r="P2">
        <f ca="1">IFERROR(__xludf.DUMMYFUNCTION("""COMPUTED_VALUE"""),3)</f>
        <v>3</v>
      </c>
      <c r="Q2" s="5" t="str">
        <f ca="1">IFERROR(__xludf.DUMMYFUNCTION("""COMPUTED_VALUE"""),"")</f>
        <v/>
      </c>
      <c r="R2" s="6">
        <f ca="1">IFERROR(__xludf.DUMMYFUNCTION("""COMPUTED_VALUE"""),43479.5833333333)</f>
        <v>43479.583333333299</v>
      </c>
      <c r="S2" t="str">
        <f ca="1">IFERROR(__xludf.DUMMYFUNCTION("""COMPUTED_VALUE"""),"MEP8510822 ")</f>
        <v xml:space="preserve">MEP8510822 </v>
      </c>
      <c r="T2" t="str">
        <f ca="1">IFERROR(__xludf.DUMMYFUNCTION("""COMPUTED_VALUE"""),"MEP8510824")</f>
        <v>MEP8510824</v>
      </c>
      <c r="U2" t="str">
        <f ca="1">IFERROR(__xludf.DUMMYFUNCTION("""COMPUTED_VALUE"""),"ok")</f>
        <v>ok</v>
      </c>
      <c r="V2" t="str">
        <f ca="1">IFERROR(__xludf.DUMMYFUNCTION("""COMPUTED_VALUE"""),"10.145.28.237")</f>
        <v>10.145.28.237</v>
      </c>
      <c r="W2" t="str">
        <f ca="1">IFERROR(__xludf.DUMMYFUNCTION("""COMPUTED_VALUE"""),"R5")</f>
        <v>R5</v>
      </c>
      <c r="X2" t="str">
        <f ca="1">IFERROR(__xludf.DUMMYFUNCTION("""COMPUTED_VALUE"""),"U StoreBox")</f>
        <v>U StoreBox</v>
      </c>
      <c r="Y2" t="str">
        <f ca="1">IFERROR(__xludf.DUMMYFUNCTION("""COMPUTED_VALUE"""),"Mig_spe")</f>
        <v>Mig_spe</v>
      </c>
      <c r="Z2" t="str">
        <f ca="1">IFERROR(__xludf.DUMMYFUNCTION("""COMPUTED_VALUE"""),"")</f>
        <v/>
      </c>
      <c r="AA2" t="str">
        <f ca="1">IFERROR(__xludf.DUMMYFUNCTION("""COMPUTED_VALUE"""),"Terminé")</f>
        <v>Terminé</v>
      </c>
      <c r="AB2" s="8">
        <f ca="1">IFERROR(__xludf.DUMMYFUNCTION("""COMPUTED_VALUE"""),43479)</f>
        <v>43479</v>
      </c>
      <c r="AC2" s="8">
        <f ca="1">IFERROR(__xludf.DUMMYFUNCTION("""COMPUTED_VALUE"""),43481)</f>
        <v>43481</v>
      </c>
      <c r="AD2" s="11">
        <f ca="1">IFERROR(__xludf.DUMMYFUNCTION("""COMPUTED_VALUE"""),43481)</f>
        <v>43481</v>
      </c>
      <c r="AE2" t="str">
        <f ca="1">IFERROR(__xludf.DUMMYFUNCTION("""COMPUTED_VALUE"""),"Infra installée - Migration  prévue le 16/01")</f>
        <v>Infra installée - Migration  prévue le 16/01</v>
      </c>
    </row>
    <row r="3" spans="1:31" ht="15.75" customHeight="1" x14ac:dyDescent="0.2">
      <c r="A3">
        <f ca="1">IFERROR(__xludf.DUMMYFUNCTION("""COMPUTED_VALUE"""),25908)</f>
        <v>25908</v>
      </c>
      <c r="B3" t="str">
        <f ca="1">IFERROR(__xludf.DUMMYFUNCTION("""COMPUTED_VALUE"""),"ABBEVILLE")</f>
        <v>ABBEVILLE</v>
      </c>
      <c r="C3" t="str">
        <f ca="1">IFERROR(__xludf.DUMMYFUNCTION("""COMPUTED_VALUE"""),"Hyper U")</f>
        <v>Hyper U</v>
      </c>
      <c r="D3" t="str">
        <f ca="1">IFERROR(__xludf.DUMMYFUNCTION("""COMPUTED_VALUE"""),"Coop U Enseigne NordOuest")</f>
        <v>Coop U Enseigne NordOuest</v>
      </c>
      <c r="E3">
        <f ca="1">IFERROR(__xludf.DUMMYFUNCTION("""COMPUTED_VALUE"""),80100)</f>
        <v>80100</v>
      </c>
      <c r="F3" t="str">
        <f ca="1">IFERROR(__xludf.DUMMYFUNCTION("""COMPUTED_VALUE"""),"AVENUE VINCENT AURIOL")</f>
        <v>AVENUE VINCENT AURIOL</v>
      </c>
      <c r="G3" t="str">
        <f ca="1">IFERROR(__xludf.DUMMYFUNCTION("""COMPUTED_VALUE"""),"03.22.25.44.44")</f>
        <v>03.22.25.44.44</v>
      </c>
      <c r="H3" t="str">
        <f ca="1">IFERROR(__xludf.DUMMYFUNCTION("""COMPUTED_VALUE"""),"BARRE Stéphane")</f>
        <v>BARRE Stéphane</v>
      </c>
      <c r="I3" t="str">
        <f ca="1">IFERROR(__xludf.DUMMYFUNCTION("""COMPUTED_VALUE"""),"stephane.barre@systeme-u.fr")</f>
        <v>stephane.barre@systeme-u.fr</v>
      </c>
      <c r="J3" t="str">
        <f ca="1">IFERROR(__xludf.DUMMYFUNCTION("""COMPUTED_VALUE"""),"Mme GRADEL (caisse)
Mr CHRETIEN (UPLV)")</f>
        <v>Mme GRADEL (caisse)
Mr CHRETIEN (UPLV)</v>
      </c>
      <c r="K3" t="str">
        <f ca="1">IFERROR(__xludf.DUMMYFUNCTION("""COMPUTED_VALUE"""),"claudine.gradel@coop-cnp.coop,philippe.cappe@coop-cnp.coop, pascal.cressent@coop-cnp.coop, jean-philippe.chretien@coop-cnp.coop")</f>
        <v>claudine.gradel@coop-cnp.coop,philippe.cappe@coop-cnp.coop, pascal.cressent@coop-cnp.coop, jean-philippe.chretien@coop-cnp.coop</v>
      </c>
      <c r="L3" t="str">
        <f ca="1">IFERROR(__xludf.DUMMYFUNCTION("""COMPUTED_VALUE"""),"Standard")</f>
        <v>Standard</v>
      </c>
      <c r="M3" t="str">
        <f ca="1">IFERROR(__xludf.DUMMYFUNCTION("""COMPUTED_VALUE"""),"0. Non démarré")</f>
        <v>0. Non démarré</v>
      </c>
      <c r="N3" t="str">
        <f ca="1">IFERROR(__xludf.DUMMYFUNCTION("""COMPUTED_VALUE"""),"")</f>
        <v/>
      </c>
      <c r="O3" t="str">
        <f ca="1">IFERROR(__xludf.DUMMYFUNCTION("""COMPUTED_VALUE"""),"")</f>
        <v/>
      </c>
      <c r="P3" t="str">
        <f ca="1">IFERROR(__xludf.DUMMYFUNCTION("""COMPUTED_VALUE"""),"")</f>
        <v/>
      </c>
      <c r="Q3" s="5" t="str">
        <f ca="1">IFERROR(__xludf.DUMMYFUNCTION("""COMPUTED_VALUE"""),"")</f>
        <v/>
      </c>
      <c r="R3" s="6" t="str">
        <f ca="1">IFERROR(__xludf.DUMMYFUNCTION("""COMPUTED_VALUE"""),"")</f>
        <v/>
      </c>
      <c r="S3" t="str">
        <f ca="1">IFERROR(__xludf.DUMMYFUNCTION("""COMPUTED_VALUE"""),"")</f>
        <v/>
      </c>
      <c r="T3" t="str">
        <f ca="1">IFERROR(__xludf.DUMMYFUNCTION("""COMPUTED_VALUE"""),"")</f>
        <v/>
      </c>
      <c r="U3" t="str">
        <f ca="1">IFERROR(__xludf.DUMMYFUNCTION("""COMPUTED_VALUE"""),"")</f>
        <v/>
      </c>
      <c r="V3" t="str">
        <f ca="1">IFERROR(__xludf.DUMMYFUNCTION("""COMPUTED_VALUE"""),"")</f>
        <v/>
      </c>
      <c r="W3" t="str">
        <f ca="1">IFERROR(__xludf.DUMMYFUNCTION("""COMPUTED_VALUE"""),"R3")</f>
        <v>R3</v>
      </c>
      <c r="X3" t="str">
        <f ca="1">IFERROR(__xludf.DUMMYFUNCTION("""COMPUTED_VALUE"""),"Pricer &lt;8Go")</f>
        <v>Pricer &lt;8Go</v>
      </c>
      <c r="Y3" t="str">
        <f ca="1">IFERROR(__xludf.DUMMYFUNCTION("""COMPUTED_VALUE"""),"")</f>
        <v/>
      </c>
      <c r="Z3" t="str">
        <f ca="1">IFERROR(__xludf.DUMMYFUNCTION("""COMPUTED_VALUE"""),"")</f>
        <v/>
      </c>
      <c r="AA3" t="str">
        <f ca="1">IFERROR(__xludf.DUMMYFUNCTION("""COMPUTED_VALUE"""),"Pas de commande")</f>
        <v>Pas de commande</v>
      </c>
      <c r="AB3" s="8" t="str">
        <f ca="1">IFERROR(__xludf.DUMMYFUNCTION("""COMPUTED_VALUE"""),"")</f>
        <v/>
      </c>
      <c r="AC3" s="8" t="str">
        <f ca="1">IFERROR(__xludf.DUMMYFUNCTION("""COMPUTED_VALUE"""),"")</f>
        <v/>
      </c>
      <c r="AD3" s="11" t="str">
        <f ca="1">IFERROR(__xludf.DUMMYFUNCTION("""COMPUTED_VALUE"""),"")</f>
        <v/>
      </c>
      <c r="AE3" t="str">
        <f ca="1">IFERROR(__xludf.DUMMYFUNCTION("""COMPUTED_VALUE"""),"")</f>
        <v/>
      </c>
    </row>
    <row r="4" spans="1:31" ht="15.75" customHeight="1" x14ac:dyDescent="0.2">
      <c r="A4">
        <f ca="1">IFERROR(__xludf.DUMMYFUNCTION("""COMPUTED_VALUE"""),23798)</f>
        <v>23798</v>
      </c>
      <c r="B4" t="str">
        <f ca="1">IFERROR(__xludf.DUMMYFUNCTION("""COMPUTED_VALUE"""),"ABLIS")</f>
        <v>ABLIS</v>
      </c>
      <c r="C4" t="str">
        <f ca="1">IFERROR(__xludf.DUMMYFUNCTION("""COMPUTED_VALUE"""),"U Express")</f>
        <v>U Express</v>
      </c>
      <c r="D4" t="str">
        <f ca="1">IFERROR(__xludf.DUMMYFUNCTION("""COMPUTED_VALUE"""),"Coop U Enseigne NordOuest")</f>
        <v>Coop U Enseigne NordOuest</v>
      </c>
      <c r="E4">
        <f ca="1">IFERROR(__xludf.DUMMYFUNCTION("""COMPUTED_VALUE"""),78660)</f>
        <v>78660</v>
      </c>
      <c r="F4" t="str">
        <f ca="1">IFERROR(__xludf.DUMMYFUNCTION("""COMPUTED_VALUE"""),"1 &amp; 3 RUE DE BOINVILLE")</f>
        <v>1 &amp; 3 RUE DE BOINVILLE</v>
      </c>
      <c r="G4" t="str">
        <f ca="1">IFERROR(__xludf.DUMMYFUNCTION("""COMPUTED_VALUE"""),"01.30.88.04.38")</f>
        <v>01.30.88.04.38</v>
      </c>
      <c r="H4" t="str">
        <f ca="1">IFERROR(__xludf.DUMMYFUNCTION("""COMPUTED_VALUE"""),"LANDEMAINE Bruno")</f>
        <v>LANDEMAINE Bruno</v>
      </c>
      <c r="I4" t="str">
        <f ca="1">IFERROR(__xludf.DUMMYFUNCTION("""COMPUTED_VALUE"""),"bruno.landemaine@systeme-u.fr")</f>
        <v>bruno.landemaine@systeme-u.fr</v>
      </c>
      <c r="J4" t="str">
        <f ca="1">IFERROR(__xludf.DUMMYFUNCTION("""COMPUTED_VALUE"""),"Mr Landemaine Bruno")</f>
        <v>Mr Landemaine Bruno</v>
      </c>
      <c r="K4" t="str">
        <f ca="1">IFERROR(__xludf.DUMMYFUNCTION("""COMPUTED_VALUE"""),"")</f>
        <v/>
      </c>
      <c r="L4" t="str">
        <f ca="1">IFERROR(__xludf.DUMMYFUNCTION("""COMPUTED_VALUE"""),"")</f>
        <v/>
      </c>
      <c r="M4" t="str">
        <f ca="1">IFERROR(__xludf.DUMMYFUNCTION("""COMPUTED_VALUE"""),"99.Hors Périmetre")</f>
        <v>99.Hors Périmetre</v>
      </c>
      <c r="N4" t="str">
        <f ca="1">IFERROR(__xludf.DUMMYFUNCTION("""COMPUTED_VALUE"""),"")</f>
        <v/>
      </c>
      <c r="O4" t="str">
        <f ca="1">IFERROR(__xludf.DUMMYFUNCTION("""COMPUTED_VALUE"""),"")</f>
        <v/>
      </c>
      <c r="P4" t="str">
        <f ca="1">IFERROR(__xludf.DUMMYFUNCTION("""COMPUTED_VALUE"""),"")</f>
        <v/>
      </c>
      <c r="Q4" s="5" t="str">
        <f ca="1">IFERROR(__xludf.DUMMYFUNCTION("""COMPUTED_VALUE"""),"")</f>
        <v/>
      </c>
      <c r="R4" s="6" t="str">
        <f ca="1">IFERROR(__xludf.DUMMYFUNCTION("""COMPUTED_VALUE"""),"")</f>
        <v/>
      </c>
      <c r="S4" t="str">
        <f ca="1">IFERROR(__xludf.DUMMYFUNCTION("""COMPUTED_VALUE"""),"")</f>
        <v/>
      </c>
      <c r="T4" t="str">
        <f ca="1">IFERROR(__xludf.DUMMYFUNCTION("""COMPUTED_VALUE"""),"")</f>
        <v/>
      </c>
      <c r="U4" t="str">
        <f ca="1">IFERROR(__xludf.DUMMYFUNCTION("""COMPUTED_VALUE"""),"")</f>
        <v/>
      </c>
      <c r="V4" t="str">
        <f ca="1">IFERROR(__xludf.DUMMYFUNCTION("""COMPUTED_VALUE"""),"")</f>
        <v/>
      </c>
      <c r="W4" t="str">
        <f ca="1">IFERROR(__xludf.DUMMYFUNCTION("""COMPUTED_VALUE"""),"")</f>
        <v/>
      </c>
      <c r="X4" t="str">
        <f ca="1">IFERROR(__xludf.DUMMYFUNCTION("""COMPUTED_VALUE"""),"")</f>
        <v/>
      </c>
      <c r="Y4" t="str">
        <f ca="1">IFERROR(__xludf.DUMMYFUNCTION("""COMPUTED_VALUE"""),"")</f>
        <v/>
      </c>
      <c r="Z4" t="str">
        <f ca="1">IFERROR(__xludf.DUMMYFUNCTION("""COMPUTED_VALUE"""),"")</f>
        <v/>
      </c>
      <c r="AA4" t="str">
        <f ca="1">IFERROR(__xludf.DUMMYFUNCTION("""COMPUTED_VALUE"""),"Pas de commande")</f>
        <v>Pas de commande</v>
      </c>
      <c r="AB4" s="8" t="str">
        <f ca="1">IFERROR(__xludf.DUMMYFUNCTION("""COMPUTED_VALUE"""),"")</f>
        <v/>
      </c>
      <c r="AC4" s="8" t="str">
        <f ca="1">IFERROR(__xludf.DUMMYFUNCTION("""COMPUTED_VALUE"""),"")</f>
        <v/>
      </c>
      <c r="AD4" s="11" t="str">
        <f ca="1">IFERROR(__xludf.DUMMYFUNCTION("""COMPUTED_VALUE"""),"")</f>
        <v/>
      </c>
      <c r="AE4" t="str">
        <f ca="1">IFERROR(__xludf.DUMMYFUNCTION("""COMPUTED_VALUE"""),"")</f>
        <v/>
      </c>
    </row>
    <row r="5" spans="1:31" ht="15.75" customHeight="1" x14ac:dyDescent="0.2">
      <c r="A5">
        <f ca="1">IFERROR(__xludf.DUMMYFUNCTION("""COMPUTED_VALUE"""),90503)</f>
        <v>90503</v>
      </c>
      <c r="B5" t="str">
        <f ca="1">IFERROR(__xludf.DUMMYFUNCTION("""COMPUTED_VALUE"""),"AGAY CAP ESTEREL")</f>
        <v>AGAY CAP ESTEREL</v>
      </c>
      <c r="C5" t="str">
        <f ca="1">IFERROR(__xludf.DUMMYFUNCTION("""COMPUTED_VALUE"""),"U Express")</f>
        <v>U Express</v>
      </c>
      <c r="D5" t="str">
        <f ca="1">IFERROR(__xludf.DUMMYFUNCTION("""COMPUTED_VALUE"""),"Coop U Enseigne Sud")</f>
        <v>Coop U Enseigne Sud</v>
      </c>
      <c r="E5">
        <f ca="1">IFERROR(__xludf.DUMMYFUNCTION("""COMPUTED_VALUE"""),83530)</f>
        <v>83530</v>
      </c>
      <c r="F5" t="str">
        <f ca="1">IFERROR(__xludf.DUMMYFUNCTION("""COMPUTED_VALUE"""),"U EXPRESS CAP ESTEREL")</f>
        <v>U EXPRESS CAP ESTEREL</v>
      </c>
      <c r="G5" t="str">
        <f ca="1">IFERROR(__xludf.DUMMYFUNCTION("""COMPUTED_VALUE"""),"04.94.82.12.50")</f>
        <v>04.94.82.12.50</v>
      </c>
      <c r="H5" t="str">
        <f ca="1">IFERROR(__xludf.DUMMYFUNCTION("""COMPUTED_VALUE"""),"")</f>
        <v/>
      </c>
      <c r="I5" t="str">
        <f ca="1">IFERROR(__xludf.DUMMYFUNCTION("""COMPUTED_VALUE"""),"pascal.ducastel@systeme-u.fr")</f>
        <v>pascal.ducastel@systeme-u.fr</v>
      </c>
      <c r="J5" t="str">
        <f ca="1">IFERROR(__xludf.DUMMYFUNCTION("""COMPUTED_VALUE"""),"Mr Licata")</f>
        <v>Mr Licata</v>
      </c>
      <c r="K5" t="str">
        <f ca="1">IFERROR(__xludf.DUMMYFUNCTION("""COMPUTED_VALUE"""),"a.licata@pacapart.fr")</f>
        <v>a.licata@pacapart.fr</v>
      </c>
      <c r="L5" t="str">
        <f ca="1">IFERROR(__xludf.DUMMYFUNCTION("""COMPUTED_VALUE"""),"")</f>
        <v/>
      </c>
      <c r="M5" t="str">
        <f ca="1">IFERROR(__xludf.DUMMYFUNCTION("""COMPUTED_VALUE"""),"99.Hors Périmetre")</f>
        <v>99.Hors Périmetre</v>
      </c>
      <c r="N5" t="str">
        <f ca="1">IFERROR(__xludf.DUMMYFUNCTION("""COMPUTED_VALUE"""),"")</f>
        <v/>
      </c>
      <c r="O5" t="str">
        <f ca="1">IFERROR(__xludf.DUMMYFUNCTION("""COMPUTED_VALUE"""),"28/05 LMA : Il veut ajouter le serveur pilote et le serveur pricer et Berkel sur l'USB. Attend un devis. Ils se sont acheté un nouveau serveur pour les applications compta et paie. Le serveur pilote de st raphael est celui de HU les arcs. Souhaite être """&amp;"pilote"" pour le projet Satellite
20/07 BBL : Pricer informé du projet du magasin. Point de contact est Mr Licata 06 43 11 37 16.
15/11 - FRI : Application du patch PiloteV3.exe ""Thouaré""")</f>
        <v>28/05 LMA : Il veut ajouter le serveur pilote et le serveur pricer et Berkel sur l'USB. Attend un devis. Ils se sont acheté un nouveau serveur pour les applications compta et paie. Le serveur pilote de st raphael est celui de HU les arcs. Souhaite être "pilote" pour le projet Satellite
20/07 BBL : Pricer informé du projet du magasin. Point de contact est Mr Licata 06 43 11 37 16.
15/11 - FRI : Application du patch PiloteV3.exe "Thouaré"</v>
      </c>
      <c r="P5" t="str">
        <f ca="1">IFERROR(__xludf.DUMMYFUNCTION("""COMPUTED_VALUE"""),"")</f>
        <v/>
      </c>
      <c r="Q5" s="5" t="str">
        <f ca="1">IFERROR(__xludf.DUMMYFUNCTION("""COMPUTED_VALUE"""),"")</f>
        <v/>
      </c>
      <c r="R5" s="6" t="str">
        <f ca="1">IFERROR(__xludf.DUMMYFUNCTION("""COMPUTED_VALUE"""),"")</f>
        <v/>
      </c>
      <c r="S5" t="str">
        <f ca="1">IFERROR(__xludf.DUMMYFUNCTION("""COMPUTED_VALUE"""),"")</f>
        <v/>
      </c>
      <c r="T5" t="str">
        <f ca="1">IFERROR(__xludf.DUMMYFUNCTION("""COMPUTED_VALUE"""),"")</f>
        <v/>
      </c>
      <c r="U5" t="str">
        <f ca="1">IFERROR(__xludf.DUMMYFUNCTION("""COMPUTED_VALUE"""),"")</f>
        <v/>
      </c>
      <c r="V5" t="str">
        <f ca="1">IFERROR(__xludf.DUMMYFUNCTION("""COMPUTED_VALUE"""),"")</f>
        <v/>
      </c>
      <c r="W5" t="str">
        <f ca="1">IFERROR(__xludf.DUMMYFUNCTION("""COMPUTED_VALUE"""),"")</f>
        <v/>
      </c>
      <c r="X5" t="str">
        <f ca="1">IFERROR(__xludf.DUMMYFUNCTION("""COMPUTED_VALUE"""),"")</f>
        <v/>
      </c>
      <c r="Y5" t="str">
        <f ca="1">IFERROR(__xludf.DUMMYFUNCTION("""COMPUTED_VALUE"""),"")</f>
        <v/>
      </c>
      <c r="Z5" t="str">
        <f ca="1">IFERROR(__xludf.DUMMYFUNCTION("""COMPUTED_VALUE"""),"")</f>
        <v/>
      </c>
      <c r="AA5" t="str">
        <f ca="1">IFERROR(__xludf.DUMMYFUNCTION("""COMPUTED_VALUE"""),"Pas de commande")</f>
        <v>Pas de commande</v>
      </c>
      <c r="AB5" s="8" t="str">
        <f ca="1">IFERROR(__xludf.DUMMYFUNCTION("""COMPUTED_VALUE"""),"")</f>
        <v/>
      </c>
      <c r="AC5" s="8" t="str">
        <f ca="1">IFERROR(__xludf.DUMMYFUNCTION("""COMPUTED_VALUE"""),"")</f>
        <v/>
      </c>
      <c r="AD5" s="11" t="str">
        <f ca="1">IFERROR(__xludf.DUMMYFUNCTION("""COMPUTED_VALUE"""),"")</f>
        <v/>
      </c>
      <c r="AE5" t="str">
        <f ca="1">IFERROR(__xludf.DUMMYFUNCTION("""COMPUTED_VALUE"""),"")</f>
        <v/>
      </c>
    </row>
    <row r="6" spans="1:31" ht="15.75" customHeight="1" x14ac:dyDescent="0.2">
      <c r="A6">
        <f ca="1">IFERROR(__xludf.DUMMYFUNCTION("""COMPUTED_VALUE"""),90434)</f>
        <v>90434</v>
      </c>
      <c r="B6" t="str">
        <f ca="1">IFERROR(__xludf.DUMMYFUNCTION("""COMPUTED_VALUE"""),"AGDE")</f>
        <v>AGDE</v>
      </c>
      <c r="C6" t="str">
        <f ca="1">IFERROR(__xludf.DUMMYFUNCTION("""COMPUTED_VALUE"""),"Hyper U")</f>
        <v>Hyper U</v>
      </c>
      <c r="D6" t="str">
        <f ca="1">IFERROR(__xludf.DUMMYFUNCTION("""COMPUTED_VALUE"""),"Coop U Enseigne Sud")</f>
        <v>Coop U Enseigne Sud</v>
      </c>
      <c r="E6">
        <f ca="1">IFERROR(__xludf.DUMMYFUNCTION("""COMPUTED_VALUE"""),34300)</f>
        <v>34300</v>
      </c>
      <c r="F6" t="str">
        <f ca="1">IFERROR(__xludf.DUMMYFUNCTION("""COMPUTED_VALUE"""),"BD MAURICE PACULL RN112")</f>
        <v>BD MAURICE PACULL RN112</v>
      </c>
      <c r="G6" t="str">
        <f ca="1">IFERROR(__xludf.DUMMYFUNCTION("""COMPUTED_VALUE"""),"04.67.01.06.80")</f>
        <v>04.67.01.06.80</v>
      </c>
      <c r="H6" t="str">
        <f ca="1">IFERROR(__xludf.DUMMYFUNCTION("""COMPUTED_VALUE"""),"PROU Sébastien")</f>
        <v>PROU Sébastien</v>
      </c>
      <c r="I6" t="str">
        <f ca="1">IFERROR(__xludf.DUMMYFUNCTION("""COMPUTED_VALUE"""),"sebastien.prou@systeme-u.fr")</f>
        <v>sebastien.prou@systeme-u.fr</v>
      </c>
      <c r="J6" t="str">
        <f ca="1">IFERROR(__xludf.DUMMYFUNCTION("""COMPUTED_VALUE"""),"M. Jean-Michel EZRATI")</f>
        <v>M. Jean-Michel EZRATI</v>
      </c>
      <c r="K6" t="str">
        <f ca="1">IFERROR(__xludf.DUMMYFUNCTION("""COMPUTED_VALUE"""),"hyperu.agde.controlegestion@systeme-u.fr")</f>
        <v>hyperu.agde.controlegestion@systeme-u.fr</v>
      </c>
      <c r="L6" t="str">
        <f ca="1">IFERROR(__xludf.DUMMYFUNCTION("""COMPUTED_VALUE"""),"Standard")</f>
        <v>Standard</v>
      </c>
      <c r="M6" t="str">
        <f ca="1">IFERROR(__xludf.DUMMYFUNCTION("""COMPUTED_VALUE"""),"4. Refus PDV")</f>
        <v>4. Refus PDV</v>
      </c>
      <c r="N6" t="str">
        <f ca="1">IFERROR(__xludf.DUMMYFUNCTION("""COMPUTED_VALUE"""),"")</f>
        <v/>
      </c>
      <c r="O6" t="str">
        <f ca="1">IFERROR(__xludf.DUMMYFUNCTION("""COMPUTED_VALUE"""),"")</f>
        <v/>
      </c>
      <c r="P6" t="str">
        <f ca="1">IFERROR(__xludf.DUMMYFUNCTION("""COMPUTED_VALUE"""),"")</f>
        <v/>
      </c>
      <c r="Q6" s="5" t="str">
        <f ca="1">IFERROR(__xludf.DUMMYFUNCTION("""COMPUTED_VALUE"""),"")</f>
        <v/>
      </c>
      <c r="R6" s="6" t="str">
        <f ca="1">IFERROR(__xludf.DUMMYFUNCTION("""COMPUTED_VALUE"""),"")</f>
        <v/>
      </c>
      <c r="S6" t="str">
        <f ca="1">IFERROR(__xludf.DUMMYFUNCTION("""COMPUTED_VALUE"""),"")</f>
        <v/>
      </c>
      <c r="T6" t="str">
        <f ca="1">IFERROR(__xludf.DUMMYFUNCTION("""COMPUTED_VALUE"""),"")</f>
        <v/>
      </c>
      <c r="U6" t="str">
        <f ca="1">IFERROR(__xludf.DUMMYFUNCTION("""COMPUTED_VALUE"""),"")</f>
        <v/>
      </c>
      <c r="V6" t="str">
        <f ca="1">IFERROR(__xludf.DUMMYFUNCTION("""COMPUTED_VALUE"""),"")</f>
        <v/>
      </c>
      <c r="W6" t="str">
        <f ca="1">IFERROR(__xludf.DUMMYFUNCTION("""COMPUTED_VALUE"""),"R5")</f>
        <v>R5</v>
      </c>
      <c r="X6" t="str">
        <f ca="1">IFERROR(__xludf.DUMMYFUNCTION("""COMPUTED_VALUE"""),"Pricer")</f>
        <v>Pricer</v>
      </c>
      <c r="Y6" t="str">
        <f ca="1">IFERROR(__xludf.DUMMYFUNCTION("""COMPUTED_VALUE"""),"")</f>
        <v/>
      </c>
      <c r="Z6" t="str">
        <f ca="1">IFERROR(__xludf.DUMMYFUNCTION("""COMPUTED_VALUE"""),"")</f>
        <v/>
      </c>
      <c r="AA6" t="str">
        <f ca="1">IFERROR(__xludf.DUMMYFUNCTION("""COMPUTED_VALUE"""),"Pas de commande")</f>
        <v>Pas de commande</v>
      </c>
      <c r="AB6" s="8" t="str">
        <f ca="1">IFERROR(__xludf.DUMMYFUNCTION("""COMPUTED_VALUE"""),"")</f>
        <v/>
      </c>
      <c r="AC6" s="8" t="str">
        <f ca="1">IFERROR(__xludf.DUMMYFUNCTION("""COMPUTED_VALUE"""),"")</f>
        <v/>
      </c>
      <c r="AD6" s="11" t="str">
        <f ca="1">IFERROR(__xludf.DUMMYFUNCTION("""COMPUTED_VALUE"""),"")</f>
        <v/>
      </c>
      <c r="AE6" t="str">
        <f ca="1">IFERROR(__xludf.DUMMYFUNCTION("""COMPUTED_VALUE"""),"")</f>
        <v/>
      </c>
    </row>
    <row r="7" spans="1:31" ht="15.75" customHeight="1" x14ac:dyDescent="0.2">
      <c r="A7">
        <f ca="1">IFERROR(__xludf.DUMMYFUNCTION("""COMPUTED_VALUE"""),95468)</f>
        <v>95468</v>
      </c>
      <c r="B7" t="str">
        <f ca="1">IFERROR(__xludf.DUMMYFUNCTION("""COMPUTED_VALUE"""),"AGEN")</f>
        <v>AGEN</v>
      </c>
      <c r="C7" t="str">
        <f ca="1">IFERROR(__xludf.DUMMYFUNCTION("""COMPUTED_VALUE"""),"U Express")</f>
        <v>U Express</v>
      </c>
      <c r="D7" t="str">
        <f ca="1">IFERROR(__xludf.DUMMYFUNCTION("""COMPUTED_VALUE"""),"Coop UPSO")</f>
        <v>Coop UPSO</v>
      </c>
      <c r="E7">
        <f ca="1">IFERROR(__xludf.DUMMYFUNCTION("""COMPUTED_VALUE"""),47000)</f>
        <v>47000</v>
      </c>
      <c r="F7" t="str">
        <f ca="1">IFERROR(__xludf.DUMMYFUNCTION("""COMPUTED_VALUE"""),"25 RUE ROLAND GOUMY")</f>
        <v>25 RUE ROLAND GOUMY</v>
      </c>
      <c r="G7" t="str">
        <f ca="1">IFERROR(__xludf.DUMMYFUNCTION("""COMPUTED_VALUE"""),"05.53.99.55.55")</f>
        <v>05.53.99.55.55</v>
      </c>
      <c r="H7" t="str">
        <f ca="1">IFERROR(__xludf.DUMMYFUNCTION("""COMPUTED_VALUE"""),"BOISARD Isabelle et Philippe")</f>
        <v>BOISARD Isabelle et Philippe</v>
      </c>
      <c r="I7" t="str">
        <f ca="1">IFERROR(__xludf.DUMMYFUNCTION("""COMPUTED_VALUE"""),"philippe.boisard@systeme-u.fr")</f>
        <v>philippe.boisard@systeme-u.fr</v>
      </c>
      <c r="J7" t="str">
        <f ca="1">IFERROR(__xludf.DUMMYFUNCTION("""COMPUTED_VALUE"""),"Mme Boisard")</f>
        <v>Mme Boisard</v>
      </c>
      <c r="K7" t="str">
        <f ca="1">IFERROR(__xludf.DUMMYFUNCTION("""COMPUTED_VALUE"""),"uexpress.agen@systeme-u.fr")</f>
        <v>uexpress.agen@systeme-u.fr</v>
      </c>
      <c r="L7" t="str">
        <f ca="1">IFERROR(__xludf.DUMMYFUNCTION("""COMPUTED_VALUE"""),"Standard")</f>
        <v>Standard</v>
      </c>
      <c r="M7" t="str">
        <f ca="1">IFERROR(__xludf.DUMMYFUNCTION("""COMPUTED_VALUE"""),"0. Non démarré")</f>
        <v>0. Non démarré</v>
      </c>
      <c r="N7" t="str">
        <f ca="1">IFERROR(__xludf.DUMMYFUNCTION("""COMPUTED_VALUE"""),"")</f>
        <v/>
      </c>
      <c r="O7" t="str">
        <f ca="1">IFERROR(__xludf.DUMMYFUNCTION("""COMPUTED_VALUE"""),"")</f>
        <v/>
      </c>
      <c r="P7" t="str">
        <f ca="1">IFERROR(__xludf.DUMMYFUNCTION("""COMPUTED_VALUE"""),"")</f>
        <v/>
      </c>
      <c r="Q7" s="5" t="str">
        <f ca="1">IFERROR(__xludf.DUMMYFUNCTION("""COMPUTED_VALUE"""),"")</f>
        <v/>
      </c>
      <c r="R7" s="6" t="str">
        <f ca="1">IFERROR(__xludf.DUMMYFUNCTION("""COMPUTED_VALUE"""),"")</f>
        <v/>
      </c>
      <c r="S7" t="str">
        <f ca="1">IFERROR(__xludf.DUMMYFUNCTION("""COMPUTED_VALUE"""),"")</f>
        <v/>
      </c>
      <c r="T7" t="str">
        <f ca="1">IFERROR(__xludf.DUMMYFUNCTION("""COMPUTED_VALUE"""),"")</f>
        <v/>
      </c>
      <c r="U7" t="str">
        <f ca="1">IFERROR(__xludf.DUMMYFUNCTION("""COMPUTED_VALUE"""),"")</f>
        <v/>
      </c>
      <c r="V7" t="str">
        <f ca="1">IFERROR(__xludf.DUMMYFUNCTION("""COMPUTED_VALUE"""),"")</f>
        <v/>
      </c>
      <c r="W7" t="str">
        <f ca="1">IFERROR(__xludf.DUMMYFUNCTION("""COMPUTED_VALUE"""),"R5")</f>
        <v>R5</v>
      </c>
      <c r="X7" t="str">
        <f ca="1">IFERROR(__xludf.DUMMYFUNCTION("""COMPUTED_VALUE"""),"Pricer")</f>
        <v>Pricer</v>
      </c>
      <c r="Y7" t="str">
        <f ca="1">IFERROR(__xludf.DUMMYFUNCTION("""COMPUTED_VALUE"""),"")</f>
        <v/>
      </c>
      <c r="Z7" t="str">
        <f ca="1">IFERROR(__xludf.DUMMYFUNCTION("""COMPUTED_VALUE"""),"")</f>
        <v/>
      </c>
      <c r="AA7" t="str">
        <f ca="1">IFERROR(__xludf.DUMMYFUNCTION("""COMPUTED_VALUE"""),"Pas de commande")</f>
        <v>Pas de commande</v>
      </c>
      <c r="AB7" s="8" t="str">
        <f ca="1">IFERROR(__xludf.DUMMYFUNCTION("""COMPUTED_VALUE"""),"")</f>
        <v/>
      </c>
      <c r="AC7" s="8" t="str">
        <f ca="1">IFERROR(__xludf.DUMMYFUNCTION("""COMPUTED_VALUE"""),"")</f>
        <v/>
      </c>
      <c r="AD7" s="11" t="str">
        <f ca="1">IFERROR(__xludf.DUMMYFUNCTION("""COMPUTED_VALUE"""),"")</f>
        <v/>
      </c>
      <c r="AE7" t="str">
        <f ca="1">IFERROR(__xludf.DUMMYFUNCTION("""COMPUTED_VALUE"""),"")</f>
        <v/>
      </c>
    </row>
    <row r="8" spans="1:31" ht="15.75" customHeight="1" x14ac:dyDescent="0.2">
      <c r="A8">
        <f ca="1">IFERROR(__xludf.DUMMYFUNCTION("""COMPUTED_VALUE"""),20051)</f>
        <v>20051</v>
      </c>
      <c r="B8" t="str">
        <f ca="1">IFERROR(__xludf.DUMMYFUNCTION("""COMPUTED_VALUE"""),"AGON COUTAINVILLE")</f>
        <v>AGON COUTAINVILLE</v>
      </c>
      <c r="C8" t="str">
        <f ca="1">IFERROR(__xludf.DUMMYFUNCTION("""COMPUTED_VALUE"""),"U Express")</f>
        <v>U Express</v>
      </c>
      <c r="D8" t="str">
        <f ca="1">IFERROR(__xludf.DUMMYFUNCTION("""COMPUTED_VALUE"""),"Coop U Enseigne NordOuest")</f>
        <v>Coop U Enseigne NordOuest</v>
      </c>
      <c r="E8">
        <f ca="1">IFERROR(__xludf.DUMMYFUNCTION("""COMPUTED_VALUE"""),50230)</f>
        <v>50230</v>
      </c>
      <c r="F8" t="str">
        <f ca="1">IFERROR(__xludf.DUMMYFUNCTION("""COMPUTED_VALUE"""),"RUE DU RUET DU GOULOT")</f>
        <v>RUE DU RUET DU GOULOT</v>
      </c>
      <c r="G8" t="str">
        <f ca="1">IFERROR(__xludf.DUMMYFUNCTION("""COMPUTED_VALUE"""),"02.33.46.26.13")</f>
        <v>02.33.46.26.13</v>
      </c>
      <c r="H8" t="str">
        <f ca="1">IFERROR(__xludf.DUMMYFUNCTION("""COMPUTED_VALUE"""),"DE MONDESIR Eric et Carole")</f>
        <v>DE MONDESIR Eric et Carole</v>
      </c>
      <c r="I8" t="str">
        <f ca="1">IFERROR(__xludf.DUMMYFUNCTION("""COMPUTED_VALUE"""),"eric.demondesir@systeme-u.fr")</f>
        <v>eric.demondesir@systeme-u.fr</v>
      </c>
      <c r="J8" t="str">
        <f ca="1">IFERROR(__xludf.DUMMYFUNCTION("""COMPUTED_VALUE"""),"M. dE MONDESIR LEO")</f>
        <v>M. dE MONDESIR LEO</v>
      </c>
      <c r="K8" t="str">
        <f ca="1">IFERROR(__xludf.DUMMYFUNCTION("""COMPUTED_VALUE"""),"leo.demondesir@systeme-u.fr")</f>
        <v>leo.demondesir@systeme-u.fr</v>
      </c>
      <c r="L8" t="str">
        <f ca="1">IFERROR(__xludf.DUMMYFUNCTION("""COMPUTED_VALUE"""),"")</f>
        <v/>
      </c>
      <c r="M8" t="str">
        <f ca="1">IFERROR(__xludf.DUMMYFUNCTION("""COMPUTED_VALUE"""),"99.Hors Périmetre")</f>
        <v>99.Hors Périmetre</v>
      </c>
      <c r="N8" t="str">
        <f ca="1">IFERROR(__xludf.DUMMYFUNCTION("""COMPUTED_VALUE"""),"")</f>
        <v/>
      </c>
      <c r="O8" t="str">
        <f ca="1">IFERROR(__xludf.DUMMYFUNCTION("""COMPUTED_VALUE"""),"")</f>
        <v/>
      </c>
      <c r="P8" t="str">
        <f ca="1">IFERROR(__xludf.DUMMYFUNCTION("""COMPUTED_VALUE"""),"")</f>
        <v/>
      </c>
      <c r="Q8" s="5" t="str">
        <f ca="1">IFERROR(__xludf.DUMMYFUNCTION("""COMPUTED_VALUE"""),"")</f>
        <v/>
      </c>
      <c r="R8" s="6" t="str">
        <f ca="1">IFERROR(__xludf.DUMMYFUNCTION("""COMPUTED_VALUE"""),"")</f>
        <v/>
      </c>
      <c r="S8" t="str">
        <f ca="1">IFERROR(__xludf.DUMMYFUNCTION("""COMPUTED_VALUE"""),"")</f>
        <v/>
      </c>
      <c r="T8" t="str">
        <f ca="1">IFERROR(__xludf.DUMMYFUNCTION("""COMPUTED_VALUE"""),"")</f>
        <v/>
      </c>
      <c r="U8" t="str">
        <f ca="1">IFERROR(__xludf.DUMMYFUNCTION("""COMPUTED_VALUE"""),"")</f>
        <v/>
      </c>
      <c r="V8" t="str">
        <f ca="1">IFERROR(__xludf.DUMMYFUNCTION("""COMPUTED_VALUE"""),"")</f>
        <v/>
      </c>
      <c r="W8" t="str">
        <f ca="1">IFERROR(__xludf.DUMMYFUNCTION("""COMPUTED_VALUE"""),"")</f>
        <v/>
      </c>
      <c r="X8" t="str">
        <f ca="1">IFERROR(__xludf.DUMMYFUNCTION("""COMPUTED_VALUE"""),"")</f>
        <v/>
      </c>
      <c r="Y8" t="str">
        <f ca="1">IFERROR(__xludf.DUMMYFUNCTION("""COMPUTED_VALUE"""),"")</f>
        <v/>
      </c>
      <c r="Z8" t="str">
        <f ca="1">IFERROR(__xludf.DUMMYFUNCTION("""COMPUTED_VALUE"""),"")</f>
        <v/>
      </c>
      <c r="AA8" t="str">
        <f ca="1">IFERROR(__xludf.DUMMYFUNCTION("""COMPUTED_VALUE"""),"Pas de commande")</f>
        <v>Pas de commande</v>
      </c>
      <c r="AB8" s="8" t="str">
        <f ca="1">IFERROR(__xludf.DUMMYFUNCTION("""COMPUTED_VALUE"""),"")</f>
        <v/>
      </c>
      <c r="AC8" s="8" t="str">
        <f ca="1">IFERROR(__xludf.DUMMYFUNCTION("""COMPUTED_VALUE"""),"")</f>
        <v/>
      </c>
      <c r="AD8" s="11" t="str">
        <f ca="1">IFERROR(__xludf.DUMMYFUNCTION("""COMPUTED_VALUE"""),"")</f>
        <v/>
      </c>
      <c r="AE8" t="str">
        <f ca="1">IFERROR(__xludf.DUMMYFUNCTION("""COMPUTED_VALUE"""),"")</f>
        <v/>
      </c>
    </row>
    <row r="9" spans="1:31" ht="15.75" customHeight="1" x14ac:dyDescent="0.2">
      <c r="A9">
        <f ca="1">IFERROR(__xludf.DUMMYFUNCTION("""COMPUTED_VALUE"""),66073)</f>
        <v>66073</v>
      </c>
      <c r="B9" t="str">
        <f ca="1">IFERROR(__xludf.DUMMYFUNCTION("""COMPUTED_VALUE"""),"AIGUEBLANCHE")</f>
        <v>AIGUEBLANCHE</v>
      </c>
      <c r="C9" t="str">
        <f ca="1">IFERROR(__xludf.DUMMYFUNCTION("""COMPUTED_VALUE"""),"Super U")</f>
        <v>Super U</v>
      </c>
      <c r="D9" t="str">
        <f ca="1">IFERROR(__xludf.DUMMYFUNCTION("""COMPUTED_VALUE"""),"Coop U Enseigne Est")</f>
        <v>Coop U Enseigne Est</v>
      </c>
      <c r="E9">
        <f ca="1">IFERROR(__xludf.DUMMYFUNCTION("""COMPUTED_VALUE"""),73260)</f>
        <v>73260</v>
      </c>
      <c r="F9" t="str">
        <f ca="1">IFERROR(__xludf.DUMMYFUNCTION("""COMPUTED_VALUE"""),"ZAC DE LA PETITE PRAIRIE")</f>
        <v>ZAC DE LA PETITE PRAIRIE</v>
      </c>
      <c r="G9" t="str">
        <f ca="1">IFERROR(__xludf.DUMMYFUNCTION("""COMPUTED_VALUE"""),"04.79.24.23.14")</f>
        <v>04.79.24.23.14</v>
      </c>
      <c r="H9" t="str">
        <f ca="1">IFERROR(__xludf.DUMMYFUNCTION("""COMPUTED_VALUE"""),"PERDRISET Matthieu")</f>
        <v>PERDRISET Matthieu</v>
      </c>
      <c r="I9" t="str">
        <f ca="1">IFERROR(__xludf.DUMMYFUNCTION("""COMPUTED_VALUE"""),"matthieu.perdriset@systeme-u.fr")</f>
        <v>matthieu.perdriset@systeme-u.fr</v>
      </c>
      <c r="J9" t="str">
        <f ca="1">IFERROR(__xludf.DUMMYFUNCTION("""COMPUTED_VALUE"""),"")</f>
        <v/>
      </c>
      <c r="K9" t="str">
        <f ca="1">IFERROR(__xludf.DUMMYFUNCTION("""COMPUTED_VALUE"""),"")</f>
        <v/>
      </c>
      <c r="L9" t="str">
        <f ca="1">IFERROR(__xludf.DUMMYFUNCTION("""COMPUTED_VALUE"""),"")</f>
        <v/>
      </c>
      <c r="M9" t="str">
        <f ca="1">IFERROR(__xludf.DUMMYFUNCTION("""COMPUTED_VALUE"""),"99.Hors Périmetre")</f>
        <v>99.Hors Périmetre</v>
      </c>
      <c r="N9" t="str">
        <f ca="1">IFERROR(__xludf.DUMMYFUNCTION("""COMPUTED_VALUE"""),"")</f>
        <v/>
      </c>
      <c r="O9" t="str">
        <f ca="1">IFERROR(__xludf.DUMMYFUNCTION("""COMPUTED_VALUE"""),"")</f>
        <v/>
      </c>
      <c r="P9" t="str">
        <f ca="1">IFERROR(__xludf.DUMMYFUNCTION("""COMPUTED_VALUE"""),"")</f>
        <v/>
      </c>
      <c r="Q9" s="5" t="str">
        <f ca="1">IFERROR(__xludf.DUMMYFUNCTION("""COMPUTED_VALUE"""),"")</f>
        <v/>
      </c>
      <c r="R9" s="6" t="str">
        <f ca="1">IFERROR(__xludf.DUMMYFUNCTION("""COMPUTED_VALUE"""),"")</f>
        <v/>
      </c>
      <c r="S9" t="str">
        <f ca="1">IFERROR(__xludf.DUMMYFUNCTION("""COMPUTED_VALUE"""),"")</f>
        <v/>
      </c>
      <c r="T9" t="str">
        <f ca="1">IFERROR(__xludf.DUMMYFUNCTION("""COMPUTED_VALUE"""),"")</f>
        <v/>
      </c>
      <c r="U9" t="str">
        <f ca="1">IFERROR(__xludf.DUMMYFUNCTION("""COMPUTED_VALUE"""),"")</f>
        <v/>
      </c>
      <c r="V9" t="str">
        <f ca="1">IFERROR(__xludf.DUMMYFUNCTION("""COMPUTED_VALUE"""),"")</f>
        <v/>
      </c>
      <c r="W9" t="str">
        <f ca="1">IFERROR(__xludf.DUMMYFUNCTION("""COMPUTED_VALUE"""),"")</f>
        <v/>
      </c>
      <c r="X9" t="str">
        <f ca="1">IFERROR(__xludf.DUMMYFUNCTION("""COMPUTED_VALUE"""),"")</f>
        <v/>
      </c>
      <c r="Y9" t="str">
        <f ca="1">IFERROR(__xludf.DUMMYFUNCTION("""COMPUTED_VALUE"""),"")</f>
        <v/>
      </c>
      <c r="Z9" t="str">
        <f ca="1">IFERROR(__xludf.DUMMYFUNCTION("""COMPUTED_VALUE"""),"")</f>
        <v/>
      </c>
      <c r="AA9" t="str">
        <f ca="1">IFERROR(__xludf.DUMMYFUNCTION("""COMPUTED_VALUE"""),"Pas de commande")</f>
        <v>Pas de commande</v>
      </c>
      <c r="AB9" s="8" t="str">
        <f ca="1">IFERROR(__xludf.DUMMYFUNCTION("""COMPUTED_VALUE"""),"")</f>
        <v/>
      </c>
      <c r="AC9" s="8" t="str">
        <f ca="1">IFERROR(__xludf.DUMMYFUNCTION("""COMPUTED_VALUE"""),"")</f>
        <v/>
      </c>
      <c r="AD9" s="11" t="str">
        <f ca="1">IFERROR(__xludf.DUMMYFUNCTION("""COMPUTED_VALUE"""),"")</f>
        <v/>
      </c>
      <c r="AE9" t="str">
        <f ca="1">IFERROR(__xludf.DUMMYFUNCTION("""COMPUTED_VALUE"""),"")</f>
        <v/>
      </c>
    </row>
    <row r="10" spans="1:31" ht="15.75" customHeight="1" x14ac:dyDescent="0.2">
      <c r="A10">
        <f ca="1">IFERROR(__xludf.DUMMYFUNCTION("""COMPUTED_VALUE"""),90184)</f>
        <v>90184</v>
      </c>
      <c r="B10" t="str">
        <f ca="1">IFERROR(__xludf.DUMMYFUNCTION("""COMPUTED_VALUE"""),"AIGUES MORTES")</f>
        <v>AIGUES MORTES</v>
      </c>
      <c r="C10" t="str">
        <f ca="1">IFERROR(__xludf.DUMMYFUNCTION("""COMPUTED_VALUE"""),"Super U")</f>
        <v>Super U</v>
      </c>
      <c r="D10" t="str">
        <f ca="1">IFERROR(__xludf.DUMMYFUNCTION("""COMPUTED_VALUE"""),"Coop U Enseigne Sud")</f>
        <v>Coop U Enseigne Sud</v>
      </c>
      <c r="E10">
        <f ca="1">IFERROR(__xludf.DUMMYFUNCTION("""COMPUTED_VALUE"""),30220)</f>
        <v>30220</v>
      </c>
      <c r="F10" t="str">
        <f ca="1">IFERROR(__xludf.DUMMYFUNCTION("""COMPUTED_VALUE"""),"940 ROUTE DE NIMES")</f>
        <v>940 ROUTE DE NIMES</v>
      </c>
      <c r="G10" t="str">
        <f ca="1">IFERROR(__xludf.DUMMYFUNCTION("""COMPUTED_VALUE"""),"04.66.35.70.30")</f>
        <v>04.66.35.70.30</v>
      </c>
      <c r="H10" t="str">
        <f ca="1">IFERROR(__xludf.DUMMYFUNCTION("""COMPUTED_VALUE"""),"VERRIER Raphael")</f>
        <v>VERRIER Raphael</v>
      </c>
      <c r="I10" t="str">
        <f ca="1">IFERROR(__xludf.DUMMYFUNCTION("""COMPUTED_VALUE"""),"raphael.verrier@systeme-u.fr")</f>
        <v>raphael.verrier@systeme-u.fr</v>
      </c>
      <c r="J10" t="str">
        <f ca="1">IFERROR(__xludf.DUMMYFUNCTION("""COMPUTED_VALUE"""),"Mme ROUAUD")</f>
        <v>Mme ROUAUD</v>
      </c>
      <c r="K10" t="str">
        <f ca="1">IFERROR(__xludf.DUMMYFUNCTION("""COMPUTED_VALUE"""),"")</f>
        <v/>
      </c>
      <c r="L10" t="str">
        <f ca="1">IFERROR(__xludf.DUMMYFUNCTION("""COMPUTED_VALUE"""),"")</f>
        <v/>
      </c>
      <c r="M10" t="str">
        <f ca="1">IFERROR(__xludf.DUMMYFUNCTION("""COMPUTED_VALUE"""),"99.Hors Périmetre")</f>
        <v>99.Hors Périmetre</v>
      </c>
      <c r="N10" t="str">
        <f ca="1">IFERROR(__xludf.DUMMYFUNCTION("""COMPUTED_VALUE"""),"")</f>
        <v/>
      </c>
      <c r="O10" t="str">
        <f ca="1">IFERROR(__xludf.DUMMYFUNCTION("""COMPUTED_VALUE"""),"")</f>
        <v/>
      </c>
      <c r="P10" t="str">
        <f ca="1">IFERROR(__xludf.DUMMYFUNCTION("""COMPUTED_VALUE"""),"")</f>
        <v/>
      </c>
      <c r="Q10" s="5" t="str">
        <f ca="1">IFERROR(__xludf.DUMMYFUNCTION("""COMPUTED_VALUE"""),"")</f>
        <v/>
      </c>
      <c r="R10" s="6" t="str">
        <f ca="1">IFERROR(__xludf.DUMMYFUNCTION("""COMPUTED_VALUE"""),"")</f>
        <v/>
      </c>
      <c r="S10" t="str">
        <f ca="1">IFERROR(__xludf.DUMMYFUNCTION("""COMPUTED_VALUE"""),"")</f>
        <v/>
      </c>
      <c r="T10" t="str">
        <f ca="1">IFERROR(__xludf.DUMMYFUNCTION("""COMPUTED_VALUE"""),"")</f>
        <v/>
      </c>
      <c r="U10" t="str">
        <f ca="1">IFERROR(__xludf.DUMMYFUNCTION("""COMPUTED_VALUE"""),"")</f>
        <v/>
      </c>
      <c r="V10" t="str">
        <f ca="1">IFERROR(__xludf.DUMMYFUNCTION("""COMPUTED_VALUE"""),"")</f>
        <v/>
      </c>
      <c r="W10" t="str">
        <f ca="1">IFERROR(__xludf.DUMMYFUNCTION("""COMPUTED_VALUE"""),"")</f>
        <v/>
      </c>
      <c r="X10" t="str">
        <f ca="1">IFERROR(__xludf.DUMMYFUNCTION("""COMPUTED_VALUE"""),"")</f>
        <v/>
      </c>
      <c r="Y10" t="str">
        <f ca="1">IFERROR(__xludf.DUMMYFUNCTION("""COMPUTED_VALUE"""),"")</f>
        <v/>
      </c>
      <c r="Z10" t="str">
        <f ca="1">IFERROR(__xludf.DUMMYFUNCTION("""COMPUTED_VALUE"""),"")</f>
        <v/>
      </c>
      <c r="AA10" t="str">
        <f ca="1">IFERROR(__xludf.DUMMYFUNCTION("""COMPUTED_VALUE"""),"Pas de commande")</f>
        <v>Pas de commande</v>
      </c>
      <c r="AB10" s="8" t="str">
        <f ca="1">IFERROR(__xludf.DUMMYFUNCTION("""COMPUTED_VALUE"""),"")</f>
        <v/>
      </c>
      <c r="AC10" s="8" t="str">
        <f ca="1">IFERROR(__xludf.DUMMYFUNCTION("""COMPUTED_VALUE"""),"")</f>
        <v/>
      </c>
      <c r="AD10" s="11" t="str">
        <f ca="1">IFERROR(__xludf.DUMMYFUNCTION("""COMPUTED_VALUE"""),"")</f>
        <v/>
      </c>
      <c r="AE10" t="str">
        <f ca="1">IFERROR(__xludf.DUMMYFUNCTION("""COMPUTED_VALUE"""),"")</f>
        <v/>
      </c>
    </row>
    <row r="11" spans="1:31" ht="15.75" customHeight="1" x14ac:dyDescent="0.2">
      <c r="A11">
        <f ca="1">IFERROR(__xludf.DUMMYFUNCTION("""COMPUTED_VALUE"""),66067)</f>
        <v>66067</v>
      </c>
      <c r="B11" t="str">
        <f ca="1">IFERROR(__xludf.DUMMYFUNCTION("""COMPUTED_VALUE"""),"AIGUILHE")</f>
        <v>AIGUILHE</v>
      </c>
      <c r="C11" t="str">
        <f ca="1">IFERROR(__xludf.DUMMYFUNCTION("""COMPUTED_VALUE"""),"Super U")</f>
        <v>Super U</v>
      </c>
      <c r="D11" t="str">
        <f ca="1">IFERROR(__xludf.DUMMYFUNCTION("""COMPUTED_VALUE"""),"Coop U Enseigne Est")</f>
        <v>Coop U Enseigne Est</v>
      </c>
      <c r="E11">
        <f ca="1">IFERROR(__xludf.DUMMYFUNCTION("""COMPUTED_VALUE"""),43000)</f>
        <v>43000</v>
      </c>
      <c r="F11" t="str">
        <f ca="1">IFERROR(__xludf.DUMMYFUNCTION("""COMPUTED_VALUE"""),"1 Chemin de Jalavoux")</f>
        <v>1 Chemin de Jalavoux</v>
      </c>
      <c r="G11" t="str">
        <f ca="1">IFERROR(__xludf.DUMMYFUNCTION("""COMPUTED_VALUE"""),"04.71.04.51.40")</f>
        <v>04.71.04.51.40</v>
      </c>
      <c r="H11" t="str">
        <f ca="1">IFERROR(__xludf.DUMMYFUNCTION("""COMPUTED_VALUE"""),"BOUTREUX RPT SAS CABAJUFI Philippe")</f>
        <v>BOUTREUX RPT SAS CABAJUFI Philippe</v>
      </c>
      <c r="I11" t="str">
        <f ca="1">IFERROR(__xludf.DUMMYFUNCTION("""COMPUTED_VALUE"""),"philippe.boutreux@systeme-u.fr")</f>
        <v>philippe.boutreux@systeme-u.fr</v>
      </c>
      <c r="J11" t="str">
        <f ca="1">IFERROR(__xludf.DUMMYFUNCTION("""COMPUTED_VALUE"""),"BOYER Lydie/ Mme Bonnefoi")</f>
        <v>BOYER Lydie/ Mme Bonnefoi</v>
      </c>
      <c r="K11" t="str">
        <f ca="1">IFERROR(__xludf.DUMMYFUNCTION("""COMPUTED_VALUE"""),"superu.aiguilhe@systeme-u.fr")</f>
        <v>superu.aiguilhe@systeme-u.fr</v>
      </c>
      <c r="L11" t="str">
        <f ca="1">IFERROR(__xludf.DUMMYFUNCTION("""COMPUTED_VALUE"""),"")</f>
        <v/>
      </c>
      <c r="M11" t="str">
        <f ca="1">IFERROR(__xludf.DUMMYFUNCTION("""COMPUTED_VALUE"""),"99.Hors Périmetre")</f>
        <v>99.Hors Périmetre</v>
      </c>
      <c r="N11" t="str">
        <f ca="1">IFERROR(__xludf.DUMMYFUNCTION("""COMPUTED_VALUE"""),"")</f>
        <v/>
      </c>
      <c r="O11" t="str">
        <f ca="1">IFERROR(__xludf.DUMMYFUNCTION("""COMPUTED_VALUE"""),"")</f>
        <v/>
      </c>
      <c r="P11" t="str">
        <f ca="1">IFERROR(__xludf.DUMMYFUNCTION("""COMPUTED_VALUE"""),"")</f>
        <v/>
      </c>
      <c r="Q11" s="5" t="str">
        <f ca="1">IFERROR(__xludf.DUMMYFUNCTION("""COMPUTED_VALUE"""),"")</f>
        <v/>
      </c>
      <c r="R11" s="6" t="str">
        <f ca="1">IFERROR(__xludf.DUMMYFUNCTION("""COMPUTED_VALUE"""),"")</f>
        <v/>
      </c>
      <c r="S11" t="str">
        <f ca="1">IFERROR(__xludf.DUMMYFUNCTION("""COMPUTED_VALUE"""),"")</f>
        <v/>
      </c>
      <c r="T11" t="str">
        <f ca="1">IFERROR(__xludf.DUMMYFUNCTION("""COMPUTED_VALUE"""),"")</f>
        <v/>
      </c>
      <c r="U11" t="str">
        <f ca="1">IFERROR(__xludf.DUMMYFUNCTION("""COMPUTED_VALUE"""),"")</f>
        <v/>
      </c>
      <c r="V11" t="str">
        <f ca="1">IFERROR(__xludf.DUMMYFUNCTION("""COMPUTED_VALUE"""),"")</f>
        <v/>
      </c>
      <c r="W11" t="str">
        <f ca="1">IFERROR(__xludf.DUMMYFUNCTION("""COMPUTED_VALUE"""),"")</f>
        <v/>
      </c>
      <c r="X11" t="str">
        <f ca="1">IFERROR(__xludf.DUMMYFUNCTION("""COMPUTED_VALUE"""),"")</f>
        <v/>
      </c>
      <c r="Y11" t="str">
        <f ca="1">IFERROR(__xludf.DUMMYFUNCTION("""COMPUTED_VALUE"""),"")</f>
        <v/>
      </c>
      <c r="Z11" t="str">
        <f ca="1">IFERROR(__xludf.DUMMYFUNCTION("""COMPUTED_VALUE"""),"")</f>
        <v/>
      </c>
      <c r="AA11" t="str">
        <f ca="1">IFERROR(__xludf.DUMMYFUNCTION("""COMPUTED_VALUE"""),"Pas de commande")</f>
        <v>Pas de commande</v>
      </c>
      <c r="AB11" s="8" t="str">
        <f ca="1">IFERROR(__xludf.DUMMYFUNCTION("""COMPUTED_VALUE"""),"")</f>
        <v/>
      </c>
      <c r="AC11" s="8" t="str">
        <f ca="1">IFERROR(__xludf.DUMMYFUNCTION("""COMPUTED_VALUE"""),"")</f>
        <v/>
      </c>
      <c r="AD11" s="11" t="str">
        <f ca="1">IFERROR(__xludf.DUMMYFUNCTION("""COMPUTED_VALUE"""),"")</f>
        <v/>
      </c>
      <c r="AE11" t="str">
        <f ca="1">IFERROR(__xludf.DUMMYFUNCTION("""COMPUTED_VALUE"""),"")</f>
        <v/>
      </c>
    </row>
    <row r="12" spans="1:31" ht="15.75" customHeight="1" x14ac:dyDescent="0.2">
      <c r="A12">
        <f ca="1">IFERROR(__xludf.DUMMYFUNCTION("""COMPUTED_VALUE"""),90426)</f>
        <v>90426</v>
      </c>
      <c r="B12" t="str">
        <f ca="1">IFERROR(__xludf.DUMMYFUNCTION("""COMPUTED_VALUE"""),"AIMARGUES")</f>
        <v>AIMARGUES</v>
      </c>
      <c r="C12" t="str">
        <f ca="1">IFERROR(__xludf.DUMMYFUNCTION("""COMPUTED_VALUE"""),"Super U")</f>
        <v>Super U</v>
      </c>
      <c r="D12" t="str">
        <f ca="1">IFERROR(__xludf.DUMMYFUNCTION("""COMPUTED_VALUE"""),"Coop U Enseigne Sud")</f>
        <v>Coop U Enseigne Sud</v>
      </c>
      <c r="E12">
        <f ca="1">IFERROR(__xludf.DUMMYFUNCTION("""COMPUTED_VALUE"""),30470)</f>
        <v>30470</v>
      </c>
      <c r="F12" t="str">
        <f ca="1">IFERROR(__xludf.DUMMYFUNCTION("""COMPUTED_VALUE"""),"ROUTE DES PLAGES")</f>
        <v>ROUTE DES PLAGES</v>
      </c>
      <c r="G12" t="str">
        <f ca="1">IFERROR(__xludf.DUMMYFUNCTION("""COMPUTED_VALUE"""),"04.66.88.50.08")</f>
        <v>04.66.88.50.08</v>
      </c>
      <c r="H12" t="str">
        <f ca="1">IFERROR(__xludf.DUMMYFUNCTION("""COMPUTED_VALUE"""),"BUISSON Jean Henri")</f>
        <v>BUISSON Jean Henri</v>
      </c>
      <c r="I12" t="str">
        <f ca="1">IFERROR(__xludf.DUMMYFUNCTION("""COMPUTED_VALUE"""),"jean.buisson@systeme-u.fr")</f>
        <v>jean.buisson@systeme-u.fr</v>
      </c>
      <c r="J12" t="str">
        <f ca="1">IFERROR(__xludf.DUMMYFUNCTION("""COMPUTED_VALUE"""),"DUNAND PASCALE")</f>
        <v>DUNAND PASCALE</v>
      </c>
      <c r="K12" t="str">
        <f ca="1">IFERROR(__xludf.DUMMYFUNCTION("""COMPUTED_VALUE"""),"superu.aimargues@systeme-u.fr")</f>
        <v>superu.aimargues@systeme-u.fr</v>
      </c>
      <c r="L12" t="str">
        <f ca="1">IFERROR(__xludf.DUMMYFUNCTION("""COMPUTED_VALUE"""),"")</f>
        <v/>
      </c>
      <c r="M12" t="str">
        <f ca="1">IFERROR(__xludf.DUMMYFUNCTION("""COMPUTED_VALUE"""),"99.Hors Périmetre")</f>
        <v>99.Hors Périmetre</v>
      </c>
      <c r="N12" t="str">
        <f ca="1">IFERROR(__xludf.DUMMYFUNCTION("""COMPUTED_VALUE"""),"")</f>
        <v/>
      </c>
      <c r="O12" t="str">
        <f ca="1">IFERROR(__xludf.DUMMYFUNCTION("""COMPUTED_VALUE"""),"")</f>
        <v/>
      </c>
      <c r="P12" t="str">
        <f ca="1">IFERROR(__xludf.DUMMYFUNCTION("""COMPUTED_VALUE"""),"")</f>
        <v/>
      </c>
      <c r="Q12" s="5" t="str">
        <f ca="1">IFERROR(__xludf.DUMMYFUNCTION("""COMPUTED_VALUE"""),"")</f>
        <v/>
      </c>
      <c r="R12" s="6" t="str">
        <f ca="1">IFERROR(__xludf.DUMMYFUNCTION("""COMPUTED_VALUE"""),"")</f>
        <v/>
      </c>
      <c r="S12" t="str">
        <f ca="1">IFERROR(__xludf.DUMMYFUNCTION("""COMPUTED_VALUE"""),"")</f>
        <v/>
      </c>
      <c r="T12" t="str">
        <f ca="1">IFERROR(__xludf.DUMMYFUNCTION("""COMPUTED_VALUE"""),"")</f>
        <v/>
      </c>
      <c r="U12" t="str">
        <f ca="1">IFERROR(__xludf.DUMMYFUNCTION("""COMPUTED_VALUE"""),"")</f>
        <v/>
      </c>
      <c r="V12" t="str">
        <f ca="1">IFERROR(__xludf.DUMMYFUNCTION("""COMPUTED_VALUE"""),"")</f>
        <v/>
      </c>
      <c r="W12" t="str">
        <f ca="1">IFERROR(__xludf.DUMMYFUNCTION("""COMPUTED_VALUE"""),"")</f>
        <v/>
      </c>
      <c r="X12" t="str">
        <f ca="1">IFERROR(__xludf.DUMMYFUNCTION("""COMPUTED_VALUE"""),"")</f>
        <v/>
      </c>
      <c r="Y12" t="str">
        <f ca="1">IFERROR(__xludf.DUMMYFUNCTION("""COMPUTED_VALUE"""),"")</f>
        <v/>
      </c>
      <c r="Z12" t="str">
        <f ca="1">IFERROR(__xludf.DUMMYFUNCTION("""COMPUTED_VALUE"""),"")</f>
        <v/>
      </c>
      <c r="AA12" t="str">
        <f ca="1">IFERROR(__xludf.DUMMYFUNCTION("""COMPUTED_VALUE"""),"Pas de commande")</f>
        <v>Pas de commande</v>
      </c>
      <c r="AB12" s="8" t="str">
        <f ca="1">IFERROR(__xludf.DUMMYFUNCTION("""COMPUTED_VALUE"""),"")</f>
        <v/>
      </c>
      <c r="AC12" s="8" t="str">
        <f ca="1">IFERROR(__xludf.DUMMYFUNCTION("""COMPUTED_VALUE"""),"")</f>
        <v/>
      </c>
      <c r="AD12" s="11" t="str">
        <f ca="1">IFERROR(__xludf.DUMMYFUNCTION("""COMPUTED_VALUE"""),"")</f>
        <v/>
      </c>
      <c r="AE12" t="str">
        <f ca="1">IFERROR(__xludf.DUMMYFUNCTION("""COMPUTED_VALUE"""),"")</f>
        <v/>
      </c>
    </row>
    <row r="13" spans="1:31" ht="15.75" customHeight="1" x14ac:dyDescent="0.2">
      <c r="A13">
        <f ca="1">IFERROR(__xludf.DUMMYFUNCTION("""COMPUTED_VALUE"""),90453)</f>
        <v>90453</v>
      </c>
      <c r="B13" t="str">
        <f ca="1">IFERROR(__xludf.DUMMYFUNCTION("""COMPUTED_VALUE"""),"AIX EN PROV.EUROPE")</f>
        <v>AIX EN PROV.EUROPE</v>
      </c>
      <c r="C13" t="str">
        <f ca="1">IFERROR(__xludf.DUMMYFUNCTION("""COMPUTED_VALUE"""),"Super U")</f>
        <v>Super U</v>
      </c>
      <c r="D13" t="str">
        <f ca="1">IFERROR(__xludf.DUMMYFUNCTION("""COMPUTED_VALUE"""),"Coop U Enseigne Sud")</f>
        <v>Coop U Enseigne Sud</v>
      </c>
      <c r="E13">
        <f ca="1">IFERROR(__xludf.DUMMYFUNCTION("""COMPUTED_VALUE"""),13090)</f>
        <v>13090</v>
      </c>
      <c r="F13" t="str">
        <f ca="1">IFERROR(__xludf.DUMMYFUNCTION("""COMPUTED_VALUE"""),"AVENUE DE L'EUROPE")</f>
        <v>AVENUE DE L'EUROPE</v>
      </c>
      <c r="G13" t="str">
        <f ca="1">IFERROR(__xludf.DUMMYFUNCTION("""COMPUTED_VALUE"""),"04.42.52.72.20")</f>
        <v>04.42.52.72.20</v>
      </c>
      <c r="H13" t="str">
        <f ca="1">IFERROR(__xludf.DUMMYFUNCTION("""COMPUTED_VALUE"""),"HAIM Jean-Louis")</f>
        <v>HAIM Jean-Louis</v>
      </c>
      <c r="I13" t="str">
        <f ca="1">IFERROR(__xludf.DUMMYFUNCTION("""COMPUTED_VALUE"""),"jean-louis.haim@systeme-u.fr")</f>
        <v>jean-louis.haim@systeme-u.fr</v>
      </c>
      <c r="J13" t="str">
        <f ca="1">IFERROR(__xludf.DUMMYFUNCTION("""COMPUTED_VALUE"""),"M. GLAISE")</f>
        <v>M. GLAISE</v>
      </c>
      <c r="K13" t="str">
        <f ca="1">IFERROR(__xludf.DUMMYFUNCTION("""COMPUTED_VALUE"""),"superu.aix.direction@systeme-u.fr")</f>
        <v>superu.aix.direction@systeme-u.fr</v>
      </c>
      <c r="L13" t="str">
        <f ca="1">IFERROR(__xludf.DUMMYFUNCTION("""COMPUTED_VALUE"""),"")</f>
        <v/>
      </c>
      <c r="M13" t="str">
        <f ca="1">IFERROR(__xludf.DUMMYFUNCTION("""COMPUTED_VALUE"""),"99.Hors Périmetre")</f>
        <v>99.Hors Périmetre</v>
      </c>
      <c r="N13" t="str">
        <f ca="1">IFERROR(__xludf.DUMMYFUNCTION("""COMPUTED_VALUE"""),"")</f>
        <v/>
      </c>
      <c r="O13" t="str">
        <f ca="1">IFERROR(__xludf.DUMMYFUNCTION("""COMPUTED_VALUE"""),"")</f>
        <v/>
      </c>
      <c r="P13" t="str">
        <f ca="1">IFERROR(__xludf.DUMMYFUNCTION("""COMPUTED_VALUE"""),"")</f>
        <v/>
      </c>
      <c r="Q13" s="5" t="str">
        <f ca="1">IFERROR(__xludf.DUMMYFUNCTION("""COMPUTED_VALUE"""),"")</f>
        <v/>
      </c>
      <c r="R13" s="6" t="str">
        <f ca="1">IFERROR(__xludf.DUMMYFUNCTION("""COMPUTED_VALUE"""),"")</f>
        <v/>
      </c>
      <c r="S13" t="str">
        <f ca="1">IFERROR(__xludf.DUMMYFUNCTION("""COMPUTED_VALUE"""),"")</f>
        <v/>
      </c>
      <c r="T13" t="str">
        <f ca="1">IFERROR(__xludf.DUMMYFUNCTION("""COMPUTED_VALUE"""),"")</f>
        <v/>
      </c>
      <c r="U13" t="str">
        <f ca="1">IFERROR(__xludf.DUMMYFUNCTION("""COMPUTED_VALUE"""),"")</f>
        <v/>
      </c>
      <c r="V13" t="str">
        <f ca="1">IFERROR(__xludf.DUMMYFUNCTION("""COMPUTED_VALUE"""),"")</f>
        <v/>
      </c>
      <c r="W13" t="str">
        <f ca="1">IFERROR(__xludf.DUMMYFUNCTION("""COMPUTED_VALUE"""),"")</f>
        <v/>
      </c>
      <c r="X13" t="str">
        <f ca="1">IFERROR(__xludf.DUMMYFUNCTION("""COMPUTED_VALUE"""),"")</f>
        <v/>
      </c>
      <c r="Y13" t="str">
        <f ca="1">IFERROR(__xludf.DUMMYFUNCTION("""COMPUTED_VALUE"""),"")</f>
        <v/>
      </c>
      <c r="Z13" t="str">
        <f ca="1">IFERROR(__xludf.DUMMYFUNCTION("""COMPUTED_VALUE"""),"")</f>
        <v/>
      </c>
      <c r="AA13" t="str">
        <f ca="1">IFERROR(__xludf.DUMMYFUNCTION("""COMPUTED_VALUE"""),"Pas de commande")</f>
        <v>Pas de commande</v>
      </c>
      <c r="AB13" s="8" t="str">
        <f ca="1">IFERROR(__xludf.DUMMYFUNCTION("""COMPUTED_VALUE"""),"")</f>
        <v/>
      </c>
      <c r="AC13" s="8" t="str">
        <f ca="1">IFERROR(__xludf.DUMMYFUNCTION("""COMPUTED_VALUE"""),"")</f>
        <v/>
      </c>
      <c r="AD13" s="11" t="str">
        <f ca="1">IFERROR(__xludf.DUMMYFUNCTION("""COMPUTED_VALUE"""),"")</f>
        <v/>
      </c>
      <c r="AE13" t="str">
        <f ca="1">IFERROR(__xludf.DUMMYFUNCTION("""COMPUTED_VALUE"""),"")</f>
        <v/>
      </c>
    </row>
    <row r="14" spans="1:31" ht="15.75" customHeight="1" x14ac:dyDescent="0.2">
      <c r="A14">
        <f ca="1">IFERROR(__xludf.DUMMYFUNCTION("""COMPUTED_VALUE"""),34163)</f>
        <v>34163</v>
      </c>
      <c r="B14" t="str">
        <f ca="1">IFERROR(__xludf.DUMMYFUNCTION("""COMPUTED_VALUE"""),"AIXE-SUR-VIENNE")</f>
        <v>AIXE-SUR-VIENNE</v>
      </c>
      <c r="C14" t="str">
        <f ca="1">IFERROR(__xludf.DUMMYFUNCTION("""COMPUTED_VALUE"""),"U Express")</f>
        <v>U Express</v>
      </c>
      <c r="D14" t="str">
        <f ca="1">IFERROR(__xludf.DUMMYFUNCTION("""COMPUTED_VALUE"""),"Coop Atlantique")</f>
        <v>Coop Atlantique</v>
      </c>
      <c r="E14">
        <f ca="1">IFERROR(__xludf.DUMMYFUNCTION("""COMPUTED_VALUE"""),87700)</f>
        <v>87700</v>
      </c>
      <c r="F14" t="str">
        <f ca="1">IFERROR(__xludf.DUMMYFUNCTION("""COMPUTED_VALUE"""),"3, AVENUE PASTEUR")</f>
        <v>3, AVENUE PASTEUR</v>
      </c>
      <c r="G14" t="str">
        <f ca="1">IFERROR(__xludf.DUMMYFUNCTION("""COMPUTED_VALUE"""),"05.55.70.24.43")</f>
        <v>05.55.70.24.43</v>
      </c>
      <c r="H14" t="str">
        <f ca="1">IFERROR(__xludf.DUMMYFUNCTION("""COMPUTED_VALUE"""),"FLAMBARD Hervé")</f>
        <v>FLAMBARD Hervé</v>
      </c>
      <c r="I14" t="str">
        <f ca="1">IFERROR(__xludf.DUMMYFUNCTION("""COMPUTED_VALUE"""),"bertrand.defontaine_coop_su_uex@systeme-u.fr")</f>
        <v>bertrand.defontaine_coop_su_uex@systeme-u.fr</v>
      </c>
      <c r="J14" t="str">
        <f ca="1">IFERROR(__xludf.DUMMYFUNCTION("""COMPUTED_VALUE"""),"Philippe GOURSAUD")</f>
        <v>Philippe GOURSAUD</v>
      </c>
      <c r="K14" t="str">
        <f ca="1">IFERROR(__xludf.DUMMYFUNCTION("""COMPUTED_VALUE"""),"uexpress.aixesurvienne.direction@systeme-u.fr,nbrigant@coop-atlantique.fr,sjaud@coop-atlantique.fr,pgoursaud@coop-atlantique.fr")</f>
        <v>uexpress.aixesurvienne.direction@systeme-u.fr,nbrigant@coop-atlantique.fr,sjaud@coop-atlantique.fr,pgoursaud@coop-atlantique.fr</v>
      </c>
      <c r="L14" t="str">
        <f ca="1">IFERROR(__xludf.DUMMYFUNCTION("""COMPUTED_VALUE"""),"")</f>
        <v/>
      </c>
      <c r="M14" t="str">
        <f ca="1">IFERROR(__xludf.DUMMYFUNCTION("""COMPUTED_VALUE"""),"99.Hors Périmetre")</f>
        <v>99.Hors Périmetre</v>
      </c>
      <c r="N14" t="str">
        <f ca="1">IFERROR(__xludf.DUMMYFUNCTION("""COMPUTED_VALUE"""),"")</f>
        <v/>
      </c>
      <c r="O14" t="str">
        <f ca="1">IFERROR(__xludf.DUMMYFUNCTION("""COMPUTED_VALUE"""),"")</f>
        <v/>
      </c>
      <c r="P14" t="str">
        <f ca="1">IFERROR(__xludf.DUMMYFUNCTION("""COMPUTED_VALUE"""),"")</f>
        <v/>
      </c>
      <c r="Q14" s="5" t="str">
        <f ca="1">IFERROR(__xludf.DUMMYFUNCTION("""COMPUTED_VALUE"""),"")</f>
        <v/>
      </c>
      <c r="R14" s="6" t="str">
        <f ca="1">IFERROR(__xludf.DUMMYFUNCTION("""COMPUTED_VALUE"""),"")</f>
        <v/>
      </c>
      <c r="S14" t="str">
        <f ca="1">IFERROR(__xludf.DUMMYFUNCTION("""COMPUTED_VALUE"""),"")</f>
        <v/>
      </c>
      <c r="T14" t="str">
        <f ca="1">IFERROR(__xludf.DUMMYFUNCTION("""COMPUTED_VALUE"""),"")</f>
        <v/>
      </c>
      <c r="U14" t="str">
        <f ca="1">IFERROR(__xludf.DUMMYFUNCTION("""COMPUTED_VALUE"""),"")</f>
        <v/>
      </c>
      <c r="V14" t="str">
        <f ca="1">IFERROR(__xludf.DUMMYFUNCTION("""COMPUTED_VALUE"""),"")</f>
        <v/>
      </c>
      <c r="W14" t="str">
        <f ca="1">IFERROR(__xludf.DUMMYFUNCTION("""COMPUTED_VALUE"""),"")</f>
        <v/>
      </c>
      <c r="X14" t="str">
        <f ca="1">IFERROR(__xludf.DUMMYFUNCTION("""COMPUTED_VALUE"""),"")</f>
        <v/>
      </c>
      <c r="Y14" t="str">
        <f ca="1">IFERROR(__xludf.DUMMYFUNCTION("""COMPUTED_VALUE"""),"")</f>
        <v/>
      </c>
      <c r="Z14" t="str">
        <f ca="1">IFERROR(__xludf.DUMMYFUNCTION("""COMPUTED_VALUE"""),"")</f>
        <v/>
      </c>
      <c r="AA14" t="str">
        <f ca="1">IFERROR(__xludf.DUMMYFUNCTION("""COMPUTED_VALUE"""),"Pas de commande")</f>
        <v>Pas de commande</v>
      </c>
      <c r="AB14" s="8" t="str">
        <f ca="1">IFERROR(__xludf.DUMMYFUNCTION("""COMPUTED_VALUE"""),"")</f>
        <v/>
      </c>
      <c r="AC14" s="8" t="str">
        <f ca="1">IFERROR(__xludf.DUMMYFUNCTION("""COMPUTED_VALUE"""),"")</f>
        <v/>
      </c>
      <c r="AD14" s="11" t="str">
        <f ca="1">IFERROR(__xludf.DUMMYFUNCTION("""COMPUTED_VALUE"""),"")</f>
        <v/>
      </c>
      <c r="AE14" t="str">
        <f ca="1">IFERROR(__xludf.DUMMYFUNCTION("""COMPUTED_VALUE"""),"")</f>
        <v/>
      </c>
    </row>
    <row r="15" spans="1:31" ht="15.75" customHeight="1" x14ac:dyDescent="0.2">
      <c r="A15">
        <f ca="1">IFERROR(__xludf.DUMMYFUNCTION("""COMPUTED_VALUE"""),37450)</f>
        <v>37450</v>
      </c>
      <c r="B15" t="str">
        <f ca="1">IFERROR(__xludf.DUMMYFUNCTION("""COMPUTED_VALUE"""),"AIXE-SUR-VIENNE")</f>
        <v>AIXE-SUR-VIENNE</v>
      </c>
      <c r="C15" t="str">
        <f ca="1">IFERROR(__xludf.DUMMYFUNCTION("""COMPUTED_VALUE"""),"Super U")</f>
        <v>Super U</v>
      </c>
      <c r="D15" t="str">
        <f ca="1">IFERROR(__xludf.DUMMYFUNCTION("""COMPUTED_VALUE"""),"Coop U Enseigne Ouest")</f>
        <v>Coop U Enseigne Ouest</v>
      </c>
      <c r="E15">
        <f ca="1">IFERROR(__xludf.DUMMYFUNCTION("""COMPUTED_VALUE"""),87700)</f>
        <v>87700</v>
      </c>
      <c r="F15" t="str">
        <f ca="1">IFERROR(__xludf.DUMMYFUNCTION("""COMPUTED_VALUE"""),"ZAC DU GRAND RIEUX")</f>
        <v>ZAC DU GRAND RIEUX</v>
      </c>
      <c r="G15" t="str">
        <f ca="1">IFERROR(__xludf.DUMMYFUNCTION("""COMPUTED_VALUE"""),"05.55.06.51.91")</f>
        <v>05.55.06.51.91</v>
      </c>
      <c r="H15" t="str">
        <f ca="1">IFERROR(__xludf.DUMMYFUNCTION("""COMPUTED_VALUE"""),"DUPIN Gilles")</f>
        <v>DUPIN Gilles</v>
      </c>
      <c r="I15" t="str">
        <f ca="1">IFERROR(__xludf.DUMMYFUNCTION("""COMPUTED_VALUE"""),"gilles.dupin@systeme-u.fr")</f>
        <v>gilles.dupin@systeme-u.fr</v>
      </c>
      <c r="J15" t="str">
        <f ca="1">IFERROR(__xludf.DUMMYFUNCTION("""COMPUTED_VALUE"""),"Mr GUILBAUD Josselin (Directeur)")</f>
        <v>Mr GUILBAUD Josselin (Directeur)</v>
      </c>
      <c r="K15" t="str">
        <f ca="1">IFERROR(__xludf.DUMMYFUNCTION("""COMPUTED_VALUE"""),"superu.aixesurvienne.gescom@systeme-u.fr")</f>
        <v>superu.aixesurvienne.gescom@systeme-u.fr</v>
      </c>
      <c r="L15" t="str">
        <f ca="1">IFERROR(__xludf.DUMMYFUNCTION("""COMPUTED_VALUE"""),"")</f>
        <v/>
      </c>
      <c r="M15" t="str">
        <f ca="1">IFERROR(__xludf.DUMMYFUNCTION("""COMPUTED_VALUE"""),"99.Hors Périmetre")</f>
        <v>99.Hors Périmetre</v>
      </c>
      <c r="N15" t="str">
        <f ca="1">IFERROR(__xludf.DUMMYFUNCTION("""COMPUTED_VALUE"""),"")</f>
        <v/>
      </c>
      <c r="O15" t="str">
        <f ca="1">IFERROR(__xludf.DUMMYFUNCTION("""COMPUTED_VALUE"""),"")</f>
        <v/>
      </c>
      <c r="P15" t="str">
        <f ca="1">IFERROR(__xludf.DUMMYFUNCTION("""COMPUTED_VALUE"""),"")</f>
        <v/>
      </c>
      <c r="Q15" s="5" t="str">
        <f ca="1">IFERROR(__xludf.DUMMYFUNCTION("""COMPUTED_VALUE"""),"")</f>
        <v/>
      </c>
      <c r="R15" s="6" t="str">
        <f ca="1">IFERROR(__xludf.DUMMYFUNCTION("""COMPUTED_VALUE"""),"")</f>
        <v/>
      </c>
      <c r="S15" t="str">
        <f ca="1">IFERROR(__xludf.DUMMYFUNCTION("""COMPUTED_VALUE"""),"")</f>
        <v/>
      </c>
      <c r="T15" t="str">
        <f ca="1">IFERROR(__xludf.DUMMYFUNCTION("""COMPUTED_VALUE"""),"")</f>
        <v/>
      </c>
      <c r="U15" t="str">
        <f ca="1">IFERROR(__xludf.DUMMYFUNCTION("""COMPUTED_VALUE"""),"")</f>
        <v/>
      </c>
      <c r="V15" t="str">
        <f ca="1">IFERROR(__xludf.DUMMYFUNCTION("""COMPUTED_VALUE"""),"")</f>
        <v/>
      </c>
      <c r="W15" t="str">
        <f ca="1">IFERROR(__xludf.DUMMYFUNCTION("""COMPUTED_VALUE"""),"")</f>
        <v/>
      </c>
      <c r="X15" t="str">
        <f ca="1">IFERROR(__xludf.DUMMYFUNCTION("""COMPUTED_VALUE"""),"")</f>
        <v/>
      </c>
      <c r="Y15" t="str">
        <f ca="1">IFERROR(__xludf.DUMMYFUNCTION("""COMPUTED_VALUE"""),"")</f>
        <v/>
      </c>
      <c r="Z15" t="str">
        <f ca="1">IFERROR(__xludf.DUMMYFUNCTION("""COMPUTED_VALUE"""),"")</f>
        <v/>
      </c>
      <c r="AA15" t="str">
        <f ca="1">IFERROR(__xludf.DUMMYFUNCTION("""COMPUTED_VALUE"""),"Pas de commande")</f>
        <v>Pas de commande</v>
      </c>
      <c r="AB15" s="8" t="str">
        <f ca="1">IFERROR(__xludf.DUMMYFUNCTION("""COMPUTED_VALUE"""),"")</f>
        <v/>
      </c>
      <c r="AC15" s="8" t="str">
        <f ca="1">IFERROR(__xludf.DUMMYFUNCTION("""COMPUTED_VALUE"""),"")</f>
        <v/>
      </c>
      <c r="AD15" s="11" t="str">
        <f ca="1">IFERROR(__xludf.DUMMYFUNCTION("""COMPUTED_VALUE"""),"")</f>
        <v/>
      </c>
      <c r="AE15" t="str">
        <f ca="1">IFERROR(__xludf.DUMMYFUNCTION("""COMPUTED_VALUE"""),"")</f>
        <v/>
      </c>
    </row>
    <row r="16" spans="1:31" ht="15.75" customHeight="1" x14ac:dyDescent="0.2">
      <c r="A16">
        <f ca="1">IFERROR(__xludf.DUMMYFUNCTION("""COMPUTED_VALUE"""),30973)</f>
        <v>30973</v>
      </c>
      <c r="B16" t="str">
        <f ca="1">IFERROR(__xludf.DUMMYFUNCTION("""COMPUTED_VALUE"""),"AIZENAY")</f>
        <v>AIZENAY</v>
      </c>
      <c r="C16" t="str">
        <f ca="1">IFERROR(__xludf.DUMMYFUNCTION("""COMPUTED_VALUE"""),"Hyper U")</f>
        <v>Hyper U</v>
      </c>
      <c r="D16" t="str">
        <f ca="1">IFERROR(__xludf.DUMMYFUNCTION("""COMPUTED_VALUE"""),"Coop U Enseigne Ouest")</f>
        <v>Coop U Enseigne Ouest</v>
      </c>
      <c r="E16">
        <f ca="1">IFERROR(__xludf.DUMMYFUNCTION("""COMPUTED_VALUE"""),85190)</f>
        <v>85190</v>
      </c>
      <c r="F16" t="str">
        <f ca="1">IFERROR(__xludf.DUMMYFUNCTION("""COMPUTED_VALUE"""),"ESPACE COMMERCIAL")</f>
        <v>ESPACE COMMERCIAL</v>
      </c>
      <c r="G16" t="str">
        <f ca="1">IFERROR(__xludf.DUMMYFUNCTION("""COMPUTED_VALUE"""),"02.51.31.23.12")</f>
        <v>02.51.31.23.12</v>
      </c>
      <c r="H16" t="str">
        <f ca="1">IFERROR(__xludf.DUMMYFUNCTION("""COMPUTED_VALUE"""),"THOUZEAU RPT SAS SOPARVIL Baptiste")</f>
        <v>THOUZEAU RPT SAS SOPARVIL Baptiste</v>
      </c>
      <c r="I16" t="str">
        <f ca="1">IFERROR(__xludf.DUMMYFUNCTION("""COMPUTED_VALUE"""),"baptiste.thouzeau@systeme-u.fr")</f>
        <v>baptiste.thouzeau@systeme-u.fr</v>
      </c>
      <c r="J16" t="str">
        <f ca="1">IFERROR(__xludf.DUMMYFUNCTION("""COMPUTED_VALUE"""),"PIVETEAU Eric")</f>
        <v>PIVETEAU Eric</v>
      </c>
      <c r="K16" t="str">
        <f ca="1">IFERROR(__xludf.DUMMYFUNCTION("""COMPUTED_VALUE"""),"hyperu.aizenay.direction@systeme-u.fr")</f>
        <v>hyperu.aizenay.direction@systeme-u.fr</v>
      </c>
      <c r="L16" t="str">
        <f ca="1">IFERROR(__xludf.DUMMYFUNCTION("""COMPUTED_VALUE"""),"")</f>
        <v/>
      </c>
      <c r="M16" t="str">
        <f ca="1">IFERROR(__xludf.DUMMYFUNCTION("""COMPUTED_VALUE"""),"99.Hors Périmetre")</f>
        <v>99.Hors Périmetre</v>
      </c>
      <c r="N16" t="str">
        <f ca="1">IFERROR(__xludf.DUMMYFUNCTION("""COMPUTED_VALUE"""),"")</f>
        <v/>
      </c>
      <c r="O16" t="str">
        <f ca="1">IFERROR(__xludf.DUMMYFUNCTION("""COMPUTED_VALUE"""),"")</f>
        <v/>
      </c>
      <c r="P16" t="str">
        <f ca="1">IFERROR(__xludf.DUMMYFUNCTION("""COMPUTED_VALUE"""),"")</f>
        <v/>
      </c>
      <c r="Q16" s="5" t="str">
        <f ca="1">IFERROR(__xludf.DUMMYFUNCTION("""COMPUTED_VALUE"""),"")</f>
        <v/>
      </c>
      <c r="R16" s="6" t="str">
        <f ca="1">IFERROR(__xludf.DUMMYFUNCTION("""COMPUTED_VALUE"""),"")</f>
        <v/>
      </c>
      <c r="S16" t="str">
        <f ca="1">IFERROR(__xludf.DUMMYFUNCTION("""COMPUTED_VALUE"""),"")</f>
        <v/>
      </c>
      <c r="T16" t="str">
        <f ca="1">IFERROR(__xludf.DUMMYFUNCTION("""COMPUTED_VALUE"""),"")</f>
        <v/>
      </c>
      <c r="U16" t="str">
        <f ca="1">IFERROR(__xludf.DUMMYFUNCTION("""COMPUTED_VALUE"""),"")</f>
        <v/>
      </c>
      <c r="V16" t="str">
        <f ca="1">IFERROR(__xludf.DUMMYFUNCTION("""COMPUTED_VALUE"""),"")</f>
        <v/>
      </c>
      <c r="W16" t="str">
        <f ca="1">IFERROR(__xludf.DUMMYFUNCTION("""COMPUTED_VALUE"""),"")</f>
        <v/>
      </c>
      <c r="X16" t="str">
        <f ca="1">IFERROR(__xludf.DUMMYFUNCTION("""COMPUTED_VALUE"""),"")</f>
        <v/>
      </c>
      <c r="Y16" t="str">
        <f ca="1">IFERROR(__xludf.DUMMYFUNCTION("""COMPUTED_VALUE"""),"")</f>
        <v/>
      </c>
      <c r="Z16" t="str">
        <f ca="1">IFERROR(__xludf.DUMMYFUNCTION("""COMPUTED_VALUE"""),"")</f>
        <v/>
      </c>
      <c r="AA16" t="str">
        <f ca="1">IFERROR(__xludf.DUMMYFUNCTION("""COMPUTED_VALUE"""),"Pas de commande")</f>
        <v>Pas de commande</v>
      </c>
      <c r="AB16" s="8" t="str">
        <f ca="1">IFERROR(__xludf.DUMMYFUNCTION("""COMPUTED_VALUE"""),"")</f>
        <v/>
      </c>
      <c r="AC16" s="8" t="str">
        <f ca="1">IFERROR(__xludf.DUMMYFUNCTION("""COMPUTED_VALUE"""),"")</f>
        <v/>
      </c>
      <c r="AD16" s="11" t="str">
        <f ca="1">IFERROR(__xludf.DUMMYFUNCTION("""COMPUTED_VALUE"""),"")</f>
        <v/>
      </c>
      <c r="AE16" t="str">
        <f ca="1">IFERROR(__xludf.DUMMYFUNCTION("""COMPUTED_VALUE"""),"")</f>
        <v/>
      </c>
    </row>
    <row r="17" spans="1:31" ht="15.75" customHeight="1" x14ac:dyDescent="0.2">
      <c r="A17">
        <f ca="1">IFERROR(__xludf.DUMMYFUNCTION("""COMPUTED_VALUE"""),25886)</f>
        <v>25886</v>
      </c>
      <c r="B17" t="str">
        <f ca="1">IFERROR(__xludf.DUMMYFUNCTION("""COMPUTED_VALUE"""),"ALBERT")</f>
        <v>ALBERT</v>
      </c>
      <c r="C17" t="str">
        <f ca="1">IFERROR(__xludf.DUMMYFUNCTION("""COMPUTED_VALUE"""),"Super U")</f>
        <v>Super U</v>
      </c>
      <c r="D17" t="str">
        <f ca="1">IFERROR(__xludf.DUMMYFUNCTION("""COMPUTED_VALUE"""),"Coop U Enseigne NordOuest")</f>
        <v>Coop U Enseigne NordOuest</v>
      </c>
      <c r="E17">
        <f ca="1">IFERROR(__xludf.DUMMYFUNCTION("""COMPUTED_VALUE"""),80300)</f>
        <v>80300</v>
      </c>
      <c r="F17" t="str">
        <f ca="1">IFERROR(__xludf.DUMMYFUNCTION("""COMPUTED_VALUE"""),"ROUTE DE BAPAUME")</f>
        <v>ROUTE DE BAPAUME</v>
      </c>
      <c r="G17" t="str">
        <f ca="1">IFERROR(__xludf.DUMMYFUNCTION("""COMPUTED_VALUE"""),"03.22.75.16.25")</f>
        <v>03.22.75.16.25</v>
      </c>
      <c r="H17" t="str">
        <f ca="1">IFERROR(__xludf.DUMMYFUNCTION("""COMPUTED_VALUE"""),"BARRE Stéphane")</f>
        <v>BARRE Stéphane</v>
      </c>
      <c r="I17" t="str">
        <f ca="1">IFERROR(__xludf.DUMMYFUNCTION("""COMPUTED_VALUE"""),"stephane.barre@systeme-u.fr")</f>
        <v>stephane.barre@systeme-u.fr</v>
      </c>
      <c r="J17" t="str">
        <f ca="1">IFERROR(__xludf.DUMMYFUNCTION("""COMPUTED_VALUE"""),"Patrick Devaux")</f>
        <v>Patrick Devaux</v>
      </c>
      <c r="K17" t="str">
        <f ca="1">IFERROR(__xludf.DUMMYFUNCTION("""COMPUTED_VALUE"""),"superu.albert.direction@systeme-u.fr,philippe.cappe@coop-cnp.coop")</f>
        <v>superu.albert.direction@systeme-u.fr,philippe.cappe@coop-cnp.coop</v>
      </c>
      <c r="L17" t="str">
        <f ca="1">IFERROR(__xludf.DUMMYFUNCTION("""COMPUTED_VALUE"""),"Standard")</f>
        <v>Standard</v>
      </c>
      <c r="M17" t="str">
        <f ca="1">IFERROR(__xludf.DUMMYFUNCTION("""COMPUTED_VALUE"""),"0. Non démarré")</f>
        <v>0. Non démarré</v>
      </c>
      <c r="N17" t="str">
        <f ca="1">IFERROR(__xludf.DUMMYFUNCTION("""COMPUTED_VALUE"""),"")</f>
        <v/>
      </c>
      <c r="O17" t="str">
        <f ca="1">IFERROR(__xludf.DUMMYFUNCTION("""COMPUTED_VALUE"""),"")</f>
        <v/>
      </c>
      <c r="P17" t="str">
        <f ca="1">IFERROR(__xludf.DUMMYFUNCTION("""COMPUTED_VALUE"""),"")</f>
        <v/>
      </c>
      <c r="Q17" s="5" t="str">
        <f ca="1">IFERROR(__xludf.DUMMYFUNCTION("""COMPUTED_VALUE"""),"")</f>
        <v/>
      </c>
      <c r="R17" s="6" t="str">
        <f ca="1">IFERROR(__xludf.DUMMYFUNCTION("""COMPUTED_VALUE"""),"")</f>
        <v/>
      </c>
      <c r="S17" t="str">
        <f ca="1">IFERROR(__xludf.DUMMYFUNCTION("""COMPUTED_VALUE"""),"")</f>
        <v/>
      </c>
      <c r="T17" t="str">
        <f ca="1">IFERROR(__xludf.DUMMYFUNCTION("""COMPUTED_VALUE"""),"")</f>
        <v/>
      </c>
      <c r="U17" t="str">
        <f ca="1">IFERROR(__xludf.DUMMYFUNCTION("""COMPUTED_VALUE"""),"")</f>
        <v/>
      </c>
      <c r="V17" t="str">
        <f ca="1">IFERROR(__xludf.DUMMYFUNCTION("""COMPUTED_VALUE"""),"")</f>
        <v/>
      </c>
      <c r="W17" t="str">
        <f ca="1">IFERROR(__xludf.DUMMYFUNCTION("""COMPUTED_VALUE"""),"R3")</f>
        <v>R3</v>
      </c>
      <c r="X17" t="str">
        <f ca="1">IFERROR(__xludf.DUMMYFUNCTION("""COMPUTED_VALUE"""),"Pricer &lt;8Go")</f>
        <v>Pricer &lt;8Go</v>
      </c>
      <c r="Y17" t="str">
        <f ca="1">IFERROR(__xludf.DUMMYFUNCTION("""COMPUTED_VALUE"""),"")</f>
        <v/>
      </c>
      <c r="Z17" t="str">
        <f ca="1">IFERROR(__xludf.DUMMYFUNCTION("""COMPUTED_VALUE"""),"")</f>
        <v/>
      </c>
      <c r="AA17" t="str">
        <f ca="1">IFERROR(__xludf.DUMMYFUNCTION("""COMPUTED_VALUE"""),"Pas de commande")</f>
        <v>Pas de commande</v>
      </c>
      <c r="AB17" s="8" t="str">
        <f ca="1">IFERROR(__xludf.DUMMYFUNCTION("""COMPUTED_VALUE"""),"")</f>
        <v/>
      </c>
      <c r="AC17" s="8" t="str">
        <f ca="1">IFERROR(__xludf.DUMMYFUNCTION("""COMPUTED_VALUE"""),"")</f>
        <v/>
      </c>
      <c r="AD17" s="11" t="str">
        <f ca="1">IFERROR(__xludf.DUMMYFUNCTION("""COMPUTED_VALUE"""),"")</f>
        <v/>
      </c>
      <c r="AE17" t="str">
        <f ca="1">IFERROR(__xludf.DUMMYFUNCTION("""COMPUTED_VALUE"""),"")</f>
        <v/>
      </c>
    </row>
    <row r="18" spans="1:31" ht="15.75" customHeight="1" x14ac:dyDescent="0.2">
      <c r="A18">
        <f ca="1">IFERROR(__xludf.DUMMYFUNCTION("""COMPUTED_VALUE"""),38208)</f>
        <v>38208</v>
      </c>
      <c r="B18" t="str">
        <f ca="1">IFERROR(__xludf.DUMMYFUNCTION("""COMPUTED_VALUE"""),"ALENCON")</f>
        <v>ALENCON</v>
      </c>
      <c r="C18" t="str">
        <f ca="1">IFERROR(__xludf.DUMMYFUNCTION("""COMPUTED_VALUE"""),"Super U")</f>
        <v>Super U</v>
      </c>
      <c r="D18" t="str">
        <f ca="1">IFERROR(__xludf.DUMMYFUNCTION("""COMPUTED_VALUE"""),"Coop U Enseigne Ouest")</f>
        <v>Coop U Enseigne Ouest</v>
      </c>
      <c r="E18">
        <f ca="1">IFERROR(__xludf.DUMMYFUNCTION("""COMPUTED_VALUE"""),61000)</f>
        <v>61000</v>
      </c>
      <c r="F18" t="str">
        <f ca="1">IFERROR(__xludf.DUMMYFUNCTION("""COMPUTED_VALUE"""),"107 AVENUE DE BASINGSTOKE")</f>
        <v>107 AVENUE DE BASINGSTOKE</v>
      </c>
      <c r="G18" t="str">
        <f ca="1">IFERROR(__xludf.DUMMYFUNCTION("""COMPUTED_VALUE"""),"02.33.80.10.02")</f>
        <v>02.33.80.10.02</v>
      </c>
      <c r="H18" t="str">
        <f ca="1">IFERROR(__xludf.DUMMYFUNCTION("""COMPUTED_VALUE"""),"COSNARD Annick")</f>
        <v>COSNARD Annick</v>
      </c>
      <c r="I18" t="str">
        <f ca="1">IFERROR(__xludf.DUMMYFUNCTION("""COMPUTED_VALUE"""),"annick.cosnard@systeme-u.fr")</f>
        <v>annick.cosnard@systeme-u.fr</v>
      </c>
      <c r="J18" t="str">
        <f ca="1">IFERROR(__xludf.DUMMYFUNCTION("""COMPUTED_VALUE"""),"Mme Chemin")</f>
        <v>Mme Chemin</v>
      </c>
      <c r="K18" t="str">
        <f ca="1">IFERROR(__xludf.DUMMYFUNCTION("""COMPUTED_VALUE"""),"brian.chemin@systeme-u.fr,anne-sophie.chemin@systeme-u.fr")</f>
        <v>brian.chemin@systeme-u.fr,anne-sophie.chemin@systeme-u.fr</v>
      </c>
      <c r="L18" t="str">
        <f ca="1">IFERROR(__xludf.DUMMYFUNCTION("""COMPUTED_VALUE"""),"")</f>
        <v/>
      </c>
      <c r="M18" t="str">
        <f ca="1">IFERROR(__xludf.DUMMYFUNCTION("""COMPUTED_VALUE"""),"99.Hors Périmetre")</f>
        <v>99.Hors Périmetre</v>
      </c>
      <c r="N18" t="str">
        <f ca="1">IFERROR(__xludf.DUMMYFUNCTION("""COMPUTED_VALUE"""),"")</f>
        <v/>
      </c>
      <c r="O18" t="str">
        <f ca="1">IFERROR(__xludf.DUMMYFUNCTION("""COMPUTED_VALUE"""),"")</f>
        <v/>
      </c>
      <c r="P18" t="str">
        <f ca="1">IFERROR(__xludf.DUMMYFUNCTION("""COMPUTED_VALUE"""),"")</f>
        <v/>
      </c>
      <c r="Q18" s="5" t="str">
        <f ca="1">IFERROR(__xludf.DUMMYFUNCTION("""COMPUTED_VALUE"""),"")</f>
        <v/>
      </c>
      <c r="R18" s="6" t="str">
        <f ca="1">IFERROR(__xludf.DUMMYFUNCTION("""COMPUTED_VALUE"""),"")</f>
        <v/>
      </c>
      <c r="S18" t="str">
        <f ca="1">IFERROR(__xludf.DUMMYFUNCTION("""COMPUTED_VALUE"""),"")</f>
        <v/>
      </c>
      <c r="T18" t="str">
        <f ca="1">IFERROR(__xludf.DUMMYFUNCTION("""COMPUTED_VALUE"""),"")</f>
        <v/>
      </c>
      <c r="U18" t="str">
        <f ca="1">IFERROR(__xludf.DUMMYFUNCTION("""COMPUTED_VALUE"""),"")</f>
        <v/>
      </c>
      <c r="V18" t="str">
        <f ca="1">IFERROR(__xludf.DUMMYFUNCTION("""COMPUTED_VALUE"""),"")</f>
        <v/>
      </c>
      <c r="W18" t="str">
        <f ca="1">IFERROR(__xludf.DUMMYFUNCTION("""COMPUTED_VALUE"""),"")</f>
        <v/>
      </c>
      <c r="X18" t="str">
        <f ca="1">IFERROR(__xludf.DUMMYFUNCTION("""COMPUTED_VALUE"""),"")</f>
        <v/>
      </c>
      <c r="Y18" t="str">
        <f ca="1">IFERROR(__xludf.DUMMYFUNCTION("""COMPUTED_VALUE"""),"")</f>
        <v/>
      </c>
      <c r="Z18" t="str">
        <f ca="1">IFERROR(__xludf.DUMMYFUNCTION("""COMPUTED_VALUE"""),"")</f>
        <v/>
      </c>
      <c r="AA18" t="str">
        <f ca="1">IFERROR(__xludf.DUMMYFUNCTION("""COMPUTED_VALUE"""),"Pas de commande")</f>
        <v>Pas de commande</v>
      </c>
      <c r="AB18" s="8" t="str">
        <f ca="1">IFERROR(__xludf.DUMMYFUNCTION("""COMPUTED_VALUE"""),"")</f>
        <v/>
      </c>
      <c r="AC18" s="8" t="str">
        <f ca="1">IFERROR(__xludf.DUMMYFUNCTION("""COMPUTED_VALUE"""),"")</f>
        <v/>
      </c>
      <c r="AD18" s="11" t="str">
        <f ca="1">IFERROR(__xludf.DUMMYFUNCTION("""COMPUTED_VALUE"""),"")</f>
        <v/>
      </c>
      <c r="AE18" t="str">
        <f ca="1">IFERROR(__xludf.DUMMYFUNCTION("""COMPUTED_VALUE"""),"")</f>
        <v/>
      </c>
    </row>
    <row r="19" spans="1:31" ht="15.75" customHeight="1" x14ac:dyDescent="0.2">
      <c r="A19">
        <f ca="1">IFERROR(__xludf.DUMMYFUNCTION("""COMPUTED_VALUE"""),90232)</f>
        <v>90232</v>
      </c>
      <c r="B19" t="str">
        <f ca="1">IFERROR(__xludf.DUMMYFUNCTION("""COMPUTED_VALUE"""),"ALES OLIVIER DE SERRES")</f>
        <v>ALES OLIVIER DE SERRES</v>
      </c>
      <c r="C19" t="str">
        <f ca="1">IFERROR(__xludf.DUMMYFUNCTION("""COMPUTED_VALUE"""),"Hyper U")</f>
        <v>Hyper U</v>
      </c>
      <c r="D19" t="str">
        <f ca="1">IFERROR(__xludf.DUMMYFUNCTION("""COMPUTED_VALUE"""),"Coop U Enseigne Sud")</f>
        <v>Coop U Enseigne Sud</v>
      </c>
      <c r="E19">
        <f ca="1">IFERROR(__xludf.DUMMYFUNCTION("""COMPUTED_VALUE"""),30100)</f>
        <v>30100</v>
      </c>
      <c r="F19" t="str">
        <f ca="1">IFERROR(__xludf.DUMMYFUNCTION("""COMPUTED_VALUE"""),"AV. OLIVIER DE SERRES")</f>
        <v>AV. OLIVIER DE SERRES</v>
      </c>
      <c r="G19" t="str">
        <f ca="1">IFERROR(__xludf.DUMMYFUNCTION("""COMPUTED_VALUE"""),"04.66.52.92.40")</f>
        <v>04.66.52.92.40</v>
      </c>
      <c r="H19" t="str">
        <f ca="1">IFERROR(__xludf.DUMMYFUNCTION("""COMPUTED_VALUE"""),"DIAZ Christian")</f>
        <v>DIAZ Christian</v>
      </c>
      <c r="I19" t="str">
        <f ca="1">IFERROR(__xludf.DUMMYFUNCTION("""COMPUTED_VALUE"""),"christian.diaz@systeme-u.fr")</f>
        <v>christian.diaz@systeme-u.fr</v>
      </c>
      <c r="J19" t="str">
        <f ca="1">IFERROR(__xludf.DUMMYFUNCTION("""COMPUTED_VALUE"""),"M. Machillot")</f>
        <v>M. Machillot</v>
      </c>
      <c r="K19" t="str">
        <f ca="1">IFERROR(__xludf.DUMMYFUNCTION("""COMPUTED_VALUE"""),"hyperu.ales.direction@systeme-u.fr")</f>
        <v>hyperu.ales.direction@systeme-u.fr</v>
      </c>
      <c r="L19" t="str">
        <f ca="1">IFERROR(__xludf.DUMMYFUNCTION("""COMPUTED_VALUE"""),"")</f>
        <v/>
      </c>
      <c r="M19" t="str">
        <f ca="1">IFERROR(__xludf.DUMMYFUNCTION("""COMPUTED_VALUE"""),"99.Hors Périmetre")</f>
        <v>99.Hors Périmetre</v>
      </c>
      <c r="N19" t="str">
        <f ca="1">IFERROR(__xludf.DUMMYFUNCTION("""COMPUTED_VALUE"""),"")</f>
        <v/>
      </c>
      <c r="O19" t="str">
        <f ca="1">IFERROR(__xludf.DUMMYFUNCTION("""COMPUTED_VALUE"""),"")</f>
        <v/>
      </c>
      <c r="P19" t="str">
        <f ca="1">IFERROR(__xludf.DUMMYFUNCTION("""COMPUTED_VALUE"""),"")</f>
        <v/>
      </c>
      <c r="Q19" s="5" t="str">
        <f ca="1">IFERROR(__xludf.DUMMYFUNCTION("""COMPUTED_VALUE"""),"")</f>
        <v/>
      </c>
      <c r="R19" s="6" t="str">
        <f ca="1">IFERROR(__xludf.DUMMYFUNCTION("""COMPUTED_VALUE"""),"")</f>
        <v/>
      </c>
      <c r="S19" t="str">
        <f ca="1">IFERROR(__xludf.DUMMYFUNCTION("""COMPUTED_VALUE"""),"")</f>
        <v/>
      </c>
      <c r="T19" t="str">
        <f ca="1">IFERROR(__xludf.DUMMYFUNCTION("""COMPUTED_VALUE"""),"")</f>
        <v/>
      </c>
      <c r="U19" t="str">
        <f ca="1">IFERROR(__xludf.DUMMYFUNCTION("""COMPUTED_VALUE"""),"")</f>
        <v/>
      </c>
      <c r="V19" t="str">
        <f ca="1">IFERROR(__xludf.DUMMYFUNCTION("""COMPUTED_VALUE"""),"")</f>
        <v/>
      </c>
      <c r="W19" t="str">
        <f ca="1">IFERROR(__xludf.DUMMYFUNCTION("""COMPUTED_VALUE"""),"")</f>
        <v/>
      </c>
      <c r="X19" t="str">
        <f ca="1">IFERROR(__xludf.DUMMYFUNCTION("""COMPUTED_VALUE"""),"")</f>
        <v/>
      </c>
      <c r="Y19" t="str">
        <f ca="1">IFERROR(__xludf.DUMMYFUNCTION("""COMPUTED_VALUE"""),"")</f>
        <v/>
      </c>
      <c r="Z19" t="str">
        <f ca="1">IFERROR(__xludf.DUMMYFUNCTION("""COMPUTED_VALUE"""),"")</f>
        <v/>
      </c>
      <c r="AA19" t="str">
        <f ca="1">IFERROR(__xludf.DUMMYFUNCTION("""COMPUTED_VALUE"""),"Pas de commande")</f>
        <v>Pas de commande</v>
      </c>
      <c r="AB19" s="8" t="str">
        <f ca="1">IFERROR(__xludf.DUMMYFUNCTION("""COMPUTED_VALUE"""),"")</f>
        <v/>
      </c>
      <c r="AC19" s="8" t="str">
        <f ca="1">IFERROR(__xludf.DUMMYFUNCTION("""COMPUTED_VALUE"""),"")</f>
        <v/>
      </c>
      <c r="AD19" s="11" t="str">
        <f ca="1">IFERROR(__xludf.DUMMYFUNCTION("""COMPUTED_VALUE"""),"")</f>
        <v/>
      </c>
      <c r="AE19" t="str">
        <f ca="1">IFERROR(__xludf.DUMMYFUNCTION("""COMPUTED_VALUE"""),"")</f>
        <v/>
      </c>
    </row>
    <row r="20" spans="1:31" ht="15.75" customHeight="1" x14ac:dyDescent="0.2">
      <c r="A20">
        <f ca="1">IFERROR(__xludf.DUMMYFUNCTION("""COMPUTED_VALUE"""),90355)</f>
        <v>90355</v>
      </c>
      <c r="B20" t="str">
        <f ca="1">IFERROR(__xludf.DUMMYFUNCTION("""COMPUTED_VALUE"""),"ALES SALINDRES")</f>
        <v>ALES SALINDRES</v>
      </c>
      <c r="C20" t="str">
        <f ca="1">IFERROR(__xludf.DUMMYFUNCTION("""COMPUTED_VALUE"""),"Super U")</f>
        <v>Super U</v>
      </c>
      <c r="D20" t="str">
        <f ca="1">IFERROR(__xludf.DUMMYFUNCTION("""COMPUTED_VALUE"""),"Coop U Enseigne Sud")</f>
        <v>Coop U Enseigne Sud</v>
      </c>
      <c r="E20">
        <f ca="1">IFERROR(__xludf.DUMMYFUNCTION("""COMPUTED_VALUE"""),30100)</f>
        <v>30100</v>
      </c>
      <c r="F20" t="str">
        <f ca="1">IFERROR(__xludf.DUMMYFUNCTION("""COMPUTED_VALUE"""),"42 CHEMIN DE BRUEGES")</f>
        <v>42 CHEMIN DE BRUEGES</v>
      </c>
      <c r="G20" t="str">
        <f ca="1">IFERROR(__xludf.DUMMYFUNCTION("""COMPUTED_VALUE"""),"04.66.86.15.40")</f>
        <v>04.66.86.15.40</v>
      </c>
      <c r="H20" t="str">
        <f ca="1">IFERROR(__xludf.DUMMYFUNCTION("""COMPUTED_VALUE"""),"BUISSON Damien")</f>
        <v>BUISSON Damien</v>
      </c>
      <c r="I20" t="str">
        <f ca="1">IFERROR(__xludf.DUMMYFUNCTION("""COMPUTED_VALUE"""),"damien.buisson@systeme-u.fr")</f>
        <v>damien.buisson@systeme-u.fr</v>
      </c>
      <c r="J20" t="str">
        <f ca="1">IFERROR(__xludf.DUMMYFUNCTION("""COMPUTED_VALUE"""),"Martial")</f>
        <v>Martial</v>
      </c>
      <c r="K20" t="str">
        <f ca="1">IFERROR(__xludf.DUMMYFUNCTION("""COMPUTED_VALUE"""),"superu.alessalindres.direction@systeme-u.fr")</f>
        <v>superu.alessalindres.direction@systeme-u.fr</v>
      </c>
      <c r="L20" t="str">
        <f ca="1">IFERROR(__xludf.DUMMYFUNCTION("""COMPUTED_VALUE"""),"")</f>
        <v/>
      </c>
      <c r="M20" t="str">
        <f ca="1">IFERROR(__xludf.DUMMYFUNCTION("""COMPUTED_VALUE"""),"99.Hors Périmetre")</f>
        <v>99.Hors Périmetre</v>
      </c>
      <c r="N20" t="str">
        <f ca="1">IFERROR(__xludf.DUMMYFUNCTION("""COMPUTED_VALUE"""),"")</f>
        <v/>
      </c>
      <c r="O20" t="str">
        <f ca="1">IFERROR(__xludf.DUMMYFUNCTION("""COMPUTED_VALUE"""),"")</f>
        <v/>
      </c>
      <c r="P20" t="str">
        <f ca="1">IFERROR(__xludf.DUMMYFUNCTION("""COMPUTED_VALUE"""),"")</f>
        <v/>
      </c>
      <c r="Q20" s="5" t="str">
        <f ca="1">IFERROR(__xludf.DUMMYFUNCTION("""COMPUTED_VALUE"""),"")</f>
        <v/>
      </c>
      <c r="R20" s="6" t="str">
        <f ca="1">IFERROR(__xludf.DUMMYFUNCTION("""COMPUTED_VALUE"""),"")</f>
        <v/>
      </c>
      <c r="S20" t="str">
        <f ca="1">IFERROR(__xludf.DUMMYFUNCTION("""COMPUTED_VALUE"""),"")</f>
        <v/>
      </c>
      <c r="T20" t="str">
        <f ca="1">IFERROR(__xludf.DUMMYFUNCTION("""COMPUTED_VALUE"""),"")</f>
        <v/>
      </c>
      <c r="U20" t="str">
        <f ca="1">IFERROR(__xludf.DUMMYFUNCTION("""COMPUTED_VALUE"""),"")</f>
        <v/>
      </c>
      <c r="V20" t="str">
        <f ca="1">IFERROR(__xludf.DUMMYFUNCTION("""COMPUTED_VALUE"""),"")</f>
        <v/>
      </c>
      <c r="W20" t="str">
        <f ca="1">IFERROR(__xludf.DUMMYFUNCTION("""COMPUTED_VALUE"""),"")</f>
        <v/>
      </c>
      <c r="X20" t="str">
        <f ca="1">IFERROR(__xludf.DUMMYFUNCTION("""COMPUTED_VALUE"""),"")</f>
        <v/>
      </c>
      <c r="Y20" t="str">
        <f ca="1">IFERROR(__xludf.DUMMYFUNCTION("""COMPUTED_VALUE"""),"")</f>
        <v/>
      </c>
      <c r="Z20" t="str">
        <f ca="1">IFERROR(__xludf.DUMMYFUNCTION("""COMPUTED_VALUE"""),"")</f>
        <v/>
      </c>
      <c r="AA20" t="str">
        <f ca="1">IFERROR(__xludf.DUMMYFUNCTION("""COMPUTED_VALUE"""),"Pas de commande")</f>
        <v>Pas de commande</v>
      </c>
      <c r="AB20" s="8" t="str">
        <f ca="1">IFERROR(__xludf.DUMMYFUNCTION("""COMPUTED_VALUE"""),"")</f>
        <v/>
      </c>
      <c r="AC20" s="8" t="str">
        <f ca="1">IFERROR(__xludf.DUMMYFUNCTION("""COMPUTED_VALUE"""),"")</f>
        <v/>
      </c>
      <c r="AD20" s="11" t="str">
        <f ca="1">IFERROR(__xludf.DUMMYFUNCTION("""COMPUTED_VALUE"""),"")</f>
        <v/>
      </c>
      <c r="AE20" t="str">
        <f ca="1">IFERROR(__xludf.DUMMYFUNCTION("""COMPUTED_VALUE"""),"")</f>
        <v/>
      </c>
    </row>
    <row r="21" spans="1:31" ht="15.75" customHeight="1" x14ac:dyDescent="0.2">
      <c r="A21">
        <f ca="1">IFERROR(__xludf.DUMMYFUNCTION("""COMPUTED_VALUE"""),65033)</f>
        <v>65033</v>
      </c>
      <c r="B21" t="str">
        <f ca="1">IFERROR(__xludf.DUMMYFUNCTION("""COMPUTED_VALUE"""),"ALGRANGE")</f>
        <v>ALGRANGE</v>
      </c>
      <c r="C21" t="str">
        <f ca="1">IFERROR(__xludf.DUMMYFUNCTION("""COMPUTED_VALUE"""),"Super U")</f>
        <v>Super U</v>
      </c>
      <c r="D21" t="str">
        <f ca="1">IFERROR(__xludf.DUMMYFUNCTION("""COMPUTED_VALUE"""),"Coop U Enseigne Est")</f>
        <v>Coop U Enseigne Est</v>
      </c>
      <c r="E21">
        <f ca="1">IFERROR(__xludf.DUMMYFUNCTION("""COMPUTED_VALUE"""),57440)</f>
        <v>57440</v>
      </c>
      <c r="F21" t="str">
        <f ca="1">IFERROR(__xludf.DUMMYFUNCTION("""COMPUTED_VALUE"""),"Rue de Knutange")</f>
        <v>Rue de Knutange</v>
      </c>
      <c r="G21" t="str">
        <f ca="1">IFERROR(__xludf.DUMMYFUNCTION("""COMPUTED_VALUE"""),"03.82.85.57.07")</f>
        <v>03.82.85.57.07</v>
      </c>
      <c r="H21" t="str">
        <f ca="1">IFERROR(__xludf.DUMMYFUNCTION("""COMPUTED_VALUE"""),"BRIEUC Lucie")</f>
        <v>BRIEUC Lucie</v>
      </c>
      <c r="I21" t="str">
        <f ca="1">IFERROR(__xludf.DUMMYFUNCTION("""COMPUTED_VALUE"""),"lucie.brieuc@systeme-u.fr")</f>
        <v>lucie.brieuc@systeme-u.fr</v>
      </c>
      <c r="J21" t="str">
        <f ca="1">IFERROR(__xludf.DUMMYFUNCTION("""COMPUTED_VALUE"""),"M. Brieuc")</f>
        <v>M. Brieuc</v>
      </c>
      <c r="K21" t="str">
        <f ca="1">IFERROR(__xludf.DUMMYFUNCTION("""COMPUTED_VALUE"""),"christophe.brieuc@systeme-u.fr")</f>
        <v>christophe.brieuc@systeme-u.fr</v>
      </c>
      <c r="L21" t="str">
        <f ca="1">IFERROR(__xludf.DUMMYFUNCTION("""COMPUTED_VALUE"""),"")</f>
        <v/>
      </c>
      <c r="M21" t="str">
        <f ca="1">IFERROR(__xludf.DUMMYFUNCTION("""COMPUTED_VALUE"""),"99.Hors Périmetre")</f>
        <v>99.Hors Périmetre</v>
      </c>
      <c r="N21" t="str">
        <f ca="1">IFERROR(__xludf.DUMMYFUNCTION("""COMPUTED_VALUE"""),"")</f>
        <v/>
      </c>
      <c r="O21" t="str">
        <f ca="1">IFERROR(__xludf.DUMMYFUNCTION("""COMPUTED_VALUE"""),"")</f>
        <v/>
      </c>
      <c r="P21" t="str">
        <f ca="1">IFERROR(__xludf.DUMMYFUNCTION("""COMPUTED_VALUE"""),"")</f>
        <v/>
      </c>
      <c r="Q21" s="5" t="str">
        <f ca="1">IFERROR(__xludf.DUMMYFUNCTION("""COMPUTED_VALUE"""),"")</f>
        <v/>
      </c>
      <c r="R21" s="6" t="str">
        <f ca="1">IFERROR(__xludf.DUMMYFUNCTION("""COMPUTED_VALUE"""),"")</f>
        <v/>
      </c>
      <c r="S21" t="str">
        <f ca="1">IFERROR(__xludf.DUMMYFUNCTION("""COMPUTED_VALUE"""),"")</f>
        <v/>
      </c>
      <c r="T21" t="str">
        <f ca="1">IFERROR(__xludf.DUMMYFUNCTION("""COMPUTED_VALUE"""),"")</f>
        <v/>
      </c>
      <c r="U21" t="str">
        <f ca="1">IFERROR(__xludf.DUMMYFUNCTION("""COMPUTED_VALUE"""),"")</f>
        <v/>
      </c>
      <c r="V21" t="str">
        <f ca="1">IFERROR(__xludf.DUMMYFUNCTION("""COMPUTED_VALUE"""),"")</f>
        <v/>
      </c>
      <c r="W21" t="str">
        <f ca="1">IFERROR(__xludf.DUMMYFUNCTION("""COMPUTED_VALUE"""),"")</f>
        <v/>
      </c>
      <c r="X21" t="str">
        <f ca="1">IFERROR(__xludf.DUMMYFUNCTION("""COMPUTED_VALUE"""),"")</f>
        <v/>
      </c>
      <c r="Y21" t="str">
        <f ca="1">IFERROR(__xludf.DUMMYFUNCTION("""COMPUTED_VALUE"""),"")</f>
        <v/>
      </c>
      <c r="Z21" t="str">
        <f ca="1">IFERROR(__xludf.DUMMYFUNCTION("""COMPUTED_VALUE"""),"")</f>
        <v/>
      </c>
      <c r="AA21" t="str">
        <f ca="1">IFERROR(__xludf.DUMMYFUNCTION("""COMPUTED_VALUE"""),"Pas de commande")</f>
        <v>Pas de commande</v>
      </c>
      <c r="AB21" s="8" t="str">
        <f ca="1">IFERROR(__xludf.DUMMYFUNCTION("""COMPUTED_VALUE"""),"")</f>
        <v/>
      </c>
      <c r="AC21" s="8" t="str">
        <f ca="1">IFERROR(__xludf.DUMMYFUNCTION("""COMPUTED_VALUE"""),"")</f>
        <v/>
      </c>
      <c r="AD21" s="11" t="str">
        <f ca="1">IFERROR(__xludf.DUMMYFUNCTION("""COMPUTED_VALUE"""),"")</f>
        <v/>
      </c>
      <c r="AE21" t="str">
        <f ca="1">IFERROR(__xludf.DUMMYFUNCTION("""COMPUTED_VALUE"""),"")</f>
        <v/>
      </c>
    </row>
    <row r="22" spans="1:31" ht="15.75" customHeight="1" x14ac:dyDescent="0.2">
      <c r="A22">
        <f ca="1">IFERROR(__xludf.DUMMYFUNCTION("""COMPUTED_VALUE"""),90189)</f>
        <v>90189</v>
      </c>
      <c r="B22" t="str">
        <f ca="1">IFERROR(__xludf.DUMMYFUNCTION("""COMPUTED_VALUE"""),"ALISSAS")</f>
        <v>ALISSAS</v>
      </c>
      <c r="C22" t="str">
        <f ca="1">IFERROR(__xludf.DUMMYFUNCTION("""COMPUTED_VALUE"""),"Hyper U")</f>
        <v>Hyper U</v>
      </c>
      <c r="D22" t="str">
        <f ca="1">IFERROR(__xludf.DUMMYFUNCTION("""COMPUTED_VALUE"""),"Coop U Enseigne Sud")</f>
        <v>Coop U Enseigne Sud</v>
      </c>
      <c r="E22">
        <f ca="1">IFERROR(__xludf.DUMMYFUNCTION("""COMPUTED_VALUE"""),7210)</f>
        <v>7210</v>
      </c>
      <c r="F22" t="str">
        <f ca="1">IFERROR(__xludf.DUMMYFUNCTION("""COMPUTED_VALUE"""),"QUARTIER CLE DU SAC")</f>
        <v>QUARTIER CLE DU SAC</v>
      </c>
      <c r="G22" t="str">
        <f ca="1">IFERROR(__xludf.DUMMYFUNCTION("""COMPUTED_VALUE"""),"04.75.66.96.69")</f>
        <v>04.75.66.96.69</v>
      </c>
      <c r="H22" t="str">
        <f ca="1">IFERROR(__xludf.DUMMYFUNCTION("""COMPUTED_VALUE"""),"DOIRE Philippe")</f>
        <v>DOIRE Philippe</v>
      </c>
      <c r="I22" t="str">
        <f ca="1">IFERROR(__xludf.DUMMYFUNCTION("""COMPUTED_VALUE"""),"philippe.doire@systeme-u.fr")</f>
        <v>philippe.doire@systeme-u.fr</v>
      </c>
      <c r="J22" t="str">
        <f ca="1">IFERROR(__xludf.DUMMYFUNCTION("""COMPUTED_VALUE"""),"SARTRE David - Directeur")</f>
        <v>SARTRE David - Directeur</v>
      </c>
      <c r="K22" t="str">
        <f ca="1">IFERROR(__xludf.DUMMYFUNCTION("""COMPUTED_VALUE"""),"hyperu.alissas.directeur@systeme-u.fr")</f>
        <v>hyperu.alissas.directeur@systeme-u.fr</v>
      </c>
      <c r="L22" t="str">
        <f ca="1">IFERROR(__xludf.DUMMYFUNCTION("""COMPUTED_VALUE"""),"")</f>
        <v/>
      </c>
      <c r="M22" t="str">
        <f ca="1">IFERROR(__xludf.DUMMYFUNCTION("""COMPUTED_VALUE"""),"99.Hors Périmetre")</f>
        <v>99.Hors Périmetre</v>
      </c>
      <c r="N22" t="str">
        <f ca="1">IFERROR(__xludf.DUMMYFUNCTION("""COMPUTED_VALUE"""),"")</f>
        <v/>
      </c>
      <c r="O22" t="str">
        <f ca="1">IFERROR(__xludf.DUMMYFUNCTION("""COMPUTED_VALUE"""),"")</f>
        <v/>
      </c>
      <c r="P22" t="str">
        <f ca="1">IFERROR(__xludf.DUMMYFUNCTION("""COMPUTED_VALUE"""),"")</f>
        <v/>
      </c>
      <c r="Q22" s="5" t="str">
        <f ca="1">IFERROR(__xludf.DUMMYFUNCTION("""COMPUTED_VALUE"""),"")</f>
        <v/>
      </c>
      <c r="R22" s="6" t="str">
        <f ca="1">IFERROR(__xludf.DUMMYFUNCTION("""COMPUTED_VALUE"""),"")</f>
        <v/>
      </c>
      <c r="S22" t="str">
        <f ca="1">IFERROR(__xludf.DUMMYFUNCTION("""COMPUTED_VALUE"""),"")</f>
        <v/>
      </c>
      <c r="T22" t="str">
        <f ca="1">IFERROR(__xludf.DUMMYFUNCTION("""COMPUTED_VALUE"""),"")</f>
        <v/>
      </c>
      <c r="U22" t="str">
        <f ca="1">IFERROR(__xludf.DUMMYFUNCTION("""COMPUTED_VALUE"""),"")</f>
        <v/>
      </c>
      <c r="V22" t="str">
        <f ca="1">IFERROR(__xludf.DUMMYFUNCTION("""COMPUTED_VALUE"""),"")</f>
        <v/>
      </c>
      <c r="W22" t="str">
        <f ca="1">IFERROR(__xludf.DUMMYFUNCTION("""COMPUTED_VALUE"""),"")</f>
        <v/>
      </c>
      <c r="X22" t="str">
        <f ca="1">IFERROR(__xludf.DUMMYFUNCTION("""COMPUTED_VALUE"""),"")</f>
        <v/>
      </c>
      <c r="Y22" t="str">
        <f ca="1">IFERROR(__xludf.DUMMYFUNCTION("""COMPUTED_VALUE"""),"")</f>
        <v/>
      </c>
      <c r="Z22" t="str">
        <f ca="1">IFERROR(__xludf.DUMMYFUNCTION("""COMPUTED_VALUE"""),"")</f>
        <v/>
      </c>
      <c r="AA22" t="str">
        <f ca="1">IFERROR(__xludf.DUMMYFUNCTION("""COMPUTED_VALUE"""),"Pas de commande")</f>
        <v>Pas de commande</v>
      </c>
      <c r="AB22" s="8" t="str">
        <f ca="1">IFERROR(__xludf.DUMMYFUNCTION("""COMPUTED_VALUE"""),"")</f>
        <v/>
      </c>
      <c r="AC22" s="8" t="str">
        <f ca="1">IFERROR(__xludf.DUMMYFUNCTION("""COMPUTED_VALUE"""),"")</f>
        <v/>
      </c>
      <c r="AD22" s="11" t="str">
        <f ca="1">IFERROR(__xludf.DUMMYFUNCTION("""COMPUTED_VALUE"""),"")</f>
        <v/>
      </c>
      <c r="AE22" t="str">
        <f ca="1">IFERROR(__xludf.DUMMYFUNCTION("""COMPUTED_VALUE"""),"")</f>
        <v/>
      </c>
    </row>
    <row r="23" spans="1:31" ht="15.75" customHeight="1" x14ac:dyDescent="0.2">
      <c r="A23">
        <f ca="1">IFERROR(__xludf.DUMMYFUNCTION("""COMPUTED_VALUE"""),90698)</f>
        <v>90698</v>
      </c>
      <c r="B23" t="str">
        <f ca="1">IFERROR(__xludf.DUMMYFUNCTION("""COMPUTED_VALUE"""),"ALTHEN DES PALUDS")</f>
        <v>ALTHEN DES PALUDS</v>
      </c>
      <c r="C23" t="str">
        <f ca="1">IFERROR(__xludf.DUMMYFUNCTION("""COMPUTED_VALUE"""),"U Express")</f>
        <v>U Express</v>
      </c>
      <c r="D23" t="str">
        <f ca="1">IFERROR(__xludf.DUMMYFUNCTION("""COMPUTED_VALUE"""),"Coop MISTRAL")</f>
        <v>Coop MISTRAL</v>
      </c>
      <c r="E23">
        <f ca="1">IFERROR(__xludf.DUMMYFUNCTION("""COMPUTED_VALUE"""),84210)</f>
        <v>84210</v>
      </c>
      <c r="F23" t="str">
        <f ca="1">IFERROR(__xludf.DUMMYFUNCTION("""COMPUTED_VALUE"""),"204 RUE DE LA GARANCE")</f>
        <v>204 RUE DE LA GARANCE</v>
      </c>
      <c r="G23" t="str">
        <f ca="1">IFERROR(__xludf.DUMMYFUNCTION("""COMPUTED_VALUE"""),"04.90.62.14.40")</f>
        <v>04.90.62.14.40</v>
      </c>
      <c r="H23" t="str">
        <f ca="1">IFERROR(__xludf.DUMMYFUNCTION("""COMPUTED_VALUE"""),"BLAISE Alice")</f>
        <v>BLAISE Alice</v>
      </c>
      <c r="I23" t="str">
        <f ca="1">IFERROR(__xludf.DUMMYFUNCTION("""COMPUTED_VALUE"""),"")</f>
        <v/>
      </c>
      <c r="J23" t="str">
        <f ca="1">IFERROR(__xludf.DUMMYFUNCTION("""COMPUTED_VALUE"""),"Mr Brusetti")</f>
        <v>Mr Brusetti</v>
      </c>
      <c r="K23" t="str">
        <f ca="1">IFERROR(__xludf.DUMMYFUNCTION("""COMPUTED_VALUE"""),"delphine.damian@lemistral.fr,helene.mina@lemistral.fr, uexpress.althen@mistral-u.fr")</f>
        <v>delphine.damian@lemistral.fr,helene.mina@lemistral.fr, uexpress.althen@mistral-u.fr</v>
      </c>
      <c r="L23" t="str">
        <f ca="1">IFERROR(__xludf.DUMMYFUNCTION("""COMPUTED_VALUE"""),"")</f>
        <v/>
      </c>
      <c r="M23" t="str">
        <f ca="1">IFERROR(__xludf.DUMMYFUNCTION("""COMPUTED_VALUE"""),"99.Hors Périmetre")</f>
        <v>99.Hors Périmetre</v>
      </c>
      <c r="N23" t="str">
        <f ca="1">IFERROR(__xludf.DUMMYFUNCTION("""COMPUTED_VALUE"""),"")</f>
        <v/>
      </c>
      <c r="O23" t="str">
        <f ca="1">IFERROR(__xludf.DUMMYFUNCTION("""COMPUTED_VALUE"""),"")</f>
        <v/>
      </c>
      <c r="P23" t="str">
        <f ca="1">IFERROR(__xludf.DUMMYFUNCTION("""COMPUTED_VALUE"""),"")</f>
        <v/>
      </c>
      <c r="Q23" s="5" t="str">
        <f ca="1">IFERROR(__xludf.DUMMYFUNCTION("""COMPUTED_VALUE"""),"")</f>
        <v/>
      </c>
      <c r="R23" s="6" t="str">
        <f ca="1">IFERROR(__xludf.DUMMYFUNCTION("""COMPUTED_VALUE"""),"")</f>
        <v/>
      </c>
      <c r="S23" t="str">
        <f ca="1">IFERROR(__xludf.DUMMYFUNCTION("""COMPUTED_VALUE"""),"")</f>
        <v/>
      </c>
      <c r="T23" t="str">
        <f ca="1">IFERROR(__xludf.DUMMYFUNCTION("""COMPUTED_VALUE"""),"")</f>
        <v/>
      </c>
      <c r="U23" t="str">
        <f ca="1">IFERROR(__xludf.DUMMYFUNCTION("""COMPUTED_VALUE"""),"")</f>
        <v/>
      </c>
      <c r="V23" t="str">
        <f ca="1">IFERROR(__xludf.DUMMYFUNCTION("""COMPUTED_VALUE"""),"")</f>
        <v/>
      </c>
      <c r="W23" t="str">
        <f ca="1">IFERROR(__xludf.DUMMYFUNCTION("""COMPUTED_VALUE"""),"R5")</f>
        <v>R5</v>
      </c>
      <c r="X23" t="str">
        <f ca="1">IFERROR(__xludf.DUMMYFUNCTION("""COMPUTED_VALUE"""),"Pricer")</f>
        <v>Pricer</v>
      </c>
      <c r="Y23" t="str">
        <f ca="1">IFERROR(__xludf.DUMMYFUNCTION("""COMPUTED_VALUE"""),"")</f>
        <v/>
      </c>
      <c r="Z23" t="str">
        <f ca="1">IFERROR(__xludf.DUMMYFUNCTION("""COMPUTED_VALUE"""),"")</f>
        <v/>
      </c>
      <c r="AA23" t="str">
        <f ca="1">IFERROR(__xludf.DUMMYFUNCTION("""COMPUTED_VALUE"""),"Pas de commande")</f>
        <v>Pas de commande</v>
      </c>
      <c r="AB23" s="8" t="str">
        <f ca="1">IFERROR(__xludf.DUMMYFUNCTION("""COMPUTED_VALUE"""),"")</f>
        <v/>
      </c>
      <c r="AC23" s="8" t="str">
        <f ca="1">IFERROR(__xludf.DUMMYFUNCTION("""COMPUTED_VALUE"""),"")</f>
        <v/>
      </c>
      <c r="AD23" s="11" t="str">
        <f ca="1">IFERROR(__xludf.DUMMYFUNCTION("""COMPUTED_VALUE"""),"")</f>
        <v/>
      </c>
      <c r="AE23" t="str">
        <f ca="1">IFERROR(__xludf.DUMMYFUNCTION("""COMPUTED_VALUE"""),"")</f>
        <v/>
      </c>
    </row>
    <row r="24" spans="1:31" ht="15.75" customHeight="1" x14ac:dyDescent="0.2">
      <c r="A24">
        <f ca="1">IFERROR(__xludf.DUMMYFUNCTION("""COMPUTED_VALUE"""),60041)</f>
        <v>60041</v>
      </c>
      <c r="B24" t="str">
        <f ca="1">IFERROR(__xludf.DUMMYFUNCTION("""COMPUTED_VALUE"""),"ALTKIRCH")</f>
        <v>ALTKIRCH</v>
      </c>
      <c r="C24" t="str">
        <f ca="1">IFERROR(__xludf.DUMMYFUNCTION("""COMPUTED_VALUE"""),"Super U")</f>
        <v>Super U</v>
      </c>
      <c r="D24" t="str">
        <f ca="1">IFERROR(__xludf.DUMMYFUNCTION("""COMPUTED_VALUE"""),"Coop U Enseigne Est")</f>
        <v>Coop U Enseigne Est</v>
      </c>
      <c r="E24">
        <f ca="1">IFERROR(__xludf.DUMMYFUNCTION("""COMPUTED_VALUE"""),68130)</f>
        <v>68130</v>
      </c>
      <c r="F24" t="str">
        <f ca="1">IFERROR(__xludf.DUMMYFUNCTION("""COMPUTED_VALUE"""),"7 rue de Givet")</f>
        <v>7 rue de Givet</v>
      </c>
      <c r="G24" t="str">
        <f ca="1">IFERROR(__xludf.DUMMYFUNCTION("""COMPUTED_VALUE"""),"03.89.40.94.06")</f>
        <v>03.89.40.94.06</v>
      </c>
      <c r="H24" t="str">
        <f ca="1">IFERROR(__xludf.DUMMYFUNCTION("""COMPUTED_VALUE"""),"HENRY Damien")</f>
        <v>HENRY Damien</v>
      </c>
      <c r="I24" t="str">
        <f ca="1">IFERROR(__xludf.DUMMYFUNCTION("""COMPUTED_VALUE"""),"damien.henry@systeme-u.fr")</f>
        <v>damien.henry@systeme-u.fr</v>
      </c>
      <c r="J24" t="str">
        <f ca="1">IFERROR(__xludf.DUMMYFUNCTION("""COMPUTED_VALUE"""),"Alexandra DIDIER")</f>
        <v>Alexandra DIDIER</v>
      </c>
      <c r="K24" t="str">
        <f ca="1">IFERROR(__xludf.DUMMYFUNCTION("""COMPUTED_VALUE"""),"superu.altkirch.compta@systeme-u.fr")</f>
        <v>superu.altkirch.compta@systeme-u.fr</v>
      </c>
      <c r="L24" t="str">
        <f ca="1">IFERROR(__xludf.DUMMYFUNCTION("""COMPUTED_VALUE"""),"")</f>
        <v/>
      </c>
      <c r="M24" t="str">
        <f ca="1">IFERROR(__xludf.DUMMYFUNCTION("""COMPUTED_VALUE"""),"99.Hors Périmetre")</f>
        <v>99.Hors Périmetre</v>
      </c>
      <c r="N24" t="str">
        <f ca="1">IFERROR(__xludf.DUMMYFUNCTION("""COMPUTED_VALUE"""),"")</f>
        <v/>
      </c>
      <c r="O24" t="str">
        <f ca="1">IFERROR(__xludf.DUMMYFUNCTION("""COMPUTED_VALUE"""),"")</f>
        <v/>
      </c>
      <c r="P24" t="str">
        <f ca="1">IFERROR(__xludf.DUMMYFUNCTION("""COMPUTED_VALUE"""),"")</f>
        <v/>
      </c>
      <c r="Q24" s="5" t="str">
        <f ca="1">IFERROR(__xludf.DUMMYFUNCTION("""COMPUTED_VALUE"""),"")</f>
        <v/>
      </c>
      <c r="R24" s="6" t="str">
        <f ca="1">IFERROR(__xludf.DUMMYFUNCTION("""COMPUTED_VALUE"""),"")</f>
        <v/>
      </c>
      <c r="S24" t="str">
        <f ca="1">IFERROR(__xludf.DUMMYFUNCTION("""COMPUTED_VALUE"""),"")</f>
        <v/>
      </c>
      <c r="T24" t="str">
        <f ca="1">IFERROR(__xludf.DUMMYFUNCTION("""COMPUTED_VALUE"""),"")</f>
        <v/>
      </c>
      <c r="U24" t="str">
        <f ca="1">IFERROR(__xludf.DUMMYFUNCTION("""COMPUTED_VALUE"""),"")</f>
        <v/>
      </c>
      <c r="V24" t="str">
        <f ca="1">IFERROR(__xludf.DUMMYFUNCTION("""COMPUTED_VALUE"""),"")</f>
        <v/>
      </c>
      <c r="W24" t="str">
        <f ca="1">IFERROR(__xludf.DUMMYFUNCTION("""COMPUTED_VALUE"""),"")</f>
        <v/>
      </c>
      <c r="X24" t="str">
        <f ca="1">IFERROR(__xludf.DUMMYFUNCTION("""COMPUTED_VALUE"""),"")</f>
        <v/>
      </c>
      <c r="Y24" t="str">
        <f ca="1">IFERROR(__xludf.DUMMYFUNCTION("""COMPUTED_VALUE"""),"")</f>
        <v/>
      </c>
      <c r="Z24" t="str">
        <f ca="1">IFERROR(__xludf.DUMMYFUNCTION("""COMPUTED_VALUE"""),"")</f>
        <v/>
      </c>
      <c r="AA24" t="str">
        <f ca="1">IFERROR(__xludf.DUMMYFUNCTION("""COMPUTED_VALUE"""),"Pas de commande")</f>
        <v>Pas de commande</v>
      </c>
      <c r="AB24" s="8" t="str">
        <f ca="1">IFERROR(__xludf.DUMMYFUNCTION("""COMPUTED_VALUE"""),"")</f>
        <v/>
      </c>
      <c r="AC24" s="8" t="str">
        <f ca="1">IFERROR(__xludf.DUMMYFUNCTION("""COMPUTED_VALUE"""),"")</f>
        <v/>
      </c>
      <c r="AD24" s="11" t="str">
        <f ca="1">IFERROR(__xludf.DUMMYFUNCTION("""COMPUTED_VALUE"""),"")</f>
        <v/>
      </c>
      <c r="AE24" t="str">
        <f ca="1">IFERROR(__xludf.DUMMYFUNCTION("""COMPUTED_VALUE"""),"")</f>
        <v/>
      </c>
    </row>
    <row r="25" spans="1:31" ht="15.75" customHeight="1" x14ac:dyDescent="0.2">
      <c r="A25">
        <f ca="1">IFERROR(__xludf.DUMMYFUNCTION("""COMPUTED_VALUE"""),95119)</f>
        <v>95119</v>
      </c>
      <c r="B25" t="str">
        <f ca="1">IFERROR(__xludf.DUMMYFUNCTION("""COMPUTED_VALUE"""),"AMBARES")</f>
        <v>AMBARES</v>
      </c>
      <c r="C25" t="str">
        <f ca="1">IFERROR(__xludf.DUMMYFUNCTION("""COMPUTED_VALUE"""),"U Express")</f>
        <v>U Express</v>
      </c>
      <c r="D25" t="str">
        <f ca="1">IFERROR(__xludf.DUMMYFUNCTION("""COMPUTED_VALUE"""),"Coop U Enseigne Sud")</f>
        <v>Coop U Enseigne Sud</v>
      </c>
      <c r="E25">
        <f ca="1">IFERROR(__xludf.DUMMYFUNCTION("""COMPUTED_VALUE"""),33440)</f>
        <v>33440</v>
      </c>
      <c r="F25" t="str">
        <f ca="1">IFERROR(__xludf.DUMMYFUNCTION("""COMPUTED_VALUE"""),"1 RUE EDOUARD HERRIOT")</f>
        <v>1 RUE EDOUARD HERRIOT</v>
      </c>
      <c r="G25" t="str">
        <f ca="1">IFERROR(__xludf.DUMMYFUNCTION("""COMPUTED_VALUE"""),"05.56.38.84.05")</f>
        <v>05.56.38.84.05</v>
      </c>
      <c r="H25" t="str">
        <f ca="1">IFERROR(__xludf.DUMMYFUNCTION("""COMPUTED_VALUE"""),"ET JEAN-PIERRE DELUGA STEPHANE MARTIN")</f>
        <v>ET JEAN-PIERRE DELUGA STEPHANE MARTIN</v>
      </c>
      <c r="I25" t="str">
        <f ca="1">IFERROR(__xludf.DUMMYFUNCTION("""COMPUTED_VALUE"""),"uexpress.ambares@systeme-u.fr")</f>
        <v>uexpress.ambares@systeme-u.fr</v>
      </c>
      <c r="J25" t="str">
        <f ca="1">IFERROR(__xludf.DUMMYFUNCTION("""COMPUTED_VALUE"""),"")</f>
        <v/>
      </c>
      <c r="K25" t="str">
        <f ca="1">IFERROR(__xludf.DUMMYFUNCTION("""COMPUTED_VALUE"""),"")</f>
        <v/>
      </c>
      <c r="L25" t="str">
        <f ca="1">IFERROR(__xludf.DUMMYFUNCTION("""COMPUTED_VALUE"""),"")</f>
        <v/>
      </c>
      <c r="M25" t="str">
        <f ca="1">IFERROR(__xludf.DUMMYFUNCTION("""COMPUTED_VALUE"""),"99.Hors Périmetre")</f>
        <v>99.Hors Périmetre</v>
      </c>
      <c r="N25" t="str">
        <f ca="1">IFERROR(__xludf.DUMMYFUNCTION("""COMPUTED_VALUE"""),"")</f>
        <v/>
      </c>
      <c r="O25" t="str">
        <f ca="1">IFERROR(__xludf.DUMMYFUNCTION("""COMPUTED_VALUE"""),"")</f>
        <v/>
      </c>
      <c r="P25" t="str">
        <f ca="1">IFERROR(__xludf.DUMMYFUNCTION("""COMPUTED_VALUE"""),"")</f>
        <v/>
      </c>
      <c r="Q25" s="5" t="str">
        <f ca="1">IFERROR(__xludf.DUMMYFUNCTION("""COMPUTED_VALUE"""),"")</f>
        <v/>
      </c>
      <c r="R25" s="6" t="str">
        <f ca="1">IFERROR(__xludf.DUMMYFUNCTION("""COMPUTED_VALUE"""),"")</f>
        <v/>
      </c>
      <c r="S25" t="str">
        <f ca="1">IFERROR(__xludf.DUMMYFUNCTION("""COMPUTED_VALUE"""),"")</f>
        <v/>
      </c>
      <c r="T25" t="str">
        <f ca="1">IFERROR(__xludf.DUMMYFUNCTION("""COMPUTED_VALUE"""),"")</f>
        <v/>
      </c>
      <c r="U25" t="str">
        <f ca="1">IFERROR(__xludf.DUMMYFUNCTION("""COMPUTED_VALUE"""),"")</f>
        <v/>
      </c>
      <c r="V25" t="str">
        <f ca="1">IFERROR(__xludf.DUMMYFUNCTION("""COMPUTED_VALUE"""),"")</f>
        <v/>
      </c>
      <c r="W25" t="str">
        <f ca="1">IFERROR(__xludf.DUMMYFUNCTION("""COMPUTED_VALUE"""),"R5")</f>
        <v>R5</v>
      </c>
      <c r="X25" t="str">
        <f ca="1">IFERROR(__xludf.DUMMYFUNCTION("""COMPUTED_VALUE"""),"Pricer")</f>
        <v>Pricer</v>
      </c>
      <c r="Y25" t="str">
        <f ca="1">IFERROR(__xludf.DUMMYFUNCTION("""COMPUTED_VALUE"""),"")</f>
        <v/>
      </c>
      <c r="Z25" t="str">
        <f ca="1">IFERROR(__xludf.DUMMYFUNCTION("""COMPUTED_VALUE"""),"")</f>
        <v/>
      </c>
      <c r="AA25" t="str">
        <f ca="1">IFERROR(__xludf.DUMMYFUNCTION("""COMPUTED_VALUE"""),"Pas de commande")</f>
        <v>Pas de commande</v>
      </c>
      <c r="AB25" s="8" t="str">
        <f ca="1">IFERROR(__xludf.DUMMYFUNCTION("""COMPUTED_VALUE"""),"")</f>
        <v/>
      </c>
      <c r="AC25" s="8" t="str">
        <f ca="1">IFERROR(__xludf.DUMMYFUNCTION("""COMPUTED_VALUE"""),"")</f>
        <v/>
      </c>
      <c r="AD25" s="11" t="str">
        <f ca="1">IFERROR(__xludf.DUMMYFUNCTION("""COMPUTED_VALUE"""),"")</f>
        <v/>
      </c>
      <c r="AE25" t="str">
        <f ca="1">IFERROR(__xludf.DUMMYFUNCTION("""COMPUTED_VALUE"""),"")</f>
        <v/>
      </c>
    </row>
    <row r="26" spans="1:31" ht="15.75" customHeight="1" x14ac:dyDescent="0.2">
      <c r="A26">
        <f ca="1">IFERROR(__xludf.DUMMYFUNCTION("""COMPUTED_VALUE"""),32063)</f>
        <v>32063</v>
      </c>
      <c r="B26" t="str">
        <f ca="1">IFERROR(__xludf.DUMMYFUNCTION("""COMPUTED_VALUE"""),"AMBAZAC")</f>
        <v>AMBAZAC</v>
      </c>
      <c r="C26" t="str">
        <f ca="1">IFERROR(__xludf.DUMMYFUNCTION("""COMPUTED_VALUE"""),"Super U")</f>
        <v>Super U</v>
      </c>
      <c r="D26" t="str">
        <f ca="1">IFERROR(__xludf.DUMMYFUNCTION("""COMPUTED_VALUE"""),"Coop Atlantique")</f>
        <v>Coop Atlantique</v>
      </c>
      <c r="E26">
        <f ca="1">IFERROR(__xludf.DUMMYFUNCTION("""COMPUTED_VALUE"""),87240)</f>
        <v>87240</v>
      </c>
      <c r="F26" t="str">
        <f ca="1">IFERROR(__xludf.DUMMYFUNCTION("""COMPUTED_VALUE"""),"RUE DE LA LIBÉRATION")</f>
        <v>RUE DE LA LIBÉRATION</v>
      </c>
      <c r="G26" t="str">
        <f ca="1">IFERROR(__xludf.DUMMYFUNCTION("""COMPUTED_VALUE"""),"05.55.56.61.26")</f>
        <v>05.55.56.61.26</v>
      </c>
      <c r="H26" t="str">
        <f ca="1">IFERROR(__xludf.DUMMYFUNCTION("""COMPUTED_VALUE"""),"FLAMBARD Hervé")</f>
        <v>FLAMBARD Hervé</v>
      </c>
      <c r="I26" t="str">
        <f ca="1">IFERROR(__xludf.DUMMYFUNCTION("""COMPUTED_VALUE"""),"bertrand.defontaine_coop_su_uex@systeme-u.fr")</f>
        <v>bertrand.defontaine_coop_su_uex@systeme-u.fr</v>
      </c>
      <c r="J26" t="str">
        <f ca="1">IFERROR(__xludf.DUMMYFUNCTION("""COMPUTED_VALUE"""),"Stéphanie SAVOY")</f>
        <v>Stéphanie SAVOY</v>
      </c>
      <c r="K26" t="str">
        <f ca="1">IFERROR(__xludf.DUMMYFUNCTION("""COMPUTED_VALUE"""),"superu.ambazac.direction@systeme-u.fr,nbrigant@coop-atlantique.fr,sjaud@coop-atlantique.fr,mbonnetaud@coop-atlantique.fr")</f>
        <v>superu.ambazac.direction@systeme-u.fr,nbrigant@coop-atlantique.fr,sjaud@coop-atlantique.fr,mbonnetaud@coop-atlantique.fr</v>
      </c>
      <c r="L26" t="str">
        <f ca="1">IFERROR(__xludf.DUMMYFUNCTION("""COMPUTED_VALUE"""),"")</f>
        <v/>
      </c>
      <c r="M26" t="str">
        <f ca="1">IFERROR(__xludf.DUMMYFUNCTION("""COMPUTED_VALUE"""),"99.Hors Périmetre")</f>
        <v>99.Hors Périmetre</v>
      </c>
      <c r="N26" t="str">
        <f ca="1">IFERROR(__xludf.DUMMYFUNCTION("""COMPUTED_VALUE"""),"")</f>
        <v/>
      </c>
      <c r="O26" t="str">
        <f ca="1">IFERROR(__xludf.DUMMYFUNCTION("""COMPUTED_VALUE"""),"")</f>
        <v/>
      </c>
      <c r="P26" t="str">
        <f ca="1">IFERROR(__xludf.DUMMYFUNCTION("""COMPUTED_VALUE"""),"")</f>
        <v/>
      </c>
      <c r="Q26" s="5" t="str">
        <f ca="1">IFERROR(__xludf.DUMMYFUNCTION("""COMPUTED_VALUE"""),"")</f>
        <v/>
      </c>
      <c r="R26" s="6" t="str">
        <f ca="1">IFERROR(__xludf.DUMMYFUNCTION("""COMPUTED_VALUE"""),"")</f>
        <v/>
      </c>
      <c r="S26" t="str">
        <f ca="1">IFERROR(__xludf.DUMMYFUNCTION("""COMPUTED_VALUE"""),"")</f>
        <v/>
      </c>
      <c r="T26" t="str">
        <f ca="1">IFERROR(__xludf.DUMMYFUNCTION("""COMPUTED_VALUE"""),"")</f>
        <v/>
      </c>
      <c r="U26" t="str">
        <f ca="1">IFERROR(__xludf.DUMMYFUNCTION("""COMPUTED_VALUE"""),"")</f>
        <v/>
      </c>
      <c r="V26" t="str">
        <f ca="1">IFERROR(__xludf.DUMMYFUNCTION("""COMPUTED_VALUE"""),"")</f>
        <v/>
      </c>
      <c r="W26" t="str">
        <f ca="1">IFERROR(__xludf.DUMMYFUNCTION("""COMPUTED_VALUE"""),"")</f>
        <v/>
      </c>
      <c r="X26" t="str">
        <f ca="1">IFERROR(__xludf.DUMMYFUNCTION("""COMPUTED_VALUE"""),"")</f>
        <v/>
      </c>
      <c r="Y26" t="str">
        <f ca="1">IFERROR(__xludf.DUMMYFUNCTION("""COMPUTED_VALUE"""),"")</f>
        <v/>
      </c>
      <c r="Z26" t="str">
        <f ca="1">IFERROR(__xludf.DUMMYFUNCTION("""COMPUTED_VALUE"""),"")</f>
        <v/>
      </c>
      <c r="AA26" t="str">
        <f ca="1">IFERROR(__xludf.DUMMYFUNCTION("""COMPUTED_VALUE"""),"Pas de commande")</f>
        <v>Pas de commande</v>
      </c>
      <c r="AB26" s="8" t="str">
        <f ca="1">IFERROR(__xludf.DUMMYFUNCTION("""COMPUTED_VALUE"""),"")</f>
        <v/>
      </c>
      <c r="AC26" s="8" t="str">
        <f ca="1">IFERROR(__xludf.DUMMYFUNCTION("""COMPUTED_VALUE"""),"")</f>
        <v/>
      </c>
      <c r="AD26" s="11" t="str">
        <f ca="1">IFERROR(__xludf.DUMMYFUNCTION("""COMPUTED_VALUE"""),"")</f>
        <v/>
      </c>
      <c r="AE26" t="str">
        <f ca="1">IFERROR(__xludf.DUMMYFUNCTION("""COMPUTED_VALUE"""),"")</f>
        <v/>
      </c>
    </row>
    <row r="27" spans="1:31" ht="15.75" customHeight="1" x14ac:dyDescent="0.2">
      <c r="A27">
        <f ca="1">IFERROR(__xludf.DUMMYFUNCTION("""COMPUTED_VALUE"""),25871)</f>
        <v>25871</v>
      </c>
      <c r="B27" t="str">
        <f ca="1">IFERROR(__xludf.DUMMYFUNCTION("""COMPUTED_VALUE"""),"AMIENS")</f>
        <v>AMIENS</v>
      </c>
      <c r="C27" t="str">
        <f ca="1">IFERROR(__xludf.DUMMYFUNCTION("""COMPUTED_VALUE"""),"Super U")</f>
        <v>Super U</v>
      </c>
      <c r="D27" t="str">
        <f ca="1">IFERROR(__xludf.DUMMYFUNCTION("""COMPUTED_VALUE"""),"Coop U Enseigne NordOuest")</f>
        <v>Coop U Enseigne NordOuest</v>
      </c>
      <c r="E27">
        <f ca="1">IFERROR(__xludf.DUMMYFUNCTION("""COMPUTED_VALUE"""),80000)</f>
        <v>80000</v>
      </c>
      <c r="F27" t="str">
        <f ca="1">IFERROR(__xludf.DUMMYFUNCTION("""COMPUTED_VALUE"""),"4 RUE EDOUARD LUCAS")</f>
        <v>4 RUE EDOUARD LUCAS</v>
      </c>
      <c r="G27" t="str">
        <f ca="1">IFERROR(__xludf.DUMMYFUNCTION("""COMPUTED_VALUE"""),"03.22.50.08.44")</f>
        <v>03.22.50.08.44</v>
      </c>
      <c r="H27" t="str">
        <f ca="1">IFERROR(__xludf.DUMMYFUNCTION("""COMPUTED_VALUE"""),"GEST Charles-Henri")</f>
        <v>GEST Charles-Henri</v>
      </c>
      <c r="I27" t="str">
        <f ca="1">IFERROR(__xludf.DUMMYFUNCTION("""COMPUTED_VALUE"""),"charles-henri.gest@systeme-u.fr")</f>
        <v>charles-henri.gest@systeme-u.fr</v>
      </c>
      <c r="J27" t="str">
        <f ca="1">IFERROR(__xludf.DUMMYFUNCTION("""COMPUTED_VALUE"""),"")</f>
        <v/>
      </c>
      <c r="K27" t="str">
        <f ca="1">IFERROR(__xludf.DUMMYFUNCTION("""COMPUTED_VALUE"""),"")</f>
        <v/>
      </c>
      <c r="L27" t="str">
        <f ca="1">IFERROR(__xludf.DUMMYFUNCTION("""COMPUTED_VALUE"""),"")</f>
        <v/>
      </c>
      <c r="M27" t="str">
        <f ca="1">IFERROR(__xludf.DUMMYFUNCTION("""COMPUTED_VALUE"""),"99.Hors Périmetre")</f>
        <v>99.Hors Périmetre</v>
      </c>
      <c r="N27" t="str">
        <f ca="1">IFERROR(__xludf.DUMMYFUNCTION("""COMPUTED_VALUE"""),"")</f>
        <v/>
      </c>
      <c r="O27" t="str">
        <f ca="1">IFERROR(__xludf.DUMMYFUNCTION("""COMPUTED_VALUE"""),"")</f>
        <v/>
      </c>
      <c r="P27" t="str">
        <f ca="1">IFERROR(__xludf.DUMMYFUNCTION("""COMPUTED_VALUE"""),"")</f>
        <v/>
      </c>
      <c r="Q27" s="5" t="str">
        <f ca="1">IFERROR(__xludf.DUMMYFUNCTION("""COMPUTED_VALUE"""),"")</f>
        <v/>
      </c>
      <c r="R27" s="6" t="str">
        <f ca="1">IFERROR(__xludf.DUMMYFUNCTION("""COMPUTED_VALUE"""),"")</f>
        <v/>
      </c>
      <c r="S27" t="str">
        <f ca="1">IFERROR(__xludf.DUMMYFUNCTION("""COMPUTED_VALUE"""),"")</f>
        <v/>
      </c>
      <c r="T27" t="str">
        <f ca="1">IFERROR(__xludf.DUMMYFUNCTION("""COMPUTED_VALUE"""),"")</f>
        <v/>
      </c>
      <c r="U27" t="str">
        <f ca="1">IFERROR(__xludf.DUMMYFUNCTION("""COMPUTED_VALUE"""),"")</f>
        <v/>
      </c>
      <c r="V27" t="str">
        <f ca="1">IFERROR(__xludf.DUMMYFUNCTION("""COMPUTED_VALUE"""),"")</f>
        <v/>
      </c>
      <c r="W27" t="str">
        <f ca="1">IFERROR(__xludf.DUMMYFUNCTION("""COMPUTED_VALUE"""),"")</f>
        <v/>
      </c>
      <c r="X27" t="str">
        <f ca="1">IFERROR(__xludf.DUMMYFUNCTION("""COMPUTED_VALUE"""),"")</f>
        <v/>
      </c>
      <c r="Y27" t="str">
        <f ca="1">IFERROR(__xludf.DUMMYFUNCTION("""COMPUTED_VALUE"""),"")</f>
        <v/>
      </c>
      <c r="Z27" t="str">
        <f ca="1">IFERROR(__xludf.DUMMYFUNCTION("""COMPUTED_VALUE"""),"")</f>
        <v/>
      </c>
      <c r="AA27" t="str">
        <f ca="1">IFERROR(__xludf.DUMMYFUNCTION("""COMPUTED_VALUE"""),"Pas de commande")</f>
        <v>Pas de commande</v>
      </c>
      <c r="AB27" s="8" t="str">
        <f ca="1">IFERROR(__xludf.DUMMYFUNCTION("""COMPUTED_VALUE"""),"")</f>
        <v/>
      </c>
      <c r="AC27" s="8" t="str">
        <f ca="1">IFERROR(__xludf.DUMMYFUNCTION("""COMPUTED_VALUE"""),"")</f>
        <v/>
      </c>
      <c r="AD27" s="11" t="str">
        <f ca="1">IFERROR(__xludf.DUMMYFUNCTION("""COMPUTED_VALUE"""),"")</f>
        <v/>
      </c>
      <c r="AE27" t="str">
        <f ca="1">IFERROR(__xludf.DUMMYFUNCTION("""COMPUTED_VALUE"""),"")</f>
        <v/>
      </c>
    </row>
    <row r="28" spans="1:31" ht="15.75" customHeight="1" x14ac:dyDescent="0.2">
      <c r="A28">
        <f ca="1">IFERROR(__xludf.DUMMYFUNCTION("""COMPUTED_VALUE"""),66132)</f>
        <v>66132</v>
      </c>
      <c r="B28" t="str">
        <f ca="1">IFERROR(__xludf.DUMMYFUNCTION("""COMPUTED_VALUE"""),"AMPHION LES BAINS")</f>
        <v>AMPHION LES BAINS</v>
      </c>
      <c r="C28" t="str">
        <f ca="1">IFERROR(__xludf.DUMMYFUNCTION("""COMPUTED_VALUE"""),"Super U")</f>
        <v>Super U</v>
      </c>
      <c r="D28" t="str">
        <f ca="1">IFERROR(__xludf.DUMMYFUNCTION("""COMPUTED_VALUE"""),"Coop U Enseigne Est")</f>
        <v>Coop U Enseigne Est</v>
      </c>
      <c r="E28">
        <f ca="1">IFERROR(__xludf.DUMMYFUNCTION("""COMPUTED_VALUE"""),74500)</f>
        <v>74500</v>
      </c>
      <c r="F28" t="str">
        <f ca="1">IFERROR(__xludf.DUMMYFUNCTION("""COMPUTED_VALUE"""),"21 RUE DU CLOS FLEURIS")</f>
        <v>21 RUE DU CLOS FLEURIS</v>
      </c>
      <c r="G28" t="str">
        <f ca="1">IFERROR(__xludf.DUMMYFUNCTION("""COMPUTED_VALUE"""),"04.50.70.00.49")</f>
        <v>04.50.70.00.49</v>
      </c>
      <c r="H28" t="str">
        <f ca="1">IFERROR(__xludf.DUMMYFUNCTION("""COMPUTED_VALUE"""),"FERNEX Isabelle")</f>
        <v>FERNEX Isabelle</v>
      </c>
      <c r="I28" t="str">
        <f ca="1">IFERROR(__xludf.DUMMYFUNCTION("""COMPUTED_VALUE"""),"isabelle.fernex@systeme-u.fr")</f>
        <v>isabelle.fernex@systeme-u.fr</v>
      </c>
      <c r="J28" t="str">
        <f ca="1">IFERROR(__xludf.DUMMYFUNCTION("""COMPUTED_VALUE"""),"")</f>
        <v/>
      </c>
      <c r="K28" t="str">
        <f ca="1">IFERROR(__xludf.DUMMYFUNCTION("""COMPUTED_VALUE"""),"")</f>
        <v/>
      </c>
      <c r="L28" t="str">
        <f ca="1">IFERROR(__xludf.DUMMYFUNCTION("""COMPUTED_VALUE"""),"")</f>
        <v/>
      </c>
      <c r="M28" t="str">
        <f ca="1">IFERROR(__xludf.DUMMYFUNCTION("""COMPUTED_VALUE"""),"99.Hors Périmetre")</f>
        <v>99.Hors Périmetre</v>
      </c>
      <c r="N28" t="str">
        <f ca="1">IFERROR(__xludf.DUMMYFUNCTION("""COMPUTED_VALUE"""),"")</f>
        <v/>
      </c>
      <c r="O28" t="str">
        <f ca="1">IFERROR(__xludf.DUMMYFUNCTION("""COMPUTED_VALUE"""),"")</f>
        <v/>
      </c>
      <c r="P28" t="str">
        <f ca="1">IFERROR(__xludf.DUMMYFUNCTION("""COMPUTED_VALUE"""),"")</f>
        <v/>
      </c>
      <c r="Q28" s="5" t="str">
        <f ca="1">IFERROR(__xludf.DUMMYFUNCTION("""COMPUTED_VALUE"""),"")</f>
        <v/>
      </c>
      <c r="R28" s="6" t="str">
        <f ca="1">IFERROR(__xludf.DUMMYFUNCTION("""COMPUTED_VALUE"""),"")</f>
        <v/>
      </c>
      <c r="S28" t="str">
        <f ca="1">IFERROR(__xludf.DUMMYFUNCTION("""COMPUTED_VALUE"""),"")</f>
        <v/>
      </c>
      <c r="T28" t="str">
        <f ca="1">IFERROR(__xludf.DUMMYFUNCTION("""COMPUTED_VALUE"""),"")</f>
        <v/>
      </c>
      <c r="U28" t="str">
        <f ca="1">IFERROR(__xludf.DUMMYFUNCTION("""COMPUTED_VALUE"""),"")</f>
        <v/>
      </c>
      <c r="V28" t="str">
        <f ca="1">IFERROR(__xludf.DUMMYFUNCTION("""COMPUTED_VALUE"""),"")</f>
        <v/>
      </c>
      <c r="W28" t="str">
        <f ca="1">IFERROR(__xludf.DUMMYFUNCTION("""COMPUTED_VALUE"""),"")</f>
        <v/>
      </c>
      <c r="X28" t="str">
        <f ca="1">IFERROR(__xludf.DUMMYFUNCTION("""COMPUTED_VALUE"""),"")</f>
        <v/>
      </c>
      <c r="Y28" t="str">
        <f ca="1">IFERROR(__xludf.DUMMYFUNCTION("""COMPUTED_VALUE"""),"")</f>
        <v/>
      </c>
      <c r="Z28" t="str">
        <f ca="1">IFERROR(__xludf.DUMMYFUNCTION("""COMPUTED_VALUE"""),"")</f>
        <v/>
      </c>
      <c r="AA28" t="str">
        <f ca="1">IFERROR(__xludf.DUMMYFUNCTION("""COMPUTED_VALUE"""),"Pas de commande")</f>
        <v>Pas de commande</v>
      </c>
      <c r="AB28" s="8" t="str">
        <f ca="1">IFERROR(__xludf.DUMMYFUNCTION("""COMPUTED_VALUE"""),"")</f>
        <v/>
      </c>
      <c r="AC28" s="8" t="str">
        <f ca="1">IFERROR(__xludf.DUMMYFUNCTION("""COMPUTED_VALUE"""),"")</f>
        <v/>
      </c>
      <c r="AD28" s="11" t="str">
        <f ca="1">IFERROR(__xludf.DUMMYFUNCTION("""COMPUTED_VALUE"""),"")</f>
        <v/>
      </c>
      <c r="AE28" t="str">
        <f ca="1">IFERROR(__xludf.DUMMYFUNCTION("""COMPUTED_VALUE"""),"")</f>
        <v/>
      </c>
    </row>
    <row r="29" spans="1:31" ht="15.75" customHeight="1" x14ac:dyDescent="0.2">
      <c r="A29">
        <f ca="1">IFERROR(__xludf.DUMMYFUNCTION("""COMPUTED_VALUE"""),35415)</f>
        <v>35415</v>
      </c>
      <c r="B29" t="str">
        <f ca="1">IFERROR(__xludf.DUMMYFUNCTION("""COMPUTED_VALUE"""),"ANCENIS")</f>
        <v>ANCENIS</v>
      </c>
      <c r="C29" t="str">
        <f ca="1">IFERROR(__xludf.DUMMYFUNCTION("""COMPUTED_VALUE"""),"Super U")</f>
        <v>Super U</v>
      </c>
      <c r="D29" t="str">
        <f ca="1">IFERROR(__xludf.DUMMYFUNCTION("""COMPUTED_VALUE"""),"Coop U Enseigne Ouest")</f>
        <v>Coop U Enseigne Ouest</v>
      </c>
      <c r="E29">
        <f ca="1">IFERROR(__xludf.DUMMYFUNCTION("""COMPUTED_VALUE"""),44150)</f>
        <v>44150</v>
      </c>
      <c r="F29" t="str">
        <f ca="1">IFERROR(__xludf.DUMMYFUNCTION("""COMPUTED_VALUE"""),"154, RUE AUDIGANNE")</f>
        <v>154, RUE AUDIGANNE</v>
      </c>
      <c r="G29" t="str">
        <f ca="1">IFERROR(__xludf.DUMMYFUNCTION("""COMPUTED_VALUE"""),"02.40.96.22.97")</f>
        <v>02.40.96.22.97</v>
      </c>
      <c r="H29" t="str">
        <f ca="1">IFERROR(__xludf.DUMMYFUNCTION("""COMPUTED_VALUE"""),"BORDRON Max")</f>
        <v>BORDRON Max</v>
      </c>
      <c r="I29" t="str">
        <f ca="1">IFERROR(__xludf.DUMMYFUNCTION("""COMPUTED_VALUE"""),"max.bordron@systeme-u.fr")</f>
        <v>max.bordron@systeme-u.fr</v>
      </c>
      <c r="J29" t="str">
        <f ca="1">IFERROR(__xludf.DUMMYFUNCTION("""COMPUTED_VALUE"""),"Petiteau Valérie")</f>
        <v>Petiteau Valérie</v>
      </c>
      <c r="K29" t="str">
        <f ca="1">IFERROR(__xludf.DUMMYFUNCTION("""COMPUTED_VALUE"""),"superu.ancenis.compta1@systeme-u.fr")</f>
        <v>superu.ancenis.compta1@systeme-u.fr</v>
      </c>
      <c r="L29" t="str">
        <f ca="1">IFERROR(__xludf.DUMMYFUNCTION("""COMPUTED_VALUE"""),"")</f>
        <v/>
      </c>
      <c r="M29" t="str">
        <f ca="1">IFERROR(__xludf.DUMMYFUNCTION("""COMPUTED_VALUE"""),"99.Hors Périmetre")</f>
        <v>99.Hors Périmetre</v>
      </c>
      <c r="N29" t="str">
        <f ca="1">IFERROR(__xludf.DUMMYFUNCTION("""COMPUTED_VALUE"""),"")</f>
        <v/>
      </c>
      <c r="O29" t="str">
        <f ca="1">IFERROR(__xludf.DUMMYFUNCTION("""COMPUTED_VALUE"""),"")</f>
        <v/>
      </c>
      <c r="P29" t="str">
        <f ca="1">IFERROR(__xludf.DUMMYFUNCTION("""COMPUTED_VALUE"""),"")</f>
        <v/>
      </c>
      <c r="Q29" s="5" t="str">
        <f ca="1">IFERROR(__xludf.DUMMYFUNCTION("""COMPUTED_VALUE"""),"")</f>
        <v/>
      </c>
      <c r="R29" s="6" t="str">
        <f ca="1">IFERROR(__xludf.DUMMYFUNCTION("""COMPUTED_VALUE"""),"")</f>
        <v/>
      </c>
      <c r="S29" t="str">
        <f ca="1">IFERROR(__xludf.DUMMYFUNCTION("""COMPUTED_VALUE"""),"")</f>
        <v/>
      </c>
      <c r="T29" t="str">
        <f ca="1">IFERROR(__xludf.DUMMYFUNCTION("""COMPUTED_VALUE"""),"")</f>
        <v/>
      </c>
      <c r="U29" t="str">
        <f ca="1">IFERROR(__xludf.DUMMYFUNCTION("""COMPUTED_VALUE"""),"")</f>
        <v/>
      </c>
      <c r="V29" t="str">
        <f ca="1">IFERROR(__xludf.DUMMYFUNCTION("""COMPUTED_VALUE"""),"")</f>
        <v/>
      </c>
      <c r="W29" t="str">
        <f ca="1">IFERROR(__xludf.DUMMYFUNCTION("""COMPUTED_VALUE"""),"")</f>
        <v/>
      </c>
      <c r="X29" t="str">
        <f ca="1">IFERROR(__xludf.DUMMYFUNCTION("""COMPUTED_VALUE"""),"")</f>
        <v/>
      </c>
      <c r="Y29" t="str">
        <f ca="1">IFERROR(__xludf.DUMMYFUNCTION("""COMPUTED_VALUE"""),"")</f>
        <v/>
      </c>
      <c r="Z29" t="str">
        <f ca="1">IFERROR(__xludf.DUMMYFUNCTION("""COMPUTED_VALUE"""),"")</f>
        <v/>
      </c>
      <c r="AA29" t="str">
        <f ca="1">IFERROR(__xludf.DUMMYFUNCTION("""COMPUTED_VALUE"""),"Pas de commande")</f>
        <v>Pas de commande</v>
      </c>
      <c r="AB29" s="8" t="str">
        <f ca="1">IFERROR(__xludf.DUMMYFUNCTION("""COMPUTED_VALUE"""),"")</f>
        <v/>
      </c>
      <c r="AC29" s="8" t="str">
        <f ca="1">IFERROR(__xludf.DUMMYFUNCTION("""COMPUTED_VALUE"""),"")</f>
        <v/>
      </c>
      <c r="AD29" s="11" t="str">
        <f ca="1">IFERROR(__xludf.DUMMYFUNCTION("""COMPUTED_VALUE"""),"")</f>
        <v/>
      </c>
      <c r="AE29" t="str">
        <f ca="1">IFERROR(__xludf.DUMMYFUNCTION("""COMPUTED_VALUE"""),"")</f>
        <v/>
      </c>
    </row>
    <row r="30" spans="1:31" ht="15.75" customHeight="1" x14ac:dyDescent="0.2">
      <c r="A30">
        <f ca="1">IFERROR(__xludf.DUMMYFUNCTION("""COMPUTED_VALUE"""),37811)</f>
        <v>37811</v>
      </c>
      <c r="B30" t="str">
        <f ca="1">IFERROR(__xludf.DUMMYFUNCTION("""COMPUTED_VALUE"""),"ANDARD")</f>
        <v>ANDARD</v>
      </c>
      <c r="C30" t="str">
        <f ca="1">IFERROR(__xludf.DUMMYFUNCTION("""COMPUTED_VALUE"""),"Super U")</f>
        <v>Super U</v>
      </c>
      <c r="D30" t="str">
        <f ca="1">IFERROR(__xludf.DUMMYFUNCTION("""COMPUTED_VALUE"""),"Coop U Enseigne Ouest")</f>
        <v>Coop U Enseigne Ouest</v>
      </c>
      <c r="E30">
        <f ca="1">IFERROR(__xludf.DUMMYFUNCTION("""COMPUTED_VALUE"""),49800)</f>
        <v>49800</v>
      </c>
      <c r="F30" t="str">
        <f ca="1">IFERROR(__xludf.DUMMYFUNCTION("""COMPUTED_VALUE"""),"55 GRANDE RUE")</f>
        <v>55 GRANDE RUE</v>
      </c>
      <c r="G30" t="str">
        <f ca="1">IFERROR(__xludf.DUMMYFUNCTION("""COMPUTED_VALUE"""),"02.41.80.47.87")</f>
        <v>02.41.80.47.87</v>
      </c>
      <c r="H30" t="str">
        <f ca="1">IFERROR(__xludf.DUMMYFUNCTION("""COMPUTED_VALUE"""),"LERENDU RPT SARL LA MOUETTE Pascale")</f>
        <v>LERENDU RPT SARL LA MOUETTE Pascale</v>
      </c>
      <c r="I30" t="str">
        <f ca="1">IFERROR(__xludf.DUMMYFUNCTION("""COMPUTED_VALUE"""),"pascale.lerendu@systeme-u.fr")</f>
        <v>pascale.lerendu@systeme-u.fr</v>
      </c>
      <c r="J30" t="str">
        <f ca="1">IFERROR(__xludf.DUMMYFUNCTION("""COMPUTED_VALUE"""),"")</f>
        <v/>
      </c>
      <c r="K30" t="str">
        <f ca="1">IFERROR(__xludf.DUMMYFUNCTION("""COMPUTED_VALUE"""),"")</f>
        <v/>
      </c>
      <c r="L30" t="str">
        <f ca="1">IFERROR(__xludf.DUMMYFUNCTION("""COMPUTED_VALUE"""),"")</f>
        <v/>
      </c>
      <c r="M30" t="str">
        <f ca="1">IFERROR(__xludf.DUMMYFUNCTION("""COMPUTED_VALUE"""),"99.Hors Périmetre")</f>
        <v>99.Hors Périmetre</v>
      </c>
      <c r="N30" t="str">
        <f ca="1">IFERROR(__xludf.DUMMYFUNCTION("""COMPUTED_VALUE"""),"")</f>
        <v/>
      </c>
      <c r="O30" t="str">
        <f ca="1">IFERROR(__xludf.DUMMYFUNCTION("""COMPUTED_VALUE"""),"")</f>
        <v/>
      </c>
      <c r="P30" t="str">
        <f ca="1">IFERROR(__xludf.DUMMYFUNCTION("""COMPUTED_VALUE"""),"")</f>
        <v/>
      </c>
      <c r="Q30" s="5" t="str">
        <f ca="1">IFERROR(__xludf.DUMMYFUNCTION("""COMPUTED_VALUE"""),"")</f>
        <v/>
      </c>
      <c r="R30" s="6" t="str">
        <f ca="1">IFERROR(__xludf.DUMMYFUNCTION("""COMPUTED_VALUE"""),"")</f>
        <v/>
      </c>
      <c r="S30" t="str">
        <f ca="1">IFERROR(__xludf.DUMMYFUNCTION("""COMPUTED_VALUE"""),"")</f>
        <v/>
      </c>
      <c r="T30" t="str">
        <f ca="1">IFERROR(__xludf.DUMMYFUNCTION("""COMPUTED_VALUE"""),"")</f>
        <v/>
      </c>
      <c r="U30" t="str">
        <f ca="1">IFERROR(__xludf.DUMMYFUNCTION("""COMPUTED_VALUE"""),"")</f>
        <v/>
      </c>
      <c r="V30" t="str">
        <f ca="1">IFERROR(__xludf.DUMMYFUNCTION("""COMPUTED_VALUE"""),"")</f>
        <v/>
      </c>
      <c r="W30" t="str">
        <f ca="1">IFERROR(__xludf.DUMMYFUNCTION("""COMPUTED_VALUE"""),"")</f>
        <v/>
      </c>
      <c r="X30" t="str">
        <f ca="1">IFERROR(__xludf.DUMMYFUNCTION("""COMPUTED_VALUE"""),"")</f>
        <v/>
      </c>
      <c r="Y30" t="str">
        <f ca="1">IFERROR(__xludf.DUMMYFUNCTION("""COMPUTED_VALUE"""),"")</f>
        <v/>
      </c>
      <c r="Z30" t="str">
        <f ca="1">IFERROR(__xludf.DUMMYFUNCTION("""COMPUTED_VALUE"""),"")</f>
        <v/>
      </c>
      <c r="AA30" t="str">
        <f ca="1">IFERROR(__xludf.DUMMYFUNCTION("""COMPUTED_VALUE"""),"Pas de commande")</f>
        <v>Pas de commande</v>
      </c>
      <c r="AB30" s="8" t="str">
        <f ca="1">IFERROR(__xludf.DUMMYFUNCTION("""COMPUTED_VALUE"""),"")</f>
        <v/>
      </c>
      <c r="AC30" s="8" t="str">
        <f ca="1">IFERROR(__xludf.DUMMYFUNCTION("""COMPUTED_VALUE"""),"")</f>
        <v/>
      </c>
      <c r="AD30" s="11" t="str">
        <f ca="1">IFERROR(__xludf.DUMMYFUNCTION("""COMPUTED_VALUE"""),"")</f>
        <v/>
      </c>
      <c r="AE30" t="str">
        <f ca="1">IFERROR(__xludf.DUMMYFUNCTION("""COMPUTED_VALUE"""),"")</f>
        <v/>
      </c>
    </row>
    <row r="31" spans="1:31" ht="15.75" customHeight="1" x14ac:dyDescent="0.2">
      <c r="A31">
        <f ca="1">IFERROR(__xludf.DUMMYFUNCTION("""COMPUTED_VALUE"""),90381)</f>
        <v>90381</v>
      </c>
      <c r="B31" t="str">
        <f ca="1">IFERROR(__xludf.DUMMYFUNCTION("""COMPUTED_VALUE"""),"ANDUZE")</f>
        <v>ANDUZE</v>
      </c>
      <c r="C31" t="str">
        <f ca="1">IFERROR(__xludf.DUMMYFUNCTION("""COMPUTED_VALUE"""),"Super U")</f>
        <v>Super U</v>
      </c>
      <c r="D31" t="str">
        <f ca="1">IFERROR(__xludf.DUMMYFUNCTION("""COMPUTED_VALUE"""),"Coop U Enseigne Sud")</f>
        <v>Coop U Enseigne Sud</v>
      </c>
      <c r="E31">
        <f ca="1">IFERROR(__xludf.DUMMYFUNCTION("""COMPUTED_VALUE"""),30140)</f>
        <v>30140</v>
      </c>
      <c r="F31" t="str">
        <f ca="1">IFERROR(__xludf.DUMMYFUNCTION("""COMPUTED_VALUE"""),"RUE DU LUXEMBOURG")</f>
        <v>RUE DU LUXEMBOURG</v>
      </c>
      <c r="G31" t="str">
        <f ca="1">IFERROR(__xludf.DUMMYFUNCTION("""COMPUTED_VALUE"""),"04.66.60.51.00")</f>
        <v>04.66.60.51.00</v>
      </c>
      <c r="H31" t="str">
        <f ca="1">IFERROR(__xludf.DUMMYFUNCTION("""COMPUTED_VALUE"""),"LEGRAND Christelle")</f>
        <v>LEGRAND Christelle</v>
      </c>
      <c r="I31" t="str">
        <f ca="1">IFERROR(__xludf.DUMMYFUNCTION("""COMPUTED_VALUE"""),"christelle.legrand@systeme-u.fr")</f>
        <v>christelle.legrand@systeme-u.fr</v>
      </c>
      <c r="J31" t="str">
        <f ca="1">IFERROR(__xludf.DUMMYFUNCTION("""COMPUTED_VALUE"""),"M. Christian FEUILLET")</f>
        <v>M. Christian FEUILLET</v>
      </c>
      <c r="K31" t="str">
        <f ca="1">IFERROR(__xludf.DUMMYFUNCTION("""COMPUTED_VALUE"""),"superu.anduze.direction@systeme-u.fr")</f>
        <v>superu.anduze.direction@systeme-u.fr</v>
      </c>
      <c r="L31" t="str">
        <f ca="1">IFERROR(__xludf.DUMMYFUNCTION("""COMPUTED_VALUE"""),"")</f>
        <v/>
      </c>
      <c r="M31" t="str">
        <f ca="1">IFERROR(__xludf.DUMMYFUNCTION("""COMPUTED_VALUE"""),"99.Hors Périmetre")</f>
        <v>99.Hors Périmetre</v>
      </c>
      <c r="N31" t="str">
        <f ca="1">IFERROR(__xludf.DUMMYFUNCTION("""COMPUTED_VALUE"""),"")</f>
        <v/>
      </c>
      <c r="O31" t="str">
        <f ca="1">IFERROR(__xludf.DUMMYFUNCTION("""COMPUTED_VALUE"""),"")</f>
        <v/>
      </c>
      <c r="P31" t="str">
        <f ca="1">IFERROR(__xludf.DUMMYFUNCTION("""COMPUTED_VALUE"""),"")</f>
        <v/>
      </c>
      <c r="Q31" s="5" t="str">
        <f ca="1">IFERROR(__xludf.DUMMYFUNCTION("""COMPUTED_VALUE"""),"")</f>
        <v/>
      </c>
      <c r="R31" s="6" t="str">
        <f ca="1">IFERROR(__xludf.DUMMYFUNCTION("""COMPUTED_VALUE"""),"")</f>
        <v/>
      </c>
      <c r="S31" t="str">
        <f ca="1">IFERROR(__xludf.DUMMYFUNCTION("""COMPUTED_VALUE"""),"")</f>
        <v/>
      </c>
      <c r="T31" t="str">
        <f ca="1">IFERROR(__xludf.DUMMYFUNCTION("""COMPUTED_VALUE"""),"")</f>
        <v/>
      </c>
      <c r="U31" t="str">
        <f ca="1">IFERROR(__xludf.DUMMYFUNCTION("""COMPUTED_VALUE"""),"")</f>
        <v/>
      </c>
      <c r="V31" t="str">
        <f ca="1">IFERROR(__xludf.DUMMYFUNCTION("""COMPUTED_VALUE"""),"")</f>
        <v/>
      </c>
      <c r="W31" t="str">
        <f ca="1">IFERROR(__xludf.DUMMYFUNCTION("""COMPUTED_VALUE"""),"")</f>
        <v/>
      </c>
      <c r="X31" t="str">
        <f ca="1">IFERROR(__xludf.DUMMYFUNCTION("""COMPUTED_VALUE"""),"")</f>
        <v/>
      </c>
      <c r="Y31" t="str">
        <f ca="1">IFERROR(__xludf.DUMMYFUNCTION("""COMPUTED_VALUE"""),"")</f>
        <v/>
      </c>
      <c r="Z31" t="str">
        <f ca="1">IFERROR(__xludf.DUMMYFUNCTION("""COMPUTED_VALUE"""),"")</f>
        <v/>
      </c>
      <c r="AA31" t="str">
        <f ca="1">IFERROR(__xludf.DUMMYFUNCTION("""COMPUTED_VALUE"""),"Pas de commande")</f>
        <v>Pas de commande</v>
      </c>
      <c r="AB31" s="8" t="str">
        <f ca="1">IFERROR(__xludf.DUMMYFUNCTION("""COMPUTED_VALUE"""),"")</f>
        <v/>
      </c>
      <c r="AC31" s="8" t="str">
        <f ca="1">IFERROR(__xludf.DUMMYFUNCTION("""COMPUTED_VALUE"""),"")</f>
        <v/>
      </c>
      <c r="AD31" s="11" t="str">
        <f ca="1">IFERROR(__xludf.DUMMYFUNCTION("""COMPUTED_VALUE"""),"")</f>
        <v/>
      </c>
      <c r="AE31" t="str">
        <f ca="1">IFERROR(__xludf.DUMMYFUNCTION("""COMPUTED_VALUE"""),"")</f>
        <v/>
      </c>
    </row>
    <row r="32" spans="1:31" ht="15.75" customHeight="1" x14ac:dyDescent="0.2">
      <c r="A32">
        <f ca="1">IFERROR(__xludf.DUMMYFUNCTION("""COMPUTED_VALUE"""),37749)</f>
        <v>37749</v>
      </c>
      <c r="B32" t="str">
        <f ca="1">IFERROR(__xludf.DUMMYFUNCTION("""COMPUTED_VALUE"""),"ANGERS BEAUSSIER")</f>
        <v>ANGERS BEAUSSIER</v>
      </c>
      <c r="C32" t="str">
        <f ca="1">IFERROR(__xludf.DUMMYFUNCTION("""COMPUTED_VALUE"""),"U Express")</f>
        <v>U Express</v>
      </c>
      <c r="D32" t="str">
        <f ca="1">IFERROR(__xludf.DUMMYFUNCTION("""COMPUTED_VALUE"""),"Coop U Enseigne Ouest")</f>
        <v>Coop U Enseigne Ouest</v>
      </c>
      <c r="E32">
        <f ca="1">IFERROR(__xludf.DUMMYFUNCTION("""COMPUTED_VALUE"""),49000)</f>
        <v>49000</v>
      </c>
      <c r="F32" t="str">
        <f ca="1">IFERROR(__xludf.DUMMYFUNCTION("""COMPUTED_VALUE"""),"41 CHEMIN DE LA LANDE")</f>
        <v>41 CHEMIN DE LA LANDE</v>
      </c>
      <c r="G32" t="str">
        <f ca="1">IFERROR(__xludf.DUMMYFUNCTION("""COMPUTED_VALUE"""),"02.41.36.02.02")</f>
        <v>02.41.36.02.02</v>
      </c>
      <c r="H32" t="str">
        <f ca="1">IFERROR(__xludf.DUMMYFUNCTION("""COMPUTED_VALUE"""),"COUTANT RPT SARL CAREODIS Frédéric")</f>
        <v>COUTANT RPT SARL CAREODIS Frédéric</v>
      </c>
      <c r="I32" t="str">
        <f ca="1">IFERROR(__xludf.DUMMYFUNCTION("""COMPUTED_VALUE"""),"frederic.coutant@systeme-u.fr")</f>
        <v>frederic.coutant@systeme-u.fr</v>
      </c>
      <c r="J32" t="str">
        <f ca="1">IFERROR(__xludf.DUMMYFUNCTION("""COMPUTED_VALUE"""),"")</f>
        <v/>
      </c>
      <c r="K32" t="str">
        <f ca="1">IFERROR(__xludf.DUMMYFUNCTION("""COMPUTED_VALUE"""),"")</f>
        <v/>
      </c>
      <c r="L32" t="str">
        <f ca="1">IFERROR(__xludf.DUMMYFUNCTION("""COMPUTED_VALUE"""),"")</f>
        <v/>
      </c>
      <c r="M32" t="str">
        <f ca="1">IFERROR(__xludf.DUMMYFUNCTION("""COMPUTED_VALUE"""),"99.Hors Périmetre")</f>
        <v>99.Hors Périmetre</v>
      </c>
      <c r="N32" t="str">
        <f ca="1">IFERROR(__xludf.DUMMYFUNCTION("""COMPUTED_VALUE"""),"")</f>
        <v/>
      </c>
      <c r="O32" t="str">
        <f ca="1">IFERROR(__xludf.DUMMYFUNCTION("""COMPUTED_VALUE"""),"")</f>
        <v/>
      </c>
      <c r="P32" t="str">
        <f ca="1">IFERROR(__xludf.DUMMYFUNCTION("""COMPUTED_VALUE"""),"")</f>
        <v/>
      </c>
      <c r="Q32" s="5" t="str">
        <f ca="1">IFERROR(__xludf.DUMMYFUNCTION("""COMPUTED_VALUE"""),"")</f>
        <v/>
      </c>
      <c r="R32" s="6" t="str">
        <f ca="1">IFERROR(__xludf.DUMMYFUNCTION("""COMPUTED_VALUE"""),"")</f>
        <v/>
      </c>
      <c r="S32" t="str">
        <f ca="1">IFERROR(__xludf.DUMMYFUNCTION("""COMPUTED_VALUE"""),"")</f>
        <v/>
      </c>
      <c r="T32" t="str">
        <f ca="1">IFERROR(__xludf.DUMMYFUNCTION("""COMPUTED_VALUE"""),"")</f>
        <v/>
      </c>
      <c r="U32" t="str">
        <f ca="1">IFERROR(__xludf.DUMMYFUNCTION("""COMPUTED_VALUE"""),"")</f>
        <v/>
      </c>
      <c r="V32" t="str">
        <f ca="1">IFERROR(__xludf.DUMMYFUNCTION("""COMPUTED_VALUE"""),"")</f>
        <v/>
      </c>
      <c r="W32" t="str">
        <f ca="1">IFERROR(__xludf.DUMMYFUNCTION("""COMPUTED_VALUE"""),"R5")</f>
        <v>R5</v>
      </c>
      <c r="X32" t="str">
        <f ca="1">IFERROR(__xludf.DUMMYFUNCTION("""COMPUTED_VALUE"""),"Pricer")</f>
        <v>Pricer</v>
      </c>
      <c r="Y32" t="str">
        <f ca="1">IFERROR(__xludf.DUMMYFUNCTION("""COMPUTED_VALUE"""),"")</f>
        <v/>
      </c>
      <c r="Z32" t="str">
        <f ca="1">IFERROR(__xludf.DUMMYFUNCTION("""COMPUTED_VALUE"""),"")</f>
        <v/>
      </c>
      <c r="AA32" t="str">
        <f ca="1">IFERROR(__xludf.DUMMYFUNCTION("""COMPUTED_VALUE"""),"Pas de commande")</f>
        <v>Pas de commande</v>
      </c>
      <c r="AB32" s="8" t="str">
        <f ca="1">IFERROR(__xludf.DUMMYFUNCTION("""COMPUTED_VALUE"""),"")</f>
        <v/>
      </c>
      <c r="AC32" s="8" t="str">
        <f ca="1">IFERROR(__xludf.DUMMYFUNCTION("""COMPUTED_VALUE"""),"")</f>
        <v/>
      </c>
      <c r="AD32" s="11" t="str">
        <f ca="1">IFERROR(__xludf.DUMMYFUNCTION("""COMPUTED_VALUE"""),"")</f>
        <v/>
      </c>
      <c r="AE32" t="str">
        <f ca="1">IFERROR(__xludf.DUMMYFUNCTION("""COMPUTED_VALUE"""),"")</f>
        <v/>
      </c>
    </row>
    <row r="33" spans="1:31" ht="15.75" customHeight="1" x14ac:dyDescent="0.2">
      <c r="A33">
        <f ca="1">IFERROR(__xludf.DUMMYFUNCTION("""COMPUTED_VALUE"""),34361)</f>
        <v>34361</v>
      </c>
      <c r="B33" t="str">
        <f ca="1">IFERROR(__xludf.DUMMYFUNCTION("""COMPUTED_VALUE"""),"ANGERS LA ROSERAIE")</f>
        <v>ANGERS LA ROSERAIE</v>
      </c>
      <c r="C33" t="str">
        <f ca="1">IFERROR(__xludf.DUMMYFUNCTION("""COMPUTED_VALUE"""),"U Express")</f>
        <v>U Express</v>
      </c>
      <c r="D33" t="str">
        <f ca="1">IFERROR(__xludf.DUMMYFUNCTION("""COMPUTED_VALUE"""),"Coop U Enseigne Ouest")</f>
        <v>Coop U Enseigne Ouest</v>
      </c>
      <c r="E33">
        <f ca="1">IFERROR(__xludf.DUMMYFUNCTION("""COMPUTED_VALUE"""),49000)</f>
        <v>49000</v>
      </c>
      <c r="F33" t="str">
        <f ca="1">IFERROR(__xludf.DUMMYFUNCTION("""COMPUTED_VALUE"""),"PLACE JEAN XXIII")</f>
        <v>PLACE JEAN XXIII</v>
      </c>
      <c r="G33" t="str">
        <f ca="1">IFERROR(__xludf.DUMMYFUNCTION("""COMPUTED_VALUE"""),"02.41.47.13.65")</f>
        <v>02.41.47.13.65</v>
      </c>
      <c r="H33" t="str">
        <f ca="1">IFERROR(__xludf.DUMMYFUNCTION("""COMPUTED_VALUE"""),"LAISIS David")</f>
        <v>LAISIS David</v>
      </c>
      <c r="I33" t="str">
        <f ca="1">IFERROR(__xludf.DUMMYFUNCTION("""COMPUTED_VALUE"""),"david.laisis@systeme-u.fr")</f>
        <v>david.laisis@systeme-u.fr</v>
      </c>
      <c r="J33" t="str">
        <f ca="1">IFERROR(__xludf.DUMMYFUNCTION("""COMPUTED_VALUE"""),"")</f>
        <v/>
      </c>
      <c r="K33" t="str">
        <f ca="1">IFERROR(__xludf.DUMMYFUNCTION("""COMPUTED_VALUE"""),"")</f>
        <v/>
      </c>
      <c r="L33" t="str">
        <f ca="1">IFERROR(__xludf.DUMMYFUNCTION("""COMPUTED_VALUE"""),"")</f>
        <v/>
      </c>
      <c r="M33" t="str">
        <f ca="1">IFERROR(__xludf.DUMMYFUNCTION("""COMPUTED_VALUE"""),"99.Hors Périmetre")</f>
        <v>99.Hors Périmetre</v>
      </c>
      <c r="N33" t="str">
        <f ca="1">IFERROR(__xludf.DUMMYFUNCTION("""COMPUTED_VALUE"""),"")</f>
        <v/>
      </c>
      <c r="O33" t="str">
        <f ca="1">IFERROR(__xludf.DUMMYFUNCTION("""COMPUTED_VALUE"""),"")</f>
        <v/>
      </c>
      <c r="P33" t="str">
        <f ca="1">IFERROR(__xludf.DUMMYFUNCTION("""COMPUTED_VALUE"""),"")</f>
        <v/>
      </c>
      <c r="Q33" s="5" t="str">
        <f ca="1">IFERROR(__xludf.DUMMYFUNCTION("""COMPUTED_VALUE"""),"")</f>
        <v/>
      </c>
      <c r="R33" s="6" t="str">
        <f ca="1">IFERROR(__xludf.DUMMYFUNCTION("""COMPUTED_VALUE"""),"")</f>
        <v/>
      </c>
      <c r="S33" t="str">
        <f ca="1">IFERROR(__xludf.DUMMYFUNCTION("""COMPUTED_VALUE"""),"")</f>
        <v/>
      </c>
      <c r="T33" t="str">
        <f ca="1">IFERROR(__xludf.DUMMYFUNCTION("""COMPUTED_VALUE"""),"")</f>
        <v/>
      </c>
      <c r="U33" t="str">
        <f ca="1">IFERROR(__xludf.DUMMYFUNCTION("""COMPUTED_VALUE"""),"")</f>
        <v/>
      </c>
      <c r="V33" t="str">
        <f ca="1">IFERROR(__xludf.DUMMYFUNCTION("""COMPUTED_VALUE"""),"")</f>
        <v/>
      </c>
      <c r="W33" t="str">
        <f ca="1">IFERROR(__xludf.DUMMYFUNCTION("""COMPUTED_VALUE"""),"")</f>
        <v/>
      </c>
      <c r="X33" t="str">
        <f ca="1">IFERROR(__xludf.DUMMYFUNCTION("""COMPUTED_VALUE"""),"")</f>
        <v/>
      </c>
      <c r="Y33" t="str">
        <f ca="1">IFERROR(__xludf.DUMMYFUNCTION("""COMPUTED_VALUE"""),"")</f>
        <v/>
      </c>
      <c r="Z33" t="str">
        <f ca="1">IFERROR(__xludf.DUMMYFUNCTION("""COMPUTED_VALUE"""),"")</f>
        <v/>
      </c>
      <c r="AA33" t="str">
        <f ca="1">IFERROR(__xludf.DUMMYFUNCTION("""COMPUTED_VALUE"""),"Pas de commande")</f>
        <v>Pas de commande</v>
      </c>
      <c r="AB33" s="8" t="str">
        <f ca="1">IFERROR(__xludf.DUMMYFUNCTION("""COMPUTED_VALUE"""),"")</f>
        <v/>
      </c>
      <c r="AC33" s="8" t="str">
        <f ca="1">IFERROR(__xludf.DUMMYFUNCTION("""COMPUTED_VALUE"""),"")</f>
        <v/>
      </c>
      <c r="AD33" s="11" t="str">
        <f ca="1">IFERROR(__xludf.DUMMYFUNCTION("""COMPUTED_VALUE"""),"")</f>
        <v/>
      </c>
      <c r="AE33" t="str">
        <f ca="1">IFERROR(__xludf.DUMMYFUNCTION("""COMPUTED_VALUE"""),"")</f>
        <v/>
      </c>
    </row>
    <row r="34" spans="1:31" ht="15.75" customHeight="1" x14ac:dyDescent="0.2">
      <c r="A34">
        <f ca="1">IFERROR(__xludf.DUMMYFUNCTION("""COMPUTED_VALUE"""),38761)</f>
        <v>38761</v>
      </c>
      <c r="B34" t="str">
        <f ca="1">IFERROR(__xludf.DUMMYFUNCTION("""COMPUTED_VALUE"""),"ANGERS LES JUSTICES")</f>
        <v>ANGERS LES JUSTICES</v>
      </c>
      <c r="C34" t="str">
        <f ca="1">IFERROR(__xludf.DUMMYFUNCTION("""COMPUTED_VALUE"""),"Super U")</f>
        <v>Super U</v>
      </c>
      <c r="D34" t="str">
        <f ca="1">IFERROR(__xludf.DUMMYFUNCTION("""COMPUTED_VALUE"""),"Coop U Enseigne Ouest")</f>
        <v>Coop U Enseigne Ouest</v>
      </c>
      <c r="E34">
        <f ca="1">IFERROR(__xludf.DUMMYFUNCTION("""COMPUTED_VALUE"""),49000)</f>
        <v>49000</v>
      </c>
      <c r="F34" t="str">
        <f ca="1">IFERROR(__xludf.DUMMYFUNCTION("""COMPUTED_VALUE"""),"6 SQUARE LOUIS JOUVET")</f>
        <v>6 SQUARE LOUIS JOUVET</v>
      </c>
      <c r="G34" t="str">
        <f ca="1">IFERROR(__xludf.DUMMYFUNCTION("""COMPUTED_VALUE"""),"02.41.47.55.61")</f>
        <v>02.41.47.55.61</v>
      </c>
      <c r="H34" t="str">
        <f ca="1">IFERROR(__xludf.DUMMYFUNCTION("""COMPUTED_VALUE"""),"GERMOND RPT SAS HGCP Philippe")</f>
        <v>GERMOND RPT SAS HGCP Philippe</v>
      </c>
      <c r="I34" t="str">
        <f ca="1">IFERROR(__xludf.DUMMYFUNCTION("""COMPUTED_VALUE"""),"philippe.germond@systeme-u.fr")</f>
        <v>philippe.germond@systeme-u.fr</v>
      </c>
      <c r="J34" t="str">
        <f ca="1">IFERROR(__xludf.DUMMYFUNCTION("""COMPUTED_VALUE"""),"Jeudy Vanessa")</f>
        <v>Jeudy Vanessa</v>
      </c>
      <c r="K34" t="str">
        <f ca="1">IFERROR(__xludf.DUMMYFUNCTION("""COMPUTED_VALUE"""),"superu.angerslouisjouvet.gescom@systeme-u.fr")</f>
        <v>superu.angerslouisjouvet.gescom@systeme-u.fr</v>
      </c>
      <c r="L34" t="str">
        <f ca="1">IFERROR(__xludf.DUMMYFUNCTION("""COMPUTED_VALUE"""),"Standard")</f>
        <v>Standard</v>
      </c>
      <c r="M34" t="str">
        <f ca="1">IFERROR(__xludf.DUMMYFUNCTION("""COMPUTED_VALUE"""),"0. Non démarré")</f>
        <v>0. Non démarré</v>
      </c>
      <c r="N34" t="str">
        <f ca="1">IFERROR(__xludf.DUMMYFUNCTION("""COMPUTED_VALUE"""),"")</f>
        <v/>
      </c>
      <c r="O34" t="str">
        <f ca="1">IFERROR(__xludf.DUMMYFUNCTION("""COMPUTED_VALUE"""),"")</f>
        <v/>
      </c>
      <c r="P34" t="str">
        <f ca="1">IFERROR(__xludf.DUMMYFUNCTION("""COMPUTED_VALUE"""),"")</f>
        <v/>
      </c>
      <c r="Q34" s="5" t="str">
        <f ca="1">IFERROR(__xludf.DUMMYFUNCTION("""COMPUTED_VALUE"""),"")</f>
        <v/>
      </c>
      <c r="R34" s="6" t="str">
        <f ca="1">IFERROR(__xludf.DUMMYFUNCTION("""COMPUTED_VALUE"""),"")</f>
        <v/>
      </c>
      <c r="S34" t="str">
        <f ca="1">IFERROR(__xludf.DUMMYFUNCTION("""COMPUTED_VALUE"""),"")</f>
        <v/>
      </c>
      <c r="T34" t="str">
        <f ca="1">IFERROR(__xludf.DUMMYFUNCTION("""COMPUTED_VALUE"""),"")</f>
        <v/>
      </c>
      <c r="U34" t="str">
        <f ca="1">IFERROR(__xludf.DUMMYFUNCTION("""COMPUTED_VALUE"""),"")</f>
        <v/>
      </c>
      <c r="V34" t="str">
        <f ca="1">IFERROR(__xludf.DUMMYFUNCTION("""COMPUTED_VALUE"""),"")</f>
        <v/>
      </c>
      <c r="W34" t="str">
        <f ca="1">IFERROR(__xludf.DUMMYFUNCTION("""COMPUTED_VALUE"""),"")</f>
        <v/>
      </c>
      <c r="X34" t="str">
        <f ca="1">IFERROR(__xludf.DUMMYFUNCTION("""COMPUTED_VALUE"""),"")</f>
        <v/>
      </c>
      <c r="Y34" t="str">
        <f ca="1">IFERROR(__xludf.DUMMYFUNCTION("""COMPUTED_VALUE"""),"")</f>
        <v/>
      </c>
      <c r="Z34" t="str">
        <f ca="1">IFERROR(__xludf.DUMMYFUNCTION("""COMPUTED_VALUE"""),"")</f>
        <v/>
      </c>
      <c r="AA34" t="str">
        <f ca="1">IFERROR(__xludf.DUMMYFUNCTION("""COMPUTED_VALUE"""),"Pas de commande")</f>
        <v>Pas de commande</v>
      </c>
      <c r="AB34" s="8" t="str">
        <f ca="1">IFERROR(__xludf.DUMMYFUNCTION("""COMPUTED_VALUE"""),"")</f>
        <v/>
      </c>
      <c r="AC34" s="8" t="str">
        <f ca="1">IFERROR(__xludf.DUMMYFUNCTION("""COMPUTED_VALUE"""),"")</f>
        <v/>
      </c>
      <c r="AD34" s="11" t="str">
        <f ca="1">IFERROR(__xludf.DUMMYFUNCTION("""COMPUTED_VALUE"""),"")</f>
        <v/>
      </c>
      <c r="AE34" t="str">
        <f ca="1">IFERROR(__xludf.DUMMYFUNCTION("""COMPUTED_VALUE"""),"")</f>
        <v/>
      </c>
    </row>
    <row r="35" spans="1:31" ht="15.75" customHeight="1" x14ac:dyDescent="0.2">
      <c r="A35">
        <f ca="1">IFERROR(__xludf.DUMMYFUNCTION("""COMPUTED_VALUE"""),30329)</f>
        <v>30329</v>
      </c>
      <c r="B35" t="str">
        <f ca="1">IFERROR(__xludf.DUMMYFUNCTION("""COMPUTED_VALUE"""),"VARADES")</f>
        <v>VARADES</v>
      </c>
      <c r="C35" t="str">
        <f ca="1">IFERROR(__xludf.DUMMYFUNCTION("""COMPUTED_VALUE"""),"Super U")</f>
        <v>Super U</v>
      </c>
      <c r="D35" t="str">
        <f ca="1">IFERROR(__xludf.DUMMYFUNCTION("""COMPUTED_VALUE"""),"Coop U Enseigne Ouest")</f>
        <v>Coop U Enseigne Ouest</v>
      </c>
      <c r="E35">
        <f ca="1">IFERROR(__xludf.DUMMYFUNCTION("""COMPUTED_VALUE"""),44370)</f>
        <v>44370</v>
      </c>
      <c r="F35" t="str">
        <f ca="1">IFERROR(__xludf.DUMMYFUNCTION("""COMPUTED_VALUE"""),"ROUTE D'ANGERS")</f>
        <v>ROUTE D'ANGERS</v>
      </c>
      <c r="G35" t="str">
        <f ca="1">IFERROR(__xludf.DUMMYFUNCTION("""COMPUTED_VALUE"""),"02.40.09.31.31")</f>
        <v>02.40.09.31.31</v>
      </c>
      <c r="H35" t="str">
        <f ca="1">IFERROR(__xludf.DUMMYFUNCTION("""COMPUTED_VALUE"""),"NEVEUX LETIC Nadège")</f>
        <v>NEVEUX LETIC Nadège</v>
      </c>
      <c r="I35" t="str">
        <f ca="1">IFERROR(__xludf.DUMMYFUNCTION("""COMPUTED_VALUE"""),"nadege.neveux@systeme-u.fr")</f>
        <v>nadege.neveux@systeme-u.fr</v>
      </c>
      <c r="J35" t="str">
        <f ca="1">IFERROR(__xludf.DUMMYFUNCTION("""COMPUTED_VALUE"""),"Mr Brizay ")</f>
        <v xml:space="preserve">Mr Brizay </v>
      </c>
      <c r="K35" t="str">
        <f ca="1">IFERROR(__xludf.DUMMYFUNCTION("""COMPUTED_VALUE"""),"superu.varades@systeme-u.fr")</f>
        <v>superu.varades@systeme-u.fr</v>
      </c>
      <c r="L35" t="str">
        <f ca="1">IFERROR(__xludf.DUMMYFUNCTION("""COMPUTED_VALUE"""),"")</f>
        <v/>
      </c>
      <c r="M35" t="str">
        <f ca="1">IFERROR(__xludf.DUMMYFUNCTION("""COMPUTED_VALUE"""),"99.Hors Périmetre")</f>
        <v>99.Hors Périmetre</v>
      </c>
      <c r="N35" t="str">
        <f ca="1">IFERROR(__xludf.DUMMYFUNCTION("""COMPUTED_VALUE"""),"")</f>
        <v/>
      </c>
      <c r="O35" t="str">
        <f ca="1">IFERROR(__xludf.DUMMYFUNCTION("""COMPUTED_VALUE"""),"")</f>
        <v/>
      </c>
      <c r="P35" t="str">
        <f ca="1">IFERROR(__xludf.DUMMYFUNCTION("""COMPUTED_VALUE"""),"")</f>
        <v/>
      </c>
      <c r="Q35" s="5" t="str">
        <f ca="1">IFERROR(__xludf.DUMMYFUNCTION("""COMPUTED_VALUE"""),"")</f>
        <v/>
      </c>
      <c r="R35" s="6" t="str">
        <f ca="1">IFERROR(__xludf.DUMMYFUNCTION("""COMPUTED_VALUE"""),"")</f>
        <v/>
      </c>
      <c r="S35" t="str">
        <f ca="1">IFERROR(__xludf.DUMMYFUNCTION("""COMPUTED_VALUE"""),"")</f>
        <v/>
      </c>
      <c r="T35" t="str">
        <f ca="1">IFERROR(__xludf.DUMMYFUNCTION("""COMPUTED_VALUE"""),"")</f>
        <v/>
      </c>
      <c r="U35" t="str">
        <f ca="1">IFERROR(__xludf.DUMMYFUNCTION("""COMPUTED_VALUE"""),"")</f>
        <v/>
      </c>
      <c r="V35" t="str">
        <f ca="1">IFERROR(__xludf.DUMMYFUNCTION("""COMPUTED_VALUE"""),"")</f>
        <v/>
      </c>
      <c r="W35" t="str">
        <f ca="1">IFERROR(__xludf.DUMMYFUNCTION("""COMPUTED_VALUE"""),"")</f>
        <v/>
      </c>
      <c r="X35" t="str">
        <f ca="1">IFERROR(__xludf.DUMMYFUNCTION("""COMPUTED_VALUE"""),"")</f>
        <v/>
      </c>
      <c r="Y35" t="str">
        <f ca="1">IFERROR(__xludf.DUMMYFUNCTION("""COMPUTED_VALUE"""),"")</f>
        <v/>
      </c>
      <c r="Z35" t="str">
        <f ca="1">IFERROR(__xludf.DUMMYFUNCTION("""COMPUTED_VALUE"""),"")</f>
        <v/>
      </c>
      <c r="AA35" t="str">
        <f ca="1">IFERROR(__xludf.DUMMYFUNCTION("""COMPUTED_VALUE"""),"Pas de commande")</f>
        <v>Pas de commande</v>
      </c>
      <c r="AB35" s="8" t="str">
        <f ca="1">IFERROR(__xludf.DUMMYFUNCTION("""COMPUTED_VALUE"""),"")</f>
        <v/>
      </c>
      <c r="AC35" s="8" t="str">
        <f ca="1">IFERROR(__xludf.DUMMYFUNCTION("""COMPUTED_VALUE"""),"")</f>
        <v/>
      </c>
      <c r="AD35" s="11" t="str">
        <f ca="1">IFERROR(__xludf.DUMMYFUNCTION("""COMPUTED_VALUE"""),"")</f>
        <v/>
      </c>
      <c r="AE35" t="str">
        <f ca="1">IFERROR(__xludf.DUMMYFUNCTION("""COMPUTED_VALUE"""),"")</f>
        <v/>
      </c>
    </row>
    <row r="36" spans="1:31" ht="15.75" customHeight="1" x14ac:dyDescent="0.2">
      <c r="A36">
        <f ca="1">IFERROR(__xludf.DUMMYFUNCTION("""COMPUTED_VALUE"""),34165)</f>
        <v>34165</v>
      </c>
      <c r="B36" t="str">
        <f ca="1">IFERROR(__xludf.DUMMYFUNCTION("""COMPUTED_VALUE"""),"ANGOULÊME")</f>
        <v>ANGOULÊME</v>
      </c>
      <c r="C36" t="str">
        <f ca="1">IFERROR(__xludf.DUMMYFUNCTION("""COMPUTED_VALUE"""),"U Express")</f>
        <v>U Express</v>
      </c>
      <c r="D36" t="str">
        <f ca="1">IFERROR(__xludf.DUMMYFUNCTION("""COMPUTED_VALUE"""),"Coop Atlantique")</f>
        <v>Coop Atlantique</v>
      </c>
      <c r="E36">
        <f ca="1">IFERROR(__xludf.DUMMYFUNCTION("""COMPUTED_VALUE"""),16000)</f>
        <v>16000</v>
      </c>
      <c r="F36" t="str">
        <f ca="1">IFERROR(__xludf.DUMMYFUNCTION("""COMPUTED_VALUE"""),"13, RUE RENÉ GOSCIGNY")</f>
        <v>13, RUE RENÉ GOSCIGNY</v>
      </c>
      <c r="G36" t="str">
        <f ca="1">IFERROR(__xludf.DUMMYFUNCTION("""COMPUTED_VALUE"""),"05.45.92.02.64")</f>
        <v>05.45.92.02.64</v>
      </c>
      <c r="H36" t="str">
        <f ca="1">IFERROR(__xludf.DUMMYFUNCTION("""COMPUTED_VALUE"""),"FLAMBARD Hervé")</f>
        <v>FLAMBARD Hervé</v>
      </c>
      <c r="I36" t="str">
        <f ca="1">IFERROR(__xludf.DUMMYFUNCTION("""COMPUTED_VALUE"""),"bertrand.defontaine_coop_su_uex@systeme-u.fr")</f>
        <v>bertrand.defontaine_coop_su_uex@systeme-u.fr</v>
      </c>
      <c r="J36" t="str">
        <f ca="1">IFERROR(__xludf.DUMMYFUNCTION("""COMPUTED_VALUE"""),"")</f>
        <v/>
      </c>
      <c r="K36" t="str">
        <f ca="1">IFERROR(__xludf.DUMMYFUNCTION("""COMPUTED_VALUE"""),"uexpress.angoulemechampdemars.direction@systeme-u.fr,nbrigant@coop-atlantique.fr,sjaud@coop-atlantique.fr")</f>
        <v>uexpress.angoulemechampdemars.direction@systeme-u.fr,nbrigant@coop-atlantique.fr,sjaud@coop-atlantique.fr</v>
      </c>
      <c r="L36" t="str">
        <f ca="1">IFERROR(__xludf.DUMMYFUNCTION("""COMPUTED_VALUE"""),"")</f>
        <v/>
      </c>
      <c r="M36" t="str">
        <f ca="1">IFERROR(__xludf.DUMMYFUNCTION("""COMPUTED_VALUE"""),"99.Hors Périmetre")</f>
        <v>99.Hors Périmetre</v>
      </c>
      <c r="N36" t="str">
        <f ca="1">IFERROR(__xludf.DUMMYFUNCTION("""COMPUTED_VALUE"""),"")</f>
        <v/>
      </c>
      <c r="O36" t="str">
        <f ca="1">IFERROR(__xludf.DUMMYFUNCTION("""COMPUTED_VALUE"""),"")</f>
        <v/>
      </c>
      <c r="P36" t="str">
        <f ca="1">IFERROR(__xludf.DUMMYFUNCTION("""COMPUTED_VALUE"""),"")</f>
        <v/>
      </c>
      <c r="Q36" s="5" t="str">
        <f ca="1">IFERROR(__xludf.DUMMYFUNCTION("""COMPUTED_VALUE"""),"")</f>
        <v/>
      </c>
      <c r="R36" s="6" t="str">
        <f ca="1">IFERROR(__xludf.DUMMYFUNCTION("""COMPUTED_VALUE"""),"")</f>
        <v/>
      </c>
      <c r="S36" t="str">
        <f ca="1">IFERROR(__xludf.DUMMYFUNCTION("""COMPUTED_VALUE"""),"")</f>
        <v/>
      </c>
      <c r="T36" t="str">
        <f ca="1">IFERROR(__xludf.DUMMYFUNCTION("""COMPUTED_VALUE"""),"")</f>
        <v/>
      </c>
      <c r="U36" t="str">
        <f ca="1">IFERROR(__xludf.DUMMYFUNCTION("""COMPUTED_VALUE"""),"")</f>
        <v/>
      </c>
      <c r="V36" t="str">
        <f ca="1">IFERROR(__xludf.DUMMYFUNCTION("""COMPUTED_VALUE"""),"")</f>
        <v/>
      </c>
      <c r="W36" t="str">
        <f ca="1">IFERROR(__xludf.DUMMYFUNCTION("""COMPUTED_VALUE"""),"")</f>
        <v/>
      </c>
      <c r="X36" t="str">
        <f ca="1">IFERROR(__xludf.DUMMYFUNCTION("""COMPUTED_VALUE"""),"")</f>
        <v/>
      </c>
      <c r="Y36" t="str">
        <f ca="1">IFERROR(__xludf.DUMMYFUNCTION("""COMPUTED_VALUE"""),"")</f>
        <v/>
      </c>
      <c r="Z36" t="str">
        <f ca="1">IFERROR(__xludf.DUMMYFUNCTION("""COMPUTED_VALUE"""),"")</f>
        <v/>
      </c>
      <c r="AA36" t="str">
        <f ca="1">IFERROR(__xludf.DUMMYFUNCTION("""COMPUTED_VALUE"""),"Pas de commande")</f>
        <v>Pas de commande</v>
      </c>
      <c r="AB36" s="8" t="str">
        <f ca="1">IFERROR(__xludf.DUMMYFUNCTION("""COMPUTED_VALUE"""),"")</f>
        <v/>
      </c>
      <c r="AC36" s="8" t="str">
        <f ca="1">IFERROR(__xludf.DUMMYFUNCTION("""COMPUTED_VALUE"""),"")</f>
        <v/>
      </c>
      <c r="AD36" s="11" t="str">
        <f ca="1">IFERROR(__xludf.DUMMYFUNCTION("""COMPUTED_VALUE"""),"")</f>
        <v/>
      </c>
      <c r="AE36" t="str">
        <f ca="1">IFERROR(__xludf.DUMMYFUNCTION("""COMPUTED_VALUE"""),"")</f>
        <v/>
      </c>
    </row>
    <row r="37" spans="1:31" ht="15.75" customHeight="1" x14ac:dyDescent="0.2">
      <c r="A37">
        <f ca="1">IFERROR(__xludf.DUMMYFUNCTION("""COMPUTED_VALUE"""),24790)</f>
        <v>24790</v>
      </c>
      <c r="B37" t="str">
        <f ca="1">IFERROR(__xludf.DUMMYFUNCTION("""COMPUTED_VALUE"""),"ANNAY SOUS LENS")</f>
        <v>ANNAY SOUS LENS</v>
      </c>
      <c r="C37" t="str">
        <f ca="1">IFERROR(__xludf.DUMMYFUNCTION("""COMPUTED_VALUE"""),"Super U")</f>
        <v>Super U</v>
      </c>
      <c r="D37" t="str">
        <f ca="1">IFERROR(__xludf.DUMMYFUNCTION("""COMPUTED_VALUE"""),"Coop U Enseigne NordOuest")</f>
        <v>Coop U Enseigne NordOuest</v>
      </c>
      <c r="E37">
        <f ca="1">IFERROR(__xludf.DUMMYFUNCTION("""COMPUTED_VALUE"""),62880)</f>
        <v>62880</v>
      </c>
      <c r="F37" t="str">
        <f ca="1">IFERROR(__xludf.DUMMYFUNCTION("""COMPUTED_VALUE"""),"53 RUE JOSEPH MATTEI")</f>
        <v>53 RUE JOSEPH MATTEI</v>
      </c>
      <c r="G37" t="str">
        <f ca="1">IFERROR(__xludf.DUMMYFUNCTION("""COMPUTED_VALUE"""),"03.21.42.55.66")</f>
        <v>03.21.42.55.66</v>
      </c>
      <c r="H37" t="str">
        <f ca="1">IFERROR(__xludf.DUMMYFUNCTION("""COMPUTED_VALUE"""),"HANON Frédéric")</f>
        <v>HANON Frédéric</v>
      </c>
      <c r="I37" t="str">
        <f ca="1">IFERROR(__xludf.DUMMYFUNCTION("""COMPUTED_VALUE"""),"frederic.hanon@systeme-u.fr")</f>
        <v>frederic.hanon@systeme-u.fr</v>
      </c>
      <c r="J37" t="str">
        <f ca="1">IFERROR(__xludf.DUMMYFUNCTION("""COMPUTED_VALUE"""),"")</f>
        <v/>
      </c>
      <c r="K37" t="str">
        <f ca="1">IFERROR(__xludf.DUMMYFUNCTION("""COMPUTED_VALUE"""),"")</f>
        <v/>
      </c>
      <c r="L37" t="str">
        <f ca="1">IFERROR(__xludf.DUMMYFUNCTION("""COMPUTED_VALUE"""),"")</f>
        <v/>
      </c>
      <c r="M37" t="str">
        <f ca="1">IFERROR(__xludf.DUMMYFUNCTION("""COMPUTED_VALUE"""),"99.Hors Périmetre")</f>
        <v>99.Hors Périmetre</v>
      </c>
      <c r="N37" t="str">
        <f ca="1">IFERROR(__xludf.DUMMYFUNCTION("""COMPUTED_VALUE"""),"")</f>
        <v/>
      </c>
      <c r="O37" t="str">
        <f ca="1">IFERROR(__xludf.DUMMYFUNCTION("""COMPUTED_VALUE"""),"")</f>
        <v/>
      </c>
      <c r="P37" t="str">
        <f ca="1">IFERROR(__xludf.DUMMYFUNCTION("""COMPUTED_VALUE"""),"")</f>
        <v/>
      </c>
      <c r="Q37" s="5" t="str">
        <f ca="1">IFERROR(__xludf.DUMMYFUNCTION("""COMPUTED_VALUE"""),"")</f>
        <v/>
      </c>
      <c r="R37" s="6" t="str">
        <f ca="1">IFERROR(__xludf.DUMMYFUNCTION("""COMPUTED_VALUE"""),"")</f>
        <v/>
      </c>
      <c r="S37" t="str">
        <f ca="1">IFERROR(__xludf.DUMMYFUNCTION("""COMPUTED_VALUE"""),"")</f>
        <v/>
      </c>
      <c r="T37" t="str">
        <f ca="1">IFERROR(__xludf.DUMMYFUNCTION("""COMPUTED_VALUE"""),"")</f>
        <v/>
      </c>
      <c r="U37" t="str">
        <f ca="1">IFERROR(__xludf.DUMMYFUNCTION("""COMPUTED_VALUE"""),"")</f>
        <v/>
      </c>
      <c r="V37" t="str">
        <f ca="1">IFERROR(__xludf.DUMMYFUNCTION("""COMPUTED_VALUE"""),"")</f>
        <v/>
      </c>
      <c r="W37" t="str">
        <f ca="1">IFERROR(__xludf.DUMMYFUNCTION("""COMPUTED_VALUE"""),"")</f>
        <v/>
      </c>
      <c r="X37" t="str">
        <f ca="1">IFERROR(__xludf.DUMMYFUNCTION("""COMPUTED_VALUE"""),"")</f>
        <v/>
      </c>
      <c r="Y37" t="str">
        <f ca="1">IFERROR(__xludf.DUMMYFUNCTION("""COMPUTED_VALUE"""),"")</f>
        <v/>
      </c>
      <c r="Z37" t="str">
        <f ca="1">IFERROR(__xludf.DUMMYFUNCTION("""COMPUTED_VALUE"""),"")</f>
        <v/>
      </c>
      <c r="AA37" t="str">
        <f ca="1">IFERROR(__xludf.DUMMYFUNCTION("""COMPUTED_VALUE"""),"Pas de commande")</f>
        <v>Pas de commande</v>
      </c>
      <c r="AB37" s="8" t="str">
        <f ca="1">IFERROR(__xludf.DUMMYFUNCTION("""COMPUTED_VALUE"""),"")</f>
        <v/>
      </c>
      <c r="AC37" s="8" t="str">
        <f ca="1">IFERROR(__xludf.DUMMYFUNCTION("""COMPUTED_VALUE"""),"")</f>
        <v/>
      </c>
      <c r="AD37" s="11" t="str">
        <f ca="1">IFERROR(__xludf.DUMMYFUNCTION("""COMPUTED_VALUE"""),"")</f>
        <v/>
      </c>
      <c r="AE37" t="str">
        <f ca="1">IFERROR(__xludf.DUMMYFUNCTION("""COMPUTED_VALUE"""),"")</f>
        <v/>
      </c>
    </row>
    <row r="38" spans="1:31" ht="12.75" x14ac:dyDescent="0.2">
      <c r="A38">
        <f ca="1">IFERROR(__xludf.DUMMYFUNCTION("""COMPUTED_VALUE"""),90475)</f>
        <v>90475</v>
      </c>
      <c r="B38" t="str">
        <f ca="1">IFERROR(__xludf.DUMMYFUNCTION("""COMPUTED_VALUE"""),"ANNONAY")</f>
        <v>ANNONAY</v>
      </c>
      <c r="C38" t="str">
        <f ca="1">IFERROR(__xludf.DUMMYFUNCTION("""COMPUTED_VALUE"""),"Super U")</f>
        <v>Super U</v>
      </c>
      <c r="D38" t="str">
        <f ca="1">IFERROR(__xludf.DUMMYFUNCTION("""COMPUTED_VALUE"""),"Coop U Enseigne Sud")</f>
        <v>Coop U Enseigne Sud</v>
      </c>
      <c r="E38">
        <f ca="1">IFERROR(__xludf.DUMMYFUNCTION("""COMPUTED_VALUE"""),7100)</f>
        <v>7100</v>
      </c>
      <c r="F38" t="str">
        <f ca="1">IFERROR(__xludf.DUMMYFUNCTION("""COMPUTED_VALUE"""),"55 AVENUE DE L EUROPE")</f>
        <v>55 AVENUE DE L EUROPE</v>
      </c>
      <c r="G38" t="str">
        <f ca="1">IFERROR(__xludf.DUMMYFUNCTION("""COMPUTED_VALUE"""),"04.75.69.00.30")</f>
        <v>04.75.69.00.30</v>
      </c>
      <c r="H38" t="str">
        <f ca="1">IFERROR(__xludf.DUMMYFUNCTION("""COMPUTED_VALUE"""),"BOURBON Michel")</f>
        <v>BOURBON Michel</v>
      </c>
      <c r="I38" t="str">
        <f ca="1">IFERROR(__xludf.DUMMYFUNCTION("""COMPUTED_VALUE"""),"michel.bourbon@systeme-u.fr")</f>
        <v>michel.bourbon@systeme-u.fr</v>
      </c>
      <c r="J38" t="str">
        <f ca="1">IFERROR(__xludf.DUMMYFUNCTION("""COMPUTED_VALUE"""),"SAUZEAT MAXIME
Mme Astier (UPLV)")</f>
        <v>SAUZEAT MAXIME
Mme Astier (UPLV)</v>
      </c>
      <c r="K38" t="str">
        <f ca="1">IFERROR(__xludf.DUMMYFUNCTION("""COMPUTED_VALUE"""),"superu.annonay.compta@systeme-u.fr, superu.annonay.pub@systeme-u.fr")</f>
        <v>superu.annonay.compta@systeme-u.fr, superu.annonay.pub@systeme-u.fr</v>
      </c>
      <c r="L38" t="str">
        <f ca="1">IFERROR(__xludf.DUMMYFUNCTION("""COMPUTED_VALUE"""),"")</f>
        <v/>
      </c>
      <c r="M38" t="str">
        <f ca="1">IFERROR(__xludf.DUMMYFUNCTION("""COMPUTED_VALUE"""),"99.Hors Périmetre")</f>
        <v>99.Hors Périmetre</v>
      </c>
      <c r="N38" t="str">
        <f ca="1">IFERROR(__xludf.DUMMYFUNCTION("""COMPUTED_VALUE"""),"")</f>
        <v/>
      </c>
      <c r="O38" t="str">
        <f ca="1">IFERROR(__xludf.DUMMYFUNCTION("""COMPUTED_VALUE"""),"")</f>
        <v/>
      </c>
      <c r="P38" t="str">
        <f ca="1">IFERROR(__xludf.DUMMYFUNCTION("""COMPUTED_VALUE"""),"")</f>
        <v/>
      </c>
      <c r="Q38" s="5" t="str">
        <f ca="1">IFERROR(__xludf.DUMMYFUNCTION("""COMPUTED_VALUE"""),"")</f>
        <v/>
      </c>
      <c r="R38" s="6" t="str">
        <f ca="1">IFERROR(__xludf.DUMMYFUNCTION("""COMPUTED_VALUE"""),"")</f>
        <v/>
      </c>
      <c r="S38" t="str">
        <f ca="1">IFERROR(__xludf.DUMMYFUNCTION("""COMPUTED_VALUE"""),"")</f>
        <v/>
      </c>
      <c r="T38" t="str">
        <f ca="1">IFERROR(__xludf.DUMMYFUNCTION("""COMPUTED_VALUE"""),"")</f>
        <v/>
      </c>
      <c r="U38" t="str">
        <f ca="1">IFERROR(__xludf.DUMMYFUNCTION("""COMPUTED_VALUE"""),"")</f>
        <v/>
      </c>
      <c r="V38" t="str">
        <f ca="1">IFERROR(__xludf.DUMMYFUNCTION("""COMPUTED_VALUE"""),"")</f>
        <v/>
      </c>
      <c r="W38" t="str">
        <f ca="1">IFERROR(__xludf.DUMMYFUNCTION("""COMPUTED_VALUE"""),"")</f>
        <v/>
      </c>
      <c r="X38" t="str">
        <f ca="1">IFERROR(__xludf.DUMMYFUNCTION("""COMPUTED_VALUE"""),"")</f>
        <v/>
      </c>
      <c r="Y38" t="str">
        <f ca="1">IFERROR(__xludf.DUMMYFUNCTION("""COMPUTED_VALUE"""),"")</f>
        <v/>
      </c>
      <c r="Z38" t="str">
        <f ca="1">IFERROR(__xludf.DUMMYFUNCTION("""COMPUTED_VALUE"""),"")</f>
        <v/>
      </c>
      <c r="AA38" t="str">
        <f ca="1">IFERROR(__xludf.DUMMYFUNCTION("""COMPUTED_VALUE"""),"Pas de commande")</f>
        <v>Pas de commande</v>
      </c>
      <c r="AB38" s="8" t="str">
        <f ca="1">IFERROR(__xludf.DUMMYFUNCTION("""COMPUTED_VALUE"""),"")</f>
        <v/>
      </c>
      <c r="AC38" s="8" t="str">
        <f ca="1">IFERROR(__xludf.DUMMYFUNCTION("""COMPUTED_VALUE"""),"")</f>
        <v/>
      </c>
      <c r="AD38" s="11" t="str">
        <f ca="1">IFERROR(__xludf.DUMMYFUNCTION("""COMPUTED_VALUE"""),"")</f>
        <v/>
      </c>
      <c r="AE38" t="str">
        <f ca="1">IFERROR(__xludf.DUMMYFUNCTION("""COMPUTED_VALUE"""),"")</f>
        <v/>
      </c>
    </row>
    <row r="39" spans="1:31" ht="12.75" x14ac:dyDescent="0.2">
      <c r="A39">
        <f ca="1">IFERROR(__xludf.DUMMYFUNCTION("""COMPUTED_VALUE"""),65446)</f>
        <v>65446</v>
      </c>
      <c r="B39" t="str">
        <f ca="1">IFERROR(__xludf.DUMMYFUNCTION("""COMPUTED_VALUE"""),"ANOULD")</f>
        <v>ANOULD</v>
      </c>
      <c r="C39" t="str">
        <f ca="1">IFERROR(__xludf.DUMMYFUNCTION("""COMPUTED_VALUE"""),"Super U")</f>
        <v>Super U</v>
      </c>
      <c r="D39" t="str">
        <f ca="1">IFERROR(__xludf.DUMMYFUNCTION("""COMPUTED_VALUE"""),"Coop U Enseigne Est")</f>
        <v>Coop U Enseigne Est</v>
      </c>
      <c r="E39">
        <f ca="1">IFERROR(__xludf.DUMMYFUNCTION("""COMPUTED_VALUE"""),88650)</f>
        <v>88650</v>
      </c>
      <c r="F39" t="str">
        <f ca="1">IFERROR(__xludf.DUMMYFUNCTION("""COMPUTED_VALUE"""),"493 AVENUE DE SAINT DIÉ")</f>
        <v>493 AVENUE DE SAINT DIÉ</v>
      </c>
      <c r="G39" t="str">
        <f ca="1">IFERROR(__xludf.DUMMYFUNCTION("""COMPUTED_VALUE"""),"03.29.52.79.79")</f>
        <v>03.29.52.79.79</v>
      </c>
      <c r="H39" t="str">
        <f ca="1">IFERROR(__xludf.DUMMYFUNCTION("""COMPUTED_VALUE"""),"FUMEY Valery")</f>
        <v>FUMEY Valery</v>
      </c>
      <c r="I39" t="str">
        <f ca="1">IFERROR(__xludf.DUMMYFUNCTION("""COMPUTED_VALUE"""),"valery.fumey@systeme-u.fr")</f>
        <v>valery.fumey@systeme-u.fr</v>
      </c>
      <c r="J39" t="str">
        <f ca="1">IFERROR(__xludf.DUMMYFUNCTION("""COMPUTED_VALUE"""),"Mme Annabelle FUMEY")</f>
        <v>Mme Annabelle FUMEY</v>
      </c>
      <c r="K39" t="str">
        <f ca="1">IFERROR(__xludf.DUMMYFUNCTION("""COMPUTED_VALUE"""),"annabelle.fumey@systeme-u.fr")</f>
        <v>annabelle.fumey@systeme-u.fr</v>
      </c>
      <c r="L39" t="str">
        <f ca="1">IFERROR(__xludf.DUMMYFUNCTION("""COMPUTED_VALUE"""),"")</f>
        <v/>
      </c>
      <c r="M39" t="str">
        <f ca="1">IFERROR(__xludf.DUMMYFUNCTION("""COMPUTED_VALUE"""),"99.Hors Périmetre")</f>
        <v>99.Hors Périmetre</v>
      </c>
      <c r="N39" t="str">
        <f ca="1">IFERROR(__xludf.DUMMYFUNCTION("""COMPUTED_VALUE"""),"")</f>
        <v/>
      </c>
      <c r="O39" t="str">
        <f ca="1">IFERROR(__xludf.DUMMYFUNCTION("""COMPUTED_VALUE"""),"")</f>
        <v/>
      </c>
      <c r="P39" t="str">
        <f ca="1">IFERROR(__xludf.DUMMYFUNCTION("""COMPUTED_VALUE"""),"")</f>
        <v/>
      </c>
      <c r="Q39" s="5" t="str">
        <f ca="1">IFERROR(__xludf.DUMMYFUNCTION("""COMPUTED_VALUE"""),"")</f>
        <v/>
      </c>
      <c r="R39" s="6" t="str">
        <f ca="1">IFERROR(__xludf.DUMMYFUNCTION("""COMPUTED_VALUE"""),"")</f>
        <v/>
      </c>
      <c r="S39" t="str">
        <f ca="1">IFERROR(__xludf.DUMMYFUNCTION("""COMPUTED_VALUE"""),"")</f>
        <v/>
      </c>
      <c r="T39" t="str">
        <f ca="1">IFERROR(__xludf.DUMMYFUNCTION("""COMPUTED_VALUE"""),"")</f>
        <v/>
      </c>
      <c r="U39" t="str">
        <f ca="1">IFERROR(__xludf.DUMMYFUNCTION("""COMPUTED_VALUE"""),"")</f>
        <v/>
      </c>
      <c r="V39" t="str">
        <f ca="1">IFERROR(__xludf.DUMMYFUNCTION("""COMPUTED_VALUE"""),"")</f>
        <v/>
      </c>
      <c r="W39" t="str">
        <f ca="1">IFERROR(__xludf.DUMMYFUNCTION("""COMPUTED_VALUE"""),"")</f>
        <v/>
      </c>
      <c r="X39" t="str">
        <f ca="1">IFERROR(__xludf.DUMMYFUNCTION("""COMPUTED_VALUE"""),"")</f>
        <v/>
      </c>
      <c r="Y39" t="str">
        <f ca="1">IFERROR(__xludf.DUMMYFUNCTION("""COMPUTED_VALUE"""),"")</f>
        <v/>
      </c>
      <c r="Z39" t="str">
        <f ca="1">IFERROR(__xludf.DUMMYFUNCTION("""COMPUTED_VALUE"""),"")</f>
        <v/>
      </c>
      <c r="AA39" t="str">
        <f ca="1">IFERROR(__xludf.DUMMYFUNCTION("""COMPUTED_VALUE"""),"Pas de commande")</f>
        <v>Pas de commande</v>
      </c>
      <c r="AB39" s="8" t="str">
        <f ca="1">IFERROR(__xludf.DUMMYFUNCTION("""COMPUTED_VALUE"""),"")</f>
        <v/>
      </c>
      <c r="AC39" s="8" t="str">
        <f ca="1">IFERROR(__xludf.DUMMYFUNCTION("""COMPUTED_VALUE"""),"")</f>
        <v/>
      </c>
      <c r="AD39" s="11" t="str">
        <f ca="1">IFERROR(__xludf.DUMMYFUNCTION("""COMPUTED_VALUE"""),"")</f>
        <v/>
      </c>
      <c r="AE39" t="str">
        <f ca="1">IFERROR(__xludf.DUMMYFUNCTION("""COMPUTED_VALUE"""),"")</f>
        <v/>
      </c>
    </row>
    <row r="40" spans="1:31" ht="12.75" x14ac:dyDescent="0.2">
      <c r="A40">
        <f ca="1">IFERROR(__xludf.DUMMYFUNCTION("""COMPUTED_VALUE"""),62112)</f>
        <v>62112</v>
      </c>
      <c r="B40" t="str">
        <f ca="1">IFERROR(__xludf.DUMMYFUNCTION("""COMPUTED_VALUE"""),"ARBOIS")</f>
        <v>ARBOIS</v>
      </c>
      <c r="C40" t="str">
        <f ca="1">IFERROR(__xludf.DUMMYFUNCTION("""COMPUTED_VALUE"""),"Super U")</f>
        <v>Super U</v>
      </c>
      <c r="D40" t="str">
        <f ca="1">IFERROR(__xludf.DUMMYFUNCTION("""COMPUTED_VALUE"""),"Coop U Enseigne Est")</f>
        <v>Coop U Enseigne Est</v>
      </c>
      <c r="E40">
        <f ca="1">IFERROR(__xludf.DUMMYFUNCTION("""COMPUTED_VALUE"""),39600)</f>
        <v>39600</v>
      </c>
      <c r="F40" t="str">
        <f ca="1">IFERROR(__xludf.DUMMYFUNCTION("""COMPUTED_VALUE"""),"ROUTE DE DOLE")</f>
        <v>ROUTE DE DOLE</v>
      </c>
      <c r="G40" t="str">
        <f ca="1">IFERROR(__xludf.DUMMYFUNCTION("""COMPUTED_VALUE"""),"03.84.66.27.85")</f>
        <v>03.84.66.27.85</v>
      </c>
      <c r="H40" t="str">
        <f ca="1">IFERROR(__xludf.DUMMYFUNCTION("""COMPUTED_VALUE"""),"TERRIEN Emmanuel")</f>
        <v>TERRIEN Emmanuel</v>
      </c>
      <c r="I40" t="str">
        <f ca="1">IFERROR(__xludf.DUMMYFUNCTION("""COMPUTED_VALUE"""),"emmanuel.terrien@systeme-u.fr")</f>
        <v>emmanuel.terrien@systeme-u.fr</v>
      </c>
      <c r="J40" t="str">
        <f ca="1">IFERROR(__xludf.DUMMYFUNCTION("""COMPUTED_VALUE"""),"FRAICHARD Véronique ")</f>
        <v xml:space="preserve">FRAICHARD Véronique </v>
      </c>
      <c r="K40" t="str">
        <f ca="1">IFERROR(__xludf.DUMMYFUNCTION("""COMPUTED_VALUE"""),"superu.arbois.location_u@systeme-u.fr")</f>
        <v>superu.arbois.location_u@systeme-u.fr</v>
      </c>
      <c r="L40" t="str">
        <f ca="1">IFERROR(__xludf.DUMMYFUNCTION("""COMPUTED_VALUE"""),"")</f>
        <v/>
      </c>
      <c r="M40" t="str">
        <f ca="1">IFERROR(__xludf.DUMMYFUNCTION("""COMPUTED_VALUE"""),"99.Hors Périmetre")</f>
        <v>99.Hors Périmetre</v>
      </c>
      <c r="N40" t="str">
        <f ca="1">IFERROR(__xludf.DUMMYFUNCTION("""COMPUTED_VALUE"""),"")</f>
        <v/>
      </c>
      <c r="O40" t="str">
        <f ca="1">IFERROR(__xludf.DUMMYFUNCTION("""COMPUTED_VALUE"""),"")</f>
        <v/>
      </c>
      <c r="P40" t="str">
        <f ca="1">IFERROR(__xludf.DUMMYFUNCTION("""COMPUTED_VALUE"""),"")</f>
        <v/>
      </c>
      <c r="Q40" s="5" t="str">
        <f ca="1">IFERROR(__xludf.DUMMYFUNCTION("""COMPUTED_VALUE"""),"")</f>
        <v/>
      </c>
      <c r="R40" s="6" t="str">
        <f ca="1">IFERROR(__xludf.DUMMYFUNCTION("""COMPUTED_VALUE"""),"")</f>
        <v/>
      </c>
      <c r="S40" t="str">
        <f ca="1">IFERROR(__xludf.DUMMYFUNCTION("""COMPUTED_VALUE"""),"")</f>
        <v/>
      </c>
      <c r="T40" t="str">
        <f ca="1">IFERROR(__xludf.DUMMYFUNCTION("""COMPUTED_VALUE"""),"")</f>
        <v/>
      </c>
      <c r="U40" t="str">
        <f ca="1">IFERROR(__xludf.DUMMYFUNCTION("""COMPUTED_VALUE"""),"")</f>
        <v/>
      </c>
      <c r="V40" t="str">
        <f ca="1">IFERROR(__xludf.DUMMYFUNCTION("""COMPUTED_VALUE"""),"")</f>
        <v/>
      </c>
      <c r="W40" t="str">
        <f ca="1">IFERROR(__xludf.DUMMYFUNCTION("""COMPUTED_VALUE"""),"")</f>
        <v/>
      </c>
      <c r="X40" t="str">
        <f ca="1">IFERROR(__xludf.DUMMYFUNCTION("""COMPUTED_VALUE"""),"")</f>
        <v/>
      </c>
      <c r="Y40" t="str">
        <f ca="1">IFERROR(__xludf.DUMMYFUNCTION("""COMPUTED_VALUE"""),"")</f>
        <v/>
      </c>
      <c r="Z40" t="str">
        <f ca="1">IFERROR(__xludf.DUMMYFUNCTION("""COMPUTED_VALUE"""),"")</f>
        <v/>
      </c>
      <c r="AA40" t="str">
        <f ca="1">IFERROR(__xludf.DUMMYFUNCTION("""COMPUTED_VALUE"""),"Pas de commande")</f>
        <v>Pas de commande</v>
      </c>
      <c r="AB40" s="8" t="str">
        <f ca="1">IFERROR(__xludf.DUMMYFUNCTION("""COMPUTED_VALUE"""),"")</f>
        <v/>
      </c>
      <c r="AC40" s="8" t="str">
        <f ca="1">IFERROR(__xludf.DUMMYFUNCTION("""COMPUTED_VALUE"""),"")</f>
        <v/>
      </c>
      <c r="AD40" s="11" t="str">
        <f ca="1">IFERROR(__xludf.DUMMYFUNCTION("""COMPUTED_VALUE"""),"")</f>
        <v/>
      </c>
      <c r="AE40" t="str">
        <f ca="1">IFERROR(__xludf.DUMMYFUNCTION("""COMPUTED_VALUE"""),"")</f>
        <v/>
      </c>
    </row>
    <row r="41" spans="1:31" ht="12.75" x14ac:dyDescent="0.2">
      <c r="A41">
        <f ca="1">IFERROR(__xludf.DUMMYFUNCTION("""COMPUTED_VALUE"""),62098)</f>
        <v>62098</v>
      </c>
      <c r="B41" t="str">
        <f ca="1">IFERROR(__xludf.DUMMYFUNCTION("""COMPUTED_VALUE"""),"ARC SUR TILLE")</f>
        <v>ARC SUR TILLE</v>
      </c>
      <c r="C41" t="str">
        <f ca="1">IFERROR(__xludf.DUMMYFUNCTION("""COMPUTED_VALUE"""),"Super U")</f>
        <v>Super U</v>
      </c>
      <c r="D41" t="str">
        <f ca="1">IFERROR(__xludf.DUMMYFUNCTION("""COMPUTED_VALUE"""),"Coop U Enseigne Est")</f>
        <v>Coop U Enseigne Est</v>
      </c>
      <c r="E41">
        <f ca="1">IFERROR(__xludf.DUMMYFUNCTION("""COMPUTED_VALUE"""),21560)</f>
        <v>21560</v>
      </c>
      <c r="F41" t="str">
        <f ca="1">IFERROR(__xludf.DUMMYFUNCTION("""COMPUTED_VALUE"""),"CENTRE COMMERCIAL")</f>
        <v>CENTRE COMMERCIAL</v>
      </c>
      <c r="G41" t="str">
        <f ca="1">IFERROR(__xludf.DUMMYFUNCTION("""COMPUTED_VALUE"""),"03.80.37.11.11")</f>
        <v>03.80.37.11.11</v>
      </c>
      <c r="H41" t="str">
        <f ca="1">IFERROR(__xludf.DUMMYFUNCTION("""COMPUTED_VALUE"""),"WILLOT RPT SAS B.W.H. Benoît")</f>
        <v>WILLOT RPT SAS B.W.H. Benoît</v>
      </c>
      <c r="I41" t="str">
        <f ca="1">IFERROR(__xludf.DUMMYFUNCTION("""COMPUTED_VALUE"""),"benoit.willot@systeme-u.fr")</f>
        <v>benoit.willot@systeme-u.fr</v>
      </c>
      <c r="J41" t="str">
        <f ca="1">IFERROR(__xludf.DUMMYFUNCTION("""COMPUTED_VALUE"""),"M. JUREK
(Mr Jurek absent, Mr JOAQUIM David 06 81 60 84 62 resp technique le remplace, email : responsabletechniquesuperu@gmail.com")</f>
        <v>M. JUREK
(Mr Jurek absent, Mr JOAQUIM David 06 81 60 84 62 resp technique le remplace, email : responsabletechniquesuperu@gmail.com</v>
      </c>
      <c r="K41" t="str">
        <f ca="1">IFERROR(__xludf.DUMMYFUNCTION("""COMPUTED_VALUE"""),"superu.arcsurtille.direction@systeme-u.fr")</f>
        <v>superu.arcsurtille.direction@systeme-u.fr</v>
      </c>
      <c r="L41" t="str">
        <f ca="1">IFERROR(__xludf.DUMMYFUNCTION("""COMPUTED_VALUE"""),"")</f>
        <v/>
      </c>
      <c r="M41" t="str">
        <f ca="1">IFERROR(__xludf.DUMMYFUNCTION("""COMPUTED_VALUE"""),"99.Hors Périmetre")</f>
        <v>99.Hors Périmetre</v>
      </c>
      <c r="N41" t="str">
        <f ca="1">IFERROR(__xludf.DUMMYFUNCTION("""COMPUTED_VALUE"""),"")</f>
        <v/>
      </c>
      <c r="O41" t="str">
        <f ca="1">IFERROR(__xludf.DUMMYFUNCTION("""COMPUTED_VALUE"""),"")</f>
        <v/>
      </c>
      <c r="P41" t="str">
        <f ca="1">IFERROR(__xludf.DUMMYFUNCTION("""COMPUTED_VALUE"""),"")</f>
        <v/>
      </c>
      <c r="Q41" s="5" t="str">
        <f ca="1">IFERROR(__xludf.DUMMYFUNCTION("""COMPUTED_VALUE"""),"")</f>
        <v/>
      </c>
      <c r="R41" s="6" t="str">
        <f ca="1">IFERROR(__xludf.DUMMYFUNCTION("""COMPUTED_VALUE"""),"")</f>
        <v/>
      </c>
      <c r="S41" t="str">
        <f ca="1">IFERROR(__xludf.DUMMYFUNCTION("""COMPUTED_VALUE"""),"")</f>
        <v/>
      </c>
      <c r="T41" t="str">
        <f ca="1">IFERROR(__xludf.DUMMYFUNCTION("""COMPUTED_VALUE"""),"")</f>
        <v/>
      </c>
      <c r="U41" t="str">
        <f ca="1">IFERROR(__xludf.DUMMYFUNCTION("""COMPUTED_VALUE"""),"")</f>
        <v/>
      </c>
      <c r="V41" t="str">
        <f ca="1">IFERROR(__xludf.DUMMYFUNCTION("""COMPUTED_VALUE"""),"")</f>
        <v/>
      </c>
      <c r="W41" t="str">
        <f ca="1">IFERROR(__xludf.DUMMYFUNCTION("""COMPUTED_VALUE"""),"")</f>
        <v/>
      </c>
      <c r="X41" t="str">
        <f ca="1">IFERROR(__xludf.DUMMYFUNCTION("""COMPUTED_VALUE"""),"")</f>
        <v/>
      </c>
      <c r="Y41" t="str">
        <f ca="1">IFERROR(__xludf.DUMMYFUNCTION("""COMPUTED_VALUE"""),"")</f>
        <v/>
      </c>
      <c r="Z41" t="str">
        <f ca="1">IFERROR(__xludf.DUMMYFUNCTION("""COMPUTED_VALUE"""),"")</f>
        <v/>
      </c>
      <c r="AA41" t="str">
        <f ca="1">IFERROR(__xludf.DUMMYFUNCTION("""COMPUTED_VALUE"""),"Pas de commande")</f>
        <v>Pas de commande</v>
      </c>
      <c r="AB41" s="8" t="str">
        <f ca="1">IFERROR(__xludf.DUMMYFUNCTION("""COMPUTED_VALUE"""),"")</f>
        <v/>
      </c>
      <c r="AC41" s="8" t="str">
        <f ca="1">IFERROR(__xludf.DUMMYFUNCTION("""COMPUTED_VALUE"""),"")</f>
        <v/>
      </c>
      <c r="AD41" s="11" t="str">
        <f ca="1">IFERROR(__xludf.DUMMYFUNCTION("""COMPUTED_VALUE"""),"")</f>
        <v/>
      </c>
      <c r="AE41" t="str">
        <f ca="1">IFERROR(__xludf.DUMMYFUNCTION("""COMPUTED_VALUE"""),"")</f>
        <v/>
      </c>
    </row>
    <row r="42" spans="1:31" ht="12.75" x14ac:dyDescent="0.2">
      <c r="A42">
        <f ca="1">IFERROR(__xludf.DUMMYFUNCTION("""COMPUTED_VALUE"""),35673)</f>
        <v>35673</v>
      </c>
      <c r="B42" t="str">
        <f ca="1">IFERROR(__xludf.DUMMYFUNCTION("""COMPUTED_VALUE"""),"ARGENT-SUR-SAULDRE")</f>
        <v>ARGENT-SUR-SAULDRE</v>
      </c>
      <c r="C42" t="str">
        <f ca="1">IFERROR(__xludf.DUMMYFUNCTION("""COMPUTED_VALUE"""),"Super U")</f>
        <v>Super U</v>
      </c>
      <c r="D42" t="str">
        <f ca="1">IFERROR(__xludf.DUMMYFUNCTION("""COMPUTED_VALUE"""),"Coop U Enseigne Ouest")</f>
        <v>Coop U Enseigne Ouest</v>
      </c>
      <c r="E42">
        <f ca="1">IFERROR(__xludf.DUMMYFUNCTION("""COMPUTED_VALUE"""),18410)</f>
        <v>18410</v>
      </c>
      <c r="F42" t="str">
        <f ca="1">IFERROR(__xludf.DUMMYFUNCTION("""COMPUTED_VALUE"""),"RD 940")</f>
        <v>RD 940</v>
      </c>
      <c r="G42" t="str">
        <f ca="1">IFERROR(__xludf.DUMMYFUNCTION("""COMPUTED_VALUE"""),"02.48.81.08.08")</f>
        <v>02.48.81.08.08</v>
      </c>
      <c r="H42" t="str">
        <f ca="1">IFERROR(__xludf.DUMMYFUNCTION("""COMPUTED_VALUE"""),"HERTZOG RPT SAS MAJOLU Jean Christophe")</f>
        <v>HERTZOG RPT SAS MAJOLU Jean Christophe</v>
      </c>
      <c r="I42" t="str">
        <f ca="1">IFERROR(__xludf.DUMMYFUNCTION("""COMPUTED_VALUE"""),"jean-christophe.hertzog@systeme-u.fr")</f>
        <v>jean-christophe.hertzog@systeme-u.fr</v>
      </c>
      <c r="J42" t="str">
        <f ca="1">IFERROR(__xludf.DUMMYFUNCTION("""COMPUTED_VALUE"""),"HUARD Isabelle")</f>
        <v>HUARD Isabelle</v>
      </c>
      <c r="K42" t="str">
        <f ca="1">IFERROR(__xludf.DUMMYFUNCTION("""COMPUTED_VALUE"""),"superu.argentsursauldre@systeme-u.fr")</f>
        <v>superu.argentsursauldre@systeme-u.fr</v>
      </c>
      <c r="L42" t="str">
        <f ca="1">IFERROR(__xludf.DUMMYFUNCTION("""COMPUTED_VALUE"""),"")</f>
        <v/>
      </c>
      <c r="M42" t="str">
        <f ca="1">IFERROR(__xludf.DUMMYFUNCTION("""COMPUTED_VALUE"""),"99.Hors Périmetre")</f>
        <v>99.Hors Périmetre</v>
      </c>
      <c r="N42" t="str">
        <f ca="1">IFERROR(__xludf.DUMMYFUNCTION("""COMPUTED_VALUE"""),"")</f>
        <v/>
      </c>
      <c r="O42" t="str">
        <f ca="1">IFERROR(__xludf.DUMMYFUNCTION("""COMPUTED_VALUE"""),"")</f>
        <v/>
      </c>
      <c r="P42" t="str">
        <f ca="1">IFERROR(__xludf.DUMMYFUNCTION("""COMPUTED_VALUE"""),"")</f>
        <v/>
      </c>
      <c r="Q42" s="5" t="str">
        <f ca="1">IFERROR(__xludf.DUMMYFUNCTION("""COMPUTED_VALUE"""),"")</f>
        <v/>
      </c>
      <c r="R42" s="6" t="str">
        <f ca="1">IFERROR(__xludf.DUMMYFUNCTION("""COMPUTED_VALUE"""),"")</f>
        <v/>
      </c>
      <c r="S42" t="str">
        <f ca="1">IFERROR(__xludf.DUMMYFUNCTION("""COMPUTED_VALUE"""),"")</f>
        <v/>
      </c>
      <c r="T42" t="str">
        <f ca="1">IFERROR(__xludf.DUMMYFUNCTION("""COMPUTED_VALUE"""),"")</f>
        <v/>
      </c>
      <c r="U42" t="str">
        <f ca="1">IFERROR(__xludf.DUMMYFUNCTION("""COMPUTED_VALUE"""),"")</f>
        <v/>
      </c>
      <c r="V42" t="str">
        <f ca="1">IFERROR(__xludf.DUMMYFUNCTION("""COMPUTED_VALUE"""),"")</f>
        <v/>
      </c>
      <c r="W42" t="str">
        <f ca="1">IFERROR(__xludf.DUMMYFUNCTION("""COMPUTED_VALUE"""),"")</f>
        <v/>
      </c>
      <c r="X42" t="str">
        <f ca="1">IFERROR(__xludf.DUMMYFUNCTION("""COMPUTED_VALUE"""),"")</f>
        <v/>
      </c>
      <c r="Y42" t="str">
        <f ca="1">IFERROR(__xludf.DUMMYFUNCTION("""COMPUTED_VALUE"""),"")</f>
        <v/>
      </c>
      <c r="Z42" t="str">
        <f ca="1">IFERROR(__xludf.DUMMYFUNCTION("""COMPUTED_VALUE"""),"")</f>
        <v/>
      </c>
      <c r="AA42" t="str">
        <f ca="1">IFERROR(__xludf.DUMMYFUNCTION("""COMPUTED_VALUE"""),"Pas de commande")</f>
        <v>Pas de commande</v>
      </c>
      <c r="AB42" s="8" t="str">
        <f ca="1">IFERROR(__xludf.DUMMYFUNCTION("""COMPUTED_VALUE"""),"")</f>
        <v/>
      </c>
      <c r="AC42" s="8" t="str">
        <f ca="1">IFERROR(__xludf.DUMMYFUNCTION("""COMPUTED_VALUE"""),"")</f>
        <v/>
      </c>
      <c r="AD42" s="11" t="str">
        <f ca="1">IFERROR(__xludf.DUMMYFUNCTION("""COMPUTED_VALUE"""),"")</f>
        <v/>
      </c>
      <c r="AE42" t="str">
        <f ca="1">IFERROR(__xludf.DUMMYFUNCTION("""COMPUTED_VALUE"""),"")</f>
        <v/>
      </c>
    </row>
    <row r="43" spans="1:31" ht="12.75" x14ac:dyDescent="0.2">
      <c r="A43">
        <f ca="1">IFERROR(__xludf.DUMMYFUNCTION("""COMPUTED_VALUE"""),32887)</f>
        <v>32887</v>
      </c>
      <c r="B43" t="str">
        <f ca="1">IFERROR(__xludf.DUMMYFUNCTION("""COMPUTED_VALUE"""),"VERTOU")</f>
        <v>VERTOU</v>
      </c>
      <c r="C43" t="str">
        <f ca="1">IFERROR(__xludf.DUMMYFUNCTION("""COMPUTED_VALUE"""),"Super U")</f>
        <v>Super U</v>
      </c>
      <c r="D43" t="str">
        <f ca="1">IFERROR(__xludf.DUMMYFUNCTION("""COMPUTED_VALUE"""),"Coop U Enseigne Ouest")</f>
        <v>Coop U Enseigne Ouest</v>
      </c>
      <c r="E43">
        <f ca="1">IFERROR(__xludf.DUMMYFUNCTION("""COMPUTED_VALUE"""),44124)</f>
        <v>44124</v>
      </c>
      <c r="F43" t="str">
        <f ca="1">IFERROR(__xludf.DUMMYFUNCTION("""COMPUTED_VALUE"""),"BOULEVARD DE L' EUROPE")</f>
        <v>BOULEVARD DE L' EUROPE</v>
      </c>
      <c r="G43" t="str">
        <f ca="1">IFERROR(__xludf.DUMMYFUNCTION("""COMPUTED_VALUE"""),"02.51.71.36.00")</f>
        <v>02.51.71.36.00</v>
      </c>
      <c r="H43" t="str">
        <f ca="1">IFERROR(__xludf.DUMMYFUNCTION("""COMPUTED_VALUE"""),"GODINEAU Thomas")</f>
        <v>GODINEAU Thomas</v>
      </c>
      <c r="I43" t="str">
        <f ca="1">IFERROR(__xludf.DUMMYFUNCTION("""COMPUTED_VALUE"""),"thomas.godineau@systeme-u.fr")</f>
        <v>thomas.godineau@systeme-u.fr</v>
      </c>
      <c r="J43" t="str">
        <f ca="1">IFERROR(__xludf.DUMMYFUNCTION("""COMPUTED_VALUE"""),"Mme Bourcier")</f>
        <v>Mme Bourcier</v>
      </c>
      <c r="K43" t="str">
        <f ca="1">IFERROR(__xludf.DUMMYFUNCTION("""COMPUTED_VALUE"""),"superu.vertou.gescom@systeme-u.fr")</f>
        <v>superu.vertou.gescom@systeme-u.fr</v>
      </c>
      <c r="L43" t="str">
        <f ca="1">IFERROR(__xludf.DUMMYFUNCTION("""COMPUTED_VALUE"""),"")</f>
        <v/>
      </c>
      <c r="M43" t="str">
        <f ca="1">IFERROR(__xludf.DUMMYFUNCTION("""COMPUTED_VALUE"""),"99.Hors Périmetre")</f>
        <v>99.Hors Périmetre</v>
      </c>
      <c r="N43" t="str">
        <f ca="1">IFERROR(__xludf.DUMMYFUNCTION("""COMPUTED_VALUE"""),"")</f>
        <v/>
      </c>
      <c r="O43" t="str">
        <f ca="1">IFERROR(__xludf.DUMMYFUNCTION("""COMPUTED_VALUE"""),"")</f>
        <v/>
      </c>
      <c r="P43" t="str">
        <f ca="1">IFERROR(__xludf.DUMMYFUNCTION("""COMPUTED_VALUE"""),"")</f>
        <v/>
      </c>
      <c r="Q43" s="5" t="str">
        <f ca="1">IFERROR(__xludf.DUMMYFUNCTION("""COMPUTED_VALUE"""),"")</f>
        <v/>
      </c>
      <c r="R43" s="6" t="str">
        <f ca="1">IFERROR(__xludf.DUMMYFUNCTION("""COMPUTED_VALUE"""),"")</f>
        <v/>
      </c>
      <c r="S43" t="str">
        <f ca="1">IFERROR(__xludf.DUMMYFUNCTION("""COMPUTED_VALUE"""),"")</f>
        <v/>
      </c>
      <c r="T43" t="str">
        <f ca="1">IFERROR(__xludf.DUMMYFUNCTION("""COMPUTED_VALUE"""),"")</f>
        <v/>
      </c>
      <c r="U43" t="str">
        <f ca="1">IFERROR(__xludf.DUMMYFUNCTION("""COMPUTED_VALUE"""),"")</f>
        <v/>
      </c>
      <c r="V43" t="str">
        <f ca="1">IFERROR(__xludf.DUMMYFUNCTION("""COMPUTED_VALUE"""),"")</f>
        <v/>
      </c>
      <c r="W43" t="str">
        <f ca="1">IFERROR(__xludf.DUMMYFUNCTION("""COMPUTED_VALUE"""),"")</f>
        <v/>
      </c>
      <c r="X43" t="str">
        <f ca="1">IFERROR(__xludf.DUMMYFUNCTION("""COMPUTED_VALUE"""),"")</f>
        <v/>
      </c>
      <c r="Y43" t="str">
        <f ca="1">IFERROR(__xludf.DUMMYFUNCTION("""COMPUTED_VALUE"""),"")</f>
        <v/>
      </c>
      <c r="Z43" t="str">
        <f ca="1">IFERROR(__xludf.DUMMYFUNCTION("""COMPUTED_VALUE"""),"")</f>
        <v/>
      </c>
      <c r="AA43" t="str">
        <f ca="1">IFERROR(__xludf.DUMMYFUNCTION("""COMPUTED_VALUE"""),"Pas de commande")</f>
        <v>Pas de commande</v>
      </c>
      <c r="AB43" s="8" t="str">
        <f ca="1">IFERROR(__xludf.DUMMYFUNCTION("""COMPUTED_VALUE"""),"")</f>
        <v/>
      </c>
      <c r="AC43" s="8" t="str">
        <f ca="1">IFERROR(__xludf.DUMMYFUNCTION("""COMPUTED_VALUE"""),"")</f>
        <v/>
      </c>
      <c r="AD43" s="11" t="str">
        <f ca="1">IFERROR(__xludf.DUMMYFUNCTION("""COMPUTED_VALUE"""),"")</f>
        <v/>
      </c>
      <c r="AE43" t="str">
        <f ca="1">IFERROR(__xludf.DUMMYFUNCTION("""COMPUTED_VALUE"""),"")</f>
        <v/>
      </c>
    </row>
    <row r="44" spans="1:31" ht="12.75" x14ac:dyDescent="0.2">
      <c r="A44">
        <f ca="1">IFERROR(__xludf.DUMMYFUNCTION("""COMPUTED_VALUE"""),25185)</f>
        <v>25185</v>
      </c>
      <c r="B44" t="str">
        <f ca="1">IFERROR(__xludf.DUMMYFUNCTION("""COMPUTED_VALUE"""),"#N/A")</f>
        <v>#N/A</v>
      </c>
      <c r="C44" t="str">
        <f ca="1">IFERROR(__xludf.DUMMYFUNCTION("""COMPUTED_VALUE"""),"#N/A")</f>
        <v>#N/A</v>
      </c>
      <c r="D44" t="str">
        <f ca="1">IFERROR(__xludf.DUMMYFUNCTION("""COMPUTED_VALUE"""),"#N/A")</f>
        <v>#N/A</v>
      </c>
      <c r="E44" t="str">
        <f ca="1">IFERROR(__xludf.DUMMYFUNCTION("""COMPUTED_VALUE"""),"")</f>
        <v/>
      </c>
      <c r="F44" t="str">
        <f ca="1">IFERROR(__xludf.DUMMYFUNCTION("""COMPUTED_VALUE"""),"#N/A")</f>
        <v>#N/A</v>
      </c>
      <c r="G44" t="str">
        <f ca="1">IFERROR(__xludf.DUMMYFUNCTION("""COMPUTED_VALUE"""),"#N/A")</f>
        <v>#N/A</v>
      </c>
      <c r="H44" t="str">
        <f ca="1">IFERROR(__xludf.DUMMYFUNCTION("""COMPUTED_VALUE"""),"#N/A")</f>
        <v>#N/A</v>
      </c>
      <c r="I44" t="str">
        <f ca="1">IFERROR(__xludf.DUMMYFUNCTION("""COMPUTED_VALUE"""),"#N/A")</f>
        <v>#N/A</v>
      </c>
      <c r="J44" t="str">
        <f ca="1">IFERROR(__xludf.DUMMYFUNCTION("""COMPUTED_VALUE"""),"")</f>
        <v/>
      </c>
      <c r="K44" t="str">
        <f ca="1">IFERROR(__xludf.DUMMYFUNCTION("""COMPUTED_VALUE"""),"")</f>
        <v/>
      </c>
      <c r="L44" t="str">
        <f ca="1">IFERROR(__xludf.DUMMYFUNCTION("""COMPUTED_VALUE"""),"")</f>
        <v/>
      </c>
      <c r="M44" t="str">
        <f ca="1">IFERROR(__xludf.DUMMYFUNCTION("""COMPUTED_VALUE"""),"99.Hors Périmetre")</f>
        <v>99.Hors Périmetre</v>
      </c>
      <c r="N44" t="str">
        <f ca="1">IFERROR(__xludf.DUMMYFUNCTION("""COMPUTED_VALUE"""),"")</f>
        <v/>
      </c>
      <c r="O44" t="str">
        <f ca="1">IFERROR(__xludf.DUMMYFUNCTION("""COMPUTED_VALUE"""),"")</f>
        <v/>
      </c>
      <c r="P44" t="str">
        <f ca="1">IFERROR(__xludf.DUMMYFUNCTION("""COMPUTED_VALUE"""),"")</f>
        <v/>
      </c>
      <c r="Q44" s="5" t="str">
        <f ca="1">IFERROR(__xludf.DUMMYFUNCTION("""COMPUTED_VALUE"""),"")</f>
        <v/>
      </c>
      <c r="R44" s="6" t="str">
        <f ca="1">IFERROR(__xludf.DUMMYFUNCTION("""COMPUTED_VALUE"""),"")</f>
        <v/>
      </c>
      <c r="S44" t="str">
        <f ca="1">IFERROR(__xludf.DUMMYFUNCTION("""COMPUTED_VALUE"""),"")</f>
        <v/>
      </c>
      <c r="T44" t="str">
        <f ca="1">IFERROR(__xludf.DUMMYFUNCTION("""COMPUTED_VALUE"""),"")</f>
        <v/>
      </c>
      <c r="U44" t="str">
        <f ca="1">IFERROR(__xludf.DUMMYFUNCTION("""COMPUTED_VALUE"""),"")</f>
        <v/>
      </c>
      <c r="V44" t="str">
        <f ca="1">IFERROR(__xludf.DUMMYFUNCTION("""COMPUTED_VALUE"""),"")</f>
        <v/>
      </c>
      <c r="W44" t="str">
        <f ca="1">IFERROR(__xludf.DUMMYFUNCTION("""COMPUTED_VALUE"""),"")</f>
        <v/>
      </c>
      <c r="X44" t="str">
        <f ca="1">IFERROR(__xludf.DUMMYFUNCTION("""COMPUTED_VALUE"""),"")</f>
        <v/>
      </c>
      <c r="Y44" t="str">
        <f ca="1">IFERROR(__xludf.DUMMYFUNCTION("""COMPUTED_VALUE"""),"")</f>
        <v/>
      </c>
      <c r="Z44" t="str">
        <f ca="1">IFERROR(__xludf.DUMMYFUNCTION("""COMPUTED_VALUE"""),"")</f>
        <v/>
      </c>
      <c r="AA44" t="str">
        <f ca="1">IFERROR(__xludf.DUMMYFUNCTION("""COMPUTED_VALUE"""),"Pas de commande")</f>
        <v>Pas de commande</v>
      </c>
      <c r="AB44" s="8" t="str">
        <f ca="1">IFERROR(__xludf.DUMMYFUNCTION("""COMPUTED_VALUE"""),"")</f>
        <v/>
      </c>
      <c r="AC44" s="8" t="str">
        <f ca="1">IFERROR(__xludf.DUMMYFUNCTION("""COMPUTED_VALUE"""),"")</f>
        <v/>
      </c>
      <c r="AD44" s="11" t="str">
        <f ca="1">IFERROR(__xludf.DUMMYFUNCTION("""COMPUTED_VALUE"""),"")</f>
        <v/>
      </c>
      <c r="AE44" t="str">
        <f ca="1">IFERROR(__xludf.DUMMYFUNCTION("""COMPUTED_VALUE"""),"")</f>
        <v/>
      </c>
    </row>
    <row r="45" spans="1:31" ht="12.75" x14ac:dyDescent="0.2">
      <c r="A45">
        <f ca="1">IFERROR(__xludf.DUMMYFUNCTION("""COMPUTED_VALUE"""),24782)</f>
        <v>24782</v>
      </c>
      <c r="B45" t="str">
        <f ca="1">IFERROR(__xludf.DUMMYFUNCTION("""COMPUTED_VALUE"""),"#N/A")</f>
        <v>#N/A</v>
      </c>
      <c r="C45" t="str">
        <f ca="1">IFERROR(__xludf.DUMMYFUNCTION("""COMPUTED_VALUE"""),"#N/A")</f>
        <v>#N/A</v>
      </c>
      <c r="D45" t="str">
        <f ca="1">IFERROR(__xludf.DUMMYFUNCTION("""COMPUTED_VALUE"""),"#N/A")</f>
        <v>#N/A</v>
      </c>
      <c r="E45" t="str">
        <f ca="1">IFERROR(__xludf.DUMMYFUNCTION("""COMPUTED_VALUE"""),"")</f>
        <v/>
      </c>
      <c r="F45" t="str">
        <f ca="1">IFERROR(__xludf.DUMMYFUNCTION("""COMPUTED_VALUE"""),"#N/A")</f>
        <v>#N/A</v>
      </c>
      <c r="G45" t="str">
        <f ca="1">IFERROR(__xludf.DUMMYFUNCTION("""COMPUTED_VALUE"""),"#N/A")</f>
        <v>#N/A</v>
      </c>
      <c r="H45" t="str">
        <f ca="1">IFERROR(__xludf.DUMMYFUNCTION("""COMPUTED_VALUE"""),"#N/A")</f>
        <v>#N/A</v>
      </c>
      <c r="I45" t="str">
        <f ca="1">IFERROR(__xludf.DUMMYFUNCTION("""COMPUTED_VALUE"""),"#N/A")</f>
        <v>#N/A</v>
      </c>
      <c r="J45" t="str">
        <f ca="1">IFERROR(__xludf.DUMMYFUNCTION("""COMPUTED_VALUE"""),"")</f>
        <v/>
      </c>
      <c r="K45" t="str">
        <f ca="1">IFERROR(__xludf.DUMMYFUNCTION("""COMPUTED_VALUE"""),"")</f>
        <v/>
      </c>
      <c r="L45" t="str">
        <f ca="1">IFERROR(__xludf.DUMMYFUNCTION("""COMPUTED_VALUE"""),"")</f>
        <v/>
      </c>
      <c r="M45" t="str">
        <f ca="1">IFERROR(__xludf.DUMMYFUNCTION("""COMPUTED_VALUE"""),"99.Hors Périmetre")</f>
        <v>99.Hors Périmetre</v>
      </c>
      <c r="N45" t="str">
        <f ca="1">IFERROR(__xludf.DUMMYFUNCTION("""COMPUTED_VALUE"""),"")</f>
        <v/>
      </c>
      <c r="O45" t="str">
        <f ca="1">IFERROR(__xludf.DUMMYFUNCTION("""COMPUTED_VALUE"""),"")</f>
        <v/>
      </c>
      <c r="P45" t="str">
        <f ca="1">IFERROR(__xludf.DUMMYFUNCTION("""COMPUTED_VALUE"""),"")</f>
        <v/>
      </c>
      <c r="Q45" s="5" t="str">
        <f ca="1">IFERROR(__xludf.DUMMYFUNCTION("""COMPUTED_VALUE"""),"")</f>
        <v/>
      </c>
      <c r="R45" s="6" t="str">
        <f ca="1">IFERROR(__xludf.DUMMYFUNCTION("""COMPUTED_VALUE"""),"")</f>
        <v/>
      </c>
      <c r="S45" t="str">
        <f ca="1">IFERROR(__xludf.DUMMYFUNCTION("""COMPUTED_VALUE"""),"")</f>
        <v/>
      </c>
      <c r="T45" t="str">
        <f ca="1">IFERROR(__xludf.DUMMYFUNCTION("""COMPUTED_VALUE"""),"")</f>
        <v/>
      </c>
      <c r="U45" t="str">
        <f ca="1">IFERROR(__xludf.DUMMYFUNCTION("""COMPUTED_VALUE"""),"")</f>
        <v/>
      </c>
      <c r="V45" t="str">
        <f ca="1">IFERROR(__xludf.DUMMYFUNCTION("""COMPUTED_VALUE"""),"")</f>
        <v/>
      </c>
      <c r="W45" t="str">
        <f ca="1">IFERROR(__xludf.DUMMYFUNCTION("""COMPUTED_VALUE"""),"")</f>
        <v/>
      </c>
      <c r="X45" t="str">
        <f ca="1">IFERROR(__xludf.DUMMYFUNCTION("""COMPUTED_VALUE"""),"")</f>
        <v/>
      </c>
      <c r="Y45" t="str">
        <f ca="1">IFERROR(__xludf.DUMMYFUNCTION("""COMPUTED_VALUE"""),"")</f>
        <v/>
      </c>
      <c r="Z45" t="str">
        <f ca="1">IFERROR(__xludf.DUMMYFUNCTION("""COMPUTED_VALUE"""),"")</f>
        <v/>
      </c>
      <c r="AA45" t="str">
        <f ca="1">IFERROR(__xludf.DUMMYFUNCTION("""COMPUTED_VALUE"""),"Pas de commande")</f>
        <v>Pas de commande</v>
      </c>
      <c r="AB45" s="8" t="str">
        <f ca="1">IFERROR(__xludf.DUMMYFUNCTION("""COMPUTED_VALUE"""),"")</f>
        <v/>
      </c>
      <c r="AC45" s="8" t="str">
        <f ca="1">IFERROR(__xludf.DUMMYFUNCTION("""COMPUTED_VALUE"""),"")</f>
        <v/>
      </c>
      <c r="AD45" s="11" t="str">
        <f ca="1">IFERROR(__xludf.DUMMYFUNCTION("""COMPUTED_VALUE"""),"")</f>
        <v/>
      </c>
      <c r="AE45" t="str">
        <f ca="1">IFERROR(__xludf.DUMMYFUNCTION("""COMPUTED_VALUE"""),"")</f>
        <v/>
      </c>
    </row>
    <row r="46" spans="1:31" ht="12.75" x14ac:dyDescent="0.2">
      <c r="A46">
        <f ca="1">IFERROR(__xludf.DUMMYFUNCTION("""COMPUTED_VALUE"""),62031)</f>
        <v>62031</v>
      </c>
      <c r="B46" t="str">
        <f ca="1">IFERROR(__xludf.DUMMYFUNCTION("""COMPUTED_VALUE"""),"ARINTHOD")</f>
        <v>ARINTHOD</v>
      </c>
      <c r="C46" t="str">
        <f ca="1">IFERROR(__xludf.DUMMYFUNCTION("""COMPUTED_VALUE"""),"U Express")</f>
        <v>U Express</v>
      </c>
      <c r="D46" t="str">
        <f ca="1">IFERROR(__xludf.DUMMYFUNCTION("""COMPUTED_VALUE"""),"Coop U Enseigne Est")</f>
        <v>Coop U Enseigne Est</v>
      </c>
      <c r="E46">
        <f ca="1">IFERROR(__xludf.DUMMYFUNCTION("""COMPUTED_VALUE"""),39240)</f>
        <v>39240</v>
      </c>
      <c r="F46" t="str">
        <f ca="1">IFERROR(__xludf.DUMMYFUNCTION("""COMPUTED_VALUE"""),"4 rue Magnin")</f>
        <v>4 rue Magnin</v>
      </c>
      <c r="G46" t="str">
        <f ca="1">IFERROR(__xludf.DUMMYFUNCTION("""COMPUTED_VALUE"""),"03.84.48.03.24")</f>
        <v>03.84.48.03.24</v>
      </c>
      <c r="H46" t="str">
        <f ca="1">IFERROR(__xludf.DUMMYFUNCTION("""COMPUTED_VALUE"""),"VALLEE Franck")</f>
        <v>VALLEE Franck</v>
      </c>
      <c r="I46" t="str">
        <f ca="1">IFERROR(__xludf.DUMMYFUNCTION("""COMPUTED_VALUE"""),"franck.vallee@systeme-u.fr")</f>
        <v>franck.vallee@systeme-u.fr</v>
      </c>
      <c r="J46" t="str">
        <f ca="1">IFERROR(__xludf.DUMMYFUNCTION("""COMPUTED_VALUE"""),"Mme Domelo")</f>
        <v>Mme Domelo</v>
      </c>
      <c r="K46" t="str">
        <f ca="1">IFERROR(__xludf.DUMMYFUNCTION("""COMPUTED_VALUE"""),"coralie.vallee@systeme-u.fr")</f>
        <v>coralie.vallee@systeme-u.fr</v>
      </c>
      <c r="L46" t="str">
        <f ca="1">IFERROR(__xludf.DUMMYFUNCTION("""COMPUTED_VALUE"""),"")</f>
        <v/>
      </c>
      <c r="M46" t="str">
        <f ca="1">IFERROR(__xludf.DUMMYFUNCTION("""COMPUTED_VALUE"""),"99.Hors Périmetre")</f>
        <v>99.Hors Périmetre</v>
      </c>
      <c r="N46" t="str">
        <f ca="1">IFERROR(__xludf.DUMMYFUNCTION("""COMPUTED_VALUE"""),"")</f>
        <v/>
      </c>
      <c r="O46" t="str">
        <f ca="1">IFERROR(__xludf.DUMMYFUNCTION("""COMPUTED_VALUE"""),"")</f>
        <v/>
      </c>
      <c r="P46" t="str">
        <f ca="1">IFERROR(__xludf.DUMMYFUNCTION("""COMPUTED_VALUE"""),"")</f>
        <v/>
      </c>
      <c r="Q46" s="5" t="str">
        <f ca="1">IFERROR(__xludf.DUMMYFUNCTION("""COMPUTED_VALUE"""),"")</f>
        <v/>
      </c>
      <c r="R46" s="6" t="str">
        <f ca="1">IFERROR(__xludf.DUMMYFUNCTION("""COMPUTED_VALUE"""),"")</f>
        <v/>
      </c>
      <c r="S46" t="str">
        <f ca="1">IFERROR(__xludf.DUMMYFUNCTION("""COMPUTED_VALUE"""),"")</f>
        <v/>
      </c>
      <c r="T46" t="str">
        <f ca="1">IFERROR(__xludf.DUMMYFUNCTION("""COMPUTED_VALUE"""),"")</f>
        <v/>
      </c>
      <c r="U46" t="str">
        <f ca="1">IFERROR(__xludf.DUMMYFUNCTION("""COMPUTED_VALUE"""),"")</f>
        <v/>
      </c>
      <c r="V46" t="str">
        <f ca="1">IFERROR(__xludf.DUMMYFUNCTION("""COMPUTED_VALUE"""),"")</f>
        <v/>
      </c>
      <c r="W46" t="str">
        <f ca="1">IFERROR(__xludf.DUMMYFUNCTION("""COMPUTED_VALUE"""),"")</f>
        <v/>
      </c>
      <c r="X46" t="str">
        <f ca="1">IFERROR(__xludf.DUMMYFUNCTION("""COMPUTED_VALUE"""),"")</f>
        <v/>
      </c>
      <c r="Y46" t="str">
        <f ca="1">IFERROR(__xludf.DUMMYFUNCTION("""COMPUTED_VALUE"""),"")</f>
        <v/>
      </c>
      <c r="Z46" t="str">
        <f ca="1">IFERROR(__xludf.DUMMYFUNCTION("""COMPUTED_VALUE"""),"")</f>
        <v/>
      </c>
      <c r="AA46" t="str">
        <f ca="1">IFERROR(__xludf.DUMMYFUNCTION("""COMPUTED_VALUE"""),"Pas de commande")</f>
        <v>Pas de commande</v>
      </c>
      <c r="AB46" s="8" t="str">
        <f ca="1">IFERROR(__xludf.DUMMYFUNCTION("""COMPUTED_VALUE"""),"")</f>
        <v/>
      </c>
      <c r="AC46" s="8" t="str">
        <f ca="1">IFERROR(__xludf.DUMMYFUNCTION("""COMPUTED_VALUE"""),"")</f>
        <v/>
      </c>
      <c r="AD46" s="11" t="str">
        <f ca="1">IFERROR(__xludf.DUMMYFUNCTION("""COMPUTED_VALUE"""),"")</f>
        <v/>
      </c>
      <c r="AE46" t="str">
        <f ca="1">IFERROR(__xludf.DUMMYFUNCTION("""COMPUTED_VALUE"""),"")</f>
        <v/>
      </c>
    </row>
    <row r="47" spans="1:31" ht="12.75" x14ac:dyDescent="0.2">
      <c r="A47">
        <f ca="1">IFERROR(__xludf.DUMMYFUNCTION("""COMPUTED_VALUE"""),66104)</f>
        <v>66104</v>
      </c>
      <c r="B47" t="str">
        <f ca="1">IFERROR(__xludf.DUMMYFUNCTION("""COMPUTED_VALUE"""),"ARLANC")</f>
        <v>ARLANC</v>
      </c>
      <c r="C47" t="str">
        <f ca="1">IFERROR(__xludf.DUMMYFUNCTION("""COMPUTED_VALUE"""),"Super U")</f>
        <v>Super U</v>
      </c>
      <c r="D47" t="str">
        <f ca="1">IFERROR(__xludf.DUMMYFUNCTION("""COMPUTED_VALUE"""),"Coop U Enseigne Est")</f>
        <v>Coop U Enseigne Est</v>
      </c>
      <c r="E47">
        <f ca="1">IFERROR(__xludf.DUMMYFUNCTION("""COMPUTED_VALUE"""),63220)</f>
        <v>63220</v>
      </c>
      <c r="F47" t="str">
        <f ca="1">IFERROR(__xludf.DUMMYFUNCTION("""COMPUTED_VALUE"""),"Route Beurrière")</f>
        <v>Route Beurrière</v>
      </c>
      <c r="G47" t="str">
        <f ca="1">IFERROR(__xludf.DUMMYFUNCTION("""COMPUTED_VALUE"""),"04.73.95.10.03")</f>
        <v>04.73.95.10.03</v>
      </c>
      <c r="H47" t="str">
        <f ca="1">IFERROR(__xludf.DUMMYFUNCTION("""COMPUTED_VALUE"""),"EPIARD Stéphane")</f>
        <v>EPIARD Stéphane</v>
      </c>
      <c r="I47" t="str">
        <f ca="1">IFERROR(__xludf.DUMMYFUNCTION("""COMPUTED_VALUE"""),"stephane.epiard@systeme-u.fr")</f>
        <v>stephane.epiard@systeme-u.fr</v>
      </c>
      <c r="J47" t="str">
        <f ca="1">IFERROR(__xludf.DUMMYFUNCTION("""COMPUTED_VALUE"""),"Mr Granet")</f>
        <v>Mr Granet</v>
      </c>
      <c r="K47" t="str">
        <f ca="1">IFERROR(__xludf.DUMMYFUNCTION("""COMPUTED_VALUE"""),"superu.arlanc.compta@systeme-u.fr")</f>
        <v>superu.arlanc.compta@systeme-u.fr</v>
      </c>
      <c r="L47" t="str">
        <f ca="1">IFERROR(__xludf.DUMMYFUNCTION("""COMPUTED_VALUE"""),"")</f>
        <v/>
      </c>
      <c r="M47" t="str">
        <f ca="1">IFERROR(__xludf.DUMMYFUNCTION("""COMPUTED_VALUE"""),"99.Hors Périmetre")</f>
        <v>99.Hors Périmetre</v>
      </c>
      <c r="N47" t="str">
        <f ca="1">IFERROR(__xludf.DUMMYFUNCTION("""COMPUTED_VALUE"""),"")</f>
        <v/>
      </c>
      <c r="O47" t="str">
        <f ca="1">IFERROR(__xludf.DUMMYFUNCTION("""COMPUTED_VALUE"""),"")</f>
        <v/>
      </c>
      <c r="P47" t="str">
        <f ca="1">IFERROR(__xludf.DUMMYFUNCTION("""COMPUTED_VALUE"""),"")</f>
        <v/>
      </c>
      <c r="Q47" s="5" t="str">
        <f ca="1">IFERROR(__xludf.DUMMYFUNCTION("""COMPUTED_VALUE"""),"")</f>
        <v/>
      </c>
      <c r="R47" s="6" t="str">
        <f ca="1">IFERROR(__xludf.DUMMYFUNCTION("""COMPUTED_VALUE"""),"")</f>
        <v/>
      </c>
      <c r="S47" t="str">
        <f ca="1">IFERROR(__xludf.DUMMYFUNCTION("""COMPUTED_VALUE"""),"")</f>
        <v/>
      </c>
      <c r="T47" t="str">
        <f ca="1">IFERROR(__xludf.DUMMYFUNCTION("""COMPUTED_VALUE"""),"")</f>
        <v/>
      </c>
      <c r="U47" t="str">
        <f ca="1">IFERROR(__xludf.DUMMYFUNCTION("""COMPUTED_VALUE"""),"")</f>
        <v/>
      </c>
      <c r="V47" t="str">
        <f ca="1">IFERROR(__xludf.DUMMYFUNCTION("""COMPUTED_VALUE"""),"")</f>
        <v/>
      </c>
      <c r="W47" t="str">
        <f ca="1">IFERROR(__xludf.DUMMYFUNCTION("""COMPUTED_VALUE"""),"")</f>
        <v/>
      </c>
      <c r="X47" t="str">
        <f ca="1">IFERROR(__xludf.DUMMYFUNCTION("""COMPUTED_VALUE"""),"")</f>
        <v/>
      </c>
      <c r="Y47" t="str">
        <f ca="1">IFERROR(__xludf.DUMMYFUNCTION("""COMPUTED_VALUE"""),"")</f>
        <v/>
      </c>
      <c r="Z47" t="str">
        <f ca="1">IFERROR(__xludf.DUMMYFUNCTION("""COMPUTED_VALUE"""),"")</f>
        <v/>
      </c>
      <c r="AA47" t="str">
        <f ca="1">IFERROR(__xludf.DUMMYFUNCTION("""COMPUTED_VALUE"""),"Pas de commande")</f>
        <v>Pas de commande</v>
      </c>
      <c r="AB47" s="8" t="str">
        <f ca="1">IFERROR(__xludf.DUMMYFUNCTION("""COMPUTED_VALUE"""),"")</f>
        <v/>
      </c>
      <c r="AC47" s="8" t="str">
        <f ca="1">IFERROR(__xludf.DUMMYFUNCTION("""COMPUTED_VALUE"""),"")</f>
        <v/>
      </c>
      <c r="AD47" s="11" t="str">
        <f ca="1">IFERROR(__xludf.DUMMYFUNCTION("""COMPUTED_VALUE"""),"")</f>
        <v/>
      </c>
      <c r="AE47" t="str">
        <f ca="1">IFERROR(__xludf.DUMMYFUNCTION("""COMPUTED_VALUE"""),"")</f>
        <v/>
      </c>
    </row>
    <row r="48" spans="1:31" ht="12.75" x14ac:dyDescent="0.2">
      <c r="A48">
        <f ca="1">IFERROR(__xludf.DUMMYFUNCTION("""COMPUTED_VALUE"""),36602)</f>
        <v>36602</v>
      </c>
      <c r="B48" t="str">
        <f ca="1">IFERROR(__xludf.DUMMYFUNCTION("""COMPUTED_VALUE"""),"ARNAGE")</f>
        <v>ARNAGE</v>
      </c>
      <c r="C48" t="str">
        <f ca="1">IFERROR(__xludf.DUMMYFUNCTION("""COMPUTED_VALUE"""),"Super U")</f>
        <v>Super U</v>
      </c>
      <c r="D48" t="str">
        <f ca="1">IFERROR(__xludf.DUMMYFUNCTION("""COMPUTED_VALUE"""),"Coop U Enseigne Ouest")</f>
        <v>Coop U Enseigne Ouest</v>
      </c>
      <c r="E48">
        <f ca="1">IFERROR(__xludf.DUMMYFUNCTION("""COMPUTED_VALUE"""),72230)</f>
        <v>72230</v>
      </c>
      <c r="F48" t="str">
        <f ca="1">IFERROR(__xludf.DUMMYFUNCTION("""COMPUTED_VALUE"""),"BOULEVARD PIERRE LEFAUCHEUX")</f>
        <v>BOULEVARD PIERRE LEFAUCHEUX</v>
      </c>
      <c r="G48" t="str">
        <f ca="1">IFERROR(__xludf.DUMMYFUNCTION("""COMPUTED_VALUE"""),"02.43.21.22.23")</f>
        <v>02.43.21.22.23</v>
      </c>
      <c r="H48" t="str">
        <f ca="1">IFERROR(__xludf.DUMMYFUNCTION("""COMPUTED_VALUE"""),"LE MARECHAL Stéphane")</f>
        <v>LE MARECHAL Stéphane</v>
      </c>
      <c r="I48" t="str">
        <f ca="1">IFERROR(__xludf.DUMMYFUNCTION("""COMPUTED_VALUE"""),"stephane.lemarechal@systeme-u.fr")</f>
        <v>stephane.lemarechal@systeme-u.fr</v>
      </c>
      <c r="J48" t="str">
        <f ca="1">IFERROR(__xludf.DUMMYFUNCTION("""COMPUTED_VALUE"""),"Xavier Deburre
Isabelle Aubier (UPLV)")</f>
        <v>Xavier Deburre
Isabelle Aubier (UPLV)</v>
      </c>
      <c r="K48" t="str">
        <f ca="1">IFERROR(__xludf.DUMMYFUNCTION("""COMPUTED_VALUE"""),"superu.arnage.direction@systeme-u.fr, superu.arnage@systeme-u.fr")</f>
        <v>superu.arnage.direction@systeme-u.fr, superu.arnage@systeme-u.fr</v>
      </c>
      <c r="L48" t="str">
        <f ca="1">IFERROR(__xludf.DUMMYFUNCTION("""COMPUTED_VALUE"""),"")</f>
        <v/>
      </c>
      <c r="M48" t="str">
        <f ca="1">IFERROR(__xludf.DUMMYFUNCTION("""COMPUTED_VALUE"""),"99.Hors Périmetre")</f>
        <v>99.Hors Périmetre</v>
      </c>
      <c r="N48" t="str">
        <f ca="1">IFERROR(__xludf.DUMMYFUNCTION("""COMPUTED_VALUE"""),"")</f>
        <v/>
      </c>
      <c r="O48" t="str">
        <f ca="1">IFERROR(__xludf.DUMMYFUNCTION("""COMPUTED_VALUE"""),"")</f>
        <v/>
      </c>
      <c r="P48" t="str">
        <f ca="1">IFERROR(__xludf.DUMMYFUNCTION("""COMPUTED_VALUE"""),"")</f>
        <v/>
      </c>
      <c r="Q48" s="5" t="str">
        <f ca="1">IFERROR(__xludf.DUMMYFUNCTION("""COMPUTED_VALUE"""),"")</f>
        <v/>
      </c>
      <c r="R48" s="6" t="str">
        <f ca="1">IFERROR(__xludf.DUMMYFUNCTION("""COMPUTED_VALUE"""),"")</f>
        <v/>
      </c>
      <c r="S48" t="str">
        <f ca="1">IFERROR(__xludf.DUMMYFUNCTION("""COMPUTED_VALUE"""),"")</f>
        <v/>
      </c>
      <c r="T48" t="str">
        <f ca="1">IFERROR(__xludf.DUMMYFUNCTION("""COMPUTED_VALUE"""),"")</f>
        <v/>
      </c>
      <c r="U48" t="str">
        <f ca="1">IFERROR(__xludf.DUMMYFUNCTION("""COMPUTED_VALUE"""),"")</f>
        <v/>
      </c>
      <c r="V48" t="str">
        <f ca="1">IFERROR(__xludf.DUMMYFUNCTION("""COMPUTED_VALUE"""),"")</f>
        <v/>
      </c>
      <c r="W48" t="str">
        <f ca="1">IFERROR(__xludf.DUMMYFUNCTION("""COMPUTED_VALUE"""),"")</f>
        <v/>
      </c>
      <c r="X48" t="str">
        <f ca="1">IFERROR(__xludf.DUMMYFUNCTION("""COMPUTED_VALUE"""),"")</f>
        <v/>
      </c>
      <c r="Y48" t="str">
        <f ca="1">IFERROR(__xludf.DUMMYFUNCTION("""COMPUTED_VALUE"""),"")</f>
        <v/>
      </c>
      <c r="Z48" t="str">
        <f ca="1">IFERROR(__xludf.DUMMYFUNCTION("""COMPUTED_VALUE"""),"")</f>
        <v/>
      </c>
      <c r="AA48" t="str">
        <f ca="1">IFERROR(__xludf.DUMMYFUNCTION("""COMPUTED_VALUE"""),"Pas de commande")</f>
        <v>Pas de commande</v>
      </c>
      <c r="AB48" s="8" t="str">
        <f ca="1">IFERROR(__xludf.DUMMYFUNCTION("""COMPUTED_VALUE"""),"")</f>
        <v/>
      </c>
      <c r="AC48" s="8" t="str">
        <f ca="1">IFERROR(__xludf.DUMMYFUNCTION("""COMPUTED_VALUE"""),"")</f>
        <v/>
      </c>
      <c r="AD48" s="11" t="str">
        <f ca="1">IFERROR(__xludf.DUMMYFUNCTION("""COMPUTED_VALUE"""),"")</f>
        <v/>
      </c>
      <c r="AE48" t="str">
        <f ca="1">IFERROR(__xludf.DUMMYFUNCTION("""COMPUTED_VALUE"""),"")</f>
        <v/>
      </c>
    </row>
    <row r="49" spans="1:31" ht="12.75" x14ac:dyDescent="0.2">
      <c r="A49">
        <f ca="1">IFERROR(__xludf.DUMMYFUNCTION("""COMPUTED_VALUE"""),39288)</f>
        <v>39288</v>
      </c>
      <c r="B49" t="str">
        <f ca="1">IFERROR(__xludf.DUMMYFUNCTION("""COMPUTED_VALUE"""),"ARRADON")</f>
        <v>ARRADON</v>
      </c>
      <c r="C49" t="str">
        <f ca="1">IFERROR(__xludf.DUMMYFUNCTION("""COMPUTED_VALUE"""),"Super U")</f>
        <v>Super U</v>
      </c>
      <c r="D49" t="str">
        <f ca="1">IFERROR(__xludf.DUMMYFUNCTION("""COMPUTED_VALUE"""),"Coop U Enseigne Ouest")</f>
        <v>Coop U Enseigne Ouest</v>
      </c>
      <c r="E49">
        <f ca="1">IFERROR(__xludf.DUMMYFUNCTION("""COMPUTED_VALUE"""),56610)</f>
        <v>56610</v>
      </c>
      <c r="F49" t="str">
        <f ca="1">IFERROR(__xludf.DUMMYFUNCTION("""COMPUTED_VALUE"""),"CENTRE COMMERCIAL LA BRECHE")</f>
        <v>CENTRE COMMERCIAL LA BRECHE</v>
      </c>
      <c r="G49" t="str">
        <f ca="1">IFERROR(__xludf.DUMMYFUNCTION("""COMPUTED_VALUE"""),"02.97.44.01.69")</f>
        <v>02.97.44.01.69</v>
      </c>
      <c r="H49" t="str">
        <f ca="1">IFERROR(__xludf.DUMMYFUNCTION("""COMPUTED_VALUE"""),"GUERVENO RPT SARL LAURENT FI Laurent")</f>
        <v>GUERVENO RPT SARL LAURENT FI Laurent</v>
      </c>
      <c r="I49" t="str">
        <f ca="1">IFERROR(__xludf.DUMMYFUNCTION("""COMPUTED_VALUE"""),"laurent.guerveno@systeme-u.fr")</f>
        <v>laurent.guerveno@systeme-u.fr</v>
      </c>
      <c r="J49" t="str">
        <f ca="1">IFERROR(__xludf.DUMMYFUNCTION("""COMPUTED_VALUE"""),"PAVEC Patrick
Anne-Laure")</f>
        <v>PAVEC Patrick
Anne-Laure</v>
      </c>
      <c r="K49" t="str">
        <f ca="1">IFERROR(__xludf.DUMMYFUNCTION("""COMPUTED_VALUE"""),"superu.arradon.administratif@systeme-u.fr, superu.arradon@systeme-u.fr")</f>
        <v>superu.arradon.administratif@systeme-u.fr, superu.arradon@systeme-u.fr</v>
      </c>
      <c r="L49" t="str">
        <f ca="1">IFERROR(__xludf.DUMMYFUNCTION("""COMPUTED_VALUE"""),"")</f>
        <v/>
      </c>
      <c r="M49" t="str">
        <f ca="1">IFERROR(__xludf.DUMMYFUNCTION("""COMPUTED_VALUE"""),"99.Hors Périmetre")</f>
        <v>99.Hors Périmetre</v>
      </c>
      <c r="N49" t="str">
        <f ca="1">IFERROR(__xludf.DUMMYFUNCTION("""COMPUTED_VALUE"""),"")</f>
        <v/>
      </c>
      <c r="O49" t="str">
        <f ca="1">IFERROR(__xludf.DUMMYFUNCTION("""COMPUTED_VALUE"""),"")</f>
        <v/>
      </c>
      <c r="P49" t="str">
        <f ca="1">IFERROR(__xludf.DUMMYFUNCTION("""COMPUTED_VALUE"""),"")</f>
        <v/>
      </c>
      <c r="Q49" s="5" t="str">
        <f ca="1">IFERROR(__xludf.DUMMYFUNCTION("""COMPUTED_VALUE"""),"")</f>
        <v/>
      </c>
      <c r="R49" s="6" t="str">
        <f ca="1">IFERROR(__xludf.DUMMYFUNCTION("""COMPUTED_VALUE"""),"")</f>
        <v/>
      </c>
      <c r="S49" t="str">
        <f ca="1">IFERROR(__xludf.DUMMYFUNCTION("""COMPUTED_VALUE"""),"")</f>
        <v/>
      </c>
      <c r="T49" t="str">
        <f ca="1">IFERROR(__xludf.DUMMYFUNCTION("""COMPUTED_VALUE"""),"")</f>
        <v/>
      </c>
      <c r="U49" t="str">
        <f ca="1">IFERROR(__xludf.DUMMYFUNCTION("""COMPUTED_VALUE"""),"")</f>
        <v/>
      </c>
      <c r="V49" t="str">
        <f ca="1">IFERROR(__xludf.DUMMYFUNCTION("""COMPUTED_VALUE"""),"")</f>
        <v/>
      </c>
      <c r="W49" t="str">
        <f ca="1">IFERROR(__xludf.DUMMYFUNCTION("""COMPUTED_VALUE"""),"")</f>
        <v/>
      </c>
      <c r="X49" t="str">
        <f ca="1">IFERROR(__xludf.DUMMYFUNCTION("""COMPUTED_VALUE"""),"")</f>
        <v/>
      </c>
      <c r="Y49" t="str">
        <f ca="1">IFERROR(__xludf.DUMMYFUNCTION("""COMPUTED_VALUE"""),"")</f>
        <v/>
      </c>
      <c r="Z49" t="str">
        <f ca="1">IFERROR(__xludf.DUMMYFUNCTION("""COMPUTED_VALUE"""),"")</f>
        <v/>
      </c>
      <c r="AA49" t="str">
        <f ca="1">IFERROR(__xludf.DUMMYFUNCTION("""COMPUTED_VALUE"""),"Pas de commande")</f>
        <v>Pas de commande</v>
      </c>
      <c r="AB49" s="8" t="str">
        <f ca="1">IFERROR(__xludf.DUMMYFUNCTION("""COMPUTED_VALUE"""),"")</f>
        <v/>
      </c>
      <c r="AC49" s="8" t="str">
        <f ca="1">IFERROR(__xludf.DUMMYFUNCTION("""COMPUTED_VALUE"""),"")</f>
        <v/>
      </c>
      <c r="AD49" s="11" t="str">
        <f ca="1">IFERROR(__xludf.DUMMYFUNCTION("""COMPUTED_VALUE"""),"")</f>
        <v/>
      </c>
      <c r="AE49" t="str">
        <f ca="1">IFERROR(__xludf.DUMMYFUNCTION("""COMPUTED_VALUE"""),"")</f>
        <v/>
      </c>
    </row>
    <row r="50" spans="1:31" ht="12.75" x14ac:dyDescent="0.2">
      <c r="A50">
        <f ca="1">IFERROR(__xludf.DUMMYFUNCTION("""COMPUTED_VALUE"""),38530)</f>
        <v>38530</v>
      </c>
      <c r="B50" t="str">
        <f ca="1">IFERROR(__xludf.DUMMYFUNCTION("""COMPUTED_VALUE"""),"ARS-EN-RÉ")</f>
        <v>ARS-EN-RÉ</v>
      </c>
      <c r="C50" t="str">
        <f ca="1">IFERROR(__xludf.DUMMYFUNCTION("""COMPUTED_VALUE"""),"U Express")</f>
        <v>U Express</v>
      </c>
      <c r="D50" t="str">
        <f ca="1">IFERROR(__xludf.DUMMYFUNCTION("""COMPUTED_VALUE"""),"Coop U Enseigne Ouest")</f>
        <v>Coop U Enseigne Ouest</v>
      </c>
      <c r="E50">
        <f ca="1">IFERROR(__xludf.DUMMYFUNCTION("""COMPUTED_VALUE"""),17590)</f>
        <v>17590</v>
      </c>
      <c r="F50" t="str">
        <f ca="1">IFERROR(__xludf.DUMMYFUNCTION("""COMPUTED_VALUE"""),"34, RUE DE LA DIÈTE")</f>
        <v>34, RUE DE LA DIÈTE</v>
      </c>
      <c r="G50" t="str">
        <f ca="1">IFERROR(__xludf.DUMMYFUNCTION("""COMPUTED_VALUE"""),"05.46.29.28.38")</f>
        <v>05.46.29.28.38</v>
      </c>
      <c r="H50" t="str">
        <f ca="1">IFERROR(__xludf.DUMMYFUNCTION("""COMPUTED_VALUE"""),"MONTAGNE Jean-Jacques")</f>
        <v>MONTAGNE Jean-Jacques</v>
      </c>
      <c r="I50" t="str">
        <f ca="1">IFERROR(__xludf.DUMMYFUNCTION("""COMPUTED_VALUE"""),"jean-jacques.montagne@systeme-u.fr")</f>
        <v>jean-jacques.montagne@systeme-u.fr</v>
      </c>
      <c r="J50" t="str">
        <f ca="1">IFERROR(__xludf.DUMMYFUNCTION("""COMPUTED_VALUE"""),"Manusset Gerard")</f>
        <v>Manusset Gerard</v>
      </c>
      <c r="K50" t="str">
        <f ca="1">IFERROR(__xludf.DUMMYFUNCTION("""COMPUTED_VALUE"""),"")</f>
        <v/>
      </c>
      <c r="L50" t="str">
        <f ca="1">IFERROR(__xludf.DUMMYFUNCTION("""COMPUTED_VALUE"""),"")</f>
        <v/>
      </c>
      <c r="M50" t="str">
        <f ca="1">IFERROR(__xludf.DUMMYFUNCTION("""COMPUTED_VALUE"""),"99.Hors Périmetre")</f>
        <v>99.Hors Périmetre</v>
      </c>
      <c r="N50" t="str">
        <f ca="1">IFERROR(__xludf.DUMMYFUNCTION("""COMPUTED_VALUE"""),"")</f>
        <v/>
      </c>
      <c r="O50" t="str">
        <f ca="1">IFERROR(__xludf.DUMMYFUNCTION("""COMPUTED_VALUE"""),"")</f>
        <v/>
      </c>
      <c r="P50" t="str">
        <f ca="1">IFERROR(__xludf.DUMMYFUNCTION("""COMPUTED_VALUE"""),"")</f>
        <v/>
      </c>
      <c r="Q50" s="5" t="str">
        <f ca="1">IFERROR(__xludf.DUMMYFUNCTION("""COMPUTED_VALUE"""),"")</f>
        <v/>
      </c>
      <c r="R50" s="6" t="str">
        <f ca="1">IFERROR(__xludf.DUMMYFUNCTION("""COMPUTED_VALUE"""),"")</f>
        <v/>
      </c>
      <c r="S50" t="str">
        <f ca="1">IFERROR(__xludf.DUMMYFUNCTION("""COMPUTED_VALUE"""),"")</f>
        <v/>
      </c>
      <c r="T50" t="str">
        <f ca="1">IFERROR(__xludf.DUMMYFUNCTION("""COMPUTED_VALUE"""),"")</f>
        <v/>
      </c>
      <c r="U50" t="str">
        <f ca="1">IFERROR(__xludf.DUMMYFUNCTION("""COMPUTED_VALUE"""),"")</f>
        <v/>
      </c>
      <c r="V50" t="str">
        <f ca="1">IFERROR(__xludf.DUMMYFUNCTION("""COMPUTED_VALUE"""),"")</f>
        <v/>
      </c>
      <c r="W50" t="str">
        <f ca="1">IFERROR(__xludf.DUMMYFUNCTION("""COMPUTED_VALUE"""),"")</f>
        <v/>
      </c>
      <c r="X50" t="str">
        <f ca="1">IFERROR(__xludf.DUMMYFUNCTION("""COMPUTED_VALUE"""),"")</f>
        <v/>
      </c>
      <c r="Y50" t="str">
        <f ca="1">IFERROR(__xludf.DUMMYFUNCTION("""COMPUTED_VALUE"""),"")</f>
        <v/>
      </c>
      <c r="Z50" t="str">
        <f ca="1">IFERROR(__xludf.DUMMYFUNCTION("""COMPUTED_VALUE"""),"")</f>
        <v/>
      </c>
      <c r="AA50" t="str">
        <f ca="1">IFERROR(__xludf.DUMMYFUNCTION("""COMPUTED_VALUE"""),"Pas de commande")</f>
        <v>Pas de commande</v>
      </c>
      <c r="AB50" s="8" t="str">
        <f ca="1">IFERROR(__xludf.DUMMYFUNCTION("""COMPUTED_VALUE"""),"")</f>
        <v/>
      </c>
      <c r="AC50" s="8" t="str">
        <f ca="1">IFERROR(__xludf.DUMMYFUNCTION("""COMPUTED_VALUE"""),"")</f>
        <v/>
      </c>
      <c r="AD50" s="11" t="str">
        <f ca="1">IFERROR(__xludf.DUMMYFUNCTION("""COMPUTED_VALUE"""),"")</f>
        <v/>
      </c>
      <c r="AE50" t="str">
        <f ca="1">IFERROR(__xludf.DUMMYFUNCTION("""COMPUTED_VALUE"""),"")</f>
        <v/>
      </c>
    </row>
    <row r="51" spans="1:31" ht="12.75" x14ac:dyDescent="0.2">
      <c r="A51">
        <f ca="1">IFERROR(__xludf.DUMMYFUNCTION("""COMPUTED_VALUE"""),30531)</f>
        <v>30531</v>
      </c>
      <c r="B51" t="str">
        <f ca="1">IFERROR(__xludf.DUMMYFUNCTION("""COMPUTED_VALUE"""),"ARTHON-EN-RETZ")</f>
        <v>ARTHON-EN-RETZ</v>
      </c>
      <c r="C51" t="str">
        <f ca="1">IFERROR(__xludf.DUMMYFUNCTION("""COMPUTED_VALUE"""),"Super U")</f>
        <v>Super U</v>
      </c>
      <c r="D51" t="str">
        <f ca="1">IFERROR(__xludf.DUMMYFUNCTION("""COMPUTED_VALUE"""),"Coop U Enseigne Ouest")</f>
        <v>Coop U Enseigne Ouest</v>
      </c>
      <c r="E51">
        <f ca="1">IFERROR(__xludf.DUMMYFUNCTION("""COMPUTED_VALUE"""),44320)</f>
        <v>44320</v>
      </c>
      <c r="F51" t="str">
        <f ca="1">IFERROR(__xludf.DUMMYFUNCTION("""COMPUTED_VALUE"""),"ZONE ARTISANALE LE BUTAI")</f>
        <v>ZONE ARTISANALE LE BUTAI</v>
      </c>
      <c r="G51" t="str">
        <f ca="1">IFERROR(__xludf.DUMMYFUNCTION("""COMPUTED_VALUE"""),"02.40.21.30.13")</f>
        <v>02.40.21.30.13</v>
      </c>
      <c r="H51" t="str">
        <f ca="1">IFERROR(__xludf.DUMMYFUNCTION("""COMPUTED_VALUE"""),"GOBIN Sébastien")</f>
        <v>GOBIN Sébastien</v>
      </c>
      <c r="I51" t="str">
        <f ca="1">IFERROR(__xludf.DUMMYFUNCTION("""COMPUTED_VALUE"""),"sebastien.gobin@systeme-u.fr")</f>
        <v>sebastien.gobin@systeme-u.fr</v>
      </c>
      <c r="J51" t="str">
        <f ca="1">IFERROR(__xludf.DUMMYFUNCTION("""COMPUTED_VALUE"""),"")</f>
        <v/>
      </c>
      <c r="K51" t="str">
        <f ca="1">IFERROR(__xludf.DUMMYFUNCTION("""COMPUTED_VALUE"""),"")</f>
        <v/>
      </c>
      <c r="L51" t="str">
        <f ca="1">IFERROR(__xludf.DUMMYFUNCTION("""COMPUTED_VALUE"""),"Standard")</f>
        <v>Standard</v>
      </c>
      <c r="M51" t="str">
        <f ca="1">IFERROR(__xludf.DUMMYFUNCTION("""COMPUTED_VALUE"""),"0. Non démarré")</f>
        <v>0. Non démarré</v>
      </c>
      <c r="N51" t="str">
        <f ca="1">IFERROR(__xludf.DUMMYFUNCTION("""COMPUTED_VALUE"""),"")</f>
        <v/>
      </c>
      <c r="O51" t="str">
        <f ca="1">IFERROR(__xludf.DUMMYFUNCTION("""COMPUTED_VALUE"""),"")</f>
        <v/>
      </c>
      <c r="P51" t="str">
        <f ca="1">IFERROR(__xludf.DUMMYFUNCTION("""COMPUTED_VALUE"""),"")</f>
        <v/>
      </c>
      <c r="Q51" s="5" t="str">
        <f ca="1">IFERROR(__xludf.DUMMYFUNCTION("""COMPUTED_VALUE"""),"")</f>
        <v/>
      </c>
      <c r="R51" s="6" t="str">
        <f ca="1">IFERROR(__xludf.DUMMYFUNCTION("""COMPUTED_VALUE"""),"")</f>
        <v/>
      </c>
      <c r="S51" t="str">
        <f ca="1">IFERROR(__xludf.DUMMYFUNCTION("""COMPUTED_VALUE"""),"")</f>
        <v/>
      </c>
      <c r="T51" t="str">
        <f ca="1">IFERROR(__xludf.DUMMYFUNCTION("""COMPUTED_VALUE"""),"")</f>
        <v/>
      </c>
      <c r="U51" t="str">
        <f ca="1">IFERROR(__xludf.DUMMYFUNCTION("""COMPUTED_VALUE"""),"")</f>
        <v/>
      </c>
      <c r="V51" t="str">
        <f ca="1">IFERROR(__xludf.DUMMYFUNCTION("""COMPUTED_VALUE"""),"")</f>
        <v/>
      </c>
      <c r="W51" t="str">
        <f ca="1">IFERROR(__xludf.DUMMYFUNCTION("""COMPUTED_VALUE"""),"R5")</f>
        <v>R5</v>
      </c>
      <c r="X51" t="str">
        <f ca="1">IFERROR(__xludf.DUMMYFUNCTION("""COMPUTED_VALUE"""),"Pricer")</f>
        <v>Pricer</v>
      </c>
      <c r="Y51" t="str">
        <f ca="1">IFERROR(__xludf.DUMMYFUNCTION("""COMPUTED_VALUE"""),"")</f>
        <v/>
      </c>
      <c r="Z51" t="str">
        <f ca="1">IFERROR(__xludf.DUMMYFUNCTION("""COMPUTED_VALUE"""),"")</f>
        <v/>
      </c>
      <c r="AA51" t="str">
        <f ca="1">IFERROR(__xludf.DUMMYFUNCTION("""COMPUTED_VALUE"""),"Pas de commande")</f>
        <v>Pas de commande</v>
      </c>
      <c r="AB51" s="8" t="str">
        <f ca="1">IFERROR(__xludf.DUMMYFUNCTION("""COMPUTED_VALUE"""),"")</f>
        <v/>
      </c>
      <c r="AC51" s="8" t="str">
        <f ca="1">IFERROR(__xludf.DUMMYFUNCTION("""COMPUTED_VALUE"""),"")</f>
        <v/>
      </c>
      <c r="AD51" s="11" t="str">
        <f ca="1">IFERROR(__xludf.DUMMYFUNCTION("""COMPUTED_VALUE"""),"")</f>
        <v/>
      </c>
      <c r="AE51" t="str">
        <f ca="1">IFERROR(__xludf.DUMMYFUNCTION("""COMPUTED_VALUE"""),"")</f>
        <v/>
      </c>
    </row>
    <row r="52" spans="1:31" ht="12.75" x14ac:dyDescent="0.2">
      <c r="A52">
        <f ca="1">IFERROR(__xludf.DUMMYFUNCTION("""COMPUTED_VALUE"""),32064)</f>
        <v>32064</v>
      </c>
      <c r="B52" t="str">
        <f ca="1">IFERROR(__xludf.DUMMYFUNCTION("""COMPUTED_VALUE"""),"ARVERT")</f>
        <v>ARVERT</v>
      </c>
      <c r="C52" t="str">
        <f ca="1">IFERROR(__xludf.DUMMYFUNCTION("""COMPUTED_VALUE"""),"Super U")</f>
        <v>Super U</v>
      </c>
      <c r="D52" t="str">
        <f ca="1">IFERROR(__xludf.DUMMYFUNCTION("""COMPUTED_VALUE"""),"Coop Atlantique")</f>
        <v>Coop Atlantique</v>
      </c>
      <c r="E52">
        <f ca="1">IFERROR(__xludf.DUMMYFUNCTION("""COMPUTED_VALUE"""),17530)</f>
        <v>17530</v>
      </c>
      <c r="F52" t="str">
        <f ca="1">IFERROR(__xludf.DUMMYFUNCTION("""COMPUTED_VALUE"""),"107 AVENUE L'ETRADE MOULIN JUSTICES")</f>
        <v>107 AVENUE L'ETRADE MOULIN JUSTICES</v>
      </c>
      <c r="G52" t="str">
        <f ca="1">IFERROR(__xludf.DUMMYFUNCTION("""COMPUTED_VALUE"""),"05.46.36.46.57")</f>
        <v>05.46.36.46.57</v>
      </c>
      <c r="H52" t="str">
        <f ca="1">IFERROR(__xludf.DUMMYFUNCTION("""COMPUTED_VALUE"""),"FLAMBARD Hervé")</f>
        <v>FLAMBARD Hervé</v>
      </c>
      <c r="I52" t="str">
        <f ca="1">IFERROR(__xludf.DUMMYFUNCTION("""COMPUTED_VALUE"""),"bertrand.defontaine_coop_su_uex@systeme-u.fr")</f>
        <v>bertrand.defontaine_coop_su_uex@systeme-u.fr</v>
      </c>
      <c r="J52" t="str">
        <f ca="1">IFERROR(__xludf.DUMMYFUNCTION("""COMPUTED_VALUE"""),"CHAMBON Nicolas")</f>
        <v>CHAMBON Nicolas</v>
      </c>
      <c r="K52" t="str">
        <f ca="1">IFERROR(__xludf.DUMMYFUNCTION("""COMPUTED_VALUE"""),"superu.arvert.direction@systeme-u.fr,nbrigant@coop-atlantique.fr,sjaud@coop-atlantique.fr,nchambon@coop-atlantique.fr")</f>
        <v>superu.arvert.direction@systeme-u.fr,nbrigant@coop-atlantique.fr,sjaud@coop-atlantique.fr,nchambon@coop-atlantique.fr</v>
      </c>
      <c r="L52" t="str">
        <f ca="1">IFERROR(__xludf.DUMMYFUNCTION("""COMPUTED_VALUE"""),"Standard")</f>
        <v>Standard</v>
      </c>
      <c r="M52" t="str">
        <f ca="1">IFERROR(__xludf.DUMMYFUNCTION("""COMPUTED_VALUE"""),"0. Non démarré")</f>
        <v>0. Non démarré</v>
      </c>
      <c r="N52" t="str">
        <f ca="1">IFERROR(__xludf.DUMMYFUNCTION("""COMPUTED_VALUE"""),"")</f>
        <v/>
      </c>
      <c r="O52" t="str">
        <f ca="1">IFERROR(__xludf.DUMMYFUNCTION("""COMPUTED_VALUE"""),"")</f>
        <v/>
      </c>
      <c r="P52" t="str">
        <f ca="1">IFERROR(__xludf.DUMMYFUNCTION("""COMPUTED_VALUE"""),"")</f>
        <v/>
      </c>
      <c r="Q52" s="5" t="str">
        <f ca="1">IFERROR(__xludf.DUMMYFUNCTION("""COMPUTED_VALUE"""),"")</f>
        <v/>
      </c>
      <c r="R52" s="6" t="str">
        <f ca="1">IFERROR(__xludf.DUMMYFUNCTION("""COMPUTED_VALUE"""),"")</f>
        <v/>
      </c>
      <c r="S52" t="str">
        <f ca="1">IFERROR(__xludf.DUMMYFUNCTION("""COMPUTED_VALUE"""),"")</f>
        <v/>
      </c>
      <c r="T52" t="str">
        <f ca="1">IFERROR(__xludf.DUMMYFUNCTION("""COMPUTED_VALUE"""),"")</f>
        <v/>
      </c>
      <c r="U52" t="str">
        <f ca="1">IFERROR(__xludf.DUMMYFUNCTION("""COMPUTED_VALUE"""),"")</f>
        <v/>
      </c>
      <c r="V52" t="str">
        <f ca="1">IFERROR(__xludf.DUMMYFUNCTION("""COMPUTED_VALUE"""),"")</f>
        <v/>
      </c>
      <c r="W52" t="str">
        <f ca="1">IFERROR(__xludf.DUMMYFUNCTION("""COMPUTED_VALUE"""),"R5")</f>
        <v>R5</v>
      </c>
      <c r="X52" t="str">
        <f ca="1">IFERROR(__xludf.DUMMYFUNCTION("""COMPUTED_VALUE"""),"PC mag &lt;8Go")</f>
        <v>PC mag &lt;8Go</v>
      </c>
      <c r="Y52" t="str">
        <f ca="1">IFERROR(__xludf.DUMMYFUNCTION("""COMPUTED_VALUE"""),"")</f>
        <v/>
      </c>
      <c r="Z52" t="str">
        <f ca="1">IFERROR(__xludf.DUMMYFUNCTION("""COMPUTED_VALUE"""),"")</f>
        <v/>
      </c>
      <c r="AA52" t="str">
        <f ca="1">IFERROR(__xludf.DUMMYFUNCTION("""COMPUTED_VALUE"""),"Pas de commande")</f>
        <v>Pas de commande</v>
      </c>
      <c r="AB52" s="8" t="str">
        <f ca="1">IFERROR(__xludf.DUMMYFUNCTION("""COMPUTED_VALUE"""),"")</f>
        <v/>
      </c>
      <c r="AC52" s="8" t="str">
        <f ca="1">IFERROR(__xludf.DUMMYFUNCTION("""COMPUTED_VALUE"""),"")</f>
        <v/>
      </c>
      <c r="AD52" s="11" t="str">
        <f ca="1">IFERROR(__xludf.DUMMYFUNCTION("""COMPUTED_VALUE"""),"")</f>
        <v/>
      </c>
      <c r="AE52" t="str">
        <f ca="1">IFERROR(__xludf.DUMMYFUNCTION("""COMPUTED_VALUE"""),"")</f>
        <v/>
      </c>
    </row>
    <row r="53" spans="1:31" ht="12.75" x14ac:dyDescent="0.2">
      <c r="A53">
        <f ca="1">IFERROR(__xludf.DUMMYFUNCTION("""COMPUTED_VALUE"""),37919)</f>
        <v>37919</v>
      </c>
      <c r="B53" t="str">
        <f ca="1">IFERROR(__xludf.DUMMYFUNCTION("""COMPUTED_VALUE"""),"ARZON")</f>
        <v>ARZON</v>
      </c>
      <c r="C53" t="str">
        <f ca="1">IFERROR(__xludf.DUMMYFUNCTION("""COMPUTED_VALUE"""),"Super U")</f>
        <v>Super U</v>
      </c>
      <c r="D53" t="str">
        <f ca="1">IFERROR(__xludf.DUMMYFUNCTION("""COMPUTED_VALUE"""),"Coop U Enseigne Ouest")</f>
        <v>Coop U Enseigne Ouest</v>
      </c>
      <c r="E53">
        <f ca="1">IFERROR(__xludf.DUMMYFUNCTION("""COMPUTED_VALUE"""),56640)</f>
        <v>56640</v>
      </c>
      <c r="F53" t="str">
        <f ca="1">IFERROR(__xludf.DUMMYFUNCTION("""COMPUTED_VALUE"""),"ZA DU REDO")</f>
        <v>ZA DU REDO</v>
      </c>
      <c r="G53" t="str">
        <f ca="1">IFERROR(__xludf.DUMMYFUNCTION("""COMPUTED_VALUE"""),"02.97.53.83.84")</f>
        <v>02.97.53.83.84</v>
      </c>
      <c r="H53" t="str">
        <f ca="1">IFERROR(__xludf.DUMMYFUNCTION("""COMPUTED_VALUE"""),"TUAL Marcel")</f>
        <v>TUAL Marcel</v>
      </c>
      <c r="I53" t="str">
        <f ca="1">IFERROR(__xludf.DUMMYFUNCTION("""COMPUTED_VALUE"""),"denise.tual@systeme-u.fr")</f>
        <v>denise.tual@systeme-u.fr</v>
      </c>
      <c r="J53" t="str">
        <f ca="1">IFERROR(__xludf.DUMMYFUNCTION("""COMPUTED_VALUE"""),"Quelo Myriam")</f>
        <v>Quelo Myriam</v>
      </c>
      <c r="K53" t="str">
        <f ca="1">IFERROR(__xludf.DUMMYFUNCTION("""COMPUTED_VALUE"""),"denise.tual@systeme-u.fr")</f>
        <v>denise.tual@systeme-u.fr</v>
      </c>
      <c r="L53" t="str">
        <f ca="1">IFERROR(__xludf.DUMMYFUNCTION("""COMPUTED_VALUE"""),"")</f>
        <v/>
      </c>
      <c r="M53" t="str">
        <f ca="1">IFERROR(__xludf.DUMMYFUNCTION("""COMPUTED_VALUE"""),"99.Hors Périmetre")</f>
        <v>99.Hors Périmetre</v>
      </c>
      <c r="N53" t="str">
        <f ca="1">IFERROR(__xludf.DUMMYFUNCTION("""COMPUTED_VALUE"""),"")</f>
        <v/>
      </c>
      <c r="O53" t="str">
        <f ca="1">IFERROR(__xludf.DUMMYFUNCTION("""COMPUTED_VALUE"""),"")</f>
        <v/>
      </c>
      <c r="P53" t="str">
        <f ca="1">IFERROR(__xludf.DUMMYFUNCTION("""COMPUTED_VALUE"""),"")</f>
        <v/>
      </c>
      <c r="Q53" s="5" t="str">
        <f ca="1">IFERROR(__xludf.DUMMYFUNCTION("""COMPUTED_VALUE"""),"")</f>
        <v/>
      </c>
      <c r="R53" s="6" t="str">
        <f ca="1">IFERROR(__xludf.DUMMYFUNCTION("""COMPUTED_VALUE"""),"")</f>
        <v/>
      </c>
      <c r="S53" t="str">
        <f ca="1">IFERROR(__xludf.DUMMYFUNCTION("""COMPUTED_VALUE"""),"")</f>
        <v/>
      </c>
      <c r="T53" t="str">
        <f ca="1">IFERROR(__xludf.DUMMYFUNCTION("""COMPUTED_VALUE"""),"")</f>
        <v/>
      </c>
      <c r="U53" t="str">
        <f ca="1">IFERROR(__xludf.DUMMYFUNCTION("""COMPUTED_VALUE"""),"")</f>
        <v/>
      </c>
      <c r="V53" t="str">
        <f ca="1">IFERROR(__xludf.DUMMYFUNCTION("""COMPUTED_VALUE"""),"")</f>
        <v/>
      </c>
      <c r="W53" t="str">
        <f ca="1">IFERROR(__xludf.DUMMYFUNCTION("""COMPUTED_VALUE"""),"")</f>
        <v/>
      </c>
      <c r="X53" t="str">
        <f ca="1">IFERROR(__xludf.DUMMYFUNCTION("""COMPUTED_VALUE"""),"")</f>
        <v/>
      </c>
      <c r="Y53" t="str">
        <f ca="1">IFERROR(__xludf.DUMMYFUNCTION("""COMPUTED_VALUE"""),"")</f>
        <v/>
      </c>
      <c r="Z53" t="str">
        <f ca="1">IFERROR(__xludf.DUMMYFUNCTION("""COMPUTED_VALUE"""),"")</f>
        <v/>
      </c>
      <c r="AA53" t="str">
        <f ca="1">IFERROR(__xludf.DUMMYFUNCTION("""COMPUTED_VALUE"""),"Pas de commande")</f>
        <v>Pas de commande</v>
      </c>
      <c r="AB53" s="8" t="str">
        <f ca="1">IFERROR(__xludf.DUMMYFUNCTION("""COMPUTED_VALUE"""),"")</f>
        <v/>
      </c>
      <c r="AC53" s="8" t="str">
        <f ca="1">IFERROR(__xludf.DUMMYFUNCTION("""COMPUTED_VALUE"""),"")</f>
        <v/>
      </c>
      <c r="AD53" s="11" t="str">
        <f ca="1">IFERROR(__xludf.DUMMYFUNCTION("""COMPUTED_VALUE"""),"")</f>
        <v/>
      </c>
      <c r="AE53" t="str">
        <f ca="1">IFERROR(__xludf.DUMMYFUNCTION("""COMPUTED_VALUE"""),"")</f>
        <v/>
      </c>
    </row>
    <row r="54" spans="1:31" ht="12.75" x14ac:dyDescent="0.2">
      <c r="A54">
        <f ca="1">IFERROR(__xludf.DUMMYFUNCTION("""COMPUTED_VALUE"""),69004)</f>
        <v>69004</v>
      </c>
      <c r="B54" t="str">
        <f ca="1">IFERROR(__xludf.DUMMYFUNCTION("""COMPUTED_VALUE"""),"AUDINCOURT")</f>
        <v>AUDINCOURT</v>
      </c>
      <c r="C54" t="str">
        <f ca="1">IFERROR(__xludf.DUMMYFUNCTION("""COMPUTED_VALUE"""),"Super U")</f>
        <v>Super U</v>
      </c>
      <c r="D54" t="str">
        <f ca="1">IFERROR(__xludf.DUMMYFUNCTION("""COMPUTED_VALUE"""),"Coop U Enseigne Est")</f>
        <v>Coop U Enseigne Est</v>
      </c>
      <c r="E54">
        <f ca="1">IFERROR(__xludf.DUMMYFUNCTION("""COMPUTED_VALUE"""),25400)</f>
        <v>25400</v>
      </c>
      <c r="F54" t="str">
        <f ca="1">IFERROR(__xludf.DUMMYFUNCTION("""COMPUTED_VALUE"""),"70 rue de Seloncourt")</f>
        <v>70 rue de Seloncourt</v>
      </c>
      <c r="G54" t="str">
        <f ca="1">IFERROR(__xludf.DUMMYFUNCTION("""COMPUTED_VALUE"""),"03.81.34.33.69")</f>
        <v>03.81.34.33.69</v>
      </c>
      <c r="H54" t="str">
        <f ca="1">IFERROR(__xludf.DUMMYFUNCTION("""COMPUTED_VALUE"""),"BOURGEAT Jérôme")</f>
        <v>BOURGEAT Jérôme</v>
      </c>
      <c r="I54" t="str">
        <f ca="1">IFERROR(__xludf.DUMMYFUNCTION("""COMPUTED_VALUE"""),"jerome.bourgeat@systeme-u.fr")</f>
        <v>jerome.bourgeat@systeme-u.fr</v>
      </c>
      <c r="J54" t="str">
        <f ca="1">IFERROR(__xludf.DUMMYFUNCTION("""COMPUTED_VALUE"""),"krema christine")</f>
        <v>krema christine</v>
      </c>
      <c r="K54" t="str">
        <f ca="1">IFERROR(__xludf.DUMMYFUNCTION("""COMPUTED_VALUE"""),"superu.audincourt.compta@systeme-u.fr,superu.audincourt.direction@systeme-u.fr")</f>
        <v>superu.audincourt.compta@systeme-u.fr,superu.audincourt.direction@systeme-u.fr</v>
      </c>
      <c r="L54" t="str">
        <f ca="1">IFERROR(__xludf.DUMMYFUNCTION("""COMPUTED_VALUE"""),"")</f>
        <v/>
      </c>
      <c r="M54" t="str">
        <f ca="1">IFERROR(__xludf.DUMMYFUNCTION("""COMPUTED_VALUE"""),"99.Hors Périmetre")</f>
        <v>99.Hors Périmetre</v>
      </c>
      <c r="N54" t="str">
        <f ca="1">IFERROR(__xludf.DUMMYFUNCTION("""COMPUTED_VALUE"""),"")</f>
        <v/>
      </c>
      <c r="O54" t="str">
        <f ca="1">IFERROR(__xludf.DUMMYFUNCTION("""COMPUTED_VALUE"""),"")</f>
        <v/>
      </c>
      <c r="P54" t="str">
        <f ca="1">IFERROR(__xludf.DUMMYFUNCTION("""COMPUTED_VALUE"""),"")</f>
        <v/>
      </c>
      <c r="Q54" s="5" t="str">
        <f ca="1">IFERROR(__xludf.DUMMYFUNCTION("""COMPUTED_VALUE"""),"")</f>
        <v/>
      </c>
      <c r="R54" s="6" t="str">
        <f ca="1">IFERROR(__xludf.DUMMYFUNCTION("""COMPUTED_VALUE"""),"")</f>
        <v/>
      </c>
      <c r="S54" t="str">
        <f ca="1">IFERROR(__xludf.DUMMYFUNCTION("""COMPUTED_VALUE"""),"")</f>
        <v/>
      </c>
      <c r="T54" t="str">
        <f ca="1">IFERROR(__xludf.DUMMYFUNCTION("""COMPUTED_VALUE"""),"")</f>
        <v/>
      </c>
      <c r="U54" t="str">
        <f ca="1">IFERROR(__xludf.DUMMYFUNCTION("""COMPUTED_VALUE"""),"")</f>
        <v/>
      </c>
      <c r="V54" t="str">
        <f ca="1">IFERROR(__xludf.DUMMYFUNCTION("""COMPUTED_VALUE"""),"")</f>
        <v/>
      </c>
      <c r="W54" t="str">
        <f ca="1">IFERROR(__xludf.DUMMYFUNCTION("""COMPUTED_VALUE"""),"")</f>
        <v/>
      </c>
      <c r="X54" t="str">
        <f ca="1">IFERROR(__xludf.DUMMYFUNCTION("""COMPUTED_VALUE"""),"")</f>
        <v/>
      </c>
      <c r="Y54" t="str">
        <f ca="1">IFERROR(__xludf.DUMMYFUNCTION("""COMPUTED_VALUE"""),"")</f>
        <v/>
      </c>
      <c r="Z54" t="str">
        <f ca="1">IFERROR(__xludf.DUMMYFUNCTION("""COMPUTED_VALUE"""),"")</f>
        <v/>
      </c>
      <c r="AA54" t="str">
        <f ca="1">IFERROR(__xludf.DUMMYFUNCTION("""COMPUTED_VALUE"""),"Pas de commande")</f>
        <v>Pas de commande</v>
      </c>
      <c r="AB54" s="8" t="str">
        <f ca="1">IFERROR(__xludf.DUMMYFUNCTION("""COMPUTED_VALUE"""),"")</f>
        <v/>
      </c>
      <c r="AC54" s="8" t="str">
        <f ca="1">IFERROR(__xludf.DUMMYFUNCTION("""COMPUTED_VALUE"""),"")</f>
        <v/>
      </c>
      <c r="AD54" s="11" t="str">
        <f ca="1">IFERROR(__xludf.DUMMYFUNCTION("""COMPUTED_VALUE"""),"")</f>
        <v/>
      </c>
      <c r="AE54" t="str">
        <f ca="1">IFERROR(__xludf.DUMMYFUNCTION("""COMPUTED_VALUE"""),"")</f>
        <v/>
      </c>
    </row>
    <row r="55" spans="1:31" ht="12.75" x14ac:dyDescent="0.2">
      <c r="A55">
        <f ca="1">IFERROR(__xludf.DUMMYFUNCTION("""COMPUTED_VALUE"""),25568)</f>
        <v>25568</v>
      </c>
      <c r="B55" t="str">
        <f ca="1">IFERROR(__xludf.DUMMYFUNCTION("""COMPUTED_VALUE"""),"AUNEAU-BLEURY-SAINT-SYMPHO")</f>
        <v>AUNEAU-BLEURY-SAINT-SYMPHO</v>
      </c>
      <c r="C55" t="str">
        <f ca="1">IFERROR(__xludf.DUMMYFUNCTION("""COMPUTED_VALUE"""),"Super U")</f>
        <v>Super U</v>
      </c>
      <c r="D55" t="str">
        <f ca="1">IFERROR(__xludf.DUMMYFUNCTION("""COMPUTED_VALUE"""),"Coop U Enseigne NordOuest")</f>
        <v>Coop U Enseigne NordOuest</v>
      </c>
      <c r="E55">
        <f ca="1">IFERROR(__xludf.DUMMYFUNCTION("""COMPUTED_VALUE"""),28700)</f>
        <v>28700</v>
      </c>
      <c r="F55" t="str">
        <f ca="1">IFERROR(__xludf.DUMMYFUNCTION("""COMPUTED_VALUE"""),"ZAC DU PAYS ALNELOIS")</f>
        <v>ZAC DU PAYS ALNELOIS</v>
      </c>
      <c r="G55" t="str">
        <f ca="1">IFERROR(__xludf.DUMMYFUNCTION("""COMPUTED_VALUE"""),"02.37.31.34.00")</f>
        <v>02.37.31.34.00</v>
      </c>
      <c r="H55" t="str">
        <f ca="1">IFERROR(__xludf.DUMMYFUNCTION("""COMPUTED_VALUE"""),"DIERICK Sébastien")</f>
        <v>DIERICK Sébastien</v>
      </c>
      <c r="I55" t="str">
        <f ca="1">IFERROR(__xludf.DUMMYFUNCTION("""COMPUTED_VALUE"""),"sebastien.dierick@systeme-u.fr")</f>
        <v>sebastien.dierick@systeme-u.fr</v>
      </c>
      <c r="J55" t="str">
        <f ca="1">IFERROR(__xludf.DUMMYFUNCTION("""COMPUTED_VALUE"""),"Mr Bellon")</f>
        <v>Mr Bellon</v>
      </c>
      <c r="K55" t="str">
        <f ca="1">IFERROR(__xludf.DUMMYFUNCTION("""COMPUTED_VALUE"""),"superu.chatou.direction@systeme-u.fr")</f>
        <v>superu.chatou.direction@systeme-u.fr</v>
      </c>
      <c r="L55" t="str">
        <f ca="1">IFERROR(__xludf.DUMMYFUNCTION("""COMPUTED_VALUE"""),"")</f>
        <v/>
      </c>
      <c r="M55" t="str">
        <f ca="1">IFERROR(__xludf.DUMMYFUNCTION("""COMPUTED_VALUE"""),"99.Hors Périmetre")</f>
        <v>99.Hors Périmetre</v>
      </c>
      <c r="N55" t="str">
        <f ca="1">IFERROR(__xludf.DUMMYFUNCTION("""COMPUTED_VALUE"""),"")</f>
        <v/>
      </c>
      <c r="O55" t="str">
        <f ca="1">IFERROR(__xludf.DUMMYFUNCTION("""COMPUTED_VALUE"""),"")</f>
        <v/>
      </c>
      <c r="P55" t="str">
        <f ca="1">IFERROR(__xludf.DUMMYFUNCTION("""COMPUTED_VALUE"""),"")</f>
        <v/>
      </c>
      <c r="Q55" s="5" t="str">
        <f ca="1">IFERROR(__xludf.DUMMYFUNCTION("""COMPUTED_VALUE"""),"")</f>
        <v/>
      </c>
      <c r="R55" s="6" t="str">
        <f ca="1">IFERROR(__xludf.DUMMYFUNCTION("""COMPUTED_VALUE"""),"")</f>
        <v/>
      </c>
      <c r="S55" t="str">
        <f ca="1">IFERROR(__xludf.DUMMYFUNCTION("""COMPUTED_VALUE"""),"")</f>
        <v/>
      </c>
      <c r="T55" t="str">
        <f ca="1">IFERROR(__xludf.DUMMYFUNCTION("""COMPUTED_VALUE"""),"")</f>
        <v/>
      </c>
      <c r="U55" t="str">
        <f ca="1">IFERROR(__xludf.DUMMYFUNCTION("""COMPUTED_VALUE"""),"")</f>
        <v/>
      </c>
      <c r="V55" t="str">
        <f ca="1">IFERROR(__xludf.DUMMYFUNCTION("""COMPUTED_VALUE"""),"")</f>
        <v/>
      </c>
      <c r="W55" t="str">
        <f ca="1">IFERROR(__xludf.DUMMYFUNCTION("""COMPUTED_VALUE"""),"")</f>
        <v/>
      </c>
      <c r="X55" t="str">
        <f ca="1">IFERROR(__xludf.DUMMYFUNCTION("""COMPUTED_VALUE"""),"")</f>
        <v/>
      </c>
      <c r="Y55" t="str">
        <f ca="1">IFERROR(__xludf.DUMMYFUNCTION("""COMPUTED_VALUE"""),"")</f>
        <v/>
      </c>
      <c r="Z55" t="str">
        <f ca="1">IFERROR(__xludf.DUMMYFUNCTION("""COMPUTED_VALUE"""),"")</f>
        <v/>
      </c>
      <c r="AA55" t="str">
        <f ca="1">IFERROR(__xludf.DUMMYFUNCTION("""COMPUTED_VALUE"""),"Pas de commande")</f>
        <v>Pas de commande</v>
      </c>
      <c r="AB55" s="8" t="str">
        <f ca="1">IFERROR(__xludf.DUMMYFUNCTION("""COMPUTED_VALUE"""),"")</f>
        <v/>
      </c>
      <c r="AC55" s="8" t="str">
        <f ca="1">IFERROR(__xludf.DUMMYFUNCTION("""COMPUTED_VALUE"""),"")</f>
        <v/>
      </c>
      <c r="AD55" s="11" t="str">
        <f ca="1">IFERROR(__xludf.DUMMYFUNCTION("""COMPUTED_VALUE"""),"")</f>
        <v/>
      </c>
      <c r="AE55" t="str">
        <f ca="1">IFERROR(__xludf.DUMMYFUNCTION("""COMPUTED_VALUE"""),"")</f>
        <v/>
      </c>
    </row>
    <row r="56" spans="1:31" ht="12.75" x14ac:dyDescent="0.2">
      <c r="A56">
        <f ca="1">IFERROR(__xludf.DUMMYFUNCTION("""COMPUTED_VALUE"""),32216)</f>
        <v>32216</v>
      </c>
      <c r="B56" t="str">
        <f ca="1">IFERROR(__xludf.DUMMYFUNCTION("""COMPUTED_VALUE"""),"AURAY")</f>
        <v>AURAY</v>
      </c>
      <c r="C56" t="str">
        <f ca="1">IFERROR(__xludf.DUMMYFUNCTION("""COMPUTED_VALUE"""),"Super U")</f>
        <v>Super U</v>
      </c>
      <c r="D56" t="str">
        <f ca="1">IFERROR(__xludf.DUMMYFUNCTION("""COMPUTED_VALUE"""),"Coop U Enseigne Ouest")</f>
        <v>Coop U Enseigne Ouest</v>
      </c>
      <c r="E56">
        <f ca="1">IFERROR(__xludf.DUMMYFUNCTION("""COMPUTED_VALUE"""),56400)</f>
        <v>56400</v>
      </c>
      <c r="F56" t="str">
        <f ca="1">IFERROR(__xludf.DUMMYFUNCTION("""COMPUTED_VALUE"""),"36 AVENUE DE L' OCEAN")</f>
        <v>36 AVENUE DE L' OCEAN</v>
      </c>
      <c r="G56" t="str">
        <f ca="1">IFERROR(__xludf.DUMMYFUNCTION("""COMPUTED_VALUE"""),"02.97.56.23.51")</f>
        <v>02.97.56.23.51</v>
      </c>
      <c r="H56" t="str">
        <f ca="1">IFERROR(__xludf.DUMMYFUNCTION("""COMPUTED_VALUE"""),"BOUDREAULT CAROLE")</f>
        <v>BOUDREAULT CAROLE</v>
      </c>
      <c r="I56" t="str">
        <f ca="1">IFERROR(__xludf.DUMMYFUNCTION("""COMPUTED_VALUE"""),"patrice.boudreault@systeme-u.fr")</f>
        <v>patrice.boudreault@systeme-u.fr</v>
      </c>
      <c r="J56" t="str">
        <f ca="1">IFERROR(__xludf.DUMMYFUNCTION("""COMPUTED_VALUE"""),"mr Eveno")</f>
        <v>mr Eveno</v>
      </c>
      <c r="K56" t="str">
        <f ca="1">IFERROR(__xludf.DUMMYFUNCTION("""COMPUTED_VALUE"""),"superu.auray.direction@systeme-u.fr")</f>
        <v>superu.auray.direction@systeme-u.fr</v>
      </c>
      <c r="L56" t="str">
        <f ca="1">IFERROR(__xludf.DUMMYFUNCTION("""COMPUTED_VALUE"""),"")</f>
        <v/>
      </c>
      <c r="M56" t="str">
        <f ca="1">IFERROR(__xludf.DUMMYFUNCTION("""COMPUTED_VALUE"""),"99.Hors Périmetre")</f>
        <v>99.Hors Périmetre</v>
      </c>
      <c r="N56" t="str">
        <f ca="1">IFERROR(__xludf.DUMMYFUNCTION("""COMPUTED_VALUE"""),"")</f>
        <v/>
      </c>
      <c r="O56" t="str">
        <f ca="1">IFERROR(__xludf.DUMMYFUNCTION("""COMPUTED_VALUE"""),"")</f>
        <v/>
      </c>
      <c r="P56" t="str">
        <f ca="1">IFERROR(__xludf.DUMMYFUNCTION("""COMPUTED_VALUE"""),"")</f>
        <v/>
      </c>
      <c r="Q56" s="5" t="str">
        <f ca="1">IFERROR(__xludf.DUMMYFUNCTION("""COMPUTED_VALUE"""),"")</f>
        <v/>
      </c>
      <c r="R56" s="6" t="str">
        <f ca="1">IFERROR(__xludf.DUMMYFUNCTION("""COMPUTED_VALUE"""),"")</f>
        <v/>
      </c>
      <c r="S56" t="str">
        <f ca="1">IFERROR(__xludf.DUMMYFUNCTION("""COMPUTED_VALUE"""),"")</f>
        <v/>
      </c>
      <c r="T56" t="str">
        <f ca="1">IFERROR(__xludf.DUMMYFUNCTION("""COMPUTED_VALUE"""),"")</f>
        <v/>
      </c>
      <c r="U56" t="str">
        <f ca="1">IFERROR(__xludf.DUMMYFUNCTION("""COMPUTED_VALUE"""),"")</f>
        <v/>
      </c>
      <c r="V56" t="str">
        <f ca="1">IFERROR(__xludf.DUMMYFUNCTION("""COMPUTED_VALUE"""),"")</f>
        <v/>
      </c>
      <c r="W56" t="str">
        <f ca="1">IFERROR(__xludf.DUMMYFUNCTION("""COMPUTED_VALUE"""),"")</f>
        <v/>
      </c>
      <c r="X56" t="str">
        <f ca="1">IFERROR(__xludf.DUMMYFUNCTION("""COMPUTED_VALUE"""),"")</f>
        <v/>
      </c>
      <c r="Y56" t="str">
        <f ca="1">IFERROR(__xludf.DUMMYFUNCTION("""COMPUTED_VALUE"""),"")</f>
        <v/>
      </c>
      <c r="Z56" t="str">
        <f ca="1">IFERROR(__xludf.DUMMYFUNCTION("""COMPUTED_VALUE"""),"")</f>
        <v/>
      </c>
      <c r="AA56" t="str">
        <f ca="1">IFERROR(__xludf.DUMMYFUNCTION("""COMPUTED_VALUE"""),"Pas de commande")</f>
        <v>Pas de commande</v>
      </c>
      <c r="AB56" s="8" t="str">
        <f ca="1">IFERROR(__xludf.DUMMYFUNCTION("""COMPUTED_VALUE"""),"")</f>
        <v/>
      </c>
      <c r="AC56" s="8" t="str">
        <f ca="1">IFERROR(__xludf.DUMMYFUNCTION("""COMPUTED_VALUE"""),"")</f>
        <v/>
      </c>
      <c r="AD56" s="11" t="str">
        <f ca="1">IFERROR(__xludf.DUMMYFUNCTION("""COMPUTED_VALUE"""),"")</f>
        <v/>
      </c>
      <c r="AE56" t="str">
        <f ca="1">IFERROR(__xludf.DUMMYFUNCTION("""COMPUTED_VALUE"""),"")</f>
        <v/>
      </c>
    </row>
    <row r="57" spans="1:31" ht="12.75" x14ac:dyDescent="0.2">
      <c r="A57">
        <f ca="1">IFERROR(__xludf.DUMMYFUNCTION("""COMPUTED_VALUE"""),95196)</f>
        <v>95196</v>
      </c>
      <c r="B57" t="str">
        <f ca="1">IFERROR(__xludf.DUMMYFUNCTION("""COMPUTED_VALUE"""),"AURILLAC")</f>
        <v>AURILLAC</v>
      </c>
      <c r="C57" t="str">
        <f ca="1">IFERROR(__xludf.DUMMYFUNCTION("""COMPUTED_VALUE"""),"U Express")</f>
        <v>U Express</v>
      </c>
      <c r="D57" t="str">
        <f ca="1">IFERROR(__xludf.DUMMYFUNCTION("""COMPUTED_VALUE"""),"Coop U Enseigne Sud")</f>
        <v>Coop U Enseigne Sud</v>
      </c>
      <c r="E57">
        <f ca="1">IFERROR(__xludf.DUMMYFUNCTION("""COMPUTED_VALUE"""),15000)</f>
        <v>15000</v>
      </c>
      <c r="F57" t="str">
        <f ca="1">IFERROR(__xludf.DUMMYFUNCTION("""COMPUTED_VALUE"""),"1 PLACE DU SQUARE")</f>
        <v>1 PLACE DU SQUARE</v>
      </c>
      <c r="G57" t="str">
        <f ca="1">IFERROR(__xludf.DUMMYFUNCTION("""COMPUTED_VALUE"""),"04.71.48.87.74")</f>
        <v>04.71.48.87.74</v>
      </c>
      <c r="H57" t="str">
        <f ca="1">IFERROR(__xludf.DUMMYFUNCTION("""COMPUTED_VALUE"""),"ROLOT David")</f>
        <v>ROLOT David</v>
      </c>
      <c r="I57" t="str">
        <f ca="1">IFERROR(__xludf.DUMMYFUNCTION("""COMPUTED_VALUE"""),"david.rolot@systeme-u.fr")</f>
        <v>david.rolot@systeme-u.fr</v>
      </c>
      <c r="J57" t="str">
        <f ca="1">IFERROR(__xludf.DUMMYFUNCTION("""COMPUTED_VALUE"""),"LUC Emilie")</f>
        <v>LUC Emilie</v>
      </c>
      <c r="K57" t="str">
        <f ca="1">IFERROR(__xludf.DUMMYFUNCTION("""COMPUTED_VALUE"""),"uexpress.aurillac@systeme-u.fr")</f>
        <v>uexpress.aurillac@systeme-u.fr</v>
      </c>
      <c r="L57" t="str">
        <f ca="1">IFERROR(__xludf.DUMMYFUNCTION("""COMPUTED_VALUE"""),"")</f>
        <v/>
      </c>
      <c r="M57" t="str">
        <f ca="1">IFERROR(__xludf.DUMMYFUNCTION("""COMPUTED_VALUE"""),"99.Hors Périmetre")</f>
        <v>99.Hors Périmetre</v>
      </c>
      <c r="N57" t="str">
        <f ca="1">IFERROR(__xludf.DUMMYFUNCTION("""COMPUTED_VALUE"""),"")</f>
        <v/>
      </c>
      <c r="O57" t="str">
        <f ca="1">IFERROR(__xludf.DUMMYFUNCTION("""COMPUTED_VALUE"""),"")</f>
        <v/>
      </c>
      <c r="P57" t="str">
        <f ca="1">IFERROR(__xludf.DUMMYFUNCTION("""COMPUTED_VALUE"""),"")</f>
        <v/>
      </c>
      <c r="Q57" s="5" t="str">
        <f ca="1">IFERROR(__xludf.DUMMYFUNCTION("""COMPUTED_VALUE"""),"")</f>
        <v/>
      </c>
      <c r="R57" s="6" t="str">
        <f ca="1">IFERROR(__xludf.DUMMYFUNCTION("""COMPUTED_VALUE"""),"")</f>
        <v/>
      </c>
      <c r="S57" t="str">
        <f ca="1">IFERROR(__xludf.DUMMYFUNCTION("""COMPUTED_VALUE"""),"")</f>
        <v/>
      </c>
      <c r="T57" t="str">
        <f ca="1">IFERROR(__xludf.DUMMYFUNCTION("""COMPUTED_VALUE"""),"")</f>
        <v/>
      </c>
      <c r="U57" t="str">
        <f ca="1">IFERROR(__xludf.DUMMYFUNCTION("""COMPUTED_VALUE"""),"")</f>
        <v/>
      </c>
      <c r="V57" t="str">
        <f ca="1">IFERROR(__xludf.DUMMYFUNCTION("""COMPUTED_VALUE"""),"")</f>
        <v/>
      </c>
      <c r="W57" t="str">
        <f ca="1">IFERROR(__xludf.DUMMYFUNCTION("""COMPUTED_VALUE"""),"")</f>
        <v/>
      </c>
      <c r="X57" t="str">
        <f ca="1">IFERROR(__xludf.DUMMYFUNCTION("""COMPUTED_VALUE"""),"")</f>
        <v/>
      </c>
      <c r="Y57" t="str">
        <f ca="1">IFERROR(__xludf.DUMMYFUNCTION("""COMPUTED_VALUE"""),"")</f>
        <v/>
      </c>
      <c r="Z57" t="str">
        <f ca="1">IFERROR(__xludf.DUMMYFUNCTION("""COMPUTED_VALUE"""),"")</f>
        <v/>
      </c>
      <c r="AA57" t="str">
        <f ca="1">IFERROR(__xludf.DUMMYFUNCTION("""COMPUTED_VALUE"""),"Pas de commande")</f>
        <v>Pas de commande</v>
      </c>
      <c r="AB57" s="8" t="str">
        <f ca="1">IFERROR(__xludf.DUMMYFUNCTION("""COMPUTED_VALUE"""),"")</f>
        <v/>
      </c>
      <c r="AC57" s="8" t="str">
        <f ca="1">IFERROR(__xludf.DUMMYFUNCTION("""COMPUTED_VALUE"""),"")</f>
        <v/>
      </c>
      <c r="AD57" s="11" t="str">
        <f ca="1">IFERROR(__xludf.DUMMYFUNCTION("""COMPUTED_VALUE"""),"")</f>
        <v/>
      </c>
      <c r="AE57" t="str">
        <f ca="1">IFERROR(__xludf.DUMMYFUNCTION("""COMPUTED_VALUE"""),"")</f>
        <v/>
      </c>
    </row>
    <row r="58" spans="1:31" ht="12.75" x14ac:dyDescent="0.2">
      <c r="A58">
        <f ca="1">IFERROR(__xludf.DUMMYFUNCTION("""COMPUTED_VALUE"""),37973)</f>
        <v>37973</v>
      </c>
      <c r="B58" t="str">
        <f ca="1">IFERROR(__xludf.DUMMYFUNCTION("""COMPUTED_VALUE"""),"BAILLIF")</f>
        <v>BAILLIF</v>
      </c>
      <c r="C58" t="str">
        <f ca="1">IFERROR(__xludf.DUMMYFUNCTION("""COMPUTED_VALUE"""),"Super U")</f>
        <v>Super U</v>
      </c>
      <c r="D58" t="str">
        <f ca="1">IFERROR(__xludf.DUMMYFUNCTION("""COMPUTED_VALUE"""),"Coop U Enseigne Ouest")</f>
        <v>Coop U Enseigne Ouest</v>
      </c>
      <c r="E58">
        <f ca="1">IFERROR(__xludf.DUMMYFUNCTION("""COMPUTED_VALUE"""),97123)</f>
        <v>97123</v>
      </c>
      <c r="F58" t="str">
        <f ca="1">IFERROR(__xludf.DUMMYFUNCTION("""COMPUTED_VALUE"""),"Z.I. PÈRES BLANCS")</f>
        <v>Z.I. PÈRES BLANCS</v>
      </c>
      <c r="G58" t="str">
        <f ca="1">IFERROR(__xludf.DUMMYFUNCTION("""COMPUTED_VALUE"""),"05.90.60.83.82")</f>
        <v>05.90.60.83.82</v>
      </c>
      <c r="H58" t="str">
        <f ca="1">IFERROR(__xludf.DUMMYFUNCTION("""COMPUTED_VALUE"""),"LUCE Raymond")</f>
        <v>LUCE Raymond</v>
      </c>
      <c r="I58" t="str">
        <f ca="1">IFERROR(__xludf.DUMMYFUNCTION("""COMPUTED_VALUE"""),"yohann.luce@systeme-u.fr")</f>
        <v>yohann.luce@systeme-u.fr</v>
      </c>
      <c r="J58" t="str">
        <f ca="1">IFERROR(__xludf.DUMMYFUNCTION("""COMPUTED_VALUE"""),"Jean Claude Rozen")</f>
        <v>Jean Claude Rozen</v>
      </c>
      <c r="K58" t="str">
        <f ca="1">IFERROR(__xludf.DUMMYFUNCTION("""COMPUTED_VALUE"""),"superu.baillif.direction@systeme-u.fr,martine.crevecoeur@systeme-u.fr")</f>
        <v>superu.baillif.direction@systeme-u.fr,martine.crevecoeur@systeme-u.fr</v>
      </c>
      <c r="L58" t="str">
        <f ca="1">IFERROR(__xludf.DUMMYFUNCTION("""COMPUTED_VALUE"""),"")</f>
        <v/>
      </c>
      <c r="M58" t="str">
        <f ca="1">IFERROR(__xludf.DUMMYFUNCTION("""COMPUTED_VALUE"""),"99.Hors Périmetre")</f>
        <v>99.Hors Périmetre</v>
      </c>
      <c r="N58" t="str">
        <f ca="1">IFERROR(__xludf.DUMMYFUNCTION("""COMPUTED_VALUE"""),"")</f>
        <v/>
      </c>
      <c r="O58" t="str">
        <f ca="1">IFERROR(__xludf.DUMMYFUNCTION("""COMPUTED_VALUE"""),"")</f>
        <v/>
      </c>
      <c r="P58" t="str">
        <f ca="1">IFERROR(__xludf.DUMMYFUNCTION("""COMPUTED_VALUE"""),"")</f>
        <v/>
      </c>
      <c r="Q58" s="5" t="str">
        <f ca="1">IFERROR(__xludf.DUMMYFUNCTION("""COMPUTED_VALUE"""),"")</f>
        <v/>
      </c>
      <c r="R58" s="6" t="str">
        <f ca="1">IFERROR(__xludf.DUMMYFUNCTION("""COMPUTED_VALUE"""),"")</f>
        <v/>
      </c>
      <c r="S58" t="str">
        <f ca="1">IFERROR(__xludf.DUMMYFUNCTION("""COMPUTED_VALUE"""),"")</f>
        <v/>
      </c>
      <c r="T58" t="str">
        <f ca="1">IFERROR(__xludf.DUMMYFUNCTION("""COMPUTED_VALUE"""),"")</f>
        <v/>
      </c>
      <c r="U58" t="str">
        <f ca="1">IFERROR(__xludf.DUMMYFUNCTION("""COMPUTED_VALUE"""),"")</f>
        <v/>
      </c>
      <c r="V58" t="str">
        <f ca="1">IFERROR(__xludf.DUMMYFUNCTION("""COMPUTED_VALUE"""),"")</f>
        <v/>
      </c>
      <c r="W58" t="str">
        <f ca="1">IFERROR(__xludf.DUMMYFUNCTION("""COMPUTED_VALUE"""),"")</f>
        <v/>
      </c>
      <c r="X58" t="str">
        <f ca="1">IFERROR(__xludf.DUMMYFUNCTION("""COMPUTED_VALUE"""),"")</f>
        <v/>
      </c>
      <c r="Y58" t="str">
        <f ca="1">IFERROR(__xludf.DUMMYFUNCTION("""COMPUTED_VALUE"""),"")</f>
        <v/>
      </c>
      <c r="Z58" t="str">
        <f ca="1">IFERROR(__xludf.DUMMYFUNCTION("""COMPUTED_VALUE"""),"")</f>
        <v/>
      </c>
      <c r="AA58" t="str">
        <f ca="1">IFERROR(__xludf.DUMMYFUNCTION("""COMPUTED_VALUE"""),"Pas de commande")</f>
        <v>Pas de commande</v>
      </c>
      <c r="AB58" s="8" t="str">
        <f ca="1">IFERROR(__xludf.DUMMYFUNCTION("""COMPUTED_VALUE"""),"")</f>
        <v/>
      </c>
      <c r="AC58" s="8" t="str">
        <f ca="1">IFERROR(__xludf.DUMMYFUNCTION("""COMPUTED_VALUE"""),"")</f>
        <v/>
      </c>
      <c r="AD58" s="11" t="str">
        <f ca="1">IFERROR(__xludf.DUMMYFUNCTION("""COMPUTED_VALUE"""),"")</f>
        <v/>
      </c>
      <c r="AE58" t="str">
        <f ca="1">IFERROR(__xludf.DUMMYFUNCTION("""COMPUTED_VALUE"""),"")</f>
        <v/>
      </c>
    </row>
    <row r="59" spans="1:31" ht="12.75" x14ac:dyDescent="0.2">
      <c r="A59">
        <f ca="1">IFERROR(__xludf.DUMMYFUNCTION("""COMPUTED_VALUE"""),90452)</f>
        <v>90452</v>
      </c>
      <c r="B59" t="str">
        <f ca="1">IFERROR(__xludf.DUMMYFUNCTION("""COMPUTED_VALUE"""),"BANDOL BEAUSSET")</f>
        <v>BANDOL BEAUSSET</v>
      </c>
      <c r="C59" t="str">
        <f ca="1">IFERROR(__xludf.DUMMYFUNCTION("""COMPUTED_VALUE"""),"Super U")</f>
        <v>Super U</v>
      </c>
      <c r="D59" t="str">
        <f ca="1">IFERROR(__xludf.DUMMYFUNCTION("""COMPUTED_VALUE"""),"Coop U Enseigne Sud")</f>
        <v>Coop U Enseigne Sud</v>
      </c>
      <c r="E59">
        <f ca="1">IFERROR(__xludf.DUMMYFUNCTION("""COMPUTED_VALUE"""),83150)</f>
        <v>83150</v>
      </c>
      <c r="F59" t="str">
        <f ca="1">IFERROR(__xludf.DUMMYFUNCTION("""COMPUTED_VALUE"""),"ROUTE DE BEAUSSET")</f>
        <v>ROUTE DE BEAUSSET</v>
      </c>
      <c r="G59" t="str">
        <f ca="1">IFERROR(__xludf.DUMMYFUNCTION("""COMPUTED_VALUE"""),"04.94.29.10.10")</f>
        <v>04.94.29.10.10</v>
      </c>
      <c r="H59" t="str">
        <f ca="1">IFERROR(__xludf.DUMMYFUNCTION("""COMPUTED_VALUE"""),"BRULIERE Philippe")</f>
        <v>BRULIERE Philippe</v>
      </c>
      <c r="I59" t="str">
        <f ca="1">IFERROR(__xludf.DUMMYFUNCTION("""COMPUTED_VALUE"""),"philippe.bruliere@systeme-u.fr")</f>
        <v>philippe.bruliere@systeme-u.fr</v>
      </c>
      <c r="J59" t="str">
        <f ca="1">IFERROR(__xludf.DUMMYFUNCTION("""COMPUTED_VALUE"""),"CASTANY Mireille")</f>
        <v>CASTANY Mireille</v>
      </c>
      <c r="K59" t="str">
        <f ca="1">IFERROR(__xludf.DUMMYFUNCTION("""COMPUTED_VALUE"""),"corasonsas@sfr.fr")</f>
        <v>corasonsas@sfr.fr</v>
      </c>
      <c r="L59" t="str">
        <f ca="1">IFERROR(__xludf.DUMMYFUNCTION("""COMPUTED_VALUE"""),"")</f>
        <v/>
      </c>
      <c r="M59" t="str">
        <f ca="1">IFERROR(__xludf.DUMMYFUNCTION("""COMPUTED_VALUE"""),"99.Hors Périmetre")</f>
        <v>99.Hors Périmetre</v>
      </c>
      <c r="N59" t="str">
        <f ca="1">IFERROR(__xludf.DUMMYFUNCTION("""COMPUTED_VALUE"""),"")</f>
        <v/>
      </c>
      <c r="O59" t="str">
        <f ca="1">IFERROR(__xludf.DUMMYFUNCTION("""COMPUTED_VALUE"""),"")</f>
        <v/>
      </c>
      <c r="P59" t="str">
        <f ca="1">IFERROR(__xludf.DUMMYFUNCTION("""COMPUTED_VALUE"""),"")</f>
        <v/>
      </c>
      <c r="Q59" s="5" t="str">
        <f ca="1">IFERROR(__xludf.DUMMYFUNCTION("""COMPUTED_VALUE"""),"")</f>
        <v/>
      </c>
      <c r="R59" s="6" t="str">
        <f ca="1">IFERROR(__xludf.DUMMYFUNCTION("""COMPUTED_VALUE"""),"")</f>
        <v/>
      </c>
      <c r="S59" t="str">
        <f ca="1">IFERROR(__xludf.DUMMYFUNCTION("""COMPUTED_VALUE"""),"")</f>
        <v/>
      </c>
      <c r="T59" t="str">
        <f ca="1">IFERROR(__xludf.DUMMYFUNCTION("""COMPUTED_VALUE"""),"")</f>
        <v/>
      </c>
      <c r="U59" t="str">
        <f ca="1">IFERROR(__xludf.DUMMYFUNCTION("""COMPUTED_VALUE"""),"")</f>
        <v/>
      </c>
      <c r="V59" t="str">
        <f ca="1">IFERROR(__xludf.DUMMYFUNCTION("""COMPUTED_VALUE"""),"")</f>
        <v/>
      </c>
      <c r="W59" t="str">
        <f ca="1">IFERROR(__xludf.DUMMYFUNCTION("""COMPUTED_VALUE"""),"")</f>
        <v/>
      </c>
      <c r="X59" t="str">
        <f ca="1">IFERROR(__xludf.DUMMYFUNCTION("""COMPUTED_VALUE"""),"")</f>
        <v/>
      </c>
      <c r="Y59" t="str">
        <f ca="1">IFERROR(__xludf.DUMMYFUNCTION("""COMPUTED_VALUE"""),"")</f>
        <v/>
      </c>
      <c r="Z59" t="str">
        <f ca="1">IFERROR(__xludf.DUMMYFUNCTION("""COMPUTED_VALUE"""),"")</f>
        <v/>
      </c>
      <c r="AA59" t="str">
        <f ca="1">IFERROR(__xludf.DUMMYFUNCTION("""COMPUTED_VALUE"""),"Pas de commande")</f>
        <v>Pas de commande</v>
      </c>
      <c r="AB59" s="8" t="str">
        <f ca="1">IFERROR(__xludf.DUMMYFUNCTION("""COMPUTED_VALUE"""),"")</f>
        <v/>
      </c>
      <c r="AC59" s="8" t="str">
        <f ca="1">IFERROR(__xludf.DUMMYFUNCTION("""COMPUTED_VALUE"""),"")</f>
        <v/>
      </c>
      <c r="AD59" s="11" t="str">
        <f ca="1">IFERROR(__xludf.DUMMYFUNCTION("""COMPUTED_VALUE"""),"")</f>
        <v/>
      </c>
      <c r="AE59" t="str">
        <f ca="1">IFERROR(__xludf.DUMMYFUNCTION("""COMPUTED_VALUE"""),"")</f>
        <v/>
      </c>
    </row>
    <row r="60" spans="1:31" ht="12.75" x14ac:dyDescent="0.2">
      <c r="A60">
        <f ca="1">IFERROR(__xludf.DUMMYFUNCTION("""COMPUTED_VALUE"""),62102)</f>
        <v>62102</v>
      </c>
      <c r="B60" t="str">
        <f ca="1">IFERROR(__xludf.DUMMYFUNCTION("""COMPUTED_VALUE"""),"BANS")</f>
        <v>BANS</v>
      </c>
      <c r="C60" t="str">
        <f ca="1">IFERROR(__xludf.DUMMYFUNCTION("""COMPUTED_VALUE"""),"Super U")</f>
        <v>Super U</v>
      </c>
      <c r="D60" t="str">
        <f ca="1">IFERROR(__xludf.DUMMYFUNCTION("""COMPUTED_VALUE"""),"Coop U Enseigne Est")</f>
        <v>Coop U Enseigne Est</v>
      </c>
      <c r="E60">
        <f ca="1">IFERROR(__xludf.DUMMYFUNCTION("""COMPUTED_VALUE"""),39380)</f>
        <v>39380</v>
      </c>
      <c r="F60" t="str">
        <f ca="1">IFERROR(__xludf.DUMMYFUNCTION("""COMPUTED_VALUE"""),"ZONE DU PRÉ BERNARD")</f>
        <v>ZONE DU PRÉ BERNARD</v>
      </c>
      <c r="G60" t="str">
        <f ca="1">IFERROR(__xludf.DUMMYFUNCTION("""COMPUTED_VALUE"""),"03.84.81.53.58")</f>
        <v>03.84.81.53.58</v>
      </c>
      <c r="H60" t="str">
        <f ca="1">IFERROR(__xludf.DUMMYFUNCTION("""COMPUTED_VALUE"""),"THIRION Yves")</f>
        <v>THIRION Yves</v>
      </c>
      <c r="I60" t="str">
        <f ca="1">IFERROR(__xludf.DUMMYFUNCTION("""COMPUTED_VALUE"""),"yves.thirion@systeme-u.fr")</f>
        <v>yves.thirion@systeme-u.fr</v>
      </c>
      <c r="J60" t="str">
        <f ca="1">IFERROR(__xludf.DUMMYFUNCTION("""COMPUTED_VALUE"""),"GUY Marie")</f>
        <v>GUY Marie</v>
      </c>
      <c r="K60" t="str">
        <f ca="1">IFERROR(__xludf.DUMMYFUNCTION("""COMPUTED_VALUE"""),"superu.bans.compta@systeme-u.fr")</f>
        <v>superu.bans.compta@systeme-u.fr</v>
      </c>
      <c r="L60" t="str">
        <f ca="1">IFERROR(__xludf.DUMMYFUNCTION("""COMPUTED_VALUE"""),"")</f>
        <v/>
      </c>
      <c r="M60" t="str">
        <f ca="1">IFERROR(__xludf.DUMMYFUNCTION("""COMPUTED_VALUE"""),"99.Hors Périmetre")</f>
        <v>99.Hors Périmetre</v>
      </c>
      <c r="N60" t="str">
        <f ca="1">IFERROR(__xludf.DUMMYFUNCTION("""COMPUTED_VALUE"""),"")</f>
        <v/>
      </c>
      <c r="O60" t="str">
        <f ca="1">IFERROR(__xludf.DUMMYFUNCTION("""COMPUTED_VALUE"""),"")</f>
        <v/>
      </c>
      <c r="P60" t="str">
        <f ca="1">IFERROR(__xludf.DUMMYFUNCTION("""COMPUTED_VALUE"""),"")</f>
        <v/>
      </c>
      <c r="Q60" s="5" t="str">
        <f ca="1">IFERROR(__xludf.DUMMYFUNCTION("""COMPUTED_VALUE"""),"")</f>
        <v/>
      </c>
      <c r="R60" s="6" t="str">
        <f ca="1">IFERROR(__xludf.DUMMYFUNCTION("""COMPUTED_VALUE"""),"")</f>
        <v/>
      </c>
      <c r="S60" t="str">
        <f ca="1">IFERROR(__xludf.DUMMYFUNCTION("""COMPUTED_VALUE"""),"")</f>
        <v/>
      </c>
      <c r="T60" t="str">
        <f ca="1">IFERROR(__xludf.DUMMYFUNCTION("""COMPUTED_VALUE"""),"")</f>
        <v/>
      </c>
      <c r="U60" t="str">
        <f ca="1">IFERROR(__xludf.DUMMYFUNCTION("""COMPUTED_VALUE"""),"")</f>
        <v/>
      </c>
      <c r="V60" t="str">
        <f ca="1">IFERROR(__xludf.DUMMYFUNCTION("""COMPUTED_VALUE"""),"")</f>
        <v/>
      </c>
      <c r="W60" t="str">
        <f ca="1">IFERROR(__xludf.DUMMYFUNCTION("""COMPUTED_VALUE"""),"")</f>
        <v/>
      </c>
      <c r="X60" t="str">
        <f ca="1">IFERROR(__xludf.DUMMYFUNCTION("""COMPUTED_VALUE"""),"")</f>
        <v/>
      </c>
      <c r="Y60" t="str">
        <f ca="1">IFERROR(__xludf.DUMMYFUNCTION("""COMPUTED_VALUE"""),"")</f>
        <v/>
      </c>
      <c r="Z60" t="str">
        <f ca="1">IFERROR(__xludf.DUMMYFUNCTION("""COMPUTED_VALUE"""),"")</f>
        <v/>
      </c>
      <c r="AA60" t="str">
        <f ca="1">IFERROR(__xludf.DUMMYFUNCTION("""COMPUTED_VALUE"""),"Pas de commande")</f>
        <v>Pas de commande</v>
      </c>
      <c r="AB60" s="8" t="str">
        <f ca="1">IFERROR(__xludf.DUMMYFUNCTION("""COMPUTED_VALUE"""),"")</f>
        <v/>
      </c>
      <c r="AC60" s="8" t="str">
        <f ca="1">IFERROR(__xludf.DUMMYFUNCTION("""COMPUTED_VALUE"""),"")</f>
        <v/>
      </c>
      <c r="AD60" s="11" t="str">
        <f ca="1">IFERROR(__xludf.DUMMYFUNCTION("""COMPUTED_VALUE"""),"")</f>
        <v/>
      </c>
      <c r="AE60" t="str">
        <f ca="1">IFERROR(__xludf.DUMMYFUNCTION("""COMPUTED_VALUE"""),"")</f>
        <v/>
      </c>
    </row>
    <row r="61" spans="1:31" ht="12.75" x14ac:dyDescent="0.2">
      <c r="A61">
        <f ca="1">IFERROR(__xludf.DUMMYFUNCTION("""COMPUTED_VALUE"""),24286)</f>
        <v>24286</v>
      </c>
      <c r="B61" t="str">
        <f ca="1">IFERROR(__xludf.DUMMYFUNCTION("""COMPUTED_VALUE"""),"BARALLE MARQUION")</f>
        <v>BARALLE MARQUION</v>
      </c>
      <c r="C61" t="str">
        <f ca="1">IFERROR(__xludf.DUMMYFUNCTION("""COMPUTED_VALUE"""),"Hyper U")</f>
        <v>Hyper U</v>
      </c>
      <c r="D61" t="str">
        <f ca="1">IFERROR(__xludf.DUMMYFUNCTION("""COMPUTED_VALUE"""),"Coop U Enseigne NordOuest")</f>
        <v>Coop U Enseigne NordOuest</v>
      </c>
      <c r="E61">
        <f ca="1">IFERROR(__xludf.DUMMYFUNCTION("""COMPUTED_VALUE"""),62860)</f>
        <v>62860</v>
      </c>
      <c r="F61" t="str">
        <f ca="1">IFERROR(__xludf.DUMMYFUNCTION("""COMPUTED_VALUE"""),"ROUTE DÉPARTEMENTALE")</f>
        <v>ROUTE DÉPARTEMENTALE</v>
      </c>
      <c r="G61" t="str">
        <f ca="1">IFERROR(__xludf.DUMMYFUNCTION("""COMPUTED_VALUE"""),"03.21.15.55.60")</f>
        <v>03.21.15.55.60</v>
      </c>
      <c r="H61" t="str">
        <f ca="1">IFERROR(__xludf.DUMMYFUNCTION("""COMPUTED_VALUE"""),"CASETTA Antoine")</f>
        <v>CASETTA Antoine</v>
      </c>
      <c r="I61" t="str">
        <f ca="1">IFERROR(__xludf.DUMMYFUNCTION("""COMPUTED_VALUE"""),"antoine.casetta@systeme-u.fr")</f>
        <v>antoine.casetta@systeme-u.fr</v>
      </c>
      <c r="J61" t="str">
        <f ca="1">IFERROR(__xludf.DUMMYFUNCTION("""COMPUTED_VALUE"""),"Cailliez Antoine")</f>
        <v>Cailliez Antoine</v>
      </c>
      <c r="K61" t="str">
        <f ca="1">IFERROR(__xludf.DUMMYFUNCTION("""COMPUTED_VALUE"""),"hyperu.marquion@systeme-u.fr")</f>
        <v>hyperu.marquion@systeme-u.fr</v>
      </c>
      <c r="L61" t="str">
        <f ca="1">IFERROR(__xludf.DUMMYFUNCTION("""COMPUTED_VALUE"""),"")</f>
        <v/>
      </c>
      <c r="M61" t="str">
        <f ca="1">IFERROR(__xludf.DUMMYFUNCTION("""COMPUTED_VALUE"""),"99.Hors Périmetre")</f>
        <v>99.Hors Périmetre</v>
      </c>
      <c r="N61" t="str">
        <f ca="1">IFERROR(__xludf.DUMMYFUNCTION("""COMPUTED_VALUE"""),"")</f>
        <v/>
      </c>
      <c r="O61" t="str">
        <f ca="1">IFERROR(__xludf.DUMMYFUNCTION("""COMPUTED_VALUE"""),"")</f>
        <v/>
      </c>
      <c r="P61" t="str">
        <f ca="1">IFERROR(__xludf.DUMMYFUNCTION("""COMPUTED_VALUE"""),"")</f>
        <v/>
      </c>
      <c r="Q61" s="5" t="str">
        <f ca="1">IFERROR(__xludf.DUMMYFUNCTION("""COMPUTED_VALUE"""),"")</f>
        <v/>
      </c>
      <c r="R61" s="6" t="str">
        <f ca="1">IFERROR(__xludf.DUMMYFUNCTION("""COMPUTED_VALUE"""),"")</f>
        <v/>
      </c>
      <c r="S61" t="str">
        <f ca="1">IFERROR(__xludf.DUMMYFUNCTION("""COMPUTED_VALUE"""),"")</f>
        <v/>
      </c>
      <c r="T61" t="str">
        <f ca="1">IFERROR(__xludf.DUMMYFUNCTION("""COMPUTED_VALUE"""),"")</f>
        <v/>
      </c>
      <c r="U61" t="str">
        <f ca="1">IFERROR(__xludf.DUMMYFUNCTION("""COMPUTED_VALUE"""),"")</f>
        <v/>
      </c>
      <c r="V61" t="str">
        <f ca="1">IFERROR(__xludf.DUMMYFUNCTION("""COMPUTED_VALUE"""),"")</f>
        <v/>
      </c>
      <c r="W61" t="str">
        <f ca="1">IFERROR(__xludf.DUMMYFUNCTION("""COMPUTED_VALUE"""),"")</f>
        <v/>
      </c>
      <c r="X61" t="str">
        <f ca="1">IFERROR(__xludf.DUMMYFUNCTION("""COMPUTED_VALUE"""),"")</f>
        <v/>
      </c>
      <c r="Y61" t="str">
        <f ca="1">IFERROR(__xludf.DUMMYFUNCTION("""COMPUTED_VALUE"""),"")</f>
        <v/>
      </c>
      <c r="Z61" t="str">
        <f ca="1">IFERROR(__xludf.DUMMYFUNCTION("""COMPUTED_VALUE"""),"")</f>
        <v/>
      </c>
      <c r="AA61" t="str">
        <f ca="1">IFERROR(__xludf.DUMMYFUNCTION("""COMPUTED_VALUE"""),"Pas de commande")</f>
        <v>Pas de commande</v>
      </c>
      <c r="AB61" s="8" t="str">
        <f ca="1">IFERROR(__xludf.DUMMYFUNCTION("""COMPUTED_VALUE"""),"")</f>
        <v/>
      </c>
      <c r="AC61" s="8" t="str">
        <f ca="1">IFERROR(__xludf.DUMMYFUNCTION("""COMPUTED_VALUE"""),"")</f>
        <v/>
      </c>
      <c r="AD61" s="11" t="str">
        <f ca="1">IFERROR(__xludf.DUMMYFUNCTION("""COMPUTED_VALUE"""),"")</f>
        <v/>
      </c>
      <c r="AE61" t="str">
        <f ca="1">IFERROR(__xludf.DUMMYFUNCTION("""COMPUTED_VALUE"""),"")</f>
        <v/>
      </c>
    </row>
    <row r="62" spans="1:31" ht="12.75" x14ac:dyDescent="0.2">
      <c r="A62">
        <f ca="1">IFERROR(__xludf.DUMMYFUNCTION("""COMPUTED_VALUE"""),38125)</f>
        <v>38125</v>
      </c>
      <c r="B62" t="str">
        <f ca="1">IFERROR(__xludf.DUMMYFUNCTION("""COMPUTED_VALUE"""),"BARBATRE")</f>
        <v>BARBATRE</v>
      </c>
      <c r="C62" t="str">
        <f ca="1">IFERROR(__xludf.DUMMYFUNCTION("""COMPUTED_VALUE"""),"U Express")</f>
        <v>U Express</v>
      </c>
      <c r="D62" t="str">
        <f ca="1">IFERROR(__xludf.DUMMYFUNCTION("""COMPUTED_VALUE"""),"Coop U Enseigne Ouest")</f>
        <v>Coop U Enseigne Ouest</v>
      </c>
      <c r="E62">
        <f ca="1">IFERROR(__xludf.DUMMYFUNCTION("""COMPUTED_VALUE"""),85630)</f>
        <v>85630</v>
      </c>
      <c r="F62" t="str">
        <f ca="1">IFERROR(__xludf.DUMMYFUNCTION("""COMPUTED_VALUE"""),"26 RUE DE LA CURE")</f>
        <v>26 RUE DE LA CURE</v>
      </c>
      <c r="G62" t="str">
        <f ca="1">IFERROR(__xludf.DUMMYFUNCTION("""COMPUTED_VALUE"""),"02.51.39.80.97")</f>
        <v>02.51.39.80.97</v>
      </c>
      <c r="H62" t="str">
        <f ca="1">IFERROR(__xludf.DUMMYFUNCTION("""COMPUTED_VALUE"""),"PICHON Olivier")</f>
        <v>PICHON Olivier</v>
      </c>
      <c r="I62" t="str">
        <f ca="1">IFERROR(__xludf.DUMMYFUNCTION("""COMPUTED_VALUE"""),"olivier.pichon@systeme-u.fr")</f>
        <v>olivier.pichon@systeme-u.fr</v>
      </c>
      <c r="J62" t="str">
        <f ca="1">IFERROR(__xludf.DUMMYFUNCTION("""COMPUTED_VALUE"""),"Mme
MOUSSAY")</f>
        <v>Mme
MOUSSAY</v>
      </c>
      <c r="K62" t="str">
        <f ca="1">IFERROR(__xludf.DUMMYFUNCTION("""COMPUTED_VALUE"""),"uexpress.barbatre.direction@systeme-u.fr")</f>
        <v>uexpress.barbatre.direction@systeme-u.fr</v>
      </c>
      <c r="L62" t="str">
        <f ca="1">IFERROR(__xludf.DUMMYFUNCTION("""COMPUTED_VALUE"""),"")</f>
        <v/>
      </c>
      <c r="M62" t="str">
        <f ca="1">IFERROR(__xludf.DUMMYFUNCTION("""COMPUTED_VALUE"""),"99.Hors Périmetre")</f>
        <v>99.Hors Périmetre</v>
      </c>
      <c r="N62" t="str">
        <f ca="1">IFERROR(__xludf.DUMMYFUNCTION("""COMPUTED_VALUE"""),"")</f>
        <v/>
      </c>
      <c r="O62" t="str">
        <f ca="1">IFERROR(__xludf.DUMMYFUNCTION("""COMPUTED_VALUE"""),"")</f>
        <v/>
      </c>
      <c r="P62" t="str">
        <f ca="1">IFERROR(__xludf.DUMMYFUNCTION("""COMPUTED_VALUE"""),"")</f>
        <v/>
      </c>
      <c r="Q62" s="5" t="str">
        <f ca="1">IFERROR(__xludf.DUMMYFUNCTION("""COMPUTED_VALUE"""),"")</f>
        <v/>
      </c>
      <c r="R62" s="6" t="str">
        <f ca="1">IFERROR(__xludf.DUMMYFUNCTION("""COMPUTED_VALUE"""),"")</f>
        <v/>
      </c>
      <c r="S62" t="str">
        <f ca="1">IFERROR(__xludf.DUMMYFUNCTION("""COMPUTED_VALUE"""),"")</f>
        <v/>
      </c>
      <c r="T62" t="str">
        <f ca="1">IFERROR(__xludf.DUMMYFUNCTION("""COMPUTED_VALUE"""),"")</f>
        <v/>
      </c>
      <c r="U62" t="str">
        <f ca="1">IFERROR(__xludf.DUMMYFUNCTION("""COMPUTED_VALUE"""),"")</f>
        <v/>
      </c>
      <c r="V62" t="str">
        <f ca="1">IFERROR(__xludf.DUMMYFUNCTION("""COMPUTED_VALUE"""),"")</f>
        <v/>
      </c>
      <c r="W62" t="str">
        <f ca="1">IFERROR(__xludf.DUMMYFUNCTION("""COMPUTED_VALUE"""),"")</f>
        <v/>
      </c>
      <c r="X62" t="str">
        <f ca="1">IFERROR(__xludf.DUMMYFUNCTION("""COMPUTED_VALUE"""),"")</f>
        <v/>
      </c>
      <c r="Y62" t="str">
        <f ca="1">IFERROR(__xludf.DUMMYFUNCTION("""COMPUTED_VALUE"""),"")</f>
        <v/>
      </c>
      <c r="Z62" t="str">
        <f ca="1">IFERROR(__xludf.DUMMYFUNCTION("""COMPUTED_VALUE"""),"")</f>
        <v/>
      </c>
      <c r="AA62" t="str">
        <f ca="1">IFERROR(__xludf.DUMMYFUNCTION("""COMPUTED_VALUE"""),"Pas de commande")</f>
        <v>Pas de commande</v>
      </c>
      <c r="AB62" s="8" t="str">
        <f ca="1">IFERROR(__xludf.DUMMYFUNCTION("""COMPUTED_VALUE"""),"")</f>
        <v/>
      </c>
      <c r="AC62" s="8" t="str">
        <f ca="1">IFERROR(__xludf.DUMMYFUNCTION("""COMPUTED_VALUE"""),"")</f>
        <v/>
      </c>
      <c r="AD62" s="11" t="str">
        <f ca="1">IFERROR(__xludf.DUMMYFUNCTION("""COMPUTED_VALUE"""),"")</f>
        <v/>
      </c>
      <c r="AE62" t="str">
        <f ca="1">IFERROR(__xludf.DUMMYFUNCTION("""COMPUTED_VALUE"""),"")</f>
        <v/>
      </c>
    </row>
    <row r="63" spans="1:31" ht="12.75" x14ac:dyDescent="0.2">
      <c r="A63">
        <f ca="1">IFERROR(__xludf.DUMMYFUNCTION("""COMPUTED_VALUE"""),25304)</f>
        <v>25304</v>
      </c>
      <c r="B63" t="str">
        <f ca="1">IFERROR(__xludf.DUMMYFUNCTION("""COMPUTED_VALUE"""),"BARENTIN")</f>
        <v>BARENTIN</v>
      </c>
      <c r="C63" t="str">
        <f ca="1">IFERROR(__xludf.DUMMYFUNCTION("""COMPUTED_VALUE"""),"U Express")</f>
        <v>U Express</v>
      </c>
      <c r="D63" t="str">
        <f ca="1">IFERROR(__xludf.DUMMYFUNCTION("""COMPUTED_VALUE"""),"Coop U Enseigne NordOuest")</f>
        <v>Coop U Enseigne NordOuest</v>
      </c>
      <c r="E63">
        <f ca="1">IFERROR(__xludf.DUMMYFUNCTION("""COMPUTED_VALUE"""),76360)</f>
        <v>76360</v>
      </c>
      <c r="F63" t="str">
        <f ca="1">IFERROR(__xludf.DUMMYFUNCTION("""COMPUTED_VALUE"""),"RUE DU GÉNÉRAL GIRAUD")</f>
        <v>RUE DU GÉNÉRAL GIRAUD</v>
      </c>
      <c r="G63" t="str">
        <f ca="1">IFERROR(__xludf.DUMMYFUNCTION("""COMPUTED_VALUE"""),"02.35.91.28.92")</f>
        <v>02.35.91.28.92</v>
      </c>
      <c r="H63" t="str">
        <f ca="1">IFERROR(__xludf.DUMMYFUNCTION("""COMPUTED_VALUE"""),"LARBI Joachim")</f>
        <v>LARBI Joachim</v>
      </c>
      <c r="I63" t="str">
        <f ca="1">IFERROR(__xludf.DUMMYFUNCTION("""COMPUTED_VALUE"""),"joachim.larbi@systeme-u.fr")</f>
        <v>joachim.larbi@systeme-u.fr</v>
      </c>
      <c r="J63" t="str">
        <f ca="1">IFERROR(__xludf.DUMMYFUNCTION("""COMPUTED_VALUE"""),"")</f>
        <v/>
      </c>
      <c r="K63" t="str">
        <f ca="1">IFERROR(__xludf.DUMMYFUNCTION("""COMPUTED_VALUE"""),"")</f>
        <v/>
      </c>
      <c r="L63" t="str">
        <f ca="1">IFERROR(__xludf.DUMMYFUNCTION("""COMPUTED_VALUE"""),"")</f>
        <v/>
      </c>
      <c r="M63" t="str">
        <f ca="1">IFERROR(__xludf.DUMMYFUNCTION("""COMPUTED_VALUE"""),"99.Hors Périmetre")</f>
        <v>99.Hors Périmetre</v>
      </c>
      <c r="N63" t="str">
        <f ca="1">IFERROR(__xludf.DUMMYFUNCTION("""COMPUTED_VALUE"""),"")</f>
        <v/>
      </c>
      <c r="O63" t="str">
        <f ca="1">IFERROR(__xludf.DUMMYFUNCTION("""COMPUTED_VALUE"""),"")</f>
        <v/>
      </c>
      <c r="P63" t="str">
        <f ca="1">IFERROR(__xludf.DUMMYFUNCTION("""COMPUTED_VALUE"""),"")</f>
        <v/>
      </c>
      <c r="Q63" s="5" t="str">
        <f ca="1">IFERROR(__xludf.DUMMYFUNCTION("""COMPUTED_VALUE"""),"")</f>
        <v/>
      </c>
      <c r="R63" s="6" t="str">
        <f ca="1">IFERROR(__xludf.DUMMYFUNCTION("""COMPUTED_VALUE"""),"")</f>
        <v/>
      </c>
      <c r="S63" t="str">
        <f ca="1">IFERROR(__xludf.DUMMYFUNCTION("""COMPUTED_VALUE"""),"")</f>
        <v/>
      </c>
      <c r="T63" t="str">
        <f ca="1">IFERROR(__xludf.DUMMYFUNCTION("""COMPUTED_VALUE"""),"")</f>
        <v/>
      </c>
      <c r="U63" t="str">
        <f ca="1">IFERROR(__xludf.DUMMYFUNCTION("""COMPUTED_VALUE"""),"")</f>
        <v/>
      </c>
      <c r="V63" t="str">
        <f ca="1">IFERROR(__xludf.DUMMYFUNCTION("""COMPUTED_VALUE"""),"")</f>
        <v/>
      </c>
      <c r="W63" t="str">
        <f ca="1">IFERROR(__xludf.DUMMYFUNCTION("""COMPUTED_VALUE"""),"")</f>
        <v/>
      </c>
      <c r="X63" t="str">
        <f ca="1">IFERROR(__xludf.DUMMYFUNCTION("""COMPUTED_VALUE"""),"")</f>
        <v/>
      </c>
      <c r="Y63" t="str">
        <f ca="1">IFERROR(__xludf.DUMMYFUNCTION("""COMPUTED_VALUE"""),"")</f>
        <v/>
      </c>
      <c r="Z63" t="str">
        <f ca="1">IFERROR(__xludf.DUMMYFUNCTION("""COMPUTED_VALUE"""),"")</f>
        <v/>
      </c>
      <c r="AA63" t="str">
        <f ca="1">IFERROR(__xludf.DUMMYFUNCTION("""COMPUTED_VALUE"""),"Pas de commande")</f>
        <v>Pas de commande</v>
      </c>
      <c r="AB63" s="8" t="str">
        <f ca="1">IFERROR(__xludf.DUMMYFUNCTION("""COMPUTED_VALUE"""),"")</f>
        <v/>
      </c>
      <c r="AC63" s="8" t="str">
        <f ca="1">IFERROR(__xludf.DUMMYFUNCTION("""COMPUTED_VALUE"""),"")</f>
        <v/>
      </c>
      <c r="AD63" s="11" t="str">
        <f ca="1">IFERROR(__xludf.DUMMYFUNCTION("""COMPUTED_VALUE"""),"")</f>
        <v/>
      </c>
      <c r="AE63" t="str">
        <f ca="1">IFERROR(__xludf.DUMMYFUNCTION("""COMPUTED_VALUE"""),"")</f>
        <v/>
      </c>
    </row>
    <row r="64" spans="1:31" ht="12.75" x14ac:dyDescent="0.2">
      <c r="A64">
        <f ca="1">IFERROR(__xludf.DUMMYFUNCTION("""COMPUTED_VALUE"""),95145)</f>
        <v>95145</v>
      </c>
      <c r="B64" t="str">
        <f ca="1">IFERROR(__xludf.DUMMYFUNCTION("""COMPUTED_VALUE"""),"BASSENS")</f>
        <v>BASSENS</v>
      </c>
      <c r="C64" t="str">
        <f ca="1">IFERROR(__xludf.DUMMYFUNCTION("""COMPUTED_VALUE"""),"Super U")</f>
        <v>Super U</v>
      </c>
      <c r="D64" t="str">
        <f ca="1">IFERROR(__xludf.DUMMYFUNCTION("""COMPUTED_VALUE"""),"Coop U Enseigne Sud")</f>
        <v>Coop U Enseigne Sud</v>
      </c>
      <c r="E64">
        <f ca="1">IFERROR(__xludf.DUMMYFUNCTION("""COMPUTED_VALUE"""),33530)</f>
        <v>33530</v>
      </c>
      <c r="F64" t="str">
        <f ca="1">IFERROR(__xludf.DUMMYFUNCTION("""COMPUTED_VALUE"""),"7 RUE CAMILLE JULLIAN")</f>
        <v>7 RUE CAMILLE JULLIAN</v>
      </c>
      <c r="G64" t="str">
        <f ca="1">IFERROR(__xludf.DUMMYFUNCTION("""COMPUTED_VALUE"""),"05.56.33.86.86")</f>
        <v>05.56.33.86.86</v>
      </c>
      <c r="H64" t="str">
        <f ca="1">IFERROR(__xludf.DUMMYFUNCTION("""COMPUTED_VALUE"""),"MARTIN Jeremie-Olivier")</f>
        <v>MARTIN Jeremie-Olivier</v>
      </c>
      <c r="I64" t="str">
        <f ca="1">IFERROR(__xludf.DUMMYFUNCTION("""COMPUTED_VALUE"""),"jeremie.martin@systeme-u.fr")</f>
        <v>jeremie.martin@systeme-u.fr</v>
      </c>
      <c r="J64" t="str">
        <f ca="1">IFERROR(__xludf.DUMMYFUNCTION("""COMPUTED_VALUE"""),"")</f>
        <v/>
      </c>
      <c r="K64" t="str">
        <f ca="1">IFERROR(__xludf.DUMMYFUNCTION("""COMPUTED_VALUE"""),"")</f>
        <v/>
      </c>
      <c r="L64" t="str">
        <f ca="1">IFERROR(__xludf.DUMMYFUNCTION("""COMPUTED_VALUE"""),"")</f>
        <v/>
      </c>
      <c r="M64" t="str">
        <f ca="1">IFERROR(__xludf.DUMMYFUNCTION("""COMPUTED_VALUE"""),"99.Hors Périmetre")</f>
        <v>99.Hors Périmetre</v>
      </c>
      <c r="N64" t="str">
        <f ca="1">IFERROR(__xludf.DUMMYFUNCTION("""COMPUTED_VALUE"""),"")</f>
        <v/>
      </c>
      <c r="O64" t="str">
        <f ca="1">IFERROR(__xludf.DUMMYFUNCTION("""COMPUTED_VALUE"""),"")</f>
        <v/>
      </c>
      <c r="P64" t="str">
        <f ca="1">IFERROR(__xludf.DUMMYFUNCTION("""COMPUTED_VALUE"""),"")</f>
        <v/>
      </c>
      <c r="Q64" s="5" t="str">
        <f ca="1">IFERROR(__xludf.DUMMYFUNCTION("""COMPUTED_VALUE"""),"")</f>
        <v/>
      </c>
      <c r="R64" s="6" t="str">
        <f ca="1">IFERROR(__xludf.DUMMYFUNCTION("""COMPUTED_VALUE"""),"")</f>
        <v/>
      </c>
      <c r="S64" t="str">
        <f ca="1">IFERROR(__xludf.DUMMYFUNCTION("""COMPUTED_VALUE"""),"")</f>
        <v/>
      </c>
      <c r="T64" t="str">
        <f ca="1">IFERROR(__xludf.DUMMYFUNCTION("""COMPUTED_VALUE"""),"")</f>
        <v/>
      </c>
      <c r="U64" t="str">
        <f ca="1">IFERROR(__xludf.DUMMYFUNCTION("""COMPUTED_VALUE"""),"")</f>
        <v/>
      </c>
      <c r="V64" t="str">
        <f ca="1">IFERROR(__xludf.DUMMYFUNCTION("""COMPUTED_VALUE"""),"")</f>
        <v/>
      </c>
      <c r="W64" t="str">
        <f ca="1">IFERROR(__xludf.DUMMYFUNCTION("""COMPUTED_VALUE"""),"")</f>
        <v/>
      </c>
      <c r="X64" t="str">
        <f ca="1">IFERROR(__xludf.DUMMYFUNCTION("""COMPUTED_VALUE"""),"")</f>
        <v/>
      </c>
      <c r="Y64" t="str">
        <f ca="1">IFERROR(__xludf.DUMMYFUNCTION("""COMPUTED_VALUE"""),"")</f>
        <v/>
      </c>
      <c r="Z64" t="str">
        <f ca="1">IFERROR(__xludf.DUMMYFUNCTION("""COMPUTED_VALUE"""),"")</f>
        <v/>
      </c>
      <c r="AA64" t="str">
        <f ca="1">IFERROR(__xludf.DUMMYFUNCTION("""COMPUTED_VALUE"""),"Pas de commande")</f>
        <v>Pas de commande</v>
      </c>
      <c r="AB64" s="8" t="str">
        <f ca="1">IFERROR(__xludf.DUMMYFUNCTION("""COMPUTED_VALUE"""),"")</f>
        <v/>
      </c>
      <c r="AC64" s="8" t="str">
        <f ca="1">IFERROR(__xludf.DUMMYFUNCTION("""COMPUTED_VALUE"""),"")</f>
        <v/>
      </c>
      <c r="AD64" s="11" t="str">
        <f ca="1">IFERROR(__xludf.DUMMYFUNCTION("""COMPUTED_VALUE"""),"")</f>
        <v/>
      </c>
      <c r="AE64" t="str">
        <f ca="1">IFERROR(__xludf.DUMMYFUNCTION("""COMPUTED_VALUE"""),"")</f>
        <v/>
      </c>
    </row>
    <row r="65" spans="1:31" ht="12.75" x14ac:dyDescent="0.2">
      <c r="A65">
        <f ca="1">IFERROR(__xludf.DUMMYFUNCTION("""COMPUTED_VALUE"""),31333)</f>
        <v>31333</v>
      </c>
      <c r="B65" t="str">
        <f ca="1">IFERROR(__xludf.DUMMYFUNCTION("""COMPUTED_VALUE"""),"BAUGE")</f>
        <v>BAUGE</v>
      </c>
      <c r="C65" t="str">
        <f ca="1">IFERROR(__xludf.DUMMYFUNCTION("""COMPUTED_VALUE"""),"Super U")</f>
        <v>Super U</v>
      </c>
      <c r="D65" t="str">
        <f ca="1">IFERROR(__xludf.DUMMYFUNCTION("""COMPUTED_VALUE"""),"Coop U Enseigne Ouest")</f>
        <v>Coop U Enseigne Ouest</v>
      </c>
      <c r="E65">
        <f ca="1">IFERROR(__xludf.DUMMYFUNCTION("""COMPUTED_VALUE"""),49150)</f>
        <v>49150</v>
      </c>
      <c r="F65" t="str">
        <f ca="1">IFERROR(__xludf.DUMMYFUNCTION("""COMPUTED_VALUE"""),"ROUTE D'ANGERS")</f>
        <v>ROUTE D'ANGERS</v>
      </c>
      <c r="G65" t="str">
        <f ca="1">IFERROR(__xludf.DUMMYFUNCTION("""COMPUTED_VALUE"""),"02.41.89.29.44")</f>
        <v>02.41.89.29.44</v>
      </c>
      <c r="H65" t="str">
        <f ca="1">IFERROR(__xludf.DUMMYFUNCTION("""COMPUTED_VALUE"""),"NOURISSON Jean Michel")</f>
        <v>NOURISSON Jean Michel</v>
      </c>
      <c r="I65" t="str">
        <f ca="1">IFERROR(__xludf.DUMMYFUNCTION("""COMPUTED_VALUE"""),"jean-michel.nourisson@systeme-u.fr")</f>
        <v>jean-michel.nourisson@systeme-u.fr</v>
      </c>
      <c r="J65" t="str">
        <f ca="1">IFERROR(__xludf.DUMMYFUNCTION("""COMPUTED_VALUE"""),"")</f>
        <v/>
      </c>
      <c r="K65" t="str">
        <f ca="1">IFERROR(__xludf.DUMMYFUNCTION("""COMPUTED_VALUE"""),"")</f>
        <v/>
      </c>
      <c r="L65" t="str">
        <f ca="1">IFERROR(__xludf.DUMMYFUNCTION("""COMPUTED_VALUE"""),"")</f>
        <v/>
      </c>
      <c r="M65" t="str">
        <f ca="1">IFERROR(__xludf.DUMMYFUNCTION("""COMPUTED_VALUE"""),"99.Hors Périmetre")</f>
        <v>99.Hors Périmetre</v>
      </c>
      <c r="N65" t="str">
        <f ca="1">IFERROR(__xludf.DUMMYFUNCTION("""COMPUTED_VALUE"""),"")</f>
        <v/>
      </c>
      <c r="O65" t="str">
        <f ca="1">IFERROR(__xludf.DUMMYFUNCTION("""COMPUTED_VALUE"""),"")</f>
        <v/>
      </c>
      <c r="P65" t="str">
        <f ca="1">IFERROR(__xludf.DUMMYFUNCTION("""COMPUTED_VALUE"""),"")</f>
        <v/>
      </c>
      <c r="Q65" s="5" t="str">
        <f ca="1">IFERROR(__xludf.DUMMYFUNCTION("""COMPUTED_VALUE"""),"")</f>
        <v/>
      </c>
      <c r="R65" s="6" t="str">
        <f ca="1">IFERROR(__xludf.DUMMYFUNCTION("""COMPUTED_VALUE"""),"")</f>
        <v/>
      </c>
      <c r="S65" t="str">
        <f ca="1">IFERROR(__xludf.DUMMYFUNCTION("""COMPUTED_VALUE"""),"")</f>
        <v/>
      </c>
      <c r="T65" t="str">
        <f ca="1">IFERROR(__xludf.DUMMYFUNCTION("""COMPUTED_VALUE"""),"")</f>
        <v/>
      </c>
      <c r="U65" t="str">
        <f ca="1">IFERROR(__xludf.DUMMYFUNCTION("""COMPUTED_VALUE"""),"")</f>
        <v/>
      </c>
      <c r="V65" t="str">
        <f ca="1">IFERROR(__xludf.DUMMYFUNCTION("""COMPUTED_VALUE"""),"")</f>
        <v/>
      </c>
      <c r="W65" t="str">
        <f ca="1">IFERROR(__xludf.DUMMYFUNCTION("""COMPUTED_VALUE"""),"")</f>
        <v/>
      </c>
      <c r="X65" t="str">
        <f ca="1">IFERROR(__xludf.DUMMYFUNCTION("""COMPUTED_VALUE"""),"")</f>
        <v/>
      </c>
      <c r="Y65" t="str">
        <f ca="1">IFERROR(__xludf.DUMMYFUNCTION("""COMPUTED_VALUE"""),"")</f>
        <v/>
      </c>
      <c r="Z65" t="str">
        <f ca="1">IFERROR(__xludf.DUMMYFUNCTION("""COMPUTED_VALUE"""),"")</f>
        <v/>
      </c>
      <c r="AA65" t="str">
        <f ca="1">IFERROR(__xludf.DUMMYFUNCTION("""COMPUTED_VALUE"""),"Pas de commande")</f>
        <v>Pas de commande</v>
      </c>
      <c r="AB65" s="8" t="str">
        <f ca="1">IFERROR(__xludf.DUMMYFUNCTION("""COMPUTED_VALUE"""),"")</f>
        <v/>
      </c>
      <c r="AC65" s="8" t="str">
        <f ca="1">IFERROR(__xludf.DUMMYFUNCTION("""COMPUTED_VALUE"""),"")</f>
        <v/>
      </c>
      <c r="AD65" s="11" t="str">
        <f ca="1">IFERROR(__xludf.DUMMYFUNCTION("""COMPUTED_VALUE"""),"")</f>
        <v/>
      </c>
      <c r="AE65" t="str">
        <f ca="1">IFERROR(__xludf.DUMMYFUNCTION("""COMPUTED_VALUE"""),"")</f>
        <v/>
      </c>
    </row>
    <row r="66" spans="1:31" ht="12.75" x14ac:dyDescent="0.2">
      <c r="A66">
        <f ca="1">IFERROR(__xludf.DUMMYFUNCTION("""COMPUTED_VALUE"""),63311)</f>
        <v>63311</v>
      </c>
      <c r="B66" t="str">
        <f ca="1">IFERROR(__xludf.DUMMYFUNCTION("""COMPUTED_VALUE"""),"BAUME LES DAMES")</f>
        <v>BAUME LES DAMES</v>
      </c>
      <c r="C66" t="str">
        <f ca="1">IFERROR(__xludf.DUMMYFUNCTION("""COMPUTED_VALUE"""),"Super U")</f>
        <v>Super U</v>
      </c>
      <c r="D66" t="str">
        <f ca="1">IFERROR(__xludf.DUMMYFUNCTION("""COMPUTED_VALUE"""),"Coop U Enseigne Est")</f>
        <v>Coop U Enseigne Est</v>
      </c>
      <c r="E66">
        <f ca="1">IFERROR(__xludf.DUMMYFUNCTION("""COMPUTED_VALUE"""),25112)</f>
        <v>25112</v>
      </c>
      <c r="F66" t="str">
        <f ca="1">IFERROR(__xludf.DUMMYFUNCTION("""COMPUTED_VALUE"""),"12 rue de Mi-Cour")</f>
        <v>12 rue de Mi-Cour</v>
      </c>
      <c r="G66" t="str">
        <f ca="1">IFERROR(__xludf.DUMMYFUNCTION("""COMPUTED_VALUE"""),"03.81.84.49.20")</f>
        <v>03.81.84.49.20</v>
      </c>
      <c r="H66" t="str">
        <f ca="1">IFERROR(__xludf.DUMMYFUNCTION("""COMPUTED_VALUE"""),"MATHEY RPT SAS HOLDING MATHEY Patrice")</f>
        <v>MATHEY RPT SAS HOLDING MATHEY Patrice</v>
      </c>
      <c r="I66" t="str">
        <f ca="1">IFERROR(__xludf.DUMMYFUNCTION("""COMPUTED_VALUE"""),"")</f>
        <v/>
      </c>
      <c r="J66" t="str">
        <f ca="1">IFERROR(__xludf.DUMMYFUNCTION("""COMPUTED_VALUE"""),"Mme MATHEY Florence")</f>
        <v>Mme MATHEY Florence</v>
      </c>
      <c r="K66" t="str">
        <f ca="1">IFERROR(__xludf.DUMMYFUNCTION("""COMPUTED_VALUE"""),"superu.baumelesdames.compta@systeme-u.fr")</f>
        <v>superu.baumelesdames.compta@systeme-u.fr</v>
      </c>
      <c r="L66" t="str">
        <f ca="1">IFERROR(__xludf.DUMMYFUNCTION("""COMPUTED_VALUE"""),"")</f>
        <v/>
      </c>
      <c r="M66" t="str">
        <f ca="1">IFERROR(__xludf.DUMMYFUNCTION("""COMPUTED_VALUE"""),"99.Hors Périmetre")</f>
        <v>99.Hors Périmetre</v>
      </c>
      <c r="N66" t="str">
        <f ca="1">IFERROR(__xludf.DUMMYFUNCTION("""COMPUTED_VALUE"""),"")</f>
        <v/>
      </c>
      <c r="O66" t="str">
        <f ca="1">IFERROR(__xludf.DUMMYFUNCTION("""COMPUTED_VALUE"""),"")</f>
        <v/>
      </c>
      <c r="P66" t="str">
        <f ca="1">IFERROR(__xludf.DUMMYFUNCTION("""COMPUTED_VALUE"""),"")</f>
        <v/>
      </c>
      <c r="Q66" s="5" t="str">
        <f ca="1">IFERROR(__xludf.DUMMYFUNCTION("""COMPUTED_VALUE"""),"")</f>
        <v/>
      </c>
      <c r="R66" s="6" t="str">
        <f ca="1">IFERROR(__xludf.DUMMYFUNCTION("""COMPUTED_VALUE"""),"")</f>
        <v/>
      </c>
      <c r="S66" t="str">
        <f ca="1">IFERROR(__xludf.DUMMYFUNCTION("""COMPUTED_VALUE"""),"")</f>
        <v/>
      </c>
      <c r="T66" t="str">
        <f ca="1">IFERROR(__xludf.DUMMYFUNCTION("""COMPUTED_VALUE"""),"")</f>
        <v/>
      </c>
      <c r="U66" t="str">
        <f ca="1">IFERROR(__xludf.DUMMYFUNCTION("""COMPUTED_VALUE"""),"")</f>
        <v/>
      </c>
      <c r="V66" t="str">
        <f ca="1">IFERROR(__xludf.DUMMYFUNCTION("""COMPUTED_VALUE"""),"")</f>
        <v/>
      </c>
      <c r="W66" t="str">
        <f ca="1">IFERROR(__xludf.DUMMYFUNCTION("""COMPUTED_VALUE"""),"")</f>
        <v/>
      </c>
      <c r="X66" t="str">
        <f ca="1">IFERROR(__xludf.DUMMYFUNCTION("""COMPUTED_VALUE"""),"")</f>
        <v/>
      </c>
      <c r="Y66" t="str">
        <f ca="1">IFERROR(__xludf.DUMMYFUNCTION("""COMPUTED_VALUE"""),"")</f>
        <v/>
      </c>
      <c r="Z66" t="str">
        <f ca="1">IFERROR(__xludf.DUMMYFUNCTION("""COMPUTED_VALUE"""),"")</f>
        <v/>
      </c>
      <c r="AA66" t="str">
        <f ca="1">IFERROR(__xludf.DUMMYFUNCTION("""COMPUTED_VALUE"""),"Pas de commande")</f>
        <v>Pas de commande</v>
      </c>
      <c r="AB66" s="8" t="str">
        <f ca="1">IFERROR(__xludf.DUMMYFUNCTION("""COMPUTED_VALUE"""),"")</f>
        <v/>
      </c>
      <c r="AC66" s="8" t="str">
        <f ca="1">IFERROR(__xludf.DUMMYFUNCTION("""COMPUTED_VALUE"""),"")</f>
        <v/>
      </c>
      <c r="AD66" s="11" t="str">
        <f ca="1">IFERROR(__xludf.DUMMYFUNCTION("""COMPUTED_VALUE"""),"")</f>
        <v/>
      </c>
      <c r="AE66" t="str">
        <f ca="1">IFERROR(__xludf.DUMMYFUNCTION("""COMPUTED_VALUE"""),"")</f>
        <v/>
      </c>
    </row>
    <row r="67" spans="1:31" ht="12.75" x14ac:dyDescent="0.2">
      <c r="A67">
        <f ca="1">IFERROR(__xludf.DUMMYFUNCTION("""COMPUTED_VALUE"""),69005)</f>
        <v>69005</v>
      </c>
      <c r="B67" t="str">
        <f ca="1">IFERROR(__xludf.DUMMYFUNCTION("""COMPUTED_VALUE"""),"BAVILLIERS")</f>
        <v>BAVILLIERS</v>
      </c>
      <c r="C67" t="str">
        <f ca="1">IFERROR(__xludf.DUMMYFUNCTION("""COMPUTED_VALUE"""),"U Express")</f>
        <v>U Express</v>
      </c>
      <c r="D67" t="str">
        <f ca="1">IFERROR(__xludf.DUMMYFUNCTION("""COMPUTED_VALUE"""),"Coop U Enseigne Est")</f>
        <v>Coop U Enseigne Est</v>
      </c>
      <c r="E67">
        <f ca="1">IFERROR(__xludf.DUMMYFUNCTION("""COMPUTED_VALUE"""),90800)</f>
        <v>90800</v>
      </c>
      <c r="F67" t="str">
        <f ca="1">IFERROR(__xludf.DUMMYFUNCTION("""COMPUTED_VALUE"""),"CENTRE COMMERCIALE DE LA DOUCE")</f>
        <v>CENTRE COMMERCIALE DE LA DOUCE</v>
      </c>
      <c r="G67" t="str">
        <f ca="1">IFERROR(__xludf.DUMMYFUNCTION("""COMPUTED_VALUE"""),"03.84.22.57.81")</f>
        <v>03.84.22.57.81</v>
      </c>
      <c r="H67" t="str">
        <f ca="1">IFERROR(__xludf.DUMMYFUNCTION("""COMPUTED_VALUE"""),"MARTEL Jean Charles")</f>
        <v>MARTEL Jean Charles</v>
      </c>
      <c r="I67" t="str">
        <f ca="1">IFERROR(__xludf.DUMMYFUNCTION("""COMPUTED_VALUE"""),"jean-charles.martel@systeme-u.fr")</f>
        <v>jean-charles.martel@systeme-u.fr</v>
      </c>
      <c r="J67" t="str">
        <f ca="1">IFERROR(__xludf.DUMMYFUNCTION("""COMPUTED_VALUE"""),"")</f>
        <v/>
      </c>
      <c r="K67" t="str">
        <f ca="1">IFERROR(__xludf.DUMMYFUNCTION("""COMPUTED_VALUE"""),"")</f>
        <v/>
      </c>
      <c r="L67" t="str">
        <f ca="1">IFERROR(__xludf.DUMMYFUNCTION("""COMPUTED_VALUE"""),"")</f>
        <v/>
      </c>
      <c r="M67" t="str">
        <f ca="1">IFERROR(__xludf.DUMMYFUNCTION("""COMPUTED_VALUE"""),"99.Hors Périmetre")</f>
        <v>99.Hors Périmetre</v>
      </c>
      <c r="N67" t="str">
        <f ca="1">IFERROR(__xludf.DUMMYFUNCTION("""COMPUTED_VALUE"""),"")</f>
        <v/>
      </c>
      <c r="O67" t="str">
        <f ca="1">IFERROR(__xludf.DUMMYFUNCTION("""COMPUTED_VALUE"""),"")</f>
        <v/>
      </c>
      <c r="P67" t="str">
        <f ca="1">IFERROR(__xludf.DUMMYFUNCTION("""COMPUTED_VALUE"""),"")</f>
        <v/>
      </c>
      <c r="Q67" s="5" t="str">
        <f ca="1">IFERROR(__xludf.DUMMYFUNCTION("""COMPUTED_VALUE"""),"")</f>
        <v/>
      </c>
      <c r="R67" s="6" t="str">
        <f ca="1">IFERROR(__xludf.DUMMYFUNCTION("""COMPUTED_VALUE"""),"")</f>
        <v/>
      </c>
      <c r="S67" t="str">
        <f ca="1">IFERROR(__xludf.DUMMYFUNCTION("""COMPUTED_VALUE"""),"")</f>
        <v/>
      </c>
      <c r="T67" t="str">
        <f ca="1">IFERROR(__xludf.DUMMYFUNCTION("""COMPUTED_VALUE"""),"")</f>
        <v/>
      </c>
      <c r="U67" t="str">
        <f ca="1">IFERROR(__xludf.DUMMYFUNCTION("""COMPUTED_VALUE"""),"")</f>
        <v/>
      </c>
      <c r="V67" t="str">
        <f ca="1">IFERROR(__xludf.DUMMYFUNCTION("""COMPUTED_VALUE"""),"")</f>
        <v/>
      </c>
      <c r="W67" t="str">
        <f ca="1">IFERROR(__xludf.DUMMYFUNCTION("""COMPUTED_VALUE"""),"")</f>
        <v/>
      </c>
      <c r="X67" t="str">
        <f ca="1">IFERROR(__xludf.DUMMYFUNCTION("""COMPUTED_VALUE"""),"")</f>
        <v/>
      </c>
      <c r="Y67" t="str">
        <f ca="1">IFERROR(__xludf.DUMMYFUNCTION("""COMPUTED_VALUE"""),"")</f>
        <v/>
      </c>
      <c r="Z67" t="str">
        <f ca="1">IFERROR(__xludf.DUMMYFUNCTION("""COMPUTED_VALUE"""),"")</f>
        <v/>
      </c>
      <c r="AA67" t="str">
        <f ca="1">IFERROR(__xludf.DUMMYFUNCTION("""COMPUTED_VALUE"""),"Pas de commande")</f>
        <v>Pas de commande</v>
      </c>
      <c r="AB67" s="8" t="str">
        <f ca="1">IFERROR(__xludf.DUMMYFUNCTION("""COMPUTED_VALUE"""),"")</f>
        <v/>
      </c>
      <c r="AC67" s="8" t="str">
        <f ca="1">IFERROR(__xludf.DUMMYFUNCTION("""COMPUTED_VALUE"""),"")</f>
        <v/>
      </c>
      <c r="AD67" s="11" t="str">
        <f ca="1">IFERROR(__xludf.DUMMYFUNCTION("""COMPUTED_VALUE"""),"")</f>
        <v/>
      </c>
      <c r="AE67" t="str">
        <f ca="1">IFERROR(__xludf.DUMMYFUNCTION("""COMPUTED_VALUE"""),"")</f>
        <v/>
      </c>
    </row>
    <row r="68" spans="1:31" ht="12.75" x14ac:dyDescent="0.2">
      <c r="A68">
        <f ca="1">IFERROR(__xludf.DUMMYFUNCTION("""COMPUTED_VALUE"""),21333)</f>
        <v>21333</v>
      </c>
      <c r="B68" t="str">
        <f ca="1">IFERROR(__xludf.DUMMYFUNCTION("""COMPUTED_VALUE"""),"BAYEUX")</f>
        <v>BAYEUX</v>
      </c>
      <c r="C68" t="str">
        <f ca="1">IFERROR(__xludf.DUMMYFUNCTION("""COMPUTED_VALUE"""),"U Express")</f>
        <v>U Express</v>
      </c>
      <c r="D68" t="str">
        <f ca="1">IFERROR(__xludf.DUMMYFUNCTION("""COMPUTED_VALUE"""),"Coop U Enseigne NordOuest")</f>
        <v>Coop U Enseigne NordOuest</v>
      </c>
      <c r="E68">
        <f ca="1">IFERROR(__xludf.DUMMYFUNCTION("""COMPUTED_VALUE"""),14400)</f>
        <v>14400</v>
      </c>
      <c r="F68" t="str">
        <f ca="1">IFERROR(__xludf.DUMMYFUNCTION("""COMPUTED_VALUE"""),"54 BIS RUE SAINT PATRICE")</f>
        <v>54 BIS RUE SAINT PATRICE</v>
      </c>
      <c r="G68" t="str">
        <f ca="1">IFERROR(__xludf.DUMMYFUNCTION("""COMPUTED_VALUE"""),"02.31.92.84.94")</f>
        <v>02.31.92.84.94</v>
      </c>
      <c r="H68" t="str">
        <f ca="1">IFERROR(__xludf.DUMMYFUNCTION("""COMPUTED_VALUE"""),"DUTEIL Nicolas")</f>
        <v>DUTEIL Nicolas</v>
      </c>
      <c r="I68" t="str">
        <f ca="1">IFERROR(__xludf.DUMMYFUNCTION("""COMPUTED_VALUE"""),"uexpress.bayeux@systeme-u.fr")</f>
        <v>uexpress.bayeux@systeme-u.fr</v>
      </c>
      <c r="J68" t="str">
        <f ca="1">IFERROR(__xludf.DUMMYFUNCTION("""COMPUTED_VALUE"""),"")</f>
        <v/>
      </c>
      <c r="K68" t="str">
        <f ca="1">IFERROR(__xludf.DUMMYFUNCTION("""COMPUTED_VALUE"""),"")</f>
        <v/>
      </c>
      <c r="L68" t="str">
        <f ca="1">IFERROR(__xludf.DUMMYFUNCTION("""COMPUTED_VALUE"""),"")</f>
        <v/>
      </c>
      <c r="M68" t="str">
        <f ca="1">IFERROR(__xludf.DUMMYFUNCTION("""COMPUTED_VALUE"""),"99.Hors Périmetre")</f>
        <v>99.Hors Périmetre</v>
      </c>
      <c r="N68" t="str">
        <f ca="1">IFERROR(__xludf.DUMMYFUNCTION("""COMPUTED_VALUE"""),"")</f>
        <v/>
      </c>
      <c r="O68" t="str">
        <f ca="1">IFERROR(__xludf.DUMMYFUNCTION("""COMPUTED_VALUE"""),"")</f>
        <v/>
      </c>
      <c r="P68" t="str">
        <f ca="1">IFERROR(__xludf.DUMMYFUNCTION("""COMPUTED_VALUE"""),"")</f>
        <v/>
      </c>
      <c r="Q68" s="5" t="str">
        <f ca="1">IFERROR(__xludf.DUMMYFUNCTION("""COMPUTED_VALUE"""),"")</f>
        <v/>
      </c>
      <c r="R68" s="6" t="str">
        <f ca="1">IFERROR(__xludf.DUMMYFUNCTION("""COMPUTED_VALUE"""),"")</f>
        <v/>
      </c>
      <c r="S68" t="str">
        <f ca="1">IFERROR(__xludf.DUMMYFUNCTION("""COMPUTED_VALUE"""),"")</f>
        <v/>
      </c>
      <c r="T68" t="str">
        <f ca="1">IFERROR(__xludf.DUMMYFUNCTION("""COMPUTED_VALUE"""),"")</f>
        <v/>
      </c>
      <c r="U68" t="str">
        <f ca="1">IFERROR(__xludf.DUMMYFUNCTION("""COMPUTED_VALUE"""),"")</f>
        <v/>
      </c>
      <c r="V68" t="str">
        <f ca="1">IFERROR(__xludf.DUMMYFUNCTION("""COMPUTED_VALUE"""),"")</f>
        <v/>
      </c>
      <c r="W68" t="str">
        <f ca="1">IFERROR(__xludf.DUMMYFUNCTION("""COMPUTED_VALUE"""),"")</f>
        <v/>
      </c>
      <c r="X68" t="str">
        <f ca="1">IFERROR(__xludf.DUMMYFUNCTION("""COMPUTED_VALUE"""),"")</f>
        <v/>
      </c>
      <c r="Y68" t="str">
        <f ca="1">IFERROR(__xludf.DUMMYFUNCTION("""COMPUTED_VALUE"""),"")</f>
        <v/>
      </c>
      <c r="Z68" t="str">
        <f ca="1">IFERROR(__xludf.DUMMYFUNCTION("""COMPUTED_VALUE"""),"")</f>
        <v/>
      </c>
      <c r="AA68" t="str">
        <f ca="1">IFERROR(__xludf.DUMMYFUNCTION("""COMPUTED_VALUE"""),"Pas de commande")</f>
        <v>Pas de commande</v>
      </c>
      <c r="AB68" s="8" t="str">
        <f ca="1">IFERROR(__xludf.DUMMYFUNCTION("""COMPUTED_VALUE"""),"")</f>
        <v/>
      </c>
      <c r="AC68" s="8" t="str">
        <f ca="1">IFERROR(__xludf.DUMMYFUNCTION("""COMPUTED_VALUE"""),"")</f>
        <v/>
      </c>
      <c r="AD68" s="11" t="str">
        <f ca="1">IFERROR(__xludf.DUMMYFUNCTION("""COMPUTED_VALUE"""),"")</f>
        <v/>
      </c>
      <c r="AE68" t="str">
        <f ca="1">IFERROR(__xludf.DUMMYFUNCTION("""COMPUTED_VALUE"""),"")</f>
        <v/>
      </c>
    </row>
    <row r="69" spans="1:31" ht="12.75" x14ac:dyDescent="0.2">
      <c r="A69">
        <f ca="1">IFERROR(__xludf.DUMMYFUNCTION("""COMPUTED_VALUE"""),95467)</f>
        <v>95467</v>
      </c>
      <c r="B69" t="str">
        <f ca="1">IFERROR(__xludf.DUMMYFUNCTION("""COMPUTED_VALUE"""),"BAYONNE")</f>
        <v>BAYONNE</v>
      </c>
      <c r="C69" t="str">
        <f ca="1">IFERROR(__xludf.DUMMYFUNCTION("""COMPUTED_VALUE"""),"U Express")</f>
        <v>U Express</v>
      </c>
      <c r="D69" t="str">
        <f ca="1">IFERROR(__xludf.DUMMYFUNCTION("""COMPUTED_VALUE"""),"Coop UPSO")</f>
        <v>Coop UPSO</v>
      </c>
      <c r="E69">
        <f ca="1">IFERROR(__xludf.DUMMYFUNCTION("""COMPUTED_VALUE"""),64100)</f>
        <v>64100</v>
      </c>
      <c r="F69" t="str">
        <f ca="1">IFERROR(__xludf.DUMMYFUNCTION("""COMPUTED_VALUE"""),"PLACE DE L ARSENAL")</f>
        <v>PLACE DE L ARSENAL</v>
      </c>
      <c r="G69" t="str">
        <f ca="1">IFERROR(__xludf.DUMMYFUNCTION("""COMPUTED_VALUE"""),"05.59.42.12.42")</f>
        <v>05.59.42.12.42</v>
      </c>
      <c r="H69" t="str">
        <f ca="1">IFERROR(__xludf.DUMMYFUNCTION("""COMPUTED_VALUE"""),"SAUX Nicolas")</f>
        <v>SAUX Nicolas</v>
      </c>
      <c r="I69" t="str">
        <f ca="1">IFERROR(__xludf.DUMMYFUNCTION("""COMPUTED_VALUE"""),"uexpress.bayonne@systeme-u.fr")</f>
        <v>uexpress.bayonne@systeme-u.fr</v>
      </c>
      <c r="J69" t="str">
        <f ca="1">IFERROR(__xludf.DUMMYFUNCTION("""COMPUTED_VALUE"""),"Mme ELISSONDO")</f>
        <v>Mme ELISSONDO</v>
      </c>
      <c r="K69" t="str">
        <f ca="1">IFERROR(__xludf.DUMMYFUNCTION("""COMPUTED_VALUE"""),"")</f>
        <v/>
      </c>
      <c r="L69" t="str">
        <f ca="1">IFERROR(__xludf.DUMMYFUNCTION("""COMPUTED_VALUE"""),"")</f>
        <v/>
      </c>
      <c r="M69" t="str">
        <f ca="1">IFERROR(__xludf.DUMMYFUNCTION("""COMPUTED_VALUE"""),"99.Hors Périmetre")</f>
        <v>99.Hors Périmetre</v>
      </c>
      <c r="N69" t="str">
        <f ca="1">IFERROR(__xludf.DUMMYFUNCTION("""COMPUTED_VALUE"""),"")</f>
        <v/>
      </c>
      <c r="O69" t="str">
        <f ca="1">IFERROR(__xludf.DUMMYFUNCTION("""COMPUTED_VALUE"""),"")</f>
        <v/>
      </c>
      <c r="P69" t="str">
        <f ca="1">IFERROR(__xludf.DUMMYFUNCTION("""COMPUTED_VALUE"""),"")</f>
        <v/>
      </c>
      <c r="Q69" s="5" t="str">
        <f ca="1">IFERROR(__xludf.DUMMYFUNCTION("""COMPUTED_VALUE"""),"")</f>
        <v/>
      </c>
      <c r="R69" s="6" t="str">
        <f ca="1">IFERROR(__xludf.DUMMYFUNCTION("""COMPUTED_VALUE"""),"")</f>
        <v/>
      </c>
      <c r="S69" t="str">
        <f ca="1">IFERROR(__xludf.DUMMYFUNCTION("""COMPUTED_VALUE"""),"")</f>
        <v/>
      </c>
      <c r="T69" t="str">
        <f ca="1">IFERROR(__xludf.DUMMYFUNCTION("""COMPUTED_VALUE"""),"")</f>
        <v/>
      </c>
      <c r="U69" t="str">
        <f ca="1">IFERROR(__xludf.DUMMYFUNCTION("""COMPUTED_VALUE"""),"")</f>
        <v/>
      </c>
      <c r="V69" t="str">
        <f ca="1">IFERROR(__xludf.DUMMYFUNCTION("""COMPUTED_VALUE"""),"")</f>
        <v/>
      </c>
      <c r="W69" t="str">
        <f ca="1">IFERROR(__xludf.DUMMYFUNCTION("""COMPUTED_VALUE"""),"")</f>
        <v/>
      </c>
      <c r="X69" t="str">
        <f ca="1">IFERROR(__xludf.DUMMYFUNCTION("""COMPUTED_VALUE"""),"")</f>
        <v/>
      </c>
      <c r="Y69" t="str">
        <f ca="1">IFERROR(__xludf.DUMMYFUNCTION("""COMPUTED_VALUE"""),"")</f>
        <v/>
      </c>
      <c r="Z69" t="str">
        <f ca="1">IFERROR(__xludf.DUMMYFUNCTION("""COMPUTED_VALUE"""),"")</f>
        <v/>
      </c>
      <c r="AA69" t="str">
        <f ca="1">IFERROR(__xludf.DUMMYFUNCTION("""COMPUTED_VALUE"""),"Pas de commande")</f>
        <v>Pas de commande</v>
      </c>
      <c r="AB69" s="8" t="str">
        <f ca="1">IFERROR(__xludf.DUMMYFUNCTION("""COMPUTED_VALUE"""),"")</f>
        <v/>
      </c>
      <c r="AC69" s="8" t="str">
        <f ca="1">IFERROR(__xludf.DUMMYFUNCTION("""COMPUTED_VALUE"""),"")</f>
        <v/>
      </c>
      <c r="AD69" s="11" t="str">
        <f ca="1">IFERROR(__xludf.DUMMYFUNCTION("""COMPUTED_VALUE"""),"")</f>
        <v/>
      </c>
      <c r="AE69" t="str">
        <f ca="1">IFERROR(__xludf.DUMMYFUNCTION("""COMPUTED_VALUE"""),"")</f>
        <v/>
      </c>
    </row>
    <row r="70" spans="1:31" ht="12.75" x14ac:dyDescent="0.2">
      <c r="A70">
        <f ca="1">IFERROR(__xludf.DUMMYFUNCTION("""COMPUTED_VALUE"""),95167)</f>
        <v>95167</v>
      </c>
      <c r="B70" t="str">
        <f ca="1">IFERROR(__xludf.DUMMYFUNCTION("""COMPUTED_VALUE"""),"BAZAS")</f>
        <v>BAZAS</v>
      </c>
      <c r="C70" t="str">
        <f ca="1">IFERROR(__xludf.DUMMYFUNCTION("""COMPUTED_VALUE"""),"Super U")</f>
        <v>Super U</v>
      </c>
      <c r="D70" t="str">
        <f ca="1">IFERROR(__xludf.DUMMYFUNCTION("""COMPUTED_VALUE"""),"Coop U Enseigne Sud")</f>
        <v>Coop U Enseigne Sud</v>
      </c>
      <c r="E70">
        <f ca="1">IFERROR(__xludf.DUMMYFUNCTION("""COMPUTED_VALUE"""),33430)</f>
        <v>33430</v>
      </c>
      <c r="F70" t="str">
        <f ca="1">IFERROR(__xludf.DUMMYFUNCTION("""COMPUTED_VALUE"""),"RD 3 LIEUDIT LE CASSE")</f>
        <v>RD 3 LIEUDIT LE CASSE</v>
      </c>
      <c r="G70" t="str">
        <f ca="1">IFERROR(__xludf.DUMMYFUNCTION("""COMPUTED_VALUE"""),"05.56.65.05.50")</f>
        <v>05.56.65.05.50</v>
      </c>
      <c r="H70" t="str">
        <f ca="1">IFERROR(__xludf.DUMMYFUNCTION("""COMPUTED_VALUE"""),"GAILLARD Kathya")</f>
        <v>GAILLARD Kathya</v>
      </c>
      <c r="I70" t="str">
        <f ca="1">IFERROR(__xludf.DUMMYFUNCTION("""COMPUTED_VALUE"""),"kathya.gaillard@systeme-u.fr")</f>
        <v>kathya.gaillard@systeme-u.fr</v>
      </c>
      <c r="J70" t="str">
        <f ca="1">IFERROR(__xludf.DUMMYFUNCTION("""COMPUTED_VALUE"""),"CASANOVAS PHILIPPE")</f>
        <v>CASANOVAS PHILIPPE</v>
      </c>
      <c r="K70" t="str">
        <f ca="1">IFERROR(__xludf.DUMMYFUNCTION("""COMPUTED_VALUE"""),"philippe.casanovas@systeme-u.fr")</f>
        <v>philippe.casanovas@systeme-u.fr</v>
      </c>
      <c r="L70" t="str">
        <f ca="1">IFERROR(__xludf.DUMMYFUNCTION("""COMPUTED_VALUE"""),"")</f>
        <v/>
      </c>
      <c r="M70" t="str">
        <f ca="1">IFERROR(__xludf.DUMMYFUNCTION("""COMPUTED_VALUE"""),"99.Hors Périmetre")</f>
        <v>99.Hors Périmetre</v>
      </c>
      <c r="N70" t="str">
        <f ca="1">IFERROR(__xludf.DUMMYFUNCTION("""COMPUTED_VALUE"""),"")</f>
        <v/>
      </c>
      <c r="O70" t="str">
        <f ca="1">IFERROR(__xludf.DUMMYFUNCTION("""COMPUTED_VALUE"""),"")</f>
        <v/>
      </c>
      <c r="P70" t="str">
        <f ca="1">IFERROR(__xludf.DUMMYFUNCTION("""COMPUTED_VALUE"""),"")</f>
        <v/>
      </c>
      <c r="Q70" s="5" t="str">
        <f ca="1">IFERROR(__xludf.DUMMYFUNCTION("""COMPUTED_VALUE"""),"")</f>
        <v/>
      </c>
      <c r="R70" s="6" t="str">
        <f ca="1">IFERROR(__xludf.DUMMYFUNCTION("""COMPUTED_VALUE"""),"")</f>
        <v/>
      </c>
      <c r="S70" t="str">
        <f ca="1">IFERROR(__xludf.DUMMYFUNCTION("""COMPUTED_VALUE"""),"")</f>
        <v/>
      </c>
      <c r="T70" t="str">
        <f ca="1">IFERROR(__xludf.DUMMYFUNCTION("""COMPUTED_VALUE"""),"")</f>
        <v/>
      </c>
      <c r="U70" t="str">
        <f ca="1">IFERROR(__xludf.DUMMYFUNCTION("""COMPUTED_VALUE"""),"")</f>
        <v/>
      </c>
      <c r="V70" t="str">
        <f ca="1">IFERROR(__xludf.DUMMYFUNCTION("""COMPUTED_VALUE"""),"")</f>
        <v/>
      </c>
      <c r="W70" t="str">
        <f ca="1">IFERROR(__xludf.DUMMYFUNCTION("""COMPUTED_VALUE"""),"")</f>
        <v/>
      </c>
      <c r="X70" t="str">
        <f ca="1">IFERROR(__xludf.DUMMYFUNCTION("""COMPUTED_VALUE"""),"")</f>
        <v/>
      </c>
      <c r="Y70" t="str">
        <f ca="1">IFERROR(__xludf.DUMMYFUNCTION("""COMPUTED_VALUE"""),"")</f>
        <v/>
      </c>
      <c r="Z70" t="str">
        <f ca="1">IFERROR(__xludf.DUMMYFUNCTION("""COMPUTED_VALUE"""),"")</f>
        <v/>
      </c>
      <c r="AA70" t="str">
        <f ca="1">IFERROR(__xludf.DUMMYFUNCTION("""COMPUTED_VALUE"""),"Pas de commande")</f>
        <v>Pas de commande</v>
      </c>
      <c r="AB70" s="8" t="str">
        <f ca="1">IFERROR(__xludf.DUMMYFUNCTION("""COMPUTED_VALUE"""),"")</f>
        <v/>
      </c>
      <c r="AC70" s="8" t="str">
        <f ca="1">IFERROR(__xludf.DUMMYFUNCTION("""COMPUTED_VALUE"""),"")</f>
        <v/>
      </c>
      <c r="AD70" s="11" t="str">
        <f ca="1">IFERROR(__xludf.DUMMYFUNCTION("""COMPUTED_VALUE"""),"")</f>
        <v/>
      </c>
      <c r="AE70" t="str">
        <f ca="1">IFERROR(__xludf.DUMMYFUNCTION("""COMPUTED_VALUE"""),"")</f>
        <v/>
      </c>
    </row>
    <row r="71" spans="1:31" ht="12.75" x14ac:dyDescent="0.2">
      <c r="A71">
        <f ca="1">IFERROR(__xludf.DUMMYFUNCTION("""COMPUTED_VALUE"""),37478)</f>
        <v>37478</v>
      </c>
      <c r="B71" t="str">
        <f ca="1">IFERROR(__xludf.DUMMYFUNCTION("""COMPUTED_VALUE"""),"BAZOUGES")</f>
        <v>BAZOUGES</v>
      </c>
      <c r="C71" t="str">
        <f ca="1">IFERROR(__xludf.DUMMYFUNCTION("""COMPUTED_VALUE"""),"U Express")</f>
        <v>U Express</v>
      </c>
      <c r="D71" t="str">
        <f ca="1">IFERROR(__xludf.DUMMYFUNCTION("""COMPUTED_VALUE"""),"Coop U Enseigne Ouest")</f>
        <v>Coop U Enseigne Ouest</v>
      </c>
      <c r="E71">
        <f ca="1">IFERROR(__xludf.DUMMYFUNCTION("""COMPUTED_VALUE"""),53200)</f>
        <v>53200</v>
      </c>
      <c r="F71" t="str">
        <f ca="1">IFERROR(__xludf.DUMMYFUNCTION("""COMPUTED_VALUE"""),"2, RUE DE BRETAGNE")</f>
        <v>2, RUE DE BRETAGNE</v>
      </c>
      <c r="G71" t="str">
        <f ca="1">IFERROR(__xludf.DUMMYFUNCTION("""COMPUTED_VALUE"""),"02.43.70.27.02")</f>
        <v>02.43.70.27.02</v>
      </c>
      <c r="H71" t="str">
        <f ca="1">IFERROR(__xludf.DUMMYFUNCTION("""COMPUTED_VALUE"""),"VALLEE ALAIN")</f>
        <v>VALLEE ALAIN</v>
      </c>
      <c r="I71" t="str">
        <f ca="1">IFERROR(__xludf.DUMMYFUNCTION("""COMPUTED_VALUE"""),"alain.vallee@systeme-u.fr")</f>
        <v>alain.vallee@systeme-u.fr</v>
      </c>
      <c r="J71" t="str">
        <f ca="1">IFERROR(__xludf.DUMMYFUNCTION("""COMPUTED_VALUE"""),"Madame Adélaide")</f>
        <v>Madame Adélaide</v>
      </c>
      <c r="K71" t="str">
        <f ca="1">IFERROR(__xludf.DUMMYFUNCTION("""COMPUTED_VALUE"""),"uexpress.bazouges.direction@systeme-u.fr")</f>
        <v>uexpress.bazouges.direction@systeme-u.fr</v>
      </c>
      <c r="L71" t="str">
        <f ca="1">IFERROR(__xludf.DUMMYFUNCTION("""COMPUTED_VALUE"""),"")</f>
        <v/>
      </c>
      <c r="M71" t="str">
        <f ca="1">IFERROR(__xludf.DUMMYFUNCTION("""COMPUTED_VALUE"""),"99.Hors Périmetre")</f>
        <v>99.Hors Périmetre</v>
      </c>
      <c r="N71" t="str">
        <f ca="1">IFERROR(__xludf.DUMMYFUNCTION("""COMPUTED_VALUE"""),"")</f>
        <v/>
      </c>
      <c r="O71" t="str">
        <f ca="1">IFERROR(__xludf.DUMMYFUNCTION("""COMPUTED_VALUE"""),"")</f>
        <v/>
      </c>
      <c r="P71" t="str">
        <f ca="1">IFERROR(__xludf.DUMMYFUNCTION("""COMPUTED_VALUE"""),"")</f>
        <v/>
      </c>
      <c r="Q71" s="5" t="str">
        <f ca="1">IFERROR(__xludf.DUMMYFUNCTION("""COMPUTED_VALUE"""),"")</f>
        <v/>
      </c>
      <c r="R71" s="6" t="str">
        <f ca="1">IFERROR(__xludf.DUMMYFUNCTION("""COMPUTED_VALUE"""),"")</f>
        <v/>
      </c>
      <c r="S71" t="str">
        <f ca="1">IFERROR(__xludf.DUMMYFUNCTION("""COMPUTED_VALUE"""),"")</f>
        <v/>
      </c>
      <c r="T71" t="str">
        <f ca="1">IFERROR(__xludf.DUMMYFUNCTION("""COMPUTED_VALUE"""),"")</f>
        <v/>
      </c>
      <c r="U71" t="str">
        <f ca="1">IFERROR(__xludf.DUMMYFUNCTION("""COMPUTED_VALUE"""),"")</f>
        <v/>
      </c>
      <c r="V71" t="str">
        <f ca="1">IFERROR(__xludf.DUMMYFUNCTION("""COMPUTED_VALUE"""),"")</f>
        <v/>
      </c>
      <c r="W71" t="str">
        <f ca="1">IFERROR(__xludf.DUMMYFUNCTION("""COMPUTED_VALUE"""),"")</f>
        <v/>
      </c>
      <c r="X71" t="str">
        <f ca="1">IFERROR(__xludf.DUMMYFUNCTION("""COMPUTED_VALUE"""),"")</f>
        <v/>
      </c>
      <c r="Y71" t="str">
        <f ca="1">IFERROR(__xludf.DUMMYFUNCTION("""COMPUTED_VALUE"""),"")</f>
        <v/>
      </c>
      <c r="Z71" t="str">
        <f ca="1">IFERROR(__xludf.DUMMYFUNCTION("""COMPUTED_VALUE"""),"")</f>
        <v/>
      </c>
      <c r="AA71" t="str">
        <f ca="1">IFERROR(__xludf.DUMMYFUNCTION("""COMPUTED_VALUE"""),"Pas de commande")</f>
        <v>Pas de commande</v>
      </c>
      <c r="AB71" s="8" t="str">
        <f ca="1">IFERROR(__xludf.DUMMYFUNCTION("""COMPUTED_VALUE"""),"")</f>
        <v/>
      </c>
      <c r="AC71" s="8" t="str">
        <f ca="1">IFERROR(__xludf.DUMMYFUNCTION("""COMPUTED_VALUE"""),"")</f>
        <v/>
      </c>
      <c r="AD71" s="11" t="str">
        <f ca="1">IFERROR(__xludf.DUMMYFUNCTION("""COMPUTED_VALUE"""),"")</f>
        <v/>
      </c>
      <c r="AE71" t="str">
        <f ca="1">IFERROR(__xludf.DUMMYFUNCTION("""COMPUTED_VALUE"""),"")</f>
        <v/>
      </c>
    </row>
    <row r="72" spans="1:31" ht="12.75" x14ac:dyDescent="0.2">
      <c r="A72">
        <f ca="1">IFERROR(__xludf.DUMMYFUNCTION("""COMPUTED_VALUE"""),90620)</f>
        <v>90620</v>
      </c>
      <c r="B72" t="str">
        <f ca="1">IFERROR(__xludf.DUMMYFUNCTION("""COMPUTED_VALUE"""),"BEAUCAIRE")</f>
        <v>BEAUCAIRE</v>
      </c>
      <c r="C72" t="str">
        <f ca="1">IFERROR(__xludf.DUMMYFUNCTION("""COMPUTED_VALUE"""),"U Express")</f>
        <v>U Express</v>
      </c>
      <c r="D72" t="str">
        <f ca="1">IFERROR(__xludf.DUMMYFUNCTION("""COMPUTED_VALUE"""),"Coop MISTRAL")</f>
        <v>Coop MISTRAL</v>
      </c>
      <c r="E72">
        <f ca="1">IFERROR(__xludf.DUMMYFUNCTION("""COMPUTED_VALUE"""),30300)</f>
        <v>30300</v>
      </c>
      <c r="F72" t="str">
        <f ca="1">IFERROR(__xludf.DUMMYFUNCTION("""COMPUTED_VALUE"""),"18 BD MARECHAL FOCH")</f>
        <v>18 BD MARECHAL FOCH</v>
      </c>
      <c r="G72" t="str">
        <f ca="1">IFERROR(__xludf.DUMMYFUNCTION("""COMPUTED_VALUE"""),"04.66.59.12.10")</f>
        <v>04.66.59.12.10</v>
      </c>
      <c r="H72" t="str">
        <f ca="1">IFERROR(__xludf.DUMMYFUNCTION("""COMPUTED_VALUE"""),"ZOUAOUI Yacine")</f>
        <v>ZOUAOUI Yacine</v>
      </c>
      <c r="I72" t="str">
        <f ca="1">IFERROR(__xludf.DUMMYFUNCTION("""COMPUTED_VALUE"""),"")</f>
        <v/>
      </c>
      <c r="J72" t="str">
        <f ca="1">IFERROR(__xludf.DUMMYFUNCTION("""COMPUTED_VALUE"""),"")</f>
        <v/>
      </c>
      <c r="K72" t="str">
        <f ca="1">IFERROR(__xludf.DUMMYFUNCTION("""COMPUTED_VALUE"""),"delphine.damian@lemistral.fr,helene.mina@lemistral.fr")</f>
        <v>delphine.damian@lemistral.fr,helene.mina@lemistral.fr</v>
      </c>
      <c r="L72" t="str">
        <f ca="1">IFERROR(__xludf.DUMMYFUNCTION("""COMPUTED_VALUE"""),"")</f>
        <v/>
      </c>
      <c r="M72" t="str">
        <f ca="1">IFERROR(__xludf.DUMMYFUNCTION("""COMPUTED_VALUE"""),"99.Hors Périmetre")</f>
        <v>99.Hors Périmetre</v>
      </c>
      <c r="N72" t="str">
        <f ca="1">IFERROR(__xludf.DUMMYFUNCTION("""COMPUTED_VALUE"""),"")</f>
        <v/>
      </c>
      <c r="O72" t="str">
        <f ca="1">IFERROR(__xludf.DUMMYFUNCTION("""COMPUTED_VALUE"""),"")</f>
        <v/>
      </c>
      <c r="P72" t="str">
        <f ca="1">IFERROR(__xludf.DUMMYFUNCTION("""COMPUTED_VALUE"""),"")</f>
        <v/>
      </c>
      <c r="Q72" s="5" t="str">
        <f ca="1">IFERROR(__xludf.DUMMYFUNCTION("""COMPUTED_VALUE"""),"")</f>
        <v/>
      </c>
      <c r="R72" s="6" t="str">
        <f ca="1">IFERROR(__xludf.DUMMYFUNCTION("""COMPUTED_VALUE"""),"")</f>
        <v/>
      </c>
      <c r="S72" t="str">
        <f ca="1">IFERROR(__xludf.DUMMYFUNCTION("""COMPUTED_VALUE"""),"")</f>
        <v/>
      </c>
      <c r="T72" t="str">
        <f ca="1">IFERROR(__xludf.DUMMYFUNCTION("""COMPUTED_VALUE"""),"")</f>
        <v/>
      </c>
      <c r="U72" t="str">
        <f ca="1">IFERROR(__xludf.DUMMYFUNCTION("""COMPUTED_VALUE"""),"")</f>
        <v/>
      </c>
      <c r="V72" t="str">
        <f ca="1">IFERROR(__xludf.DUMMYFUNCTION("""COMPUTED_VALUE"""),"")</f>
        <v/>
      </c>
      <c r="W72" t="str">
        <f ca="1">IFERROR(__xludf.DUMMYFUNCTION("""COMPUTED_VALUE"""),"")</f>
        <v/>
      </c>
      <c r="X72" t="str">
        <f ca="1">IFERROR(__xludf.DUMMYFUNCTION("""COMPUTED_VALUE"""),"")</f>
        <v/>
      </c>
      <c r="Y72" t="str">
        <f ca="1">IFERROR(__xludf.DUMMYFUNCTION("""COMPUTED_VALUE"""),"")</f>
        <v/>
      </c>
      <c r="Z72" t="str">
        <f ca="1">IFERROR(__xludf.DUMMYFUNCTION("""COMPUTED_VALUE"""),"")</f>
        <v/>
      </c>
      <c r="AA72" t="str">
        <f ca="1">IFERROR(__xludf.DUMMYFUNCTION("""COMPUTED_VALUE"""),"Pas de commande")</f>
        <v>Pas de commande</v>
      </c>
      <c r="AB72" s="8" t="str">
        <f ca="1">IFERROR(__xludf.DUMMYFUNCTION("""COMPUTED_VALUE"""),"")</f>
        <v/>
      </c>
      <c r="AC72" s="8" t="str">
        <f ca="1">IFERROR(__xludf.DUMMYFUNCTION("""COMPUTED_VALUE"""),"")</f>
        <v/>
      </c>
      <c r="AD72" s="11" t="str">
        <f ca="1">IFERROR(__xludf.DUMMYFUNCTION("""COMPUTED_VALUE"""),"")</f>
        <v/>
      </c>
      <c r="AE72" t="str">
        <f ca="1">IFERROR(__xludf.DUMMYFUNCTION("""COMPUTED_VALUE"""),"")</f>
        <v/>
      </c>
    </row>
    <row r="73" spans="1:31" ht="12.75" x14ac:dyDescent="0.2">
      <c r="A73">
        <f ca="1">IFERROR(__xludf.DUMMYFUNCTION("""COMPUTED_VALUE"""),69178)</f>
        <v>69178</v>
      </c>
      <c r="B73" t="str">
        <f ca="1">IFERROR(__xludf.DUMMYFUNCTION("""COMPUTED_VALUE"""),"BEAUCOURT")</f>
        <v>BEAUCOURT</v>
      </c>
      <c r="C73" t="str">
        <f ca="1">IFERROR(__xludf.DUMMYFUNCTION("""COMPUTED_VALUE"""),"U Express")</f>
        <v>U Express</v>
      </c>
      <c r="D73" t="str">
        <f ca="1">IFERROR(__xludf.DUMMYFUNCTION("""COMPUTED_VALUE"""),"Coop U Enseigne Est")</f>
        <v>Coop U Enseigne Est</v>
      </c>
      <c r="E73">
        <f ca="1">IFERROR(__xludf.DUMMYFUNCTION("""COMPUTED_VALUE"""),90500)</f>
        <v>90500</v>
      </c>
      <c r="F73" t="str">
        <f ca="1">IFERROR(__xludf.DUMMYFUNCTION("""COMPUTED_VALUE"""),"Rue Alfred Pechin")</f>
        <v>Rue Alfred Pechin</v>
      </c>
      <c r="G73" t="str">
        <f ca="1">IFERROR(__xludf.DUMMYFUNCTION("""COMPUTED_VALUE"""),"03.84.56.59.03")</f>
        <v>03.84.56.59.03</v>
      </c>
      <c r="H73" t="str">
        <f ca="1">IFERROR(__xludf.DUMMYFUNCTION("""COMPUTED_VALUE"""),"BOURGEAT Jérôme")</f>
        <v>BOURGEAT Jérôme</v>
      </c>
      <c r="I73" t="str">
        <f ca="1">IFERROR(__xludf.DUMMYFUNCTION("""COMPUTED_VALUE"""),"jerome.bourgeat@systeme-u.fr")</f>
        <v>jerome.bourgeat@systeme-u.fr</v>
      </c>
      <c r="J73" t="str">
        <f ca="1">IFERROR(__xludf.DUMMYFUNCTION("""COMPUTED_VALUE"""),"Mr Mauvais 
Sandrine (comptable)")</f>
        <v>Mr Mauvais 
Sandrine (comptable)</v>
      </c>
      <c r="K73" t="str">
        <f ca="1">IFERROR(__xludf.DUMMYFUNCTION("""COMPUTED_VALUE"""),"superu.beaucourt.compta@systeme-u.fr")</f>
        <v>superu.beaucourt.compta@systeme-u.fr</v>
      </c>
      <c r="L73" t="str">
        <f ca="1">IFERROR(__xludf.DUMMYFUNCTION("""COMPUTED_VALUE"""),"")</f>
        <v/>
      </c>
      <c r="M73" t="str">
        <f ca="1">IFERROR(__xludf.DUMMYFUNCTION("""COMPUTED_VALUE"""),"99.Hors Périmetre")</f>
        <v>99.Hors Périmetre</v>
      </c>
      <c r="N73" t="str">
        <f ca="1">IFERROR(__xludf.DUMMYFUNCTION("""COMPUTED_VALUE"""),"")</f>
        <v/>
      </c>
      <c r="O73" t="str">
        <f ca="1">IFERROR(__xludf.DUMMYFUNCTION("""COMPUTED_VALUE"""),"")</f>
        <v/>
      </c>
      <c r="P73" t="str">
        <f ca="1">IFERROR(__xludf.DUMMYFUNCTION("""COMPUTED_VALUE"""),"")</f>
        <v/>
      </c>
      <c r="Q73" s="5" t="str">
        <f ca="1">IFERROR(__xludf.DUMMYFUNCTION("""COMPUTED_VALUE"""),"")</f>
        <v/>
      </c>
      <c r="R73" s="6" t="str">
        <f ca="1">IFERROR(__xludf.DUMMYFUNCTION("""COMPUTED_VALUE"""),"")</f>
        <v/>
      </c>
      <c r="S73" t="str">
        <f ca="1">IFERROR(__xludf.DUMMYFUNCTION("""COMPUTED_VALUE"""),"")</f>
        <v/>
      </c>
      <c r="T73" t="str">
        <f ca="1">IFERROR(__xludf.DUMMYFUNCTION("""COMPUTED_VALUE"""),"")</f>
        <v/>
      </c>
      <c r="U73" t="str">
        <f ca="1">IFERROR(__xludf.DUMMYFUNCTION("""COMPUTED_VALUE"""),"")</f>
        <v/>
      </c>
      <c r="V73" t="str">
        <f ca="1">IFERROR(__xludf.DUMMYFUNCTION("""COMPUTED_VALUE"""),"")</f>
        <v/>
      </c>
      <c r="W73" t="str">
        <f ca="1">IFERROR(__xludf.DUMMYFUNCTION("""COMPUTED_VALUE"""),"")</f>
        <v/>
      </c>
      <c r="X73" t="str">
        <f ca="1">IFERROR(__xludf.DUMMYFUNCTION("""COMPUTED_VALUE"""),"")</f>
        <v/>
      </c>
      <c r="Y73" t="str">
        <f ca="1">IFERROR(__xludf.DUMMYFUNCTION("""COMPUTED_VALUE"""),"")</f>
        <v/>
      </c>
      <c r="Z73" t="str">
        <f ca="1">IFERROR(__xludf.DUMMYFUNCTION("""COMPUTED_VALUE"""),"")</f>
        <v/>
      </c>
      <c r="AA73" t="str">
        <f ca="1">IFERROR(__xludf.DUMMYFUNCTION("""COMPUTED_VALUE"""),"Pas de commande")</f>
        <v>Pas de commande</v>
      </c>
      <c r="AB73" s="8" t="str">
        <f ca="1">IFERROR(__xludf.DUMMYFUNCTION("""COMPUTED_VALUE"""),"")</f>
        <v/>
      </c>
      <c r="AC73" s="8" t="str">
        <f ca="1">IFERROR(__xludf.DUMMYFUNCTION("""COMPUTED_VALUE"""),"")</f>
        <v/>
      </c>
      <c r="AD73" s="11" t="str">
        <f ca="1">IFERROR(__xludf.DUMMYFUNCTION("""COMPUTED_VALUE"""),"")</f>
        <v/>
      </c>
      <c r="AE73" t="str">
        <f ca="1">IFERROR(__xludf.DUMMYFUNCTION("""COMPUTED_VALUE"""),"")</f>
        <v/>
      </c>
    </row>
    <row r="74" spans="1:31" ht="12.75" x14ac:dyDescent="0.2">
      <c r="A74">
        <f ca="1">IFERROR(__xludf.DUMMYFUNCTION("""COMPUTED_VALUE"""),35282)</f>
        <v>35282</v>
      </c>
      <c r="B74" t="str">
        <f ca="1">IFERROR(__xludf.DUMMYFUNCTION("""COMPUTED_VALUE"""),"BEAUCOUZE")</f>
        <v>BEAUCOUZE</v>
      </c>
      <c r="C74" t="str">
        <f ca="1">IFERROR(__xludf.DUMMYFUNCTION("""COMPUTED_VALUE"""),"Super U")</f>
        <v>Super U</v>
      </c>
      <c r="D74" t="str">
        <f ca="1">IFERROR(__xludf.DUMMYFUNCTION("""COMPUTED_VALUE"""),"Coop U Enseigne Ouest")</f>
        <v>Coop U Enseigne Ouest</v>
      </c>
      <c r="E74">
        <f ca="1">IFERROR(__xludf.DUMMYFUNCTION("""COMPUTED_VALUE"""),49070)</f>
        <v>49070</v>
      </c>
      <c r="F74" t="str">
        <f ca="1">IFERROR(__xludf.DUMMYFUNCTION("""COMPUTED_VALUE"""),"RUE DU BOURG DE PAILLE")</f>
        <v>RUE DU BOURG DE PAILLE</v>
      </c>
      <c r="G74" t="str">
        <f ca="1">IFERROR(__xludf.DUMMYFUNCTION("""COMPUTED_VALUE"""),"02.41.36.00.24")</f>
        <v>02.41.36.00.24</v>
      </c>
      <c r="H74" t="str">
        <f ca="1">IFERROR(__xludf.DUMMYFUNCTION("""COMPUTED_VALUE"""),"BLOND Jean-Jacques")</f>
        <v>BLOND Jean-Jacques</v>
      </c>
      <c r="I74" t="str">
        <f ca="1">IFERROR(__xludf.DUMMYFUNCTION("""COMPUTED_VALUE"""),"jean-jacques.blond@systeme-u.fr")</f>
        <v>jean-jacques.blond@systeme-u.fr</v>
      </c>
      <c r="J74" t="str">
        <f ca="1">IFERROR(__xludf.DUMMYFUNCTION("""COMPUTED_VALUE"""),"Mme Roulois")</f>
        <v>Mme Roulois</v>
      </c>
      <c r="K74" t="str">
        <f ca="1">IFERROR(__xludf.DUMMYFUNCTION("""COMPUTED_VALUE"""),"superu.beaucouze.rh@systeme-u.fr")</f>
        <v>superu.beaucouze.rh@systeme-u.fr</v>
      </c>
      <c r="L74" t="str">
        <f ca="1">IFERROR(__xludf.DUMMYFUNCTION("""COMPUTED_VALUE"""),"")</f>
        <v/>
      </c>
      <c r="M74" t="str">
        <f ca="1">IFERROR(__xludf.DUMMYFUNCTION("""COMPUTED_VALUE"""),"99.Hors Périmetre")</f>
        <v>99.Hors Périmetre</v>
      </c>
      <c r="N74" t="str">
        <f ca="1">IFERROR(__xludf.DUMMYFUNCTION("""COMPUTED_VALUE"""),"")</f>
        <v/>
      </c>
      <c r="O74" t="str">
        <f ca="1">IFERROR(__xludf.DUMMYFUNCTION("""COMPUTED_VALUE"""),"")</f>
        <v/>
      </c>
      <c r="P74" t="str">
        <f ca="1">IFERROR(__xludf.DUMMYFUNCTION("""COMPUTED_VALUE"""),"")</f>
        <v/>
      </c>
      <c r="Q74" s="5" t="str">
        <f ca="1">IFERROR(__xludf.DUMMYFUNCTION("""COMPUTED_VALUE"""),"")</f>
        <v/>
      </c>
      <c r="R74" s="6" t="str">
        <f ca="1">IFERROR(__xludf.DUMMYFUNCTION("""COMPUTED_VALUE"""),"")</f>
        <v/>
      </c>
      <c r="S74" t="str">
        <f ca="1">IFERROR(__xludf.DUMMYFUNCTION("""COMPUTED_VALUE"""),"")</f>
        <v/>
      </c>
      <c r="T74" t="str">
        <f ca="1">IFERROR(__xludf.DUMMYFUNCTION("""COMPUTED_VALUE"""),"")</f>
        <v/>
      </c>
      <c r="U74" t="str">
        <f ca="1">IFERROR(__xludf.DUMMYFUNCTION("""COMPUTED_VALUE"""),"")</f>
        <v/>
      </c>
      <c r="V74" t="str">
        <f ca="1">IFERROR(__xludf.DUMMYFUNCTION("""COMPUTED_VALUE"""),"")</f>
        <v/>
      </c>
      <c r="W74" t="str">
        <f ca="1">IFERROR(__xludf.DUMMYFUNCTION("""COMPUTED_VALUE"""),"")</f>
        <v/>
      </c>
      <c r="X74" t="str">
        <f ca="1">IFERROR(__xludf.DUMMYFUNCTION("""COMPUTED_VALUE"""),"")</f>
        <v/>
      </c>
      <c r="Y74" t="str">
        <f ca="1">IFERROR(__xludf.DUMMYFUNCTION("""COMPUTED_VALUE"""),"")</f>
        <v/>
      </c>
      <c r="Z74" t="str">
        <f ca="1">IFERROR(__xludf.DUMMYFUNCTION("""COMPUTED_VALUE"""),"")</f>
        <v/>
      </c>
      <c r="AA74" t="str">
        <f ca="1">IFERROR(__xludf.DUMMYFUNCTION("""COMPUTED_VALUE"""),"Pas de commande")</f>
        <v>Pas de commande</v>
      </c>
      <c r="AB74" s="8" t="str">
        <f ca="1">IFERROR(__xludf.DUMMYFUNCTION("""COMPUTED_VALUE"""),"")</f>
        <v/>
      </c>
      <c r="AC74" s="8" t="str">
        <f ca="1">IFERROR(__xludf.DUMMYFUNCTION("""COMPUTED_VALUE"""),"")</f>
        <v/>
      </c>
      <c r="AD74" s="11" t="str">
        <f ca="1">IFERROR(__xludf.DUMMYFUNCTION("""COMPUTED_VALUE"""),"")</f>
        <v/>
      </c>
      <c r="AE74" t="str">
        <f ca="1">IFERROR(__xludf.DUMMYFUNCTION("""COMPUTED_VALUE"""),"")</f>
        <v/>
      </c>
    </row>
    <row r="75" spans="1:31" ht="12.75" x14ac:dyDescent="0.2">
      <c r="A75">
        <f ca="1">IFERROR(__xludf.DUMMYFUNCTION("""COMPUTED_VALUE"""),90465)</f>
        <v>90465</v>
      </c>
      <c r="B75" t="str">
        <f ca="1">IFERROR(__xludf.DUMMYFUNCTION("""COMPUTED_VALUE"""),"BEAULIEU-SUR-MER")</f>
        <v>BEAULIEU-SUR-MER</v>
      </c>
      <c r="C75" t="str">
        <f ca="1">IFERROR(__xludf.DUMMYFUNCTION("""COMPUTED_VALUE"""),"Super U")</f>
        <v>Super U</v>
      </c>
      <c r="D75" t="str">
        <f ca="1">IFERROR(__xludf.DUMMYFUNCTION("""COMPUTED_VALUE"""),"Coop U Enseigne Sud")</f>
        <v>Coop U Enseigne Sud</v>
      </c>
      <c r="E75">
        <f ca="1">IFERROR(__xludf.DUMMYFUNCTION("""COMPUTED_VALUE"""),6310)</f>
        <v>6310</v>
      </c>
      <c r="F75" t="str">
        <f ca="1">IFERROR(__xludf.DUMMYFUNCTION("""COMPUTED_VALUE"""),"1 RUE DU 8 MAI 1945")</f>
        <v>1 RUE DU 8 MAI 1945</v>
      </c>
      <c r="G75" t="str">
        <f ca="1">IFERROR(__xludf.DUMMYFUNCTION("""COMPUTED_VALUE"""),"04.93.01.04.61")</f>
        <v>04.93.01.04.61</v>
      </c>
      <c r="H75" t="str">
        <f ca="1">IFERROR(__xludf.DUMMYFUNCTION("""COMPUTED_VALUE"""),"BOURASSIN Clement")</f>
        <v>BOURASSIN Clement</v>
      </c>
      <c r="I75" t="str">
        <f ca="1">IFERROR(__xludf.DUMMYFUNCTION("""COMPUTED_VALUE"""),"clement.bourassin@systeme-u.fr")</f>
        <v>clement.bourassin@systeme-u.fr</v>
      </c>
      <c r="J75" t="str">
        <f ca="1">IFERROR(__xludf.DUMMYFUNCTION("""COMPUTED_VALUE"""),"Mr Mercier / Christophe HARDY")</f>
        <v>Mr Mercier / Christophe HARDY</v>
      </c>
      <c r="K75" t="str">
        <f ca="1">IFERROR(__xludf.DUMMYFUNCTION("""COMPUTED_VALUE"""),"benoit.bourassin@systeme-u.fr,superu.beaulieu@systeme-u.fr,superu.beaulieu.maintenance@systeme-u.fr")</f>
        <v>benoit.bourassin@systeme-u.fr,superu.beaulieu@systeme-u.fr,superu.beaulieu.maintenance@systeme-u.fr</v>
      </c>
      <c r="L75" t="str">
        <f ca="1">IFERROR(__xludf.DUMMYFUNCTION("""COMPUTED_VALUE"""),"")</f>
        <v/>
      </c>
      <c r="M75" t="str">
        <f ca="1">IFERROR(__xludf.DUMMYFUNCTION("""COMPUTED_VALUE"""),"99.Hors Périmetre")</f>
        <v>99.Hors Périmetre</v>
      </c>
      <c r="N75" t="str">
        <f ca="1">IFERROR(__xludf.DUMMYFUNCTION("""COMPUTED_VALUE"""),"")</f>
        <v/>
      </c>
      <c r="O75" t="str">
        <f ca="1">IFERROR(__xludf.DUMMYFUNCTION("""COMPUTED_VALUE"""),"")</f>
        <v/>
      </c>
      <c r="P75" t="str">
        <f ca="1">IFERROR(__xludf.DUMMYFUNCTION("""COMPUTED_VALUE"""),"")</f>
        <v/>
      </c>
      <c r="Q75" s="5" t="str">
        <f ca="1">IFERROR(__xludf.DUMMYFUNCTION("""COMPUTED_VALUE"""),"")</f>
        <v/>
      </c>
      <c r="R75" s="6" t="str">
        <f ca="1">IFERROR(__xludf.DUMMYFUNCTION("""COMPUTED_VALUE"""),"")</f>
        <v/>
      </c>
      <c r="S75" t="str">
        <f ca="1">IFERROR(__xludf.DUMMYFUNCTION("""COMPUTED_VALUE"""),"")</f>
        <v/>
      </c>
      <c r="T75" t="str">
        <f ca="1">IFERROR(__xludf.DUMMYFUNCTION("""COMPUTED_VALUE"""),"")</f>
        <v/>
      </c>
      <c r="U75" t="str">
        <f ca="1">IFERROR(__xludf.DUMMYFUNCTION("""COMPUTED_VALUE"""),"")</f>
        <v/>
      </c>
      <c r="V75" t="str">
        <f ca="1">IFERROR(__xludf.DUMMYFUNCTION("""COMPUTED_VALUE"""),"")</f>
        <v/>
      </c>
      <c r="W75" t="str">
        <f ca="1">IFERROR(__xludf.DUMMYFUNCTION("""COMPUTED_VALUE"""),"")</f>
        <v/>
      </c>
      <c r="X75" t="str">
        <f ca="1">IFERROR(__xludf.DUMMYFUNCTION("""COMPUTED_VALUE"""),"")</f>
        <v/>
      </c>
      <c r="Y75" t="str">
        <f ca="1">IFERROR(__xludf.DUMMYFUNCTION("""COMPUTED_VALUE"""),"")</f>
        <v/>
      </c>
      <c r="Z75" t="str">
        <f ca="1">IFERROR(__xludf.DUMMYFUNCTION("""COMPUTED_VALUE"""),"")</f>
        <v/>
      </c>
      <c r="AA75" t="str">
        <f ca="1">IFERROR(__xludf.DUMMYFUNCTION("""COMPUTED_VALUE"""),"Pas de commande")</f>
        <v>Pas de commande</v>
      </c>
      <c r="AB75" s="8" t="str">
        <f ca="1">IFERROR(__xludf.DUMMYFUNCTION("""COMPUTED_VALUE"""),"")</f>
        <v/>
      </c>
      <c r="AC75" s="8" t="str">
        <f ca="1">IFERROR(__xludf.DUMMYFUNCTION("""COMPUTED_VALUE"""),"")</f>
        <v/>
      </c>
      <c r="AD75" s="11" t="str">
        <f ca="1">IFERROR(__xludf.DUMMYFUNCTION("""COMPUTED_VALUE"""),"")</f>
        <v/>
      </c>
      <c r="AE75" t="str">
        <f ca="1">IFERROR(__xludf.DUMMYFUNCTION("""COMPUTED_VALUE"""),"")</f>
        <v/>
      </c>
    </row>
    <row r="76" spans="1:31" ht="12.75" x14ac:dyDescent="0.2">
      <c r="A76">
        <f ca="1">IFERROR(__xludf.DUMMYFUNCTION("""COMPUTED_VALUE"""),90637)</f>
        <v>90637</v>
      </c>
      <c r="B76" t="str">
        <f ca="1">IFERROR(__xludf.DUMMYFUNCTION("""COMPUTED_VALUE"""),"BEAUMES VENISE")</f>
        <v>BEAUMES VENISE</v>
      </c>
      <c r="C76" t="str">
        <f ca="1">IFERROR(__xludf.DUMMYFUNCTION("""COMPUTED_VALUE"""),"U Express")</f>
        <v>U Express</v>
      </c>
      <c r="D76" t="str">
        <f ca="1">IFERROR(__xludf.DUMMYFUNCTION("""COMPUTED_VALUE"""),"Coop MISTRAL")</f>
        <v>Coop MISTRAL</v>
      </c>
      <c r="E76">
        <f ca="1">IFERROR(__xludf.DUMMYFUNCTION("""COMPUTED_VALUE"""),84190)</f>
        <v>84190</v>
      </c>
      <c r="F76" t="str">
        <f ca="1">IFERROR(__xludf.DUMMYFUNCTION("""COMPUTED_VALUE"""),"9 PLACE DU MARCHE")</f>
        <v>9 PLACE DU MARCHE</v>
      </c>
      <c r="G76" t="str">
        <f ca="1">IFERROR(__xludf.DUMMYFUNCTION("""COMPUTED_VALUE"""),"04.90.62.94.77")</f>
        <v>04.90.62.94.77</v>
      </c>
      <c r="H76" t="str">
        <f ca="1">IFERROR(__xludf.DUMMYFUNCTION("""COMPUTED_VALUE"""),"ET FRANCOIS COCO GILLES GROS")</f>
        <v>ET FRANCOIS COCO GILLES GROS</v>
      </c>
      <c r="I76" t="str">
        <f ca="1">IFERROR(__xludf.DUMMYFUNCTION("""COMPUTED_VALUE"""),"")</f>
        <v/>
      </c>
      <c r="J76" t="str">
        <f ca="1">IFERROR(__xludf.DUMMYFUNCTION("""COMPUTED_VALUE"""),"COCO François")</f>
        <v>COCO François</v>
      </c>
      <c r="K76" t="str">
        <f ca="1">IFERROR(__xludf.DUMMYFUNCTION("""COMPUTED_VALUE"""),"delphine.damian@lemistral.fr,helene.mina@lemistral.fr")</f>
        <v>delphine.damian@lemistral.fr,helene.mina@lemistral.fr</v>
      </c>
      <c r="L76" t="str">
        <f ca="1">IFERROR(__xludf.DUMMYFUNCTION("""COMPUTED_VALUE"""),"")</f>
        <v/>
      </c>
      <c r="M76" t="str">
        <f ca="1">IFERROR(__xludf.DUMMYFUNCTION("""COMPUTED_VALUE"""),"99.Hors Périmetre")</f>
        <v>99.Hors Périmetre</v>
      </c>
      <c r="N76" t="str">
        <f ca="1">IFERROR(__xludf.DUMMYFUNCTION("""COMPUTED_VALUE"""),"")</f>
        <v/>
      </c>
      <c r="O76" t="str">
        <f ca="1">IFERROR(__xludf.DUMMYFUNCTION("""COMPUTED_VALUE"""),"")</f>
        <v/>
      </c>
      <c r="P76" t="str">
        <f ca="1">IFERROR(__xludf.DUMMYFUNCTION("""COMPUTED_VALUE"""),"")</f>
        <v/>
      </c>
      <c r="Q76" s="5" t="str">
        <f ca="1">IFERROR(__xludf.DUMMYFUNCTION("""COMPUTED_VALUE"""),"")</f>
        <v/>
      </c>
      <c r="R76" s="6" t="str">
        <f ca="1">IFERROR(__xludf.DUMMYFUNCTION("""COMPUTED_VALUE"""),"")</f>
        <v/>
      </c>
      <c r="S76" t="str">
        <f ca="1">IFERROR(__xludf.DUMMYFUNCTION("""COMPUTED_VALUE"""),"")</f>
        <v/>
      </c>
      <c r="T76" t="str">
        <f ca="1">IFERROR(__xludf.DUMMYFUNCTION("""COMPUTED_VALUE"""),"")</f>
        <v/>
      </c>
      <c r="U76" t="str">
        <f ca="1">IFERROR(__xludf.DUMMYFUNCTION("""COMPUTED_VALUE"""),"")</f>
        <v/>
      </c>
      <c r="V76" t="str">
        <f ca="1">IFERROR(__xludf.DUMMYFUNCTION("""COMPUTED_VALUE"""),"")</f>
        <v/>
      </c>
      <c r="W76" t="str">
        <f ca="1">IFERROR(__xludf.DUMMYFUNCTION("""COMPUTED_VALUE"""),"")</f>
        <v/>
      </c>
      <c r="X76" t="str">
        <f ca="1">IFERROR(__xludf.DUMMYFUNCTION("""COMPUTED_VALUE"""),"")</f>
        <v/>
      </c>
      <c r="Y76" t="str">
        <f ca="1">IFERROR(__xludf.DUMMYFUNCTION("""COMPUTED_VALUE"""),"")</f>
        <v/>
      </c>
      <c r="Z76" t="str">
        <f ca="1">IFERROR(__xludf.DUMMYFUNCTION("""COMPUTED_VALUE"""),"")</f>
        <v/>
      </c>
      <c r="AA76" t="str">
        <f ca="1">IFERROR(__xludf.DUMMYFUNCTION("""COMPUTED_VALUE"""),"Pas de commande")</f>
        <v>Pas de commande</v>
      </c>
      <c r="AB76" s="8" t="str">
        <f ca="1">IFERROR(__xludf.DUMMYFUNCTION("""COMPUTED_VALUE"""),"")</f>
        <v/>
      </c>
      <c r="AC76" s="8" t="str">
        <f ca="1">IFERROR(__xludf.DUMMYFUNCTION("""COMPUTED_VALUE"""),"")</f>
        <v/>
      </c>
      <c r="AD76" s="11" t="str">
        <f ca="1">IFERROR(__xludf.DUMMYFUNCTION("""COMPUTED_VALUE"""),"")</f>
        <v/>
      </c>
      <c r="AE76" t="str">
        <f ca="1">IFERROR(__xludf.DUMMYFUNCTION("""COMPUTED_VALUE"""),"")</f>
        <v/>
      </c>
    </row>
    <row r="77" spans="1:31" ht="12.75" x14ac:dyDescent="0.2">
      <c r="A77">
        <f ca="1">IFERROR(__xludf.DUMMYFUNCTION("""COMPUTED_VALUE"""),23409)</f>
        <v>23409</v>
      </c>
      <c r="B77" t="str">
        <f ca="1">IFERROR(__xludf.DUMMYFUNCTION("""COMPUTED_VALUE"""),"BEAUMONT HAGUE")</f>
        <v>BEAUMONT HAGUE</v>
      </c>
      <c r="C77" t="str">
        <f ca="1">IFERROR(__xludf.DUMMYFUNCTION("""COMPUTED_VALUE"""),"Super U")</f>
        <v>Super U</v>
      </c>
      <c r="D77" t="str">
        <f ca="1">IFERROR(__xludf.DUMMYFUNCTION("""COMPUTED_VALUE"""),"Coop U Enseigne NordOuest")</f>
        <v>Coop U Enseigne NordOuest</v>
      </c>
      <c r="E77">
        <f ca="1">IFERROR(__xludf.DUMMYFUNCTION("""COMPUTED_VALUE"""),50440)</f>
        <v>50440</v>
      </c>
      <c r="F77" t="str">
        <f ca="1">IFERROR(__xludf.DUMMYFUNCTION("""COMPUTED_VALUE"""),"7 RUE DU VIEUX CHEMIN")</f>
        <v>7 RUE DU VIEUX CHEMIN</v>
      </c>
      <c r="G77" t="str">
        <f ca="1">IFERROR(__xludf.DUMMYFUNCTION("""COMPUTED_VALUE"""),"02.33.08.20.20")</f>
        <v>02.33.08.20.20</v>
      </c>
      <c r="H77" t="str">
        <f ca="1">IFERROR(__xludf.DUMMYFUNCTION("""COMPUTED_VALUE"""),"GAIGNARD Christian")</f>
        <v>GAIGNARD Christian</v>
      </c>
      <c r="I77" t="str">
        <f ca="1">IFERROR(__xludf.DUMMYFUNCTION("""COMPUTED_VALUE"""),"christian.gaignard@systeme-u.fr")</f>
        <v>christian.gaignard@systeme-u.fr</v>
      </c>
      <c r="J77" t="str">
        <f ca="1">IFERROR(__xludf.DUMMYFUNCTION("""COMPUTED_VALUE"""),"M Olivier Hervé")</f>
        <v>M Olivier Hervé</v>
      </c>
      <c r="K77" t="str">
        <f ca="1">IFERROR(__xludf.DUMMYFUNCTION("""COMPUTED_VALUE"""),"herve.olivier@systeme-u.fr")</f>
        <v>herve.olivier@systeme-u.fr</v>
      </c>
      <c r="L77" t="str">
        <f ca="1">IFERROR(__xludf.DUMMYFUNCTION("""COMPUTED_VALUE"""),"")</f>
        <v/>
      </c>
      <c r="M77" t="str">
        <f ca="1">IFERROR(__xludf.DUMMYFUNCTION("""COMPUTED_VALUE"""),"99.Hors Périmetre")</f>
        <v>99.Hors Périmetre</v>
      </c>
      <c r="N77" t="str">
        <f ca="1">IFERROR(__xludf.DUMMYFUNCTION("""COMPUTED_VALUE"""),"")</f>
        <v/>
      </c>
      <c r="O77" t="str">
        <f ca="1">IFERROR(__xludf.DUMMYFUNCTION("""COMPUTED_VALUE"""),"")</f>
        <v/>
      </c>
      <c r="P77" t="str">
        <f ca="1">IFERROR(__xludf.DUMMYFUNCTION("""COMPUTED_VALUE"""),"")</f>
        <v/>
      </c>
      <c r="Q77" s="5" t="str">
        <f ca="1">IFERROR(__xludf.DUMMYFUNCTION("""COMPUTED_VALUE"""),"")</f>
        <v/>
      </c>
      <c r="R77" s="6" t="str">
        <f ca="1">IFERROR(__xludf.DUMMYFUNCTION("""COMPUTED_VALUE"""),"")</f>
        <v/>
      </c>
      <c r="S77" t="str">
        <f ca="1">IFERROR(__xludf.DUMMYFUNCTION("""COMPUTED_VALUE"""),"")</f>
        <v/>
      </c>
      <c r="T77" t="str">
        <f ca="1">IFERROR(__xludf.DUMMYFUNCTION("""COMPUTED_VALUE"""),"")</f>
        <v/>
      </c>
      <c r="U77" t="str">
        <f ca="1">IFERROR(__xludf.DUMMYFUNCTION("""COMPUTED_VALUE"""),"")</f>
        <v/>
      </c>
      <c r="V77" t="str">
        <f ca="1">IFERROR(__xludf.DUMMYFUNCTION("""COMPUTED_VALUE"""),"")</f>
        <v/>
      </c>
      <c r="W77" t="str">
        <f ca="1">IFERROR(__xludf.DUMMYFUNCTION("""COMPUTED_VALUE"""),"")</f>
        <v/>
      </c>
      <c r="X77" t="str">
        <f ca="1">IFERROR(__xludf.DUMMYFUNCTION("""COMPUTED_VALUE"""),"")</f>
        <v/>
      </c>
      <c r="Y77" t="str">
        <f ca="1">IFERROR(__xludf.DUMMYFUNCTION("""COMPUTED_VALUE"""),"")</f>
        <v/>
      </c>
      <c r="Z77" t="str">
        <f ca="1">IFERROR(__xludf.DUMMYFUNCTION("""COMPUTED_VALUE"""),"")</f>
        <v/>
      </c>
      <c r="AA77" t="str">
        <f ca="1">IFERROR(__xludf.DUMMYFUNCTION("""COMPUTED_VALUE"""),"Pas de commande")</f>
        <v>Pas de commande</v>
      </c>
      <c r="AB77" s="8" t="str">
        <f ca="1">IFERROR(__xludf.DUMMYFUNCTION("""COMPUTED_VALUE"""),"")</f>
        <v/>
      </c>
      <c r="AC77" s="8" t="str">
        <f ca="1">IFERROR(__xludf.DUMMYFUNCTION("""COMPUTED_VALUE"""),"")</f>
        <v/>
      </c>
      <c r="AD77" s="11" t="str">
        <f ca="1">IFERROR(__xludf.DUMMYFUNCTION("""COMPUTED_VALUE"""),"")</f>
        <v/>
      </c>
      <c r="AE77" t="str">
        <f ca="1">IFERROR(__xludf.DUMMYFUNCTION("""COMPUTED_VALUE"""),"")</f>
        <v/>
      </c>
    </row>
    <row r="78" spans="1:31" ht="12.75" x14ac:dyDescent="0.2">
      <c r="A78">
        <f ca="1">IFERROR(__xludf.DUMMYFUNCTION("""COMPUTED_VALUE"""),90464)</f>
        <v>90464</v>
      </c>
      <c r="B78" t="str">
        <f ca="1">IFERROR(__xludf.DUMMYFUNCTION("""COMPUTED_VALUE"""),"BEAUMONT LES VALENCE")</f>
        <v>BEAUMONT LES VALENCE</v>
      </c>
      <c r="C78" t="str">
        <f ca="1">IFERROR(__xludf.DUMMYFUNCTION("""COMPUTED_VALUE"""),"Super U")</f>
        <v>Super U</v>
      </c>
      <c r="D78" t="str">
        <f ca="1">IFERROR(__xludf.DUMMYFUNCTION("""COMPUTED_VALUE"""),"Coop U Enseigne Sud")</f>
        <v>Coop U Enseigne Sud</v>
      </c>
      <c r="E78">
        <f ca="1">IFERROR(__xludf.DUMMYFUNCTION("""COMPUTED_VALUE"""),26760)</f>
        <v>26760</v>
      </c>
      <c r="F78" t="str">
        <f ca="1">IFERROR(__xludf.DUMMYFUNCTION("""COMPUTED_VALUE"""),"D.538 ROUTE DE VALENCE")</f>
        <v>D.538 ROUTE DE VALENCE</v>
      </c>
      <c r="G78" t="str">
        <f ca="1">IFERROR(__xludf.DUMMYFUNCTION("""COMPUTED_VALUE"""),"04.75.59.45.00")</f>
        <v>04.75.59.45.00</v>
      </c>
      <c r="H78" t="str">
        <f ca="1">IFERROR(__xludf.DUMMYFUNCTION("""COMPUTED_VALUE"""),"FOGERON Thierry")</f>
        <v>FOGERON Thierry</v>
      </c>
      <c r="I78" t="str">
        <f ca="1">IFERROR(__xludf.DUMMYFUNCTION("""COMPUTED_VALUE"""),"thierry.fogeron@systeme-u.fr")</f>
        <v>thierry.fogeron@systeme-u.fr</v>
      </c>
      <c r="J78" t="str">
        <f ca="1">IFERROR(__xludf.DUMMYFUNCTION("""COMPUTED_VALUE"""),"")</f>
        <v/>
      </c>
      <c r="K78" t="str">
        <f ca="1">IFERROR(__xludf.DUMMYFUNCTION("""COMPUTED_VALUE"""),"")</f>
        <v/>
      </c>
      <c r="L78" t="str">
        <f ca="1">IFERROR(__xludf.DUMMYFUNCTION("""COMPUTED_VALUE"""),"")</f>
        <v/>
      </c>
      <c r="M78" t="str">
        <f ca="1">IFERROR(__xludf.DUMMYFUNCTION("""COMPUTED_VALUE"""),"99.Hors Périmetre")</f>
        <v>99.Hors Périmetre</v>
      </c>
      <c r="N78" t="str">
        <f ca="1">IFERROR(__xludf.DUMMYFUNCTION("""COMPUTED_VALUE"""),"")</f>
        <v/>
      </c>
      <c r="O78" t="str">
        <f ca="1">IFERROR(__xludf.DUMMYFUNCTION("""COMPUTED_VALUE"""),"")</f>
        <v/>
      </c>
      <c r="P78" t="str">
        <f ca="1">IFERROR(__xludf.DUMMYFUNCTION("""COMPUTED_VALUE"""),"")</f>
        <v/>
      </c>
      <c r="Q78" s="5" t="str">
        <f ca="1">IFERROR(__xludf.DUMMYFUNCTION("""COMPUTED_VALUE"""),"")</f>
        <v/>
      </c>
      <c r="R78" s="6" t="str">
        <f ca="1">IFERROR(__xludf.DUMMYFUNCTION("""COMPUTED_VALUE"""),"")</f>
        <v/>
      </c>
      <c r="S78" t="str">
        <f ca="1">IFERROR(__xludf.DUMMYFUNCTION("""COMPUTED_VALUE"""),"")</f>
        <v/>
      </c>
      <c r="T78" t="str">
        <f ca="1">IFERROR(__xludf.DUMMYFUNCTION("""COMPUTED_VALUE"""),"")</f>
        <v/>
      </c>
      <c r="U78" t="str">
        <f ca="1">IFERROR(__xludf.DUMMYFUNCTION("""COMPUTED_VALUE"""),"")</f>
        <v/>
      </c>
      <c r="V78" t="str">
        <f ca="1">IFERROR(__xludf.DUMMYFUNCTION("""COMPUTED_VALUE"""),"")</f>
        <v/>
      </c>
      <c r="W78" t="str">
        <f ca="1">IFERROR(__xludf.DUMMYFUNCTION("""COMPUTED_VALUE"""),"")</f>
        <v/>
      </c>
      <c r="X78" t="str">
        <f ca="1">IFERROR(__xludf.DUMMYFUNCTION("""COMPUTED_VALUE"""),"")</f>
        <v/>
      </c>
      <c r="Y78" t="str">
        <f ca="1">IFERROR(__xludf.DUMMYFUNCTION("""COMPUTED_VALUE"""),"")</f>
        <v/>
      </c>
      <c r="Z78" t="str">
        <f ca="1">IFERROR(__xludf.DUMMYFUNCTION("""COMPUTED_VALUE"""),"")</f>
        <v/>
      </c>
      <c r="AA78" t="str">
        <f ca="1">IFERROR(__xludf.DUMMYFUNCTION("""COMPUTED_VALUE"""),"Pas de commande")</f>
        <v>Pas de commande</v>
      </c>
      <c r="AB78" s="8" t="str">
        <f ca="1">IFERROR(__xludf.DUMMYFUNCTION("""COMPUTED_VALUE"""),"")</f>
        <v/>
      </c>
      <c r="AC78" s="8" t="str">
        <f ca="1">IFERROR(__xludf.DUMMYFUNCTION("""COMPUTED_VALUE"""),"")</f>
        <v/>
      </c>
      <c r="AD78" s="11" t="str">
        <f ca="1">IFERROR(__xludf.DUMMYFUNCTION("""COMPUTED_VALUE"""),"")</f>
        <v/>
      </c>
      <c r="AE78" t="str">
        <f ca="1">IFERROR(__xludf.DUMMYFUNCTION("""COMPUTED_VALUE"""),"")</f>
        <v/>
      </c>
    </row>
    <row r="79" spans="1:31" ht="12.75" x14ac:dyDescent="0.2">
      <c r="A79">
        <f ca="1">IFERROR(__xludf.DUMMYFUNCTION("""COMPUTED_VALUE"""),30426)</f>
        <v>30426</v>
      </c>
      <c r="B79" t="str">
        <f ca="1">IFERROR(__xludf.DUMMYFUNCTION("""COMPUTED_VALUE"""),"BEAUMONT-SUR-SARTHE")</f>
        <v>BEAUMONT-SUR-SARTHE</v>
      </c>
      <c r="C79" t="str">
        <f ca="1">IFERROR(__xludf.DUMMYFUNCTION("""COMPUTED_VALUE"""),"Super U")</f>
        <v>Super U</v>
      </c>
      <c r="D79" t="str">
        <f ca="1">IFERROR(__xludf.DUMMYFUNCTION("""COMPUTED_VALUE"""),"Coop U Enseigne Ouest")</f>
        <v>Coop U Enseigne Ouest</v>
      </c>
      <c r="E79">
        <f ca="1">IFERROR(__xludf.DUMMYFUNCTION("""COMPUTED_VALUE"""),72170)</f>
        <v>72170</v>
      </c>
      <c r="F79" t="str">
        <f ca="1">IFERROR(__xludf.DUMMYFUNCTION("""COMPUTED_VALUE"""),"RUE HENRI DE NAVARRE")</f>
        <v>RUE HENRI DE NAVARRE</v>
      </c>
      <c r="G79" t="str">
        <f ca="1">IFERROR(__xludf.DUMMYFUNCTION("""COMPUTED_VALUE"""),"02.43.33.11.83")</f>
        <v>02.43.33.11.83</v>
      </c>
      <c r="H79" t="str">
        <f ca="1">IFERROR(__xludf.DUMMYFUNCTION("""COMPUTED_VALUE"""),"DEMARET Delphine")</f>
        <v>DEMARET Delphine</v>
      </c>
      <c r="I79" t="str">
        <f ca="1">IFERROR(__xludf.DUMMYFUNCTION("""COMPUTED_VALUE"""),"delphine.demaret@systeme-u.fr")</f>
        <v>delphine.demaret@systeme-u.fr</v>
      </c>
      <c r="J79" t="str">
        <f ca="1">IFERROR(__xludf.DUMMYFUNCTION("""COMPUTED_VALUE"""),"Mr Crochard")</f>
        <v>Mr Crochard</v>
      </c>
      <c r="K79" t="str">
        <f ca="1">IFERROR(__xludf.DUMMYFUNCTION("""COMPUTED_VALUE"""),"crochard.demaret@systeme-u.fr")</f>
        <v>crochard.demaret@systeme-u.fr</v>
      </c>
      <c r="L79" t="str">
        <f ca="1">IFERROR(__xludf.DUMMYFUNCTION("""COMPUTED_VALUE"""),"")</f>
        <v/>
      </c>
      <c r="M79" t="str">
        <f ca="1">IFERROR(__xludf.DUMMYFUNCTION("""COMPUTED_VALUE"""),"99.Hors Périmetre")</f>
        <v>99.Hors Périmetre</v>
      </c>
      <c r="N79" t="str">
        <f ca="1">IFERROR(__xludf.DUMMYFUNCTION("""COMPUTED_VALUE"""),"")</f>
        <v/>
      </c>
      <c r="O79" t="str">
        <f ca="1">IFERROR(__xludf.DUMMYFUNCTION("""COMPUTED_VALUE"""),"")</f>
        <v/>
      </c>
      <c r="P79" t="str">
        <f ca="1">IFERROR(__xludf.DUMMYFUNCTION("""COMPUTED_VALUE"""),"")</f>
        <v/>
      </c>
      <c r="Q79" s="5" t="str">
        <f ca="1">IFERROR(__xludf.DUMMYFUNCTION("""COMPUTED_VALUE"""),"")</f>
        <v/>
      </c>
      <c r="R79" s="6" t="str">
        <f ca="1">IFERROR(__xludf.DUMMYFUNCTION("""COMPUTED_VALUE"""),"")</f>
        <v/>
      </c>
      <c r="S79" t="str">
        <f ca="1">IFERROR(__xludf.DUMMYFUNCTION("""COMPUTED_VALUE"""),"")</f>
        <v/>
      </c>
      <c r="T79" t="str">
        <f ca="1">IFERROR(__xludf.DUMMYFUNCTION("""COMPUTED_VALUE"""),"")</f>
        <v/>
      </c>
      <c r="U79" t="str">
        <f ca="1">IFERROR(__xludf.DUMMYFUNCTION("""COMPUTED_VALUE"""),"")</f>
        <v/>
      </c>
      <c r="V79" t="str">
        <f ca="1">IFERROR(__xludf.DUMMYFUNCTION("""COMPUTED_VALUE"""),"")</f>
        <v/>
      </c>
      <c r="W79" t="str">
        <f ca="1">IFERROR(__xludf.DUMMYFUNCTION("""COMPUTED_VALUE"""),"")</f>
        <v/>
      </c>
      <c r="X79" t="str">
        <f ca="1">IFERROR(__xludf.DUMMYFUNCTION("""COMPUTED_VALUE"""),"")</f>
        <v/>
      </c>
      <c r="Y79" t="str">
        <f ca="1">IFERROR(__xludf.DUMMYFUNCTION("""COMPUTED_VALUE"""),"")</f>
        <v/>
      </c>
      <c r="Z79" t="str">
        <f ca="1">IFERROR(__xludf.DUMMYFUNCTION("""COMPUTED_VALUE"""),"")</f>
        <v/>
      </c>
      <c r="AA79" t="str">
        <f ca="1">IFERROR(__xludf.DUMMYFUNCTION("""COMPUTED_VALUE"""),"Pas de commande")</f>
        <v>Pas de commande</v>
      </c>
      <c r="AB79" s="8" t="str">
        <f ca="1">IFERROR(__xludf.DUMMYFUNCTION("""COMPUTED_VALUE"""),"")</f>
        <v/>
      </c>
      <c r="AC79" s="8" t="str">
        <f ca="1">IFERROR(__xludf.DUMMYFUNCTION("""COMPUTED_VALUE"""),"")</f>
        <v/>
      </c>
      <c r="AD79" s="11" t="str">
        <f ca="1">IFERROR(__xludf.DUMMYFUNCTION("""COMPUTED_VALUE"""),"")</f>
        <v/>
      </c>
      <c r="AE79" t="str">
        <f ca="1">IFERROR(__xludf.DUMMYFUNCTION("""COMPUTED_VALUE"""),"")</f>
        <v/>
      </c>
    </row>
    <row r="80" spans="1:31" ht="12.75" x14ac:dyDescent="0.2">
      <c r="A80">
        <f ca="1">IFERROR(__xludf.DUMMYFUNCTION("""COMPUTED_VALUE"""),37897)</f>
        <v>37897</v>
      </c>
      <c r="B80" t="str">
        <f ca="1">IFERROR(__xludf.DUMMYFUNCTION("""COMPUTED_VALUE"""),"BEAUPREAU")</f>
        <v>BEAUPREAU</v>
      </c>
      <c r="C80" t="str">
        <f ca="1">IFERROR(__xludf.DUMMYFUNCTION("""COMPUTED_VALUE"""),"Super U")</f>
        <v>Super U</v>
      </c>
      <c r="D80" t="str">
        <f ca="1">IFERROR(__xludf.DUMMYFUNCTION("""COMPUTED_VALUE"""),"Coop U Enseigne Ouest")</f>
        <v>Coop U Enseigne Ouest</v>
      </c>
      <c r="E80">
        <f ca="1">IFERROR(__xludf.DUMMYFUNCTION("""COMPUTED_VALUE"""),49600)</f>
        <v>49600</v>
      </c>
      <c r="F80" t="str">
        <f ca="1">IFERROR(__xludf.DUMMYFUNCTION("""COMPUTED_VALUE"""),"RUE DE LA PÉPINIÈRE")</f>
        <v>RUE DE LA PÉPINIÈRE</v>
      </c>
      <c r="G80" t="str">
        <f ca="1">IFERROR(__xludf.DUMMYFUNCTION("""COMPUTED_VALUE"""),"02.41.63.62.39")</f>
        <v>02.41.63.62.39</v>
      </c>
      <c r="H80" t="str">
        <f ca="1">IFERROR(__xludf.DUMMYFUNCTION("""COMPUTED_VALUE"""),"DURAND Christophe")</f>
        <v>DURAND Christophe</v>
      </c>
      <c r="I80" t="str">
        <f ca="1">IFERROR(__xludf.DUMMYFUNCTION("""COMPUTED_VALUE"""),"christophe.durand@systeme-u.fr")</f>
        <v>christophe.durand@systeme-u.fr</v>
      </c>
      <c r="J80" t="str">
        <f ca="1">IFERROR(__xludf.DUMMYFUNCTION("""COMPUTED_VALUE"""),"CHARRIER Thérèse")</f>
        <v>CHARRIER Thérèse</v>
      </c>
      <c r="K80" t="str">
        <f ca="1">IFERROR(__xludf.DUMMYFUNCTION("""COMPUTED_VALUE"""),"superu.beaupreau@systeme-u.fr")</f>
        <v>superu.beaupreau@systeme-u.fr</v>
      </c>
      <c r="L80" t="str">
        <f ca="1">IFERROR(__xludf.DUMMYFUNCTION("""COMPUTED_VALUE"""),"")</f>
        <v/>
      </c>
      <c r="M80" t="str">
        <f ca="1">IFERROR(__xludf.DUMMYFUNCTION("""COMPUTED_VALUE"""),"99.Hors Périmetre")</f>
        <v>99.Hors Périmetre</v>
      </c>
      <c r="N80" t="str">
        <f ca="1">IFERROR(__xludf.DUMMYFUNCTION("""COMPUTED_VALUE"""),"")</f>
        <v/>
      </c>
      <c r="O80" t="str">
        <f ca="1">IFERROR(__xludf.DUMMYFUNCTION("""COMPUTED_VALUE"""),"")</f>
        <v/>
      </c>
      <c r="P80" t="str">
        <f ca="1">IFERROR(__xludf.DUMMYFUNCTION("""COMPUTED_VALUE"""),"")</f>
        <v/>
      </c>
      <c r="Q80" s="5" t="str">
        <f ca="1">IFERROR(__xludf.DUMMYFUNCTION("""COMPUTED_VALUE"""),"")</f>
        <v/>
      </c>
      <c r="R80" s="6" t="str">
        <f ca="1">IFERROR(__xludf.DUMMYFUNCTION("""COMPUTED_VALUE"""),"")</f>
        <v/>
      </c>
      <c r="S80" t="str">
        <f ca="1">IFERROR(__xludf.DUMMYFUNCTION("""COMPUTED_VALUE"""),"")</f>
        <v/>
      </c>
      <c r="T80" t="str">
        <f ca="1">IFERROR(__xludf.DUMMYFUNCTION("""COMPUTED_VALUE"""),"")</f>
        <v/>
      </c>
      <c r="U80" t="str">
        <f ca="1">IFERROR(__xludf.DUMMYFUNCTION("""COMPUTED_VALUE"""),"")</f>
        <v/>
      </c>
      <c r="V80" t="str">
        <f ca="1">IFERROR(__xludf.DUMMYFUNCTION("""COMPUTED_VALUE"""),"")</f>
        <v/>
      </c>
      <c r="W80" t="str">
        <f ca="1">IFERROR(__xludf.DUMMYFUNCTION("""COMPUTED_VALUE"""),"")</f>
        <v/>
      </c>
      <c r="X80" t="str">
        <f ca="1">IFERROR(__xludf.DUMMYFUNCTION("""COMPUTED_VALUE"""),"")</f>
        <v/>
      </c>
      <c r="Y80" t="str">
        <f ca="1">IFERROR(__xludf.DUMMYFUNCTION("""COMPUTED_VALUE"""),"")</f>
        <v/>
      </c>
      <c r="Z80" t="str">
        <f ca="1">IFERROR(__xludf.DUMMYFUNCTION("""COMPUTED_VALUE"""),"")</f>
        <v/>
      </c>
      <c r="AA80" t="str">
        <f ca="1">IFERROR(__xludf.DUMMYFUNCTION("""COMPUTED_VALUE"""),"Pas de commande")</f>
        <v>Pas de commande</v>
      </c>
      <c r="AB80" s="8" t="str">
        <f ca="1">IFERROR(__xludf.DUMMYFUNCTION("""COMPUTED_VALUE"""),"")</f>
        <v/>
      </c>
      <c r="AC80" s="8" t="str">
        <f ca="1">IFERROR(__xludf.DUMMYFUNCTION("""COMPUTED_VALUE"""),"")</f>
        <v/>
      </c>
      <c r="AD80" s="11" t="str">
        <f ca="1">IFERROR(__xludf.DUMMYFUNCTION("""COMPUTED_VALUE"""),"")</f>
        <v/>
      </c>
      <c r="AE80" t="str">
        <f ca="1">IFERROR(__xludf.DUMMYFUNCTION("""COMPUTED_VALUE"""),"")</f>
        <v/>
      </c>
    </row>
    <row r="81" spans="1:31" ht="12.75" x14ac:dyDescent="0.2">
      <c r="A81">
        <f ca="1">IFERROR(__xludf.DUMMYFUNCTION("""COMPUTED_VALUE"""),25911)</f>
        <v>25911</v>
      </c>
      <c r="B81" t="str">
        <f ca="1">IFERROR(__xludf.DUMMYFUNCTION("""COMPUTED_VALUE"""),"#N/A")</f>
        <v>#N/A</v>
      </c>
      <c r="C81" t="str">
        <f ca="1">IFERROR(__xludf.DUMMYFUNCTION("""COMPUTED_VALUE"""),"#N/A")</f>
        <v>#N/A</v>
      </c>
      <c r="D81" t="str">
        <f ca="1">IFERROR(__xludf.DUMMYFUNCTION("""COMPUTED_VALUE"""),"#N/A")</f>
        <v>#N/A</v>
      </c>
      <c r="E81" t="str">
        <f ca="1">IFERROR(__xludf.DUMMYFUNCTION("""COMPUTED_VALUE"""),"")</f>
        <v/>
      </c>
      <c r="F81" t="str">
        <f ca="1">IFERROR(__xludf.DUMMYFUNCTION("""COMPUTED_VALUE"""),"#N/A")</f>
        <v>#N/A</v>
      </c>
      <c r="G81" t="str">
        <f ca="1">IFERROR(__xludf.DUMMYFUNCTION("""COMPUTED_VALUE"""),"#N/A")</f>
        <v>#N/A</v>
      </c>
      <c r="H81" t="str">
        <f ca="1">IFERROR(__xludf.DUMMYFUNCTION("""COMPUTED_VALUE"""),"#N/A")</f>
        <v>#N/A</v>
      </c>
      <c r="I81" t="str">
        <f ca="1">IFERROR(__xludf.DUMMYFUNCTION("""COMPUTED_VALUE"""),"#N/A")</f>
        <v>#N/A</v>
      </c>
      <c r="J81" t="str">
        <f ca="1">IFERROR(__xludf.DUMMYFUNCTION("""COMPUTED_VALUE"""),"")</f>
        <v/>
      </c>
      <c r="K81" t="str">
        <f ca="1">IFERROR(__xludf.DUMMYFUNCTION("""COMPUTED_VALUE"""),"")</f>
        <v/>
      </c>
      <c r="L81" t="str">
        <f ca="1">IFERROR(__xludf.DUMMYFUNCTION("""COMPUTED_VALUE"""),"")</f>
        <v/>
      </c>
      <c r="M81" t="str">
        <f ca="1">IFERROR(__xludf.DUMMYFUNCTION("""COMPUTED_VALUE"""),"99.Hors Périmetre")</f>
        <v>99.Hors Périmetre</v>
      </c>
      <c r="N81" t="str">
        <f ca="1">IFERROR(__xludf.DUMMYFUNCTION("""COMPUTED_VALUE"""),"")</f>
        <v/>
      </c>
      <c r="O81" t="str">
        <f ca="1">IFERROR(__xludf.DUMMYFUNCTION("""COMPUTED_VALUE"""),"")</f>
        <v/>
      </c>
      <c r="P81" t="str">
        <f ca="1">IFERROR(__xludf.DUMMYFUNCTION("""COMPUTED_VALUE"""),"")</f>
        <v/>
      </c>
      <c r="Q81" s="5" t="str">
        <f ca="1">IFERROR(__xludf.DUMMYFUNCTION("""COMPUTED_VALUE"""),"")</f>
        <v/>
      </c>
      <c r="R81" s="6" t="str">
        <f ca="1">IFERROR(__xludf.DUMMYFUNCTION("""COMPUTED_VALUE"""),"")</f>
        <v/>
      </c>
      <c r="S81" t="str">
        <f ca="1">IFERROR(__xludf.DUMMYFUNCTION("""COMPUTED_VALUE"""),"")</f>
        <v/>
      </c>
      <c r="T81" t="str">
        <f ca="1">IFERROR(__xludf.DUMMYFUNCTION("""COMPUTED_VALUE"""),"")</f>
        <v/>
      </c>
      <c r="U81" t="str">
        <f ca="1">IFERROR(__xludf.DUMMYFUNCTION("""COMPUTED_VALUE"""),"")</f>
        <v/>
      </c>
      <c r="V81" t="str">
        <f ca="1">IFERROR(__xludf.DUMMYFUNCTION("""COMPUTED_VALUE"""),"")</f>
        <v/>
      </c>
      <c r="W81" t="str">
        <f ca="1">IFERROR(__xludf.DUMMYFUNCTION("""COMPUTED_VALUE"""),"")</f>
        <v/>
      </c>
      <c r="X81" t="str">
        <f ca="1">IFERROR(__xludf.DUMMYFUNCTION("""COMPUTED_VALUE"""),"")</f>
        <v/>
      </c>
      <c r="Y81" t="str">
        <f ca="1">IFERROR(__xludf.DUMMYFUNCTION("""COMPUTED_VALUE"""),"")</f>
        <v/>
      </c>
      <c r="Z81" t="str">
        <f ca="1">IFERROR(__xludf.DUMMYFUNCTION("""COMPUTED_VALUE"""),"")</f>
        <v/>
      </c>
      <c r="AA81" t="str">
        <f ca="1">IFERROR(__xludf.DUMMYFUNCTION("""COMPUTED_VALUE"""),"Pas de commande")</f>
        <v>Pas de commande</v>
      </c>
      <c r="AB81" s="8" t="str">
        <f ca="1">IFERROR(__xludf.DUMMYFUNCTION("""COMPUTED_VALUE"""),"")</f>
        <v/>
      </c>
      <c r="AC81" s="8" t="str">
        <f ca="1">IFERROR(__xludf.DUMMYFUNCTION("""COMPUTED_VALUE"""),"")</f>
        <v/>
      </c>
      <c r="AD81" s="11" t="str">
        <f ca="1">IFERROR(__xludf.DUMMYFUNCTION("""COMPUTED_VALUE"""),"")</f>
        <v/>
      </c>
      <c r="AE81" t="str">
        <f ca="1">IFERROR(__xludf.DUMMYFUNCTION("""COMPUTED_VALUE"""),"")</f>
        <v/>
      </c>
    </row>
    <row r="82" spans="1:31" ht="12.75" x14ac:dyDescent="0.2">
      <c r="A82">
        <f ca="1">IFERROR(__xludf.DUMMYFUNCTION("""COMPUTED_VALUE"""),30191)</f>
        <v>30191</v>
      </c>
      <c r="B82" t="str">
        <f ca="1">IFERROR(__xludf.DUMMYFUNCTION("""COMPUTED_VALUE"""),"BEAUVOIR-SUR-MER")</f>
        <v>BEAUVOIR-SUR-MER</v>
      </c>
      <c r="C82" t="str">
        <f ca="1">IFERROR(__xludf.DUMMYFUNCTION("""COMPUTED_VALUE"""),"Super U")</f>
        <v>Super U</v>
      </c>
      <c r="D82" t="str">
        <f ca="1">IFERROR(__xludf.DUMMYFUNCTION("""COMPUTED_VALUE"""),"Coop U Enseigne Ouest")</f>
        <v>Coop U Enseigne Ouest</v>
      </c>
      <c r="E82">
        <f ca="1">IFERROR(__xludf.DUMMYFUNCTION("""COMPUTED_VALUE"""),85230)</f>
        <v>85230</v>
      </c>
      <c r="F82" t="str">
        <f ca="1">IFERROR(__xludf.DUMMYFUNCTION("""COMPUTED_VALUE"""),"ROUTE DES SABLES")</f>
        <v>ROUTE DES SABLES</v>
      </c>
      <c r="G82" t="str">
        <f ca="1">IFERROR(__xludf.DUMMYFUNCTION("""COMPUTED_VALUE"""),"02.51.68.65.36")</f>
        <v>02.51.68.65.36</v>
      </c>
      <c r="H82" t="str">
        <f ca="1">IFERROR(__xludf.DUMMYFUNCTION("""COMPUTED_VALUE"""),"PICHON Olivier")</f>
        <v>PICHON Olivier</v>
      </c>
      <c r="I82" t="str">
        <f ca="1">IFERROR(__xludf.DUMMYFUNCTION("""COMPUTED_VALUE"""),"olivier.pichon@systeme-u.fr")</f>
        <v>olivier.pichon@systeme-u.fr</v>
      </c>
      <c r="J82" t="str">
        <f ca="1">IFERROR(__xludf.DUMMYFUNCTION("""COMPUTED_VALUE"""),"")</f>
        <v/>
      </c>
      <c r="K82" t="str">
        <f ca="1">IFERROR(__xludf.DUMMYFUNCTION("""COMPUTED_VALUE"""),"")</f>
        <v/>
      </c>
      <c r="L82" t="str">
        <f ca="1">IFERROR(__xludf.DUMMYFUNCTION("""COMPUTED_VALUE"""),"")</f>
        <v/>
      </c>
      <c r="M82" t="str">
        <f ca="1">IFERROR(__xludf.DUMMYFUNCTION("""COMPUTED_VALUE"""),"99.Hors Périmetre")</f>
        <v>99.Hors Périmetre</v>
      </c>
      <c r="N82" t="str">
        <f ca="1">IFERROR(__xludf.DUMMYFUNCTION("""COMPUTED_VALUE"""),"")</f>
        <v/>
      </c>
      <c r="O82" t="str">
        <f ca="1">IFERROR(__xludf.DUMMYFUNCTION("""COMPUTED_VALUE"""),"")</f>
        <v/>
      </c>
      <c r="P82" t="str">
        <f ca="1">IFERROR(__xludf.DUMMYFUNCTION("""COMPUTED_VALUE"""),"")</f>
        <v/>
      </c>
      <c r="Q82" s="5" t="str">
        <f ca="1">IFERROR(__xludf.DUMMYFUNCTION("""COMPUTED_VALUE"""),"")</f>
        <v/>
      </c>
      <c r="R82" s="6" t="str">
        <f ca="1">IFERROR(__xludf.DUMMYFUNCTION("""COMPUTED_VALUE"""),"")</f>
        <v/>
      </c>
      <c r="S82" t="str">
        <f ca="1">IFERROR(__xludf.DUMMYFUNCTION("""COMPUTED_VALUE"""),"")</f>
        <v/>
      </c>
      <c r="T82" t="str">
        <f ca="1">IFERROR(__xludf.DUMMYFUNCTION("""COMPUTED_VALUE"""),"")</f>
        <v/>
      </c>
      <c r="U82" t="str">
        <f ca="1">IFERROR(__xludf.DUMMYFUNCTION("""COMPUTED_VALUE"""),"")</f>
        <v/>
      </c>
      <c r="V82" t="str">
        <f ca="1">IFERROR(__xludf.DUMMYFUNCTION("""COMPUTED_VALUE"""),"")</f>
        <v/>
      </c>
      <c r="W82" t="str">
        <f ca="1">IFERROR(__xludf.DUMMYFUNCTION("""COMPUTED_VALUE"""),"")</f>
        <v/>
      </c>
      <c r="X82" t="str">
        <f ca="1">IFERROR(__xludf.DUMMYFUNCTION("""COMPUTED_VALUE"""),"")</f>
        <v/>
      </c>
      <c r="Y82" t="str">
        <f ca="1">IFERROR(__xludf.DUMMYFUNCTION("""COMPUTED_VALUE"""),"")</f>
        <v/>
      </c>
      <c r="Z82" t="str">
        <f ca="1">IFERROR(__xludf.DUMMYFUNCTION("""COMPUTED_VALUE"""),"")</f>
        <v/>
      </c>
      <c r="AA82" t="str">
        <f ca="1">IFERROR(__xludf.DUMMYFUNCTION("""COMPUTED_VALUE"""),"Pas de commande")</f>
        <v>Pas de commande</v>
      </c>
      <c r="AB82" s="8" t="str">
        <f ca="1">IFERROR(__xludf.DUMMYFUNCTION("""COMPUTED_VALUE"""),"")</f>
        <v/>
      </c>
      <c r="AC82" s="8" t="str">
        <f ca="1">IFERROR(__xludf.DUMMYFUNCTION("""COMPUTED_VALUE"""),"")</f>
        <v/>
      </c>
      <c r="AD82" s="11" t="str">
        <f ca="1">IFERROR(__xludf.DUMMYFUNCTION("""COMPUTED_VALUE"""),"")</f>
        <v/>
      </c>
      <c r="AE82" t="str">
        <f ca="1">IFERROR(__xludf.DUMMYFUNCTION("""COMPUTED_VALUE"""),"")</f>
        <v/>
      </c>
    </row>
    <row r="83" spans="1:31" ht="12.75" x14ac:dyDescent="0.2">
      <c r="A83">
        <f ca="1">IFERROR(__xludf.DUMMYFUNCTION("""COMPUTED_VALUE"""),91243)</f>
        <v>91243</v>
      </c>
      <c r="B83" t="str">
        <f ca="1">IFERROR(__xludf.DUMMYFUNCTION("""COMPUTED_VALUE"""),"BEAUVOISIN")</f>
        <v>BEAUVOISIN</v>
      </c>
      <c r="C83" t="str">
        <f ca="1">IFERROR(__xludf.DUMMYFUNCTION("""COMPUTED_VALUE"""),"U Express")</f>
        <v>U Express</v>
      </c>
      <c r="D83" t="str">
        <f ca="1">IFERROR(__xludf.DUMMYFUNCTION("""COMPUTED_VALUE"""),"Coop MISTRAL")</f>
        <v>Coop MISTRAL</v>
      </c>
      <c r="E83">
        <f ca="1">IFERROR(__xludf.DUMMYFUNCTION("""COMPUTED_VALUE"""),30640)</f>
        <v>30640</v>
      </c>
      <c r="F83" t="str">
        <f ca="1">IFERROR(__xludf.DUMMYFUNCTION("""COMPUTED_VALUE"""),"711 AVENUE CABASSAN CLARETTES")</f>
        <v>711 AVENUE CABASSAN CLARETTES</v>
      </c>
      <c r="G83" t="str">
        <f ca="1">IFERROR(__xludf.DUMMYFUNCTION("""COMPUTED_VALUE"""),"04.66.88.21.36")</f>
        <v>04.66.88.21.36</v>
      </c>
      <c r="H83" t="str">
        <f ca="1">IFERROR(__xludf.DUMMYFUNCTION("""COMPUTED_VALUE"""),"LAFONT Olivier et Severine")</f>
        <v>LAFONT Olivier et Severine</v>
      </c>
      <c r="I83" t="str">
        <f ca="1">IFERROR(__xludf.DUMMYFUNCTION("""COMPUTED_VALUE"""),"uexpress.beauvoisin@mistral-u.fr")</f>
        <v>uexpress.beauvoisin@mistral-u.fr</v>
      </c>
      <c r="J83" t="str">
        <f ca="1">IFERROR(__xludf.DUMMYFUNCTION("""COMPUTED_VALUE"""),"")</f>
        <v/>
      </c>
      <c r="K83" t="str">
        <f ca="1">IFERROR(__xludf.DUMMYFUNCTION("""COMPUTED_VALUE"""),"delphine.damian@lemistral.fr,helene.mina@lemistral.fr")</f>
        <v>delphine.damian@lemistral.fr,helene.mina@lemistral.fr</v>
      </c>
      <c r="L83" t="str">
        <f ca="1">IFERROR(__xludf.DUMMYFUNCTION("""COMPUTED_VALUE"""),"Standard")</f>
        <v>Standard</v>
      </c>
      <c r="M83" t="str">
        <f ca="1">IFERROR(__xludf.DUMMYFUNCTION("""COMPUTED_VALUE"""),"0. Non démarré")</f>
        <v>0. Non démarré</v>
      </c>
      <c r="N83" t="str">
        <f ca="1">IFERROR(__xludf.DUMMYFUNCTION("""COMPUTED_VALUE"""),"")</f>
        <v/>
      </c>
      <c r="O83" t="str">
        <f ca="1">IFERROR(__xludf.DUMMYFUNCTION("""COMPUTED_VALUE"""),"")</f>
        <v/>
      </c>
      <c r="P83" t="str">
        <f ca="1">IFERROR(__xludf.DUMMYFUNCTION("""COMPUTED_VALUE"""),"")</f>
        <v/>
      </c>
      <c r="Q83" s="5" t="str">
        <f ca="1">IFERROR(__xludf.DUMMYFUNCTION("""COMPUTED_VALUE"""),"")</f>
        <v/>
      </c>
      <c r="R83" s="6" t="str">
        <f ca="1">IFERROR(__xludf.DUMMYFUNCTION("""COMPUTED_VALUE"""),"")</f>
        <v/>
      </c>
      <c r="S83" t="str">
        <f ca="1">IFERROR(__xludf.DUMMYFUNCTION("""COMPUTED_VALUE"""),"")</f>
        <v/>
      </c>
      <c r="T83" t="str">
        <f ca="1">IFERROR(__xludf.DUMMYFUNCTION("""COMPUTED_VALUE"""),"")</f>
        <v/>
      </c>
      <c r="U83" t="str">
        <f ca="1">IFERROR(__xludf.DUMMYFUNCTION("""COMPUTED_VALUE"""),"")</f>
        <v/>
      </c>
      <c r="V83" t="str">
        <f ca="1">IFERROR(__xludf.DUMMYFUNCTION("""COMPUTED_VALUE"""),"")</f>
        <v/>
      </c>
      <c r="W83" t="str">
        <f ca="1">IFERROR(__xludf.DUMMYFUNCTION("""COMPUTED_VALUE"""),"R5")</f>
        <v>R5</v>
      </c>
      <c r="X83" t="str">
        <f ca="1">IFERROR(__xludf.DUMMYFUNCTION("""COMPUTED_VALUE"""),"Pricer")</f>
        <v>Pricer</v>
      </c>
      <c r="Y83" t="str">
        <f ca="1">IFERROR(__xludf.DUMMYFUNCTION("""COMPUTED_VALUE"""),"")</f>
        <v/>
      </c>
      <c r="Z83" t="str">
        <f ca="1">IFERROR(__xludf.DUMMYFUNCTION("""COMPUTED_VALUE"""),"")</f>
        <v/>
      </c>
      <c r="AA83" t="str">
        <f ca="1">IFERROR(__xludf.DUMMYFUNCTION("""COMPUTED_VALUE"""),"Pas de commande")</f>
        <v>Pas de commande</v>
      </c>
      <c r="AB83" s="8" t="str">
        <f ca="1">IFERROR(__xludf.DUMMYFUNCTION("""COMPUTED_VALUE"""),"")</f>
        <v/>
      </c>
      <c r="AC83" s="8" t="str">
        <f ca="1">IFERROR(__xludf.DUMMYFUNCTION("""COMPUTED_VALUE"""),"")</f>
        <v/>
      </c>
      <c r="AD83" s="11" t="str">
        <f ca="1">IFERROR(__xludf.DUMMYFUNCTION("""COMPUTED_VALUE"""),"")</f>
        <v/>
      </c>
      <c r="AE83" t="str">
        <f ca="1">IFERROR(__xludf.DUMMYFUNCTION("""COMPUTED_VALUE"""),"")</f>
        <v/>
      </c>
    </row>
    <row r="84" spans="1:31" ht="12.75" x14ac:dyDescent="0.2">
      <c r="A84">
        <f ca="1">IFERROR(__xludf.DUMMYFUNCTION("""COMPUTED_VALUE"""),30868)</f>
        <v>30868</v>
      </c>
      <c r="B84" t="str">
        <f ca="1">IFERROR(__xludf.DUMMYFUNCTION("""COMPUTED_VALUE"""),"PAIMBOEUF")</f>
        <v>PAIMBOEUF</v>
      </c>
      <c r="C84" t="str">
        <f ca="1">IFERROR(__xludf.DUMMYFUNCTION("""COMPUTED_VALUE"""),"Super U")</f>
        <v>Super U</v>
      </c>
      <c r="D84" t="str">
        <f ca="1">IFERROR(__xludf.DUMMYFUNCTION("""COMPUTED_VALUE"""),"Coop U Enseigne Ouest")</f>
        <v>Coop U Enseigne Ouest</v>
      </c>
      <c r="E84">
        <f ca="1">IFERROR(__xludf.DUMMYFUNCTION("""COMPUTED_VALUE"""),44560)</f>
        <v>44560</v>
      </c>
      <c r="F84" t="str">
        <f ca="1">IFERROR(__xludf.DUMMYFUNCTION("""COMPUTED_VALUE"""),"RUE FERREOL PREZELIN")</f>
        <v>RUE FERREOL PREZELIN</v>
      </c>
      <c r="G84" t="str">
        <f ca="1">IFERROR(__xludf.DUMMYFUNCTION("""COMPUTED_VALUE"""),"02.40.27.75.75")</f>
        <v>02.40.27.75.75</v>
      </c>
      <c r="H84" t="str">
        <f ca="1">IFERROR(__xludf.DUMMYFUNCTION("""COMPUTED_VALUE"""),"PORCHER RPT SARL EILMOS Gildas")</f>
        <v>PORCHER RPT SARL EILMOS Gildas</v>
      </c>
      <c r="I84" t="str">
        <f ca="1">IFERROR(__xludf.DUMMYFUNCTION("""COMPUTED_VALUE"""),"gildas.porcher@systeme-u.fr")</f>
        <v>gildas.porcher@systeme-u.fr</v>
      </c>
      <c r="J84" t="str">
        <f ca="1">IFERROR(__xludf.DUMMYFUNCTION("""COMPUTED_VALUE"""),"POYER Adrien")</f>
        <v>POYER Adrien</v>
      </c>
      <c r="K84" t="str">
        <f ca="1">IFERROR(__xludf.DUMMYFUNCTION("""COMPUTED_VALUE"""),"adrien.poyer@systeme-u.fr")</f>
        <v>adrien.poyer@systeme-u.fr</v>
      </c>
      <c r="L84" t="str">
        <f ca="1">IFERROR(__xludf.DUMMYFUNCTION("""COMPUTED_VALUE"""),"")</f>
        <v/>
      </c>
      <c r="M84" t="str">
        <f ca="1">IFERROR(__xludf.DUMMYFUNCTION("""COMPUTED_VALUE"""),"99.Hors Périmetre")</f>
        <v>99.Hors Périmetre</v>
      </c>
      <c r="N84" t="str">
        <f ca="1">IFERROR(__xludf.DUMMYFUNCTION("""COMPUTED_VALUE"""),"")</f>
        <v/>
      </c>
      <c r="O84" t="str">
        <f ca="1">IFERROR(__xludf.DUMMYFUNCTION("""COMPUTED_VALUE"""),"")</f>
        <v/>
      </c>
      <c r="P84" t="str">
        <f ca="1">IFERROR(__xludf.DUMMYFUNCTION("""COMPUTED_VALUE"""),"")</f>
        <v/>
      </c>
      <c r="Q84" s="5" t="str">
        <f ca="1">IFERROR(__xludf.DUMMYFUNCTION("""COMPUTED_VALUE"""),"")</f>
        <v/>
      </c>
      <c r="R84" s="6" t="str">
        <f ca="1">IFERROR(__xludf.DUMMYFUNCTION("""COMPUTED_VALUE"""),"")</f>
        <v/>
      </c>
      <c r="S84" t="str">
        <f ca="1">IFERROR(__xludf.DUMMYFUNCTION("""COMPUTED_VALUE"""),"")</f>
        <v/>
      </c>
      <c r="T84" t="str">
        <f ca="1">IFERROR(__xludf.DUMMYFUNCTION("""COMPUTED_VALUE"""),"")</f>
        <v/>
      </c>
      <c r="U84" t="str">
        <f ca="1">IFERROR(__xludf.DUMMYFUNCTION("""COMPUTED_VALUE"""),"")</f>
        <v/>
      </c>
      <c r="V84" t="str">
        <f ca="1">IFERROR(__xludf.DUMMYFUNCTION("""COMPUTED_VALUE"""),"")</f>
        <v/>
      </c>
      <c r="W84" t="str">
        <f ca="1">IFERROR(__xludf.DUMMYFUNCTION("""COMPUTED_VALUE"""),"")</f>
        <v/>
      </c>
      <c r="X84" t="str">
        <f ca="1">IFERROR(__xludf.DUMMYFUNCTION("""COMPUTED_VALUE"""),"")</f>
        <v/>
      </c>
      <c r="Y84" t="str">
        <f ca="1">IFERROR(__xludf.DUMMYFUNCTION("""COMPUTED_VALUE"""),"")</f>
        <v/>
      </c>
      <c r="Z84" t="str">
        <f ca="1">IFERROR(__xludf.DUMMYFUNCTION("""COMPUTED_VALUE"""),"")</f>
        <v/>
      </c>
      <c r="AA84" t="str">
        <f ca="1">IFERROR(__xludf.DUMMYFUNCTION("""COMPUTED_VALUE"""),"Pas de commande")</f>
        <v>Pas de commande</v>
      </c>
      <c r="AB84" s="8" t="str">
        <f ca="1">IFERROR(__xludf.DUMMYFUNCTION("""COMPUTED_VALUE"""),"")</f>
        <v/>
      </c>
      <c r="AC84" s="8" t="str">
        <f ca="1">IFERROR(__xludf.DUMMYFUNCTION("""COMPUTED_VALUE"""),"")</f>
        <v/>
      </c>
      <c r="AD84" s="11" t="str">
        <f ca="1">IFERROR(__xludf.DUMMYFUNCTION("""COMPUTED_VALUE"""),"")</f>
        <v/>
      </c>
      <c r="AE84" t="str">
        <f ca="1">IFERROR(__xludf.DUMMYFUNCTION("""COMPUTED_VALUE"""),"")</f>
        <v/>
      </c>
    </row>
    <row r="85" spans="1:31" ht="12.75" x14ac:dyDescent="0.2">
      <c r="A85">
        <f ca="1">IFERROR(__xludf.DUMMYFUNCTION("""COMPUTED_VALUE"""),95153)</f>
        <v>95153</v>
      </c>
      <c r="B85" t="str">
        <f ca="1">IFERROR(__xludf.DUMMYFUNCTION("""COMPUTED_VALUE"""),"BELBERAUD")</f>
        <v>BELBERAUD</v>
      </c>
      <c r="C85" t="str">
        <f ca="1">IFERROR(__xludf.DUMMYFUNCTION("""COMPUTED_VALUE"""),"Super U")</f>
        <v>Super U</v>
      </c>
      <c r="D85" t="str">
        <f ca="1">IFERROR(__xludf.DUMMYFUNCTION("""COMPUTED_VALUE"""),"Coop U Enseigne Sud")</f>
        <v>Coop U Enseigne Sud</v>
      </c>
      <c r="E85">
        <f ca="1">IFERROR(__xludf.DUMMYFUNCTION("""COMPUTED_VALUE"""),31450)</f>
        <v>31450</v>
      </c>
      <c r="F85" t="str">
        <f ca="1">IFERROR(__xludf.DUMMYFUNCTION("""COMPUTED_VALUE"""),"ZA DE LA BALME")</f>
        <v>ZA DE LA BALME</v>
      </c>
      <c r="G85" t="str">
        <f ca="1">IFERROR(__xludf.DUMMYFUNCTION("""COMPUTED_VALUE"""),"05.34.66.10.80")</f>
        <v>05.34.66.10.80</v>
      </c>
      <c r="H85" t="str">
        <f ca="1">IFERROR(__xludf.DUMMYFUNCTION("""COMPUTED_VALUE"""),"LAURENT Sebastien")</f>
        <v>LAURENT Sebastien</v>
      </c>
      <c r="I85" t="str">
        <f ca="1">IFERROR(__xludf.DUMMYFUNCTION("""COMPUTED_VALUE"""),"sebastien.laurent@systeme-u.fr")</f>
        <v>sebastien.laurent@systeme-u.fr</v>
      </c>
      <c r="J85" t="str">
        <f ca="1">IFERROR(__xludf.DUMMYFUNCTION("""COMPUTED_VALUE"""),"Peggy (UPLV)
Mme Guitard (Pilote, comptable)")</f>
        <v>Peggy (UPLV)
Mme Guitard (Pilote, comptable)</v>
      </c>
      <c r="K85" t="str">
        <f ca="1">IFERROR(__xludf.DUMMYFUNCTION("""COMPUTED_VALUE"""),"superu.belberaud.gestion@systeme-u.fr, superu.belberaud.compta@systeme-u.fr")</f>
        <v>superu.belberaud.gestion@systeme-u.fr, superu.belberaud.compta@systeme-u.fr</v>
      </c>
      <c r="L85" t="str">
        <f ca="1">IFERROR(__xludf.DUMMYFUNCTION("""COMPUTED_VALUE"""),"")</f>
        <v/>
      </c>
      <c r="M85" t="str">
        <f ca="1">IFERROR(__xludf.DUMMYFUNCTION("""COMPUTED_VALUE"""),"")</f>
        <v/>
      </c>
      <c r="N85" t="str">
        <f ca="1">IFERROR(__xludf.DUMMYFUNCTION("""COMPUTED_VALUE"""),"")</f>
        <v/>
      </c>
      <c r="O85" t="str">
        <f ca="1">IFERROR(__xludf.DUMMYFUNCTION("""COMPUTED_VALUE"""),"")</f>
        <v/>
      </c>
      <c r="P85" t="str">
        <f ca="1">IFERROR(__xludf.DUMMYFUNCTION("""COMPUTED_VALUE"""),"")</f>
        <v/>
      </c>
      <c r="Q85" s="5" t="str">
        <f ca="1">IFERROR(__xludf.DUMMYFUNCTION("""COMPUTED_VALUE"""),"")</f>
        <v/>
      </c>
      <c r="R85" s="6" t="str">
        <f ca="1">IFERROR(__xludf.DUMMYFUNCTION("""COMPUTED_VALUE"""),"")</f>
        <v/>
      </c>
      <c r="S85" t="str">
        <f ca="1">IFERROR(__xludf.DUMMYFUNCTION("""COMPUTED_VALUE"""),"")</f>
        <v/>
      </c>
      <c r="T85" t="str">
        <f ca="1">IFERROR(__xludf.DUMMYFUNCTION("""COMPUTED_VALUE"""),"")</f>
        <v/>
      </c>
      <c r="U85" t="str">
        <f ca="1">IFERROR(__xludf.DUMMYFUNCTION("""COMPUTED_VALUE"""),"")</f>
        <v/>
      </c>
      <c r="V85" t="str">
        <f ca="1">IFERROR(__xludf.DUMMYFUNCTION("""COMPUTED_VALUE"""),"")</f>
        <v/>
      </c>
      <c r="W85" t="str">
        <f ca="1">IFERROR(__xludf.DUMMYFUNCTION("""COMPUTED_VALUE"""),"R5")</f>
        <v>R5</v>
      </c>
      <c r="X85" t="str">
        <f ca="1">IFERROR(__xludf.DUMMYFUNCTION("""COMPUTED_VALUE"""),"Pricer")</f>
        <v>Pricer</v>
      </c>
      <c r="Y85" t="str">
        <f ca="1">IFERROR(__xludf.DUMMYFUNCTION("""COMPUTED_VALUE"""),"")</f>
        <v/>
      </c>
      <c r="Z85" t="str">
        <f ca="1">IFERROR(__xludf.DUMMYFUNCTION("""COMPUTED_VALUE"""),"")</f>
        <v/>
      </c>
      <c r="AA85" t="str">
        <f ca="1">IFERROR(__xludf.DUMMYFUNCTION("""COMPUTED_VALUE"""),"Pas de commande")</f>
        <v>Pas de commande</v>
      </c>
      <c r="AB85" s="8" t="str">
        <f ca="1">IFERROR(__xludf.DUMMYFUNCTION("""COMPUTED_VALUE"""),"")</f>
        <v/>
      </c>
      <c r="AC85" s="8" t="str">
        <f ca="1">IFERROR(__xludf.DUMMYFUNCTION("""COMPUTED_VALUE"""),"")</f>
        <v/>
      </c>
      <c r="AD85" s="11" t="str">
        <f ca="1">IFERROR(__xludf.DUMMYFUNCTION("""COMPUTED_VALUE"""),"")</f>
        <v/>
      </c>
      <c r="AE85" t="str">
        <f ca="1">IFERROR(__xludf.DUMMYFUNCTION("""COMPUTED_VALUE"""),"")</f>
        <v/>
      </c>
    </row>
    <row r="86" spans="1:31" ht="12.75" x14ac:dyDescent="0.2">
      <c r="A86">
        <f ca="1">IFERROR(__xludf.DUMMYFUNCTION("""COMPUTED_VALUE"""),95273)</f>
        <v>95273</v>
      </c>
      <c r="B86" t="str">
        <f ca="1">IFERROR(__xludf.DUMMYFUNCTION("""COMPUTED_VALUE"""),"BELIN BELIET")</f>
        <v>BELIN BELIET</v>
      </c>
      <c r="C86" t="str">
        <f ca="1">IFERROR(__xludf.DUMMYFUNCTION("""COMPUTED_VALUE"""),"Super U")</f>
        <v>Super U</v>
      </c>
      <c r="D86" t="str">
        <f ca="1">IFERROR(__xludf.DUMMYFUNCTION("""COMPUTED_VALUE"""),"")</f>
        <v/>
      </c>
      <c r="E86">
        <f ca="1">IFERROR(__xludf.DUMMYFUNCTION("""COMPUTED_VALUE"""),33830)</f>
        <v>33830</v>
      </c>
      <c r="F86" t="str">
        <f ca="1">IFERROR(__xludf.DUMMYFUNCTION("""COMPUTED_VALUE"""),"10 AVENUE DES PLANTAGENET")</f>
        <v>10 AVENUE DES PLANTAGENET</v>
      </c>
      <c r="G86" t="str">
        <f ca="1">IFERROR(__xludf.DUMMYFUNCTION("""COMPUTED_VALUE"""),"05.56.88.12.12")</f>
        <v>05.56.88.12.12</v>
      </c>
      <c r="H86" t="str">
        <f ca="1">IFERROR(__xludf.DUMMYFUNCTION("""COMPUTED_VALUE"""),"DROFF Pascal")</f>
        <v>DROFF Pascal</v>
      </c>
      <c r="I86" t="str">
        <f ca="1">IFERROR(__xludf.DUMMYFUNCTION("""COMPUTED_VALUE"""),"pascal.droff@systeme-u.fr")</f>
        <v>pascal.droff@systeme-u.fr</v>
      </c>
      <c r="J86" t="str">
        <f ca="1">IFERROR(__xludf.DUMMYFUNCTION("""COMPUTED_VALUE"""),"Mr Pierron ")</f>
        <v xml:space="preserve">Mr Pierron </v>
      </c>
      <c r="K86" t="str">
        <f ca="1">IFERROR(__xludf.DUMMYFUNCTION("""COMPUTED_VALUE"""),"superu.belinbeliet.direction@systeme-u.fr")</f>
        <v>superu.belinbeliet.direction@systeme-u.fr</v>
      </c>
      <c r="L86" t="str">
        <f ca="1">IFERROR(__xludf.DUMMYFUNCTION("""COMPUTED_VALUE"""),"")</f>
        <v/>
      </c>
      <c r="M86" t="str">
        <f ca="1">IFERROR(__xludf.DUMMYFUNCTION("""COMPUTED_VALUE"""),"99.Hors Périmetre")</f>
        <v>99.Hors Périmetre</v>
      </c>
      <c r="N86" t="str">
        <f ca="1">IFERROR(__xludf.DUMMYFUNCTION("""COMPUTED_VALUE"""),"")</f>
        <v/>
      </c>
      <c r="O86" t="str">
        <f ca="1">IFERROR(__xludf.DUMMYFUNCTION("""COMPUTED_VALUE"""),"")</f>
        <v/>
      </c>
      <c r="P86" t="str">
        <f ca="1">IFERROR(__xludf.DUMMYFUNCTION("""COMPUTED_VALUE"""),"")</f>
        <v/>
      </c>
      <c r="Q86" s="5" t="str">
        <f ca="1">IFERROR(__xludf.DUMMYFUNCTION("""COMPUTED_VALUE"""),"")</f>
        <v/>
      </c>
      <c r="R86" s="6" t="str">
        <f ca="1">IFERROR(__xludf.DUMMYFUNCTION("""COMPUTED_VALUE"""),"")</f>
        <v/>
      </c>
      <c r="S86" t="str">
        <f ca="1">IFERROR(__xludf.DUMMYFUNCTION("""COMPUTED_VALUE"""),"")</f>
        <v/>
      </c>
      <c r="T86" t="str">
        <f ca="1">IFERROR(__xludf.DUMMYFUNCTION("""COMPUTED_VALUE"""),"")</f>
        <v/>
      </c>
      <c r="U86" t="str">
        <f ca="1">IFERROR(__xludf.DUMMYFUNCTION("""COMPUTED_VALUE"""),"")</f>
        <v/>
      </c>
      <c r="V86" t="str">
        <f ca="1">IFERROR(__xludf.DUMMYFUNCTION("""COMPUTED_VALUE"""),"")</f>
        <v/>
      </c>
      <c r="W86" t="str">
        <f ca="1">IFERROR(__xludf.DUMMYFUNCTION("""COMPUTED_VALUE"""),"")</f>
        <v/>
      </c>
      <c r="X86" t="str">
        <f ca="1">IFERROR(__xludf.DUMMYFUNCTION("""COMPUTED_VALUE"""),"")</f>
        <v/>
      </c>
      <c r="Y86" t="str">
        <f ca="1">IFERROR(__xludf.DUMMYFUNCTION("""COMPUTED_VALUE"""),"")</f>
        <v/>
      </c>
      <c r="Z86" t="str">
        <f ca="1">IFERROR(__xludf.DUMMYFUNCTION("""COMPUTED_VALUE"""),"")</f>
        <v/>
      </c>
      <c r="AA86" t="str">
        <f ca="1">IFERROR(__xludf.DUMMYFUNCTION("""COMPUTED_VALUE"""),"Pas de commande")</f>
        <v>Pas de commande</v>
      </c>
      <c r="AB86" s="8" t="str">
        <f ca="1">IFERROR(__xludf.DUMMYFUNCTION("""COMPUTED_VALUE"""),"")</f>
        <v/>
      </c>
      <c r="AC86" s="8" t="str">
        <f ca="1">IFERROR(__xludf.DUMMYFUNCTION("""COMPUTED_VALUE"""),"")</f>
        <v/>
      </c>
      <c r="AD86" s="11" t="str">
        <f ca="1">IFERROR(__xludf.DUMMYFUNCTION("""COMPUTED_VALUE"""),"")</f>
        <v/>
      </c>
      <c r="AE86" t="str">
        <f ca="1">IFERROR(__xludf.DUMMYFUNCTION("""COMPUTED_VALUE"""),"")</f>
        <v/>
      </c>
    </row>
    <row r="87" spans="1:31" ht="12.75" x14ac:dyDescent="0.2">
      <c r="A87">
        <f ca="1">IFERROR(__xludf.DUMMYFUNCTION("""COMPUTED_VALUE"""),37862)</f>
        <v>37862</v>
      </c>
      <c r="B87" t="str">
        <f ca="1">IFERROR(__xludf.DUMMYFUNCTION("""COMPUTED_VALUE"""),"BELLE-ILE-EN-MER")</f>
        <v>BELLE-ILE-EN-MER</v>
      </c>
      <c r="C87" t="str">
        <f ca="1">IFERROR(__xludf.DUMMYFUNCTION("""COMPUTED_VALUE"""),"Super U")</f>
        <v>Super U</v>
      </c>
      <c r="D87" t="str">
        <f ca="1">IFERROR(__xludf.DUMMYFUNCTION("""COMPUTED_VALUE"""),"Coop U Enseigne Ouest")</f>
        <v>Coop U Enseigne Ouest</v>
      </c>
      <c r="E87">
        <f ca="1">IFERROR(__xludf.DUMMYFUNCTION("""COMPUTED_VALUE"""),56360)</f>
        <v>56360</v>
      </c>
      <c r="F87" t="str">
        <f ca="1">IFERROR(__xludf.DUMMYFUNCTION("""COMPUTED_VALUE"""),"KERSABLEN")</f>
        <v>KERSABLEN</v>
      </c>
      <c r="G87" t="str">
        <f ca="1">IFERROR(__xludf.DUMMYFUNCTION("""COMPUTED_VALUE"""),"02.97.31.50.55")</f>
        <v>02.97.31.50.55</v>
      </c>
      <c r="H87" t="str">
        <f ca="1">IFERROR(__xludf.DUMMYFUNCTION("""COMPUTED_VALUE"""),"RIVIERE Amandine")</f>
        <v>RIVIERE Amandine</v>
      </c>
      <c r="I87" t="str">
        <f ca="1">IFERROR(__xludf.DUMMYFUNCTION("""COMPUTED_VALUE"""),"amandine.riviere@systeme-u.fr")</f>
        <v>amandine.riviere@systeme-u.fr</v>
      </c>
      <c r="J87" t="str">
        <f ca="1">IFERROR(__xludf.DUMMYFUNCTION("""COMPUTED_VALUE"""),"")</f>
        <v/>
      </c>
      <c r="K87" t="str">
        <f ca="1">IFERROR(__xludf.DUMMYFUNCTION("""COMPUTED_VALUE"""),"")</f>
        <v/>
      </c>
      <c r="L87" t="str">
        <f ca="1">IFERROR(__xludf.DUMMYFUNCTION("""COMPUTED_VALUE"""),"")</f>
        <v/>
      </c>
      <c r="M87" t="str">
        <f ca="1">IFERROR(__xludf.DUMMYFUNCTION("""COMPUTED_VALUE"""),"99.Hors Périmetre")</f>
        <v>99.Hors Périmetre</v>
      </c>
      <c r="N87" t="str">
        <f ca="1">IFERROR(__xludf.DUMMYFUNCTION("""COMPUTED_VALUE"""),"")</f>
        <v/>
      </c>
      <c r="O87" t="str">
        <f ca="1">IFERROR(__xludf.DUMMYFUNCTION("""COMPUTED_VALUE"""),"")</f>
        <v/>
      </c>
      <c r="P87" t="str">
        <f ca="1">IFERROR(__xludf.DUMMYFUNCTION("""COMPUTED_VALUE"""),"")</f>
        <v/>
      </c>
      <c r="Q87" s="5" t="str">
        <f ca="1">IFERROR(__xludf.DUMMYFUNCTION("""COMPUTED_VALUE"""),"")</f>
        <v/>
      </c>
      <c r="R87" s="6" t="str">
        <f ca="1">IFERROR(__xludf.DUMMYFUNCTION("""COMPUTED_VALUE"""),"")</f>
        <v/>
      </c>
      <c r="S87" t="str">
        <f ca="1">IFERROR(__xludf.DUMMYFUNCTION("""COMPUTED_VALUE"""),"")</f>
        <v/>
      </c>
      <c r="T87" t="str">
        <f ca="1">IFERROR(__xludf.DUMMYFUNCTION("""COMPUTED_VALUE"""),"")</f>
        <v/>
      </c>
      <c r="U87" t="str">
        <f ca="1">IFERROR(__xludf.DUMMYFUNCTION("""COMPUTED_VALUE"""),"")</f>
        <v/>
      </c>
      <c r="V87" t="str">
        <f ca="1">IFERROR(__xludf.DUMMYFUNCTION("""COMPUTED_VALUE"""),"")</f>
        <v/>
      </c>
      <c r="W87" t="str">
        <f ca="1">IFERROR(__xludf.DUMMYFUNCTION("""COMPUTED_VALUE"""),"")</f>
        <v/>
      </c>
      <c r="X87" t="str">
        <f ca="1">IFERROR(__xludf.DUMMYFUNCTION("""COMPUTED_VALUE"""),"")</f>
        <v/>
      </c>
      <c r="Y87" t="str">
        <f ca="1">IFERROR(__xludf.DUMMYFUNCTION("""COMPUTED_VALUE"""),"")</f>
        <v/>
      </c>
      <c r="Z87" t="str">
        <f ca="1">IFERROR(__xludf.DUMMYFUNCTION("""COMPUTED_VALUE"""),"")</f>
        <v/>
      </c>
      <c r="AA87" t="str">
        <f ca="1">IFERROR(__xludf.DUMMYFUNCTION("""COMPUTED_VALUE"""),"Pas de commande")</f>
        <v>Pas de commande</v>
      </c>
      <c r="AB87" s="8" t="str">
        <f ca="1">IFERROR(__xludf.DUMMYFUNCTION("""COMPUTED_VALUE"""),"")</f>
        <v/>
      </c>
      <c r="AC87" s="8" t="str">
        <f ca="1">IFERROR(__xludf.DUMMYFUNCTION("""COMPUTED_VALUE"""),"")</f>
        <v/>
      </c>
      <c r="AD87" s="11" t="str">
        <f ca="1">IFERROR(__xludf.DUMMYFUNCTION("""COMPUTED_VALUE"""),"")</f>
        <v/>
      </c>
      <c r="AE87" t="str">
        <f ca="1">IFERROR(__xludf.DUMMYFUNCTION("""COMPUTED_VALUE"""),"")</f>
        <v/>
      </c>
    </row>
    <row r="88" spans="1:31" ht="12.75" x14ac:dyDescent="0.2">
      <c r="A88">
        <f ca="1">IFERROR(__xludf.DUMMYFUNCTION("""COMPUTED_VALUE"""),31899)</f>
        <v>31899</v>
      </c>
      <c r="B88" t="str">
        <f ca="1">IFERROR(__xludf.DUMMYFUNCTION("""COMPUTED_VALUE"""),"BELLEVIGNY")</f>
        <v>BELLEVIGNY</v>
      </c>
      <c r="C88" t="str">
        <f ca="1">IFERROR(__xludf.DUMMYFUNCTION("""COMPUTED_VALUE"""),"Super U")</f>
        <v>Super U</v>
      </c>
      <c r="D88" t="str">
        <f ca="1">IFERROR(__xludf.DUMMYFUNCTION("""COMPUTED_VALUE"""),"Coop U Enseigne Ouest")</f>
        <v>Coop U Enseigne Ouest</v>
      </c>
      <c r="E88">
        <f ca="1">IFERROR(__xludf.DUMMYFUNCTION("""COMPUTED_VALUE"""),85170)</f>
        <v>85170</v>
      </c>
      <c r="F88" t="str">
        <f ca="1">IFERROR(__xludf.DUMMYFUNCTION("""COMPUTED_VALUE"""),"BOULEVARD DE LA VIE")</f>
        <v>BOULEVARD DE LA VIE</v>
      </c>
      <c r="G88" t="str">
        <f ca="1">IFERROR(__xludf.DUMMYFUNCTION("""COMPUTED_VALUE"""),"02.51.41.25.20")</f>
        <v>02.51.41.25.20</v>
      </c>
      <c r="H88" t="str">
        <f ca="1">IFERROR(__xludf.DUMMYFUNCTION("""COMPUTED_VALUE"""),"LOGEAIS RPT SARL I.D. FINANCES André")</f>
        <v>LOGEAIS RPT SARL I.D. FINANCES André</v>
      </c>
      <c r="I88" t="str">
        <f ca="1">IFERROR(__xludf.DUMMYFUNCTION("""COMPUTED_VALUE"""),"andre.logeais@systeme-u.fr")</f>
        <v>andre.logeais@systeme-u.fr</v>
      </c>
      <c r="J88" t="str">
        <f ca="1">IFERROR(__xludf.DUMMYFUNCTION("""COMPUTED_VALUE"""),"RENAUD NATHALIE, GUERIN Stéphanie (UPLV)")</f>
        <v>RENAUD NATHALIE, GUERIN Stéphanie (UPLV)</v>
      </c>
      <c r="K88" t="str">
        <f ca="1">IFERROR(__xludf.DUMMYFUNCTION("""COMPUTED_VALUE"""),"superu.belleville@systeme-u.fr, superu.belleville.communication@systeme-u.fr")</f>
        <v>superu.belleville@systeme-u.fr, superu.belleville.communication@systeme-u.fr</v>
      </c>
      <c r="L88" t="str">
        <f ca="1">IFERROR(__xludf.DUMMYFUNCTION("""COMPUTED_VALUE"""),"")</f>
        <v/>
      </c>
      <c r="M88" t="str">
        <f ca="1">IFERROR(__xludf.DUMMYFUNCTION("""COMPUTED_VALUE"""),"99.Hors Périmetre")</f>
        <v>99.Hors Périmetre</v>
      </c>
      <c r="N88" t="str">
        <f ca="1">IFERROR(__xludf.DUMMYFUNCTION("""COMPUTED_VALUE"""),"")</f>
        <v/>
      </c>
      <c r="O88" t="str">
        <f ca="1">IFERROR(__xludf.DUMMYFUNCTION("""COMPUTED_VALUE"""),"")</f>
        <v/>
      </c>
      <c r="P88" t="str">
        <f ca="1">IFERROR(__xludf.DUMMYFUNCTION("""COMPUTED_VALUE"""),"")</f>
        <v/>
      </c>
      <c r="Q88" s="5" t="str">
        <f ca="1">IFERROR(__xludf.DUMMYFUNCTION("""COMPUTED_VALUE"""),"")</f>
        <v/>
      </c>
      <c r="R88" s="6" t="str">
        <f ca="1">IFERROR(__xludf.DUMMYFUNCTION("""COMPUTED_VALUE"""),"")</f>
        <v/>
      </c>
      <c r="S88" t="str">
        <f ca="1">IFERROR(__xludf.DUMMYFUNCTION("""COMPUTED_VALUE"""),"")</f>
        <v/>
      </c>
      <c r="T88" t="str">
        <f ca="1">IFERROR(__xludf.DUMMYFUNCTION("""COMPUTED_VALUE"""),"")</f>
        <v/>
      </c>
      <c r="U88" t="str">
        <f ca="1">IFERROR(__xludf.DUMMYFUNCTION("""COMPUTED_VALUE"""),"")</f>
        <v/>
      </c>
      <c r="V88" t="str">
        <f ca="1">IFERROR(__xludf.DUMMYFUNCTION("""COMPUTED_VALUE"""),"")</f>
        <v/>
      </c>
      <c r="W88" t="str">
        <f ca="1">IFERROR(__xludf.DUMMYFUNCTION("""COMPUTED_VALUE"""),"")</f>
        <v/>
      </c>
      <c r="X88" t="str">
        <f ca="1">IFERROR(__xludf.DUMMYFUNCTION("""COMPUTED_VALUE"""),"")</f>
        <v/>
      </c>
      <c r="Y88" t="str">
        <f ca="1">IFERROR(__xludf.DUMMYFUNCTION("""COMPUTED_VALUE"""),"")</f>
        <v/>
      </c>
      <c r="Z88" t="str">
        <f ca="1">IFERROR(__xludf.DUMMYFUNCTION("""COMPUTED_VALUE"""),"")</f>
        <v/>
      </c>
      <c r="AA88" t="str">
        <f ca="1">IFERROR(__xludf.DUMMYFUNCTION("""COMPUTED_VALUE"""),"Pas de commande")</f>
        <v>Pas de commande</v>
      </c>
      <c r="AB88" s="8" t="str">
        <f ca="1">IFERROR(__xludf.DUMMYFUNCTION("""COMPUTED_VALUE"""),"")</f>
        <v/>
      </c>
      <c r="AC88" s="8" t="str">
        <f ca="1">IFERROR(__xludf.DUMMYFUNCTION("""COMPUTED_VALUE"""),"")</f>
        <v/>
      </c>
      <c r="AD88" s="11" t="str">
        <f ca="1">IFERROR(__xludf.DUMMYFUNCTION("""COMPUTED_VALUE"""),"")</f>
        <v/>
      </c>
      <c r="AE88" t="str">
        <f ca="1">IFERROR(__xludf.DUMMYFUNCTION("""COMPUTED_VALUE"""),"")</f>
        <v/>
      </c>
    </row>
    <row r="89" spans="1:31" ht="12.75" x14ac:dyDescent="0.2">
      <c r="A89">
        <f ca="1">IFERROR(__xludf.DUMMYFUNCTION("""COMPUTED_VALUE"""),95173)</f>
        <v>95173</v>
      </c>
      <c r="B89" t="str">
        <f ca="1">IFERROR(__xludf.DUMMYFUNCTION("""COMPUTED_VALUE"""),"BENEJACQ")</f>
        <v>BENEJACQ</v>
      </c>
      <c r="C89" t="str">
        <f ca="1">IFERROR(__xludf.DUMMYFUNCTION("""COMPUTED_VALUE"""),"Super U")</f>
        <v>Super U</v>
      </c>
      <c r="D89" t="str">
        <f ca="1">IFERROR(__xludf.DUMMYFUNCTION("""COMPUTED_VALUE"""),"Coop U Enseigne Sud")</f>
        <v>Coop U Enseigne Sud</v>
      </c>
      <c r="E89">
        <f ca="1">IFERROR(__xludf.DUMMYFUNCTION("""COMPUTED_VALUE"""),64800)</f>
        <v>64800</v>
      </c>
      <c r="F89" t="str">
        <f ca="1">IFERROR(__xludf.DUMMYFUNCTION("""COMPUTED_VALUE"""),"132 RUE DES PYRENEES")</f>
        <v>132 RUE DES PYRENEES</v>
      </c>
      <c r="G89" t="str">
        <f ca="1">IFERROR(__xludf.DUMMYFUNCTION("""COMPUTED_VALUE"""),"05.59.77.71.00")</f>
        <v>05.59.77.71.00</v>
      </c>
      <c r="H89" t="str">
        <f ca="1">IFERROR(__xludf.DUMMYFUNCTION("""COMPUTED_VALUE"""),"CAVAILHES William")</f>
        <v>CAVAILHES William</v>
      </c>
      <c r="I89" t="str">
        <f ca="1">IFERROR(__xludf.DUMMYFUNCTION("""COMPUTED_VALUE"""),"william.cavailhes@systeme-u.fr")</f>
        <v>william.cavailhes@systeme-u.fr</v>
      </c>
      <c r="J89" t="str">
        <f ca="1">IFERROR(__xludf.DUMMYFUNCTION("""COMPUTED_VALUE"""),"LOUSPLAAS Julie")</f>
        <v>LOUSPLAAS Julie</v>
      </c>
      <c r="K89" t="str">
        <f ca="1">IFERROR(__xludf.DUMMYFUNCTION("""COMPUTED_VALUE"""),"superu.benejacq.gescom@systeme-u.fr")</f>
        <v>superu.benejacq.gescom@systeme-u.fr</v>
      </c>
      <c r="L89" t="str">
        <f ca="1">IFERROR(__xludf.DUMMYFUNCTION("""COMPUTED_VALUE"""),"")</f>
        <v/>
      </c>
      <c r="M89" t="str">
        <f ca="1">IFERROR(__xludf.DUMMYFUNCTION("""COMPUTED_VALUE"""),"99.Hors Périmetre")</f>
        <v>99.Hors Périmetre</v>
      </c>
      <c r="N89" t="str">
        <f ca="1">IFERROR(__xludf.DUMMYFUNCTION("""COMPUTED_VALUE"""),"")</f>
        <v/>
      </c>
      <c r="O89" t="str">
        <f ca="1">IFERROR(__xludf.DUMMYFUNCTION("""COMPUTED_VALUE"""),"")</f>
        <v/>
      </c>
      <c r="P89" t="str">
        <f ca="1">IFERROR(__xludf.DUMMYFUNCTION("""COMPUTED_VALUE"""),"")</f>
        <v/>
      </c>
      <c r="Q89" s="5" t="str">
        <f ca="1">IFERROR(__xludf.DUMMYFUNCTION("""COMPUTED_VALUE"""),"")</f>
        <v/>
      </c>
      <c r="R89" s="6" t="str">
        <f ca="1">IFERROR(__xludf.DUMMYFUNCTION("""COMPUTED_VALUE"""),"")</f>
        <v/>
      </c>
      <c r="S89" t="str">
        <f ca="1">IFERROR(__xludf.DUMMYFUNCTION("""COMPUTED_VALUE"""),"")</f>
        <v/>
      </c>
      <c r="T89" t="str">
        <f ca="1">IFERROR(__xludf.DUMMYFUNCTION("""COMPUTED_VALUE"""),"")</f>
        <v/>
      </c>
      <c r="U89" t="str">
        <f ca="1">IFERROR(__xludf.DUMMYFUNCTION("""COMPUTED_VALUE"""),"")</f>
        <v/>
      </c>
      <c r="V89" t="str">
        <f ca="1">IFERROR(__xludf.DUMMYFUNCTION("""COMPUTED_VALUE"""),"")</f>
        <v/>
      </c>
      <c r="W89" t="str">
        <f ca="1">IFERROR(__xludf.DUMMYFUNCTION("""COMPUTED_VALUE"""),"")</f>
        <v/>
      </c>
      <c r="X89" t="str">
        <f ca="1">IFERROR(__xludf.DUMMYFUNCTION("""COMPUTED_VALUE"""),"")</f>
        <v/>
      </c>
      <c r="Y89" t="str">
        <f ca="1">IFERROR(__xludf.DUMMYFUNCTION("""COMPUTED_VALUE"""),"")</f>
        <v/>
      </c>
      <c r="Z89" t="str">
        <f ca="1">IFERROR(__xludf.DUMMYFUNCTION("""COMPUTED_VALUE"""),"")</f>
        <v/>
      </c>
      <c r="AA89" t="str">
        <f ca="1">IFERROR(__xludf.DUMMYFUNCTION("""COMPUTED_VALUE"""),"Pas de commande")</f>
        <v>Pas de commande</v>
      </c>
      <c r="AB89" s="8" t="str">
        <f ca="1">IFERROR(__xludf.DUMMYFUNCTION("""COMPUTED_VALUE"""),"")</f>
        <v/>
      </c>
      <c r="AC89" s="8" t="str">
        <f ca="1">IFERROR(__xludf.DUMMYFUNCTION("""COMPUTED_VALUE"""),"")</f>
        <v/>
      </c>
      <c r="AD89" s="11" t="str">
        <f ca="1">IFERROR(__xludf.DUMMYFUNCTION("""COMPUTED_VALUE"""),"")</f>
        <v/>
      </c>
      <c r="AE89" t="str">
        <f ca="1">IFERROR(__xludf.DUMMYFUNCTION("""COMPUTED_VALUE"""),"")</f>
        <v/>
      </c>
    </row>
    <row r="90" spans="1:31" ht="12.75" x14ac:dyDescent="0.2">
      <c r="A90">
        <f ca="1">IFERROR(__xludf.DUMMYFUNCTION("""COMPUTED_VALUE"""),25770)</f>
        <v>25770</v>
      </c>
      <c r="B90" t="str">
        <f ca="1">IFERROR(__xludf.DUMMYFUNCTION("""COMPUTED_VALUE"""),"BERNAY")</f>
        <v>BERNAY</v>
      </c>
      <c r="C90" t="str">
        <f ca="1">IFERROR(__xludf.DUMMYFUNCTION("""COMPUTED_VALUE"""),"U Express")</f>
        <v>U Express</v>
      </c>
      <c r="D90" t="str">
        <f ca="1">IFERROR(__xludf.DUMMYFUNCTION("""COMPUTED_VALUE"""),"Coop U Enseigne NordOuest")</f>
        <v>Coop U Enseigne NordOuest</v>
      </c>
      <c r="E90">
        <f ca="1">IFERROR(__xludf.DUMMYFUNCTION("""COMPUTED_VALUE"""),27300)</f>
        <v>27300</v>
      </c>
      <c r="F90" t="str">
        <f ca="1">IFERROR(__xludf.DUMMYFUNCTION("""COMPUTED_VALUE"""),"1 RUE GABRIEL VALLÉE")</f>
        <v>1 RUE GABRIEL VALLÉE</v>
      </c>
      <c r="G90" t="str">
        <f ca="1">IFERROR(__xludf.DUMMYFUNCTION("""COMPUTED_VALUE"""),"02.32.43.23.79")</f>
        <v>02.32.43.23.79</v>
      </c>
      <c r="H90" t="str">
        <f ca="1">IFERROR(__xludf.DUMMYFUNCTION("""COMPUTED_VALUE"""),"PESSON Philippe")</f>
        <v>PESSON Philippe</v>
      </c>
      <c r="I90" t="str">
        <f ca="1">IFERROR(__xludf.DUMMYFUNCTION("""COMPUTED_VALUE"""),"philippe.pesson@systeme-u.fr")</f>
        <v>philippe.pesson@systeme-u.fr</v>
      </c>
      <c r="J90" t="str">
        <f ca="1">IFERROR(__xludf.DUMMYFUNCTION("""COMPUTED_VALUE"""),"")</f>
        <v/>
      </c>
      <c r="K90" t="str">
        <f ca="1">IFERROR(__xludf.DUMMYFUNCTION("""COMPUTED_VALUE"""),"")</f>
        <v/>
      </c>
      <c r="L90" t="str">
        <f ca="1">IFERROR(__xludf.DUMMYFUNCTION("""COMPUTED_VALUE"""),"")</f>
        <v/>
      </c>
      <c r="M90" t="str">
        <f ca="1">IFERROR(__xludf.DUMMYFUNCTION("""COMPUTED_VALUE"""),"99.Hors Périmetre")</f>
        <v>99.Hors Périmetre</v>
      </c>
      <c r="N90" t="str">
        <f ca="1">IFERROR(__xludf.DUMMYFUNCTION("""COMPUTED_VALUE"""),"")</f>
        <v/>
      </c>
      <c r="O90" t="str">
        <f ca="1">IFERROR(__xludf.DUMMYFUNCTION("""COMPUTED_VALUE"""),"")</f>
        <v/>
      </c>
      <c r="P90" t="str">
        <f ca="1">IFERROR(__xludf.DUMMYFUNCTION("""COMPUTED_VALUE"""),"")</f>
        <v/>
      </c>
      <c r="Q90" s="5" t="str">
        <f ca="1">IFERROR(__xludf.DUMMYFUNCTION("""COMPUTED_VALUE"""),"")</f>
        <v/>
      </c>
      <c r="R90" s="6" t="str">
        <f ca="1">IFERROR(__xludf.DUMMYFUNCTION("""COMPUTED_VALUE"""),"")</f>
        <v/>
      </c>
      <c r="S90" t="str">
        <f ca="1">IFERROR(__xludf.DUMMYFUNCTION("""COMPUTED_VALUE"""),"")</f>
        <v/>
      </c>
      <c r="T90" t="str">
        <f ca="1">IFERROR(__xludf.DUMMYFUNCTION("""COMPUTED_VALUE"""),"")</f>
        <v/>
      </c>
      <c r="U90" t="str">
        <f ca="1">IFERROR(__xludf.DUMMYFUNCTION("""COMPUTED_VALUE"""),"")</f>
        <v/>
      </c>
      <c r="V90" t="str">
        <f ca="1">IFERROR(__xludf.DUMMYFUNCTION("""COMPUTED_VALUE"""),"")</f>
        <v/>
      </c>
      <c r="W90" t="str">
        <f ca="1">IFERROR(__xludf.DUMMYFUNCTION("""COMPUTED_VALUE"""),"")</f>
        <v/>
      </c>
      <c r="X90" t="str">
        <f ca="1">IFERROR(__xludf.DUMMYFUNCTION("""COMPUTED_VALUE"""),"")</f>
        <v/>
      </c>
      <c r="Y90" t="str">
        <f ca="1">IFERROR(__xludf.DUMMYFUNCTION("""COMPUTED_VALUE"""),"")</f>
        <v/>
      </c>
      <c r="Z90" t="str">
        <f ca="1">IFERROR(__xludf.DUMMYFUNCTION("""COMPUTED_VALUE"""),"")</f>
        <v/>
      </c>
      <c r="AA90" t="str">
        <f ca="1">IFERROR(__xludf.DUMMYFUNCTION("""COMPUTED_VALUE"""),"Pas de commande")</f>
        <v>Pas de commande</v>
      </c>
      <c r="AB90" s="8" t="str">
        <f ca="1">IFERROR(__xludf.DUMMYFUNCTION("""COMPUTED_VALUE"""),"")</f>
        <v/>
      </c>
      <c r="AC90" s="8" t="str">
        <f ca="1">IFERROR(__xludf.DUMMYFUNCTION("""COMPUTED_VALUE"""),"")</f>
        <v/>
      </c>
      <c r="AD90" s="11" t="str">
        <f ca="1">IFERROR(__xludf.DUMMYFUNCTION("""COMPUTED_VALUE"""),"")</f>
        <v/>
      </c>
      <c r="AE90" t="str">
        <f ca="1">IFERROR(__xludf.DUMMYFUNCTION("""COMPUTED_VALUE"""),"")</f>
        <v/>
      </c>
    </row>
    <row r="91" spans="1:31" ht="12.75" x14ac:dyDescent="0.2">
      <c r="A91">
        <f ca="1">IFERROR(__xludf.DUMMYFUNCTION("""COMPUTED_VALUE"""),60709)</f>
        <v>60709</v>
      </c>
      <c r="B91" t="str">
        <f ca="1">IFERROR(__xludf.DUMMYFUNCTION("""COMPUTED_VALUE"""),"BERNOLSHEIM")</f>
        <v>BERNOLSHEIM</v>
      </c>
      <c r="C91" t="str">
        <f ca="1">IFERROR(__xludf.DUMMYFUNCTION("""COMPUTED_VALUE"""),"Super U")</f>
        <v>Super U</v>
      </c>
      <c r="D91" t="str">
        <f ca="1">IFERROR(__xludf.DUMMYFUNCTION("""COMPUTED_VALUE"""),"Coop U Enseigne Est")</f>
        <v>Coop U Enseigne Est</v>
      </c>
      <c r="E91">
        <f ca="1">IFERROR(__xludf.DUMMYFUNCTION("""COMPUTED_VALUE"""),67170)</f>
        <v>67170</v>
      </c>
      <c r="F91" t="str">
        <f ca="1">IFERROR(__xludf.DUMMYFUNCTION("""COMPUTED_VALUE"""),"ROUTE DE BRUMATH")</f>
        <v>ROUTE DE BRUMATH</v>
      </c>
      <c r="G91" t="str">
        <f ca="1">IFERROR(__xludf.DUMMYFUNCTION("""COMPUTED_VALUE"""),"03.88.59.34.90")</f>
        <v>03.88.59.34.90</v>
      </c>
      <c r="H91" t="str">
        <f ca="1">IFERROR(__xludf.DUMMYFUNCTION("""COMPUTED_VALUE"""),"STEINMETZ Jean-Luc")</f>
        <v>STEINMETZ Jean-Luc</v>
      </c>
      <c r="I91" t="str">
        <f ca="1">IFERROR(__xludf.DUMMYFUNCTION("""COMPUTED_VALUE"""),"jean-luc.steinmetz@systeme-u.fr")</f>
        <v>jean-luc.steinmetz@systeme-u.fr</v>
      </c>
      <c r="J91" t="str">
        <f ca="1">IFERROR(__xludf.DUMMYFUNCTION("""COMPUTED_VALUE"""),"M SCHNEIDER")</f>
        <v>M SCHNEIDER</v>
      </c>
      <c r="K91" t="str">
        <f ca="1">IFERROR(__xludf.DUMMYFUNCTION("""COMPUTED_VALUE"""),"schneider.bernolsheim@gmail.com,stephanie.north@systeme-u.fr, superu.bernolsheim@systeme-u.fr")</f>
        <v>schneider.bernolsheim@gmail.com,stephanie.north@systeme-u.fr, superu.bernolsheim@systeme-u.fr</v>
      </c>
      <c r="L91" t="str">
        <f ca="1">IFERROR(__xludf.DUMMYFUNCTION("""COMPUTED_VALUE"""),"")</f>
        <v/>
      </c>
      <c r="M91" t="str">
        <f ca="1">IFERROR(__xludf.DUMMYFUNCTION("""COMPUTED_VALUE"""),"99.Hors Périmetre")</f>
        <v>99.Hors Périmetre</v>
      </c>
      <c r="N91" t="str">
        <f ca="1">IFERROR(__xludf.DUMMYFUNCTION("""COMPUTED_VALUE"""),"")</f>
        <v/>
      </c>
      <c r="O91" t="str">
        <f ca="1">IFERROR(__xludf.DUMMYFUNCTION("""COMPUTED_VALUE"""),"")</f>
        <v/>
      </c>
      <c r="P91" t="str">
        <f ca="1">IFERROR(__xludf.DUMMYFUNCTION("""COMPUTED_VALUE"""),"")</f>
        <v/>
      </c>
      <c r="Q91" s="5" t="str">
        <f ca="1">IFERROR(__xludf.DUMMYFUNCTION("""COMPUTED_VALUE"""),"")</f>
        <v/>
      </c>
      <c r="R91" s="6" t="str">
        <f ca="1">IFERROR(__xludf.DUMMYFUNCTION("""COMPUTED_VALUE"""),"")</f>
        <v/>
      </c>
      <c r="S91" t="str">
        <f ca="1">IFERROR(__xludf.DUMMYFUNCTION("""COMPUTED_VALUE"""),"")</f>
        <v/>
      </c>
      <c r="T91" t="str">
        <f ca="1">IFERROR(__xludf.DUMMYFUNCTION("""COMPUTED_VALUE"""),"")</f>
        <v/>
      </c>
      <c r="U91" t="str">
        <f ca="1">IFERROR(__xludf.DUMMYFUNCTION("""COMPUTED_VALUE"""),"")</f>
        <v/>
      </c>
      <c r="V91" t="str">
        <f ca="1">IFERROR(__xludf.DUMMYFUNCTION("""COMPUTED_VALUE"""),"")</f>
        <v/>
      </c>
      <c r="W91" t="str">
        <f ca="1">IFERROR(__xludf.DUMMYFUNCTION("""COMPUTED_VALUE"""),"")</f>
        <v/>
      </c>
      <c r="X91" t="str">
        <f ca="1">IFERROR(__xludf.DUMMYFUNCTION("""COMPUTED_VALUE"""),"")</f>
        <v/>
      </c>
      <c r="Y91" t="str">
        <f ca="1">IFERROR(__xludf.DUMMYFUNCTION("""COMPUTED_VALUE"""),"")</f>
        <v/>
      </c>
      <c r="Z91" t="str">
        <f ca="1">IFERROR(__xludf.DUMMYFUNCTION("""COMPUTED_VALUE"""),"")</f>
        <v/>
      </c>
      <c r="AA91" t="str">
        <f ca="1">IFERROR(__xludf.DUMMYFUNCTION("""COMPUTED_VALUE"""),"Pas de commande")</f>
        <v>Pas de commande</v>
      </c>
      <c r="AB91" s="8" t="str">
        <f ca="1">IFERROR(__xludf.DUMMYFUNCTION("""COMPUTED_VALUE"""),"")</f>
        <v/>
      </c>
      <c r="AC91" s="8" t="str">
        <f ca="1">IFERROR(__xludf.DUMMYFUNCTION("""COMPUTED_VALUE"""),"")</f>
        <v/>
      </c>
      <c r="AD91" s="11" t="str">
        <f ca="1">IFERROR(__xludf.DUMMYFUNCTION("""COMPUTED_VALUE"""),"")</f>
        <v/>
      </c>
      <c r="AE91" t="str">
        <f ca="1">IFERROR(__xludf.DUMMYFUNCTION("""COMPUTED_VALUE"""),"")</f>
        <v/>
      </c>
    </row>
    <row r="92" spans="1:31" ht="12.75" x14ac:dyDescent="0.2">
      <c r="A92">
        <f ca="1">IFERROR(__xludf.DUMMYFUNCTION("""COMPUTED_VALUE"""),63022)</f>
        <v>63022</v>
      </c>
      <c r="B92" t="str">
        <f ca="1">IFERROR(__xludf.DUMMYFUNCTION("""COMPUTED_VALUE"""),"BESANCON")</f>
        <v>BESANCON</v>
      </c>
      <c r="C92" t="str">
        <f ca="1">IFERROR(__xludf.DUMMYFUNCTION("""COMPUTED_VALUE"""),"Super U")</f>
        <v>Super U</v>
      </c>
      <c r="D92" t="str">
        <f ca="1">IFERROR(__xludf.DUMMYFUNCTION("""COMPUTED_VALUE"""),"Coop U Enseigne Est")</f>
        <v>Coop U Enseigne Est</v>
      </c>
      <c r="E92">
        <f ca="1">IFERROR(__xludf.DUMMYFUNCTION("""COMPUTED_VALUE"""),25000)</f>
        <v>25000</v>
      </c>
      <c r="F92" t="str">
        <f ca="1">IFERROR(__xludf.DUMMYFUNCTION("""COMPUTED_VALUE"""),"20 rue de l'Amitié")</f>
        <v>20 rue de l'Amitié</v>
      </c>
      <c r="G92" t="str">
        <f ca="1">IFERROR(__xludf.DUMMYFUNCTION("""COMPUTED_VALUE"""),"03.81.51.34.50")</f>
        <v>03.81.51.34.50</v>
      </c>
      <c r="H92" t="str">
        <f ca="1">IFERROR(__xludf.DUMMYFUNCTION("""COMPUTED_VALUE"""),"HOURNON Daniel")</f>
        <v>HOURNON Daniel</v>
      </c>
      <c r="I92" t="str">
        <f ca="1">IFERROR(__xludf.DUMMYFUNCTION("""COMPUTED_VALUE"""),"daniel.hournon@systeme-u.fr")</f>
        <v>daniel.hournon@systeme-u.fr</v>
      </c>
      <c r="J92" t="str">
        <f ca="1">IFERROR(__xludf.DUMMYFUNCTION("""COMPUTED_VALUE"""),"Mme SEMENTA
Mr David EMMANUEL (comptable = Pilote)")</f>
        <v>Mme SEMENTA
Mr David EMMANUEL (comptable = Pilote)</v>
      </c>
      <c r="K92" t="str">
        <f ca="1">IFERROR(__xludf.DUMMYFUNCTION("""COMPUTED_VALUE"""),"superu.besancon.qualite_hygiene@systeme-u.fr, superu.besancon.compta@systeme-u.fr")</f>
        <v>superu.besancon.qualite_hygiene@systeme-u.fr, superu.besancon.compta@systeme-u.fr</v>
      </c>
      <c r="L92" t="str">
        <f ca="1">IFERROR(__xludf.DUMMYFUNCTION("""COMPUTED_VALUE"""),"")</f>
        <v/>
      </c>
      <c r="M92" t="str">
        <f ca="1">IFERROR(__xludf.DUMMYFUNCTION("""COMPUTED_VALUE"""),"99.Hors Périmetre")</f>
        <v>99.Hors Périmetre</v>
      </c>
      <c r="N92" t="str">
        <f ca="1">IFERROR(__xludf.DUMMYFUNCTION("""COMPUTED_VALUE"""),"")</f>
        <v/>
      </c>
      <c r="O92" t="str">
        <f ca="1">IFERROR(__xludf.DUMMYFUNCTION("""COMPUTED_VALUE"""),"")</f>
        <v/>
      </c>
      <c r="P92" t="str">
        <f ca="1">IFERROR(__xludf.DUMMYFUNCTION("""COMPUTED_VALUE"""),"")</f>
        <v/>
      </c>
      <c r="Q92" s="5" t="str">
        <f ca="1">IFERROR(__xludf.DUMMYFUNCTION("""COMPUTED_VALUE"""),"")</f>
        <v/>
      </c>
      <c r="R92" s="6" t="str">
        <f ca="1">IFERROR(__xludf.DUMMYFUNCTION("""COMPUTED_VALUE"""),"")</f>
        <v/>
      </c>
      <c r="S92" t="str">
        <f ca="1">IFERROR(__xludf.DUMMYFUNCTION("""COMPUTED_VALUE"""),"")</f>
        <v/>
      </c>
      <c r="T92" t="str">
        <f ca="1">IFERROR(__xludf.DUMMYFUNCTION("""COMPUTED_VALUE"""),"")</f>
        <v/>
      </c>
      <c r="U92" t="str">
        <f ca="1">IFERROR(__xludf.DUMMYFUNCTION("""COMPUTED_VALUE"""),"")</f>
        <v/>
      </c>
      <c r="V92" t="str">
        <f ca="1">IFERROR(__xludf.DUMMYFUNCTION("""COMPUTED_VALUE"""),"")</f>
        <v/>
      </c>
      <c r="W92" t="str">
        <f ca="1">IFERROR(__xludf.DUMMYFUNCTION("""COMPUTED_VALUE"""),"")</f>
        <v/>
      </c>
      <c r="X92" t="str">
        <f ca="1">IFERROR(__xludf.DUMMYFUNCTION("""COMPUTED_VALUE"""),"")</f>
        <v/>
      </c>
      <c r="Y92" t="str">
        <f ca="1">IFERROR(__xludf.DUMMYFUNCTION("""COMPUTED_VALUE"""),"")</f>
        <v/>
      </c>
      <c r="Z92" t="str">
        <f ca="1">IFERROR(__xludf.DUMMYFUNCTION("""COMPUTED_VALUE"""),"")</f>
        <v/>
      </c>
      <c r="AA92" t="str">
        <f ca="1">IFERROR(__xludf.DUMMYFUNCTION("""COMPUTED_VALUE"""),"Pas de commande")</f>
        <v>Pas de commande</v>
      </c>
      <c r="AB92" s="8" t="str">
        <f ca="1">IFERROR(__xludf.DUMMYFUNCTION("""COMPUTED_VALUE"""),"")</f>
        <v/>
      </c>
      <c r="AC92" s="8" t="str">
        <f ca="1">IFERROR(__xludf.DUMMYFUNCTION("""COMPUTED_VALUE"""),"")</f>
        <v/>
      </c>
      <c r="AD92" s="11" t="str">
        <f ca="1">IFERROR(__xludf.DUMMYFUNCTION("""COMPUTED_VALUE"""),"")</f>
        <v/>
      </c>
      <c r="AE92" t="str">
        <f ca="1">IFERROR(__xludf.DUMMYFUNCTION("""COMPUTED_VALUE"""),"")</f>
        <v/>
      </c>
    </row>
    <row r="93" spans="1:31" ht="12.75" x14ac:dyDescent="0.2">
      <c r="A93">
        <f ca="1">IFERROR(__xludf.DUMMYFUNCTION("""COMPUTED_VALUE"""),23735)</f>
        <v>23735</v>
      </c>
      <c r="B93" t="str">
        <f ca="1">IFERROR(__xludf.DUMMYFUNCTION("""COMPUTED_VALUE"""),"BESSANCOURT")</f>
        <v>BESSANCOURT</v>
      </c>
      <c r="C93" t="str">
        <f ca="1">IFERROR(__xludf.DUMMYFUNCTION("""COMPUTED_VALUE"""),"U Express")</f>
        <v>U Express</v>
      </c>
      <c r="D93" t="str">
        <f ca="1">IFERROR(__xludf.DUMMYFUNCTION("""COMPUTED_VALUE"""),"Coop U Enseigne NordOuest")</f>
        <v>Coop U Enseigne NordOuest</v>
      </c>
      <c r="E93">
        <f ca="1">IFERROR(__xludf.DUMMYFUNCTION("""COMPUTED_VALUE"""),95550)</f>
        <v>95550</v>
      </c>
      <c r="F93" t="str">
        <f ca="1">IFERROR(__xludf.DUMMYFUNCTION("""COMPUTED_VALUE"""),"116 TER AVENUE DE LA RÉPUBLIQUE")</f>
        <v>116 TER AVENUE DE LA RÉPUBLIQUE</v>
      </c>
      <c r="G93" t="str">
        <f ca="1">IFERROR(__xludf.DUMMYFUNCTION("""COMPUTED_VALUE"""),"01.30.40.24.79")</f>
        <v>01.30.40.24.79</v>
      </c>
      <c r="H93" t="str">
        <f ca="1">IFERROR(__xludf.DUMMYFUNCTION("""COMPUTED_VALUE"""),"TOURBIER GUY")</f>
        <v>TOURBIER GUY</v>
      </c>
      <c r="I93" t="str">
        <f ca="1">IFERROR(__xludf.DUMMYFUNCTION("""COMPUTED_VALUE"""),"guy.tourbier@systeme-u.fr")</f>
        <v>guy.tourbier@systeme-u.fr</v>
      </c>
      <c r="J93" t="str">
        <f ca="1">IFERROR(__xludf.DUMMYFUNCTION("""COMPUTED_VALUE"""),"Mme LECOUVE")</f>
        <v>Mme LECOUVE</v>
      </c>
      <c r="K93" t="str">
        <f ca="1">IFERROR(__xludf.DUMMYFUNCTION("""COMPUTED_VALUE"""),"alexandra.lecouve@systeme-u.fr")</f>
        <v>alexandra.lecouve@systeme-u.fr</v>
      </c>
      <c r="L93" t="str">
        <f ca="1">IFERROR(__xludf.DUMMYFUNCTION("""COMPUTED_VALUE"""),"")</f>
        <v/>
      </c>
      <c r="M93" t="str">
        <f ca="1">IFERROR(__xludf.DUMMYFUNCTION("""COMPUTED_VALUE"""),"99.Hors Périmetre")</f>
        <v>99.Hors Périmetre</v>
      </c>
      <c r="N93" t="str">
        <f ca="1">IFERROR(__xludf.DUMMYFUNCTION("""COMPUTED_VALUE"""),"")</f>
        <v/>
      </c>
      <c r="O93" t="str">
        <f ca="1">IFERROR(__xludf.DUMMYFUNCTION("""COMPUTED_VALUE"""),"")</f>
        <v/>
      </c>
      <c r="P93" t="str">
        <f ca="1">IFERROR(__xludf.DUMMYFUNCTION("""COMPUTED_VALUE"""),"")</f>
        <v/>
      </c>
      <c r="Q93" s="5" t="str">
        <f ca="1">IFERROR(__xludf.DUMMYFUNCTION("""COMPUTED_VALUE"""),"")</f>
        <v/>
      </c>
      <c r="R93" s="6" t="str">
        <f ca="1">IFERROR(__xludf.DUMMYFUNCTION("""COMPUTED_VALUE"""),"")</f>
        <v/>
      </c>
      <c r="S93" t="str">
        <f ca="1">IFERROR(__xludf.DUMMYFUNCTION("""COMPUTED_VALUE"""),"")</f>
        <v/>
      </c>
      <c r="T93" t="str">
        <f ca="1">IFERROR(__xludf.DUMMYFUNCTION("""COMPUTED_VALUE"""),"")</f>
        <v/>
      </c>
      <c r="U93" t="str">
        <f ca="1">IFERROR(__xludf.DUMMYFUNCTION("""COMPUTED_VALUE"""),"")</f>
        <v/>
      </c>
      <c r="V93" t="str">
        <f ca="1">IFERROR(__xludf.DUMMYFUNCTION("""COMPUTED_VALUE"""),"")</f>
        <v/>
      </c>
      <c r="W93" t="str">
        <f ca="1">IFERROR(__xludf.DUMMYFUNCTION("""COMPUTED_VALUE"""),"")</f>
        <v/>
      </c>
      <c r="X93" t="str">
        <f ca="1">IFERROR(__xludf.DUMMYFUNCTION("""COMPUTED_VALUE"""),"")</f>
        <v/>
      </c>
      <c r="Y93" t="str">
        <f ca="1">IFERROR(__xludf.DUMMYFUNCTION("""COMPUTED_VALUE"""),"")</f>
        <v/>
      </c>
      <c r="Z93" t="str">
        <f ca="1">IFERROR(__xludf.DUMMYFUNCTION("""COMPUTED_VALUE"""),"")</f>
        <v/>
      </c>
      <c r="AA93" t="str">
        <f ca="1">IFERROR(__xludf.DUMMYFUNCTION("""COMPUTED_VALUE"""),"Pas de commande")</f>
        <v>Pas de commande</v>
      </c>
      <c r="AB93" s="8" t="str">
        <f ca="1">IFERROR(__xludf.DUMMYFUNCTION("""COMPUTED_VALUE"""),"")</f>
        <v/>
      </c>
      <c r="AC93" s="8" t="str">
        <f ca="1">IFERROR(__xludf.DUMMYFUNCTION("""COMPUTED_VALUE"""),"")</f>
        <v/>
      </c>
      <c r="AD93" s="11" t="str">
        <f ca="1">IFERROR(__xludf.DUMMYFUNCTION("""COMPUTED_VALUE"""),"")</f>
        <v/>
      </c>
      <c r="AE93" t="str">
        <f ca="1">IFERROR(__xludf.DUMMYFUNCTION("""COMPUTED_VALUE"""),"")</f>
        <v/>
      </c>
    </row>
    <row r="94" spans="1:31" ht="12.75" x14ac:dyDescent="0.2">
      <c r="A94">
        <f ca="1">IFERROR(__xludf.DUMMYFUNCTION("""COMPUTED_VALUE"""),38699)</f>
        <v>38699</v>
      </c>
      <c r="B94" t="str">
        <f ca="1">IFERROR(__xludf.DUMMYFUNCTION("""COMPUTED_VALUE"""),"BESSE-SUR-BRAYE")</f>
        <v>BESSE-SUR-BRAYE</v>
      </c>
      <c r="C94" t="str">
        <f ca="1">IFERROR(__xludf.DUMMYFUNCTION("""COMPUTED_VALUE"""),"Super U")</f>
        <v>Super U</v>
      </c>
      <c r="D94" t="str">
        <f ca="1">IFERROR(__xludf.DUMMYFUNCTION("""COMPUTED_VALUE"""),"Coop U Enseigne Ouest")</f>
        <v>Coop U Enseigne Ouest</v>
      </c>
      <c r="E94">
        <f ca="1">IFERROR(__xludf.DUMMYFUNCTION("""COMPUTED_VALUE"""),72310)</f>
        <v>72310</v>
      </c>
      <c r="F94" t="str">
        <f ca="1">IFERROR(__xludf.DUMMYFUNCTION("""COMPUTED_VALUE"""),"LES SABLONNIÈRES")</f>
        <v>LES SABLONNIÈRES</v>
      </c>
      <c r="G94" t="str">
        <f ca="1">IFERROR(__xludf.DUMMYFUNCTION("""COMPUTED_VALUE"""),"02.43.63.15.50")</f>
        <v>02.43.63.15.50</v>
      </c>
      <c r="H94" t="str">
        <f ca="1">IFERROR(__xludf.DUMMYFUNCTION("""COMPUTED_VALUE"""),"CORNET RPT SARL MAXHEL Jean-Michel")</f>
        <v>CORNET RPT SARL MAXHEL Jean-Michel</v>
      </c>
      <c r="I94" t="str">
        <f ca="1">IFERROR(__xludf.DUMMYFUNCTION("""COMPUTED_VALUE"""),"jean-michel.cornet@systeme-u.fr")</f>
        <v>jean-michel.cornet@systeme-u.fr</v>
      </c>
      <c r="J94" t="str">
        <f ca="1">IFERROR(__xludf.DUMMYFUNCTION("""COMPUTED_VALUE"""),"Evelyne Cornet")</f>
        <v>Evelyne Cornet</v>
      </c>
      <c r="K94" t="str">
        <f ca="1">IFERROR(__xludf.DUMMYFUNCTION("""COMPUTED_VALUE"""),"evelyne.cornet@systeme-u.fr")</f>
        <v>evelyne.cornet@systeme-u.fr</v>
      </c>
      <c r="L94" t="str">
        <f ca="1">IFERROR(__xludf.DUMMYFUNCTION("""COMPUTED_VALUE"""),"")</f>
        <v/>
      </c>
      <c r="M94" t="str">
        <f ca="1">IFERROR(__xludf.DUMMYFUNCTION("""COMPUTED_VALUE"""),"99.Hors Périmetre")</f>
        <v>99.Hors Périmetre</v>
      </c>
      <c r="N94" t="str">
        <f ca="1">IFERROR(__xludf.DUMMYFUNCTION("""COMPUTED_VALUE"""),"")</f>
        <v/>
      </c>
      <c r="O94" t="str">
        <f ca="1">IFERROR(__xludf.DUMMYFUNCTION("""COMPUTED_VALUE"""),"")</f>
        <v/>
      </c>
      <c r="P94" t="str">
        <f ca="1">IFERROR(__xludf.DUMMYFUNCTION("""COMPUTED_VALUE"""),"")</f>
        <v/>
      </c>
      <c r="Q94" s="5" t="str">
        <f ca="1">IFERROR(__xludf.DUMMYFUNCTION("""COMPUTED_VALUE"""),"")</f>
        <v/>
      </c>
      <c r="R94" s="6" t="str">
        <f ca="1">IFERROR(__xludf.DUMMYFUNCTION("""COMPUTED_VALUE"""),"")</f>
        <v/>
      </c>
      <c r="S94" t="str">
        <f ca="1">IFERROR(__xludf.DUMMYFUNCTION("""COMPUTED_VALUE"""),"")</f>
        <v/>
      </c>
      <c r="T94" t="str">
        <f ca="1">IFERROR(__xludf.DUMMYFUNCTION("""COMPUTED_VALUE"""),"")</f>
        <v/>
      </c>
      <c r="U94" t="str">
        <f ca="1">IFERROR(__xludf.DUMMYFUNCTION("""COMPUTED_VALUE"""),"")</f>
        <v/>
      </c>
      <c r="V94" t="str">
        <f ca="1">IFERROR(__xludf.DUMMYFUNCTION("""COMPUTED_VALUE"""),"")</f>
        <v/>
      </c>
      <c r="W94" t="str">
        <f ca="1">IFERROR(__xludf.DUMMYFUNCTION("""COMPUTED_VALUE"""),"")</f>
        <v/>
      </c>
      <c r="X94" t="str">
        <f ca="1">IFERROR(__xludf.DUMMYFUNCTION("""COMPUTED_VALUE"""),"")</f>
        <v/>
      </c>
      <c r="Y94" t="str">
        <f ca="1">IFERROR(__xludf.DUMMYFUNCTION("""COMPUTED_VALUE"""),"")</f>
        <v/>
      </c>
      <c r="Z94" t="str">
        <f ca="1">IFERROR(__xludf.DUMMYFUNCTION("""COMPUTED_VALUE"""),"")</f>
        <v/>
      </c>
      <c r="AA94" t="str">
        <f ca="1">IFERROR(__xludf.DUMMYFUNCTION("""COMPUTED_VALUE"""),"Pas de commande")</f>
        <v>Pas de commande</v>
      </c>
      <c r="AB94" s="8" t="str">
        <f ca="1">IFERROR(__xludf.DUMMYFUNCTION("""COMPUTED_VALUE"""),"")</f>
        <v/>
      </c>
      <c r="AC94" s="8" t="str">
        <f ca="1">IFERROR(__xludf.DUMMYFUNCTION("""COMPUTED_VALUE"""),"")</f>
        <v/>
      </c>
      <c r="AD94" s="11" t="str">
        <f ca="1">IFERROR(__xludf.DUMMYFUNCTION("""COMPUTED_VALUE"""),"")</f>
        <v/>
      </c>
      <c r="AE94" t="str">
        <f ca="1">IFERROR(__xludf.DUMMYFUNCTION("""COMPUTED_VALUE"""),"")</f>
        <v/>
      </c>
    </row>
    <row r="95" spans="1:31" ht="12.75" x14ac:dyDescent="0.2">
      <c r="A95">
        <f ca="1">IFERROR(__xludf.DUMMYFUNCTION("""COMPUTED_VALUE"""),95366)</f>
        <v>95366</v>
      </c>
      <c r="B95" t="str">
        <f ca="1">IFERROR(__xludf.DUMMYFUNCTION("""COMPUTED_VALUE"""),"BESSIERES")</f>
        <v>BESSIERES</v>
      </c>
      <c r="C95" t="str">
        <f ca="1">IFERROR(__xludf.DUMMYFUNCTION("""COMPUTED_VALUE"""),"Super U")</f>
        <v>Super U</v>
      </c>
      <c r="D95" t="str">
        <f ca="1">IFERROR(__xludf.DUMMYFUNCTION("""COMPUTED_VALUE"""),"Coop U Enseigne Sud")</f>
        <v>Coop U Enseigne Sud</v>
      </c>
      <c r="E95">
        <f ca="1">IFERROR(__xludf.DUMMYFUNCTION("""COMPUTED_VALUE"""),31660)</f>
        <v>31660</v>
      </c>
      <c r="F95" t="str">
        <f ca="1">IFERROR(__xludf.DUMMYFUNCTION("""COMPUTED_VALUE"""),"160 AVENUE DES PORTES DE BESSIERES")</f>
        <v>160 AVENUE DES PORTES DE BESSIERES</v>
      </c>
      <c r="G95" t="str">
        <f ca="1">IFERROR(__xludf.DUMMYFUNCTION("""COMPUTED_VALUE"""),"05.61.84.38.46")</f>
        <v>05.61.84.38.46</v>
      </c>
      <c r="H95" t="str">
        <f ca="1">IFERROR(__xludf.DUMMYFUNCTION("""COMPUTED_VALUE"""),"PLAZA Guy")</f>
        <v>PLAZA Guy</v>
      </c>
      <c r="I95" t="str">
        <f ca="1">IFERROR(__xludf.DUMMYFUNCTION("""COMPUTED_VALUE"""),"guy.plaza@systeme-u.fr")</f>
        <v>guy.plaza@systeme-u.fr</v>
      </c>
      <c r="J95" t="str">
        <f ca="1">IFERROR(__xludf.DUMMYFUNCTION("""COMPUTED_VALUE"""),"SABATIER David")</f>
        <v>SABATIER David</v>
      </c>
      <c r="K95" t="str">
        <f ca="1">IFERROR(__xludf.DUMMYFUNCTION("""COMPUTED_VALUE"""),"superu.bessieres.gestion@systeme-u.fr")</f>
        <v>superu.bessieres.gestion@systeme-u.fr</v>
      </c>
      <c r="L95" t="str">
        <f ca="1">IFERROR(__xludf.DUMMYFUNCTION("""COMPUTED_VALUE"""),"")</f>
        <v/>
      </c>
      <c r="M95" t="str">
        <f ca="1">IFERROR(__xludf.DUMMYFUNCTION("""COMPUTED_VALUE"""),"3. Migration réalisée")</f>
        <v>3. Migration réalisée</v>
      </c>
      <c r="N95" t="str">
        <f ca="1">IFERROR(__xludf.DUMMYFUNCTION("""COMPUTED_VALUE"""),"")</f>
        <v/>
      </c>
      <c r="O95" t="str">
        <f ca="1">IFERROR(__xludf.DUMMYFUNCTION("""COMPUTED_VALUE"""),"18/02 FMR : contact Jonathan Plaza 05.61.84.38.46 : MP 01/03/2019 14H
01/03 RLO : Migration réalisée vu avec Jonathan Plaza")</f>
        <v>18/02 FMR : contact Jonathan Plaza 05.61.84.38.46 : MP 01/03/2019 14H
01/03 RLO : Migration réalisée vu avec Jonathan Plaza</v>
      </c>
      <c r="P95">
        <f ca="1">IFERROR(__xludf.DUMMYFUNCTION("""COMPUTED_VALUE"""),9)</f>
        <v>9</v>
      </c>
      <c r="Q95" s="5" t="str">
        <f ca="1">IFERROR(__xludf.DUMMYFUNCTION("""COMPUTED_VALUE"""),"")</f>
        <v/>
      </c>
      <c r="R95" s="6">
        <f ca="1">IFERROR(__xludf.DUMMYFUNCTION("""COMPUTED_VALUE"""),43525.5833333333)</f>
        <v>43525.583333333299</v>
      </c>
      <c r="S95" t="str">
        <f ca="1">IFERROR(__xludf.DUMMYFUNCTION("""COMPUTED_VALUE"""),"MEP8519892")</f>
        <v>MEP8519892</v>
      </c>
      <c r="T95" t="str">
        <f ca="1">IFERROR(__xludf.DUMMYFUNCTION("""COMPUTED_VALUE"""),"MEP8519893")</f>
        <v>MEP8519893</v>
      </c>
      <c r="U95" t="str">
        <f ca="1">IFERROR(__xludf.DUMMYFUNCTION("""COMPUTED_VALUE"""),"")</f>
        <v/>
      </c>
      <c r="V95" t="str">
        <f ca="1">IFERROR(__xludf.DUMMYFUNCTION("""COMPUTED_VALUE"""),"10.161.133.237")</f>
        <v>10.161.133.237</v>
      </c>
      <c r="W95" t="str">
        <f ca="1">IFERROR(__xludf.DUMMYFUNCTION("""COMPUTED_VALUE"""),"R5")</f>
        <v>R5</v>
      </c>
      <c r="X95" t="str">
        <f ca="1">IFERROR(__xludf.DUMMYFUNCTION("""COMPUTED_VALUE"""),"U StoreBox")</f>
        <v>U StoreBox</v>
      </c>
      <c r="Y95" t="str">
        <f ca="1">IFERROR(__xludf.DUMMYFUNCTION("""COMPUTED_VALUE"""),"Primo")</f>
        <v>Primo</v>
      </c>
      <c r="Z95" t="str">
        <f ca="1">IFERROR(__xludf.DUMMYFUNCTION("""COMPUTED_VALUE"""),"")</f>
        <v/>
      </c>
      <c r="AA95" t="str">
        <f ca="1">IFERROR(__xludf.DUMMYFUNCTION("""COMPUTED_VALUE"""),"Terminé")</f>
        <v>Terminé</v>
      </c>
      <c r="AB95" s="8">
        <f ca="1">IFERROR(__xludf.DUMMYFUNCTION("""COMPUTED_VALUE"""),43523)</f>
        <v>43523</v>
      </c>
      <c r="AC95" s="8">
        <f ca="1">IFERROR(__xludf.DUMMYFUNCTION("""COMPUTED_VALUE"""),43529)</f>
        <v>43529</v>
      </c>
      <c r="AD95" s="11">
        <f ca="1">IFERROR(__xludf.DUMMYFUNCTION("""COMPUTED_VALUE"""),43529)</f>
        <v>43529</v>
      </c>
      <c r="AE95" t="str">
        <f ca="1">IFERROR(__xludf.DUMMYFUNCTION("""COMPUTED_VALUE"""),"terminé")</f>
        <v>terminé</v>
      </c>
    </row>
    <row r="96" spans="1:31" ht="12.75" x14ac:dyDescent="0.2">
      <c r="A96">
        <f ca="1">IFERROR(__xludf.DUMMYFUNCTION("""COMPUTED_VALUE"""),25827)</f>
        <v>25827</v>
      </c>
      <c r="B96" t="str">
        <f ca="1">IFERROR(__xludf.DUMMYFUNCTION("""COMPUTED_VALUE"""),"BIACHE SAINT VAAST")</f>
        <v>BIACHE SAINT VAAST</v>
      </c>
      <c r="C96" t="str">
        <f ca="1">IFERROR(__xludf.DUMMYFUNCTION("""COMPUTED_VALUE"""),"Super U")</f>
        <v>Super U</v>
      </c>
      <c r="D96" t="str">
        <f ca="1">IFERROR(__xludf.DUMMYFUNCTION("""COMPUTED_VALUE"""),"Coop U Enseigne NordOuest")</f>
        <v>Coop U Enseigne NordOuest</v>
      </c>
      <c r="E96">
        <f ca="1">IFERROR(__xludf.DUMMYFUNCTION("""COMPUTED_VALUE"""),62118)</f>
        <v>62118</v>
      </c>
      <c r="F96" t="str">
        <f ca="1">IFERROR(__xludf.DUMMYFUNCTION("""COMPUTED_VALUE"""),"RUE DU MARÉCHAL FOCH")</f>
        <v>RUE DU MARÉCHAL FOCH</v>
      </c>
      <c r="G96" t="str">
        <f ca="1">IFERROR(__xludf.DUMMYFUNCTION("""COMPUTED_VALUE"""),"03.21.21.04.50")</f>
        <v>03.21.21.04.50</v>
      </c>
      <c r="H96" t="str">
        <f ca="1">IFERROR(__xludf.DUMMYFUNCTION("""COMPUTED_VALUE"""),"CASETTA Antoine")</f>
        <v>CASETTA Antoine</v>
      </c>
      <c r="I96" t="str">
        <f ca="1">IFERROR(__xludf.DUMMYFUNCTION("""COMPUTED_VALUE"""),"antoine.casetta@systeme-u.fr")</f>
        <v>antoine.casetta@systeme-u.fr</v>
      </c>
      <c r="J96" t="str">
        <f ca="1">IFERROR(__xludf.DUMMYFUNCTION("""COMPUTED_VALUE"""),"Harfaux Florent")</f>
        <v>Harfaux Florent</v>
      </c>
      <c r="K96" t="str">
        <f ca="1">IFERROR(__xludf.DUMMYFUNCTION("""COMPUTED_VALUE"""),"superu.biachesaintvaast.comptabilite@systeme-u.fr")</f>
        <v>superu.biachesaintvaast.comptabilite@systeme-u.fr</v>
      </c>
      <c r="L96" t="str">
        <f ca="1">IFERROR(__xludf.DUMMYFUNCTION("""COMPUTED_VALUE"""),"")</f>
        <v/>
      </c>
      <c r="M96" t="str">
        <f ca="1">IFERROR(__xludf.DUMMYFUNCTION("""COMPUTED_VALUE"""),"99.Hors Périmetre")</f>
        <v>99.Hors Périmetre</v>
      </c>
      <c r="N96" t="str">
        <f ca="1">IFERROR(__xludf.DUMMYFUNCTION("""COMPUTED_VALUE"""),"")</f>
        <v/>
      </c>
      <c r="O96" t="str">
        <f ca="1">IFERROR(__xludf.DUMMYFUNCTION("""COMPUTED_VALUE"""),"")</f>
        <v/>
      </c>
      <c r="P96" t="str">
        <f ca="1">IFERROR(__xludf.DUMMYFUNCTION("""COMPUTED_VALUE"""),"")</f>
        <v/>
      </c>
      <c r="Q96" s="5" t="str">
        <f ca="1">IFERROR(__xludf.DUMMYFUNCTION("""COMPUTED_VALUE"""),"")</f>
        <v/>
      </c>
      <c r="R96" s="6" t="str">
        <f ca="1">IFERROR(__xludf.DUMMYFUNCTION("""COMPUTED_VALUE"""),"")</f>
        <v/>
      </c>
      <c r="S96" t="str">
        <f ca="1">IFERROR(__xludf.DUMMYFUNCTION("""COMPUTED_VALUE"""),"")</f>
        <v/>
      </c>
      <c r="T96" t="str">
        <f ca="1">IFERROR(__xludf.DUMMYFUNCTION("""COMPUTED_VALUE"""),"")</f>
        <v/>
      </c>
      <c r="U96" t="str">
        <f ca="1">IFERROR(__xludf.DUMMYFUNCTION("""COMPUTED_VALUE"""),"")</f>
        <v/>
      </c>
      <c r="V96" t="str">
        <f ca="1">IFERROR(__xludf.DUMMYFUNCTION("""COMPUTED_VALUE"""),"")</f>
        <v/>
      </c>
      <c r="W96" t="str">
        <f ca="1">IFERROR(__xludf.DUMMYFUNCTION("""COMPUTED_VALUE"""),"")</f>
        <v/>
      </c>
      <c r="X96" t="str">
        <f ca="1">IFERROR(__xludf.DUMMYFUNCTION("""COMPUTED_VALUE"""),"")</f>
        <v/>
      </c>
      <c r="Y96" t="str">
        <f ca="1">IFERROR(__xludf.DUMMYFUNCTION("""COMPUTED_VALUE"""),"")</f>
        <v/>
      </c>
      <c r="Z96" t="str">
        <f ca="1">IFERROR(__xludf.DUMMYFUNCTION("""COMPUTED_VALUE"""),"")</f>
        <v/>
      </c>
      <c r="AA96" t="str">
        <f ca="1">IFERROR(__xludf.DUMMYFUNCTION("""COMPUTED_VALUE"""),"Pas de commande")</f>
        <v>Pas de commande</v>
      </c>
      <c r="AB96" s="8" t="str">
        <f ca="1">IFERROR(__xludf.DUMMYFUNCTION("""COMPUTED_VALUE"""),"")</f>
        <v/>
      </c>
      <c r="AC96" s="8" t="str">
        <f ca="1">IFERROR(__xludf.DUMMYFUNCTION("""COMPUTED_VALUE"""),"")</f>
        <v/>
      </c>
      <c r="AD96" s="11" t="str">
        <f ca="1">IFERROR(__xludf.DUMMYFUNCTION("""COMPUTED_VALUE"""),"")</f>
        <v/>
      </c>
      <c r="AE96" t="str">
        <f ca="1">IFERROR(__xludf.DUMMYFUNCTION("""COMPUTED_VALUE"""),"")</f>
        <v/>
      </c>
    </row>
    <row r="97" spans="1:31" ht="12.75" x14ac:dyDescent="0.2">
      <c r="A97">
        <f ca="1">IFERROR(__xludf.DUMMYFUNCTION("""COMPUTED_VALUE"""),90556)</f>
        <v>90556</v>
      </c>
      <c r="B97" t="str">
        <f ca="1">IFERROR(__xludf.DUMMYFUNCTION("""COMPUTED_VALUE"""),"BIGUGLIA")</f>
        <v>BIGUGLIA</v>
      </c>
      <c r="C97" t="str">
        <f ca="1">IFERROR(__xludf.DUMMYFUNCTION("""COMPUTED_VALUE"""),"Super U")</f>
        <v>Super U</v>
      </c>
      <c r="D97" t="str">
        <f ca="1">IFERROR(__xludf.DUMMYFUNCTION("""COMPUTED_VALUE"""),"Coop U Enseigne Sud")</f>
        <v>Coop U Enseigne Sud</v>
      </c>
      <c r="E97">
        <f ca="1">IFERROR(__xludf.DUMMYFUNCTION("""COMPUTED_VALUE"""),20620)</f>
        <v>20620</v>
      </c>
      <c r="F97" t="str">
        <f ca="1">IFERROR(__xludf.DUMMYFUNCTION("""COMPUTED_VALUE"""),"ROND POINT MULTARI")</f>
        <v>ROND POINT MULTARI</v>
      </c>
      <c r="G97" t="str">
        <f ca="1">IFERROR(__xludf.DUMMYFUNCTION("""COMPUTED_VALUE"""),"04.95.58.98.70")</f>
        <v>04.95.58.98.70</v>
      </c>
      <c r="H97" t="str">
        <f ca="1">IFERROR(__xludf.DUMMYFUNCTION("""COMPUTED_VALUE"""),"ANTOGNETTI PHILIPPE")</f>
        <v>ANTOGNETTI PHILIPPE</v>
      </c>
      <c r="I97" t="str">
        <f ca="1">IFERROR(__xludf.DUMMYFUNCTION("""COMPUTED_VALUE"""),"philippe.antognetti@systeme-u.fr")</f>
        <v>philippe.antognetti@systeme-u.fr</v>
      </c>
      <c r="J97" t="str">
        <f ca="1">IFERROR(__xludf.DUMMYFUNCTION("""COMPUTED_VALUE"""),"Véronique VIEVIELLE")</f>
        <v>Véronique VIEVIELLE</v>
      </c>
      <c r="K97" t="str">
        <f ca="1">IFERROR(__xludf.DUMMYFUNCTION("""COMPUTED_VALUE"""),"superu.biguglia.directeur@systeme-u.fr,veronique.vievielle@gmail.com")</f>
        <v>superu.biguglia.directeur@systeme-u.fr,veronique.vievielle@gmail.com</v>
      </c>
      <c r="L97" t="str">
        <f ca="1">IFERROR(__xludf.DUMMYFUNCTION("""COMPUTED_VALUE"""),"")</f>
        <v/>
      </c>
      <c r="M97" t="str">
        <f ca="1">IFERROR(__xludf.DUMMYFUNCTION("""COMPUTED_VALUE"""),"99.Hors Périmetre")</f>
        <v>99.Hors Périmetre</v>
      </c>
      <c r="N97" t="str">
        <f ca="1">IFERROR(__xludf.DUMMYFUNCTION("""COMPUTED_VALUE"""),"")</f>
        <v/>
      </c>
      <c r="O97" t="str">
        <f ca="1">IFERROR(__xludf.DUMMYFUNCTION("""COMPUTED_VALUE"""),"")</f>
        <v/>
      </c>
      <c r="P97" t="str">
        <f ca="1">IFERROR(__xludf.DUMMYFUNCTION("""COMPUTED_VALUE"""),"")</f>
        <v/>
      </c>
      <c r="Q97" s="5" t="str">
        <f ca="1">IFERROR(__xludf.DUMMYFUNCTION("""COMPUTED_VALUE"""),"")</f>
        <v/>
      </c>
      <c r="R97" s="6" t="str">
        <f ca="1">IFERROR(__xludf.DUMMYFUNCTION("""COMPUTED_VALUE"""),"")</f>
        <v/>
      </c>
      <c r="S97" t="str">
        <f ca="1">IFERROR(__xludf.DUMMYFUNCTION("""COMPUTED_VALUE"""),"")</f>
        <v/>
      </c>
      <c r="T97" t="str">
        <f ca="1">IFERROR(__xludf.DUMMYFUNCTION("""COMPUTED_VALUE"""),"")</f>
        <v/>
      </c>
      <c r="U97" t="str">
        <f ca="1">IFERROR(__xludf.DUMMYFUNCTION("""COMPUTED_VALUE"""),"")</f>
        <v/>
      </c>
      <c r="V97" t="str">
        <f ca="1">IFERROR(__xludf.DUMMYFUNCTION("""COMPUTED_VALUE"""),"")</f>
        <v/>
      </c>
      <c r="W97" t="str">
        <f ca="1">IFERROR(__xludf.DUMMYFUNCTION("""COMPUTED_VALUE"""),"")</f>
        <v/>
      </c>
      <c r="X97" t="str">
        <f ca="1">IFERROR(__xludf.DUMMYFUNCTION("""COMPUTED_VALUE"""),"")</f>
        <v/>
      </c>
      <c r="Y97" t="str">
        <f ca="1">IFERROR(__xludf.DUMMYFUNCTION("""COMPUTED_VALUE"""),"")</f>
        <v/>
      </c>
      <c r="Z97" t="str">
        <f ca="1">IFERROR(__xludf.DUMMYFUNCTION("""COMPUTED_VALUE"""),"")</f>
        <v/>
      </c>
      <c r="AA97" t="str">
        <f ca="1">IFERROR(__xludf.DUMMYFUNCTION("""COMPUTED_VALUE"""),"Pas de commande")</f>
        <v>Pas de commande</v>
      </c>
      <c r="AB97" s="8" t="str">
        <f ca="1">IFERROR(__xludf.DUMMYFUNCTION("""COMPUTED_VALUE"""),"")</f>
        <v/>
      </c>
      <c r="AC97" s="8" t="str">
        <f ca="1">IFERROR(__xludf.DUMMYFUNCTION("""COMPUTED_VALUE"""),"")</f>
        <v/>
      </c>
      <c r="AD97" s="11" t="str">
        <f ca="1">IFERROR(__xludf.DUMMYFUNCTION("""COMPUTED_VALUE"""),"")</f>
        <v/>
      </c>
      <c r="AE97" t="str">
        <f ca="1">IFERROR(__xludf.DUMMYFUNCTION("""COMPUTED_VALUE"""),"")</f>
        <v/>
      </c>
    </row>
    <row r="98" spans="1:31" ht="12.75" x14ac:dyDescent="0.2">
      <c r="A98">
        <f ca="1">IFERROR(__xludf.DUMMYFUNCTION("""COMPUTED_VALUE"""),25592)</f>
        <v>25592</v>
      </c>
      <c r="B98" t="str">
        <f ca="1">IFERROR(__xludf.DUMMYFUNCTION("""COMPUTED_VALUE"""),"BIHOREL")</f>
        <v>BIHOREL</v>
      </c>
      <c r="C98" t="str">
        <f ca="1">IFERROR(__xludf.DUMMYFUNCTION("""COMPUTED_VALUE"""),"Super U")</f>
        <v>Super U</v>
      </c>
      <c r="D98" t="str">
        <f ca="1">IFERROR(__xludf.DUMMYFUNCTION("""COMPUTED_VALUE"""),"Coop U Enseigne NordOuest")</f>
        <v>Coop U Enseigne NordOuest</v>
      </c>
      <c r="E98">
        <f ca="1">IFERROR(__xludf.DUMMYFUNCTION("""COMPUTED_VALUE"""),76420)</f>
        <v>76420</v>
      </c>
      <c r="F98" t="str">
        <f ca="1">IFERROR(__xludf.DUMMYFUNCTION("""COMPUTED_VALUE"""),"6 AVENUE DU MARÉCHAL JUIN")</f>
        <v>6 AVENUE DU MARÉCHAL JUIN</v>
      </c>
      <c r="G98" t="str">
        <f ca="1">IFERROR(__xludf.DUMMYFUNCTION("""COMPUTED_VALUE"""),"02.35.59.78.96")</f>
        <v>02.35.59.78.96</v>
      </c>
      <c r="H98" t="str">
        <f ca="1">IFERROR(__xludf.DUMMYFUNCTION("""COMPUTED_VALUE"""),"BARRE Stéphane")</f>
        <v>BARRE Stéphane</v>
      </c>
      <c r="I98" t="str">
        <f ca="1">IFERROR(__xludf.DUMMYFUNCTION("""COMPUTED_VALUE"""),"stephane.barre@systeme-u.fr")</f>
        <v>stephane.barre@systeme-u.fr</v>
      </c>
      <c r="J98" t="str">
        <f ca="1">IFERROR(__xludf.DUMMYFUNCTION("""COMPUTED_VALUE"""),"M. Carpentier")</f>
        <v>M. Carpentier</v>
      </c>
      <c r="K98" t="str">
        <f ca="1">IFERROR(__xludf.DUMMYFUNCTION("""COMPUTED_VALUE"""),"superu.bihorel.direction@systeme-u.fr,philippe.cappe@coop-cnp.coop")</f>
        <v>superu.bihorel.direction@systeme-u.fr,philippe.cappe@coop-cnp.coop</v>
      </c>
      <c r="L98" t="str">
        <f ca="1">IFERROR(__xludf.DUMMYFUNCTION("""COMPUTED_VALUE"""),"Standard")</f>
        <v>Standard</v>
      </c>
      <c r="M98" t="str">
        <f ca="1">IFERROR(__xludf.DUMMYFUNCTION("""COMPUTED_VALUE"""),"0. Non démarré")</f>
        <v>0. Non démarré</v>
      </c>
      <c r="N98" t="str">
        <f ca="1">IFERROR(__xludf.DUMMYFUNCTION("""COMPUTED_VALUE"""),"")</f>
        <v/>
      </c>
      <c r="O98" t="str">
        <f ca="1">IFERROR(__xludf.DUMMYFUNCTION("""COMPUTED_VALUE"""),"")</f>
        <v/>
      </c>
      <c r="P98" t="str">
        <f ca="1">IFERROR(__xludf.DUMMYFUNCTION("""COMPUTED_VALUE"""),"")</f>
        <v/>
      </c>
      <c r="Q98" s="5" t="str">
        <f ca="1">IFERROR(__xludf.DUMMYFUNCTION("""COMPUTED_VALUE"""),"")</f>
        <v/>
      </c>
      <c r="R98" s="6" t="str">
        <f ca="1">IFERROR(__xludf.DUMMYFUNCTION("""COMPUTED_VALUE"""),"")</f>
        <v/>
      </c>
      <c r="S98" t="str">
        <f ca="1">IFERROR(__xludf.DUMMYFUNCTION("""COMPUTED_VALUE"""),"")</f>
        <v/>
      </c>
      <c r="T98" t="str">
        <f ca="1">IFERROR(__xludf.DUMMYFUNCTION("""COMPUTED_VALUE"""),"")</f>
        <v/>
      </c>
      <c r="U98" t="str">
        <f ca="1">IFERROR(__xludf.DUMMYFUNCTION("""COMPUTED_VALUE"""),"")</f>
        <v/>
      </c>
      <c r="V98" t="str">
        <f ca="1">IFERROR(__xludf.DUMMYFUNCTION("""COMPUTED_VALUE"""),"")</f>
        <v/>
      </c>
      <c r="W98" t="str">
        <f ca="1">IFERROR(__xludf.DUMMYFUNCTION("""COMPUTED_VALUE"""),"R3")</f>
        <v>R3</v>
      </c>
      <c r="X98" t="str">
        <f ca="1">IFERROR(__xludf.DUMMYFUNCTION("""COMPUTED_VALUE"""),"Pricer")</f>
        <v>Pricer</v>
      </c>
      <c r="Y98" t="str">
        <f ca="1">IFERROR(__xludf.DUMMYFUNCTION("""COMPUTED_VALUE"""),"")</f>
        <v/>
      </c>
      <c r="Z98" t="str">
        <f ca="1">IFERROR(__xludf.DUMMYFUNCTION("""COMPUTED_VALUE"""),"")</f>
        <v/>
      </c>
      <c r="AA98" t="str">
        <f ca="1">IFERROR(__xludf.DUMMYFUNCTION("""COMPUTED_VALUE"""),"Pas de commande")</f>
        <v>Pas de commande</v>
      </c>
      <c r="AB98" s="8" t="str">
        <f ca="1">IFERROR(__xludf.DUMMYFUNCTION("""COMPUTED_VALUE"""),"")</f>
        <v/>
      </c>
      <c r="AC98" s="8" t="str">
        <f ca="1">IFERROR(__xludf.DUMMYFUNCTION("""COMPUTED_VALUE"""),"")</f>
        <v/>
      </c>
      <c r="AD98" s="11" t="str">
        <f ca="1">IFERROR(__xludf.DUMMYFUNCTION("""COMPUTED_VALUE"""),"")</f>
        <v/>
      </c>
      <c r="AE98" t="str">
        <f ca="1">IFERROR(__xludf.DUMMYFUNCTION("""COMPUTED_VALUE"""),"")</f>
        <v/>
      </c>
    </row>
    <row r="99" spans="1:31" ht="12.75" x14ac:dyDescent="0.2">
      <c r="A99">
        <f ca="1">IFERROR(__xludf.DUMMYFUNCTION("""COMPUTED_VALUE"""),35894)</f>
        <v>35894</v>
      </c>
      <c r="B99" t="str">
        <f ca="1">IFERROR(__xludf.DUMMYFUNCTION("""COMPUTED_VALUE"""),"BINIC")</f>
        <v>BINIC</v>
      </c>
      <c r="C99" t="str">
        <f ca="1">IFERROR(__xludf.DUMMYFUNCTION("""COMPUTED_VALUE"""),"Super U")</f>
        <v>Super U</v>
      </c>
      <c r="D99" t="str">
        <f ca="1">IFERROR(__xludf.DUMMYFUNCTION("""COMPUTED_VALUE"""),"Coop U Enseigne Ouest")</f>
        <v>Coop U Enseigne Ouest</v>
      </c>
      <c r="E99">
        <f ca="1">IFERROR(__xludf.DUMMYFUNCTION("""COMPUTED_VALUE"""),22520)</f>
        <v>22520</v>
      </c>
      <c r="F99" t="str">
        <f ca="1">IFERROR(__xludf.DUMMYFUNCTION("""COMPUTED_VALUE"""),"LES PRÉS CALAN")</f>
        <v>LES PRÉS CALAN</v>
      </c>
      <c r="G99" t="str">
        <f ca="1">IFERROR(__xludf.DUMMYFUNCTION("""COMPUTED_VALUE"""),"02.96.73.38.28")</f>
        <v>02.96.73.38.28</v>
      </c>
      <c r="H99" t="str">
        <f ca="1">IFERROR(__xludf.DUMMYFUNCTION("""COMPUTED_VALUE"""),"BRY Jérôme")</f>
        <v>BRY Jérôme</v>
      </c>
      <c r="I99" t="str">
        <f ca="1">IFERROR(__xludf.DUMMYFUNCTION("""COMPUTED_VALUE"""),"jerome.bry@systeme-u.fr")</f>
        <v>jerome.bry@systeme-u.fr</v>
      </c>
      <c r="J99" t="str">
        <f ca="1">IFERROR(__xludf.DUMMYFUNCTION("""COMPUTED_VALUE"""),"Martin Véronique
Bonno Charles")</f>
        <v>Martin Véronique
Bonno Charles</v>
      </c>
      <c r="K99" t="str">
        <f ca="1">IFERROR(__xludf.DUMMYFUNCTION("""COMPUTED_VALUE"""),"superu.binic.compta1@systeme-u.fr
")</f>
        <v xml:space="preserve">superu.binic.compta1@systeme-u.fr
</v>
      </c>
      <c r="L99" t="str">
        <f ca="1">IFERROR(__xludf.DUMMYFUNCTION("""COMPUTED_VALUE"""),"")</f>
        <v/>
      </c>
      <c r="M99" t="str">
        <f ca="1">IFERROR(__xludf.DUMMYFUNCTION("""COMPUTED_VALUE"""),"99.Hors Périmetre")</f>
        <v>99.Hors Périmetre</v>
      </c>
      <c r="N99" t="str">
        <f ca="1">IFERROR(__xludf.DUMMYFUNCTION("""COMPUTED_VALUE"""),"")</f>
        <v/>
      </c>
      <c r="O99" t="str">
        <f ca="1">IFERROR(__xludf.DUMMYFUNCTION("""COMPUTED_VALUE"""),"")</f>
        <v/>
      </c>
      <c r="P99" t="str">
        <f ca="1">IFERROR(__xludf.DUMMYFUNCTION("""COMPUTED_VALUE"""),"")</f>
        <v/>
      </c>
      <c r="Q99" s="5" t="str">
        <f ca="1">IFERROR(__xludf.DUMMYFUNCTION("""COMPUTED_VALUE"""),"")</f>
        <v/>
      </c>
      <c r="R99" s="6" t="str">
        <f ca="1">IFERROR(__xludf.DUMMYFUNCTION("""COMPUTED_VALUE"""),"")</f>
        <v/>
      </c>
      <c r="S99" t="str">
        <f ca="1">IFERROR(__xludf.DUMMYFUNCTION("""COMPUTED_VALUE"""),"")</f>
        <v/>
      </c>
      <c r="T99" t="str">
        <f ca="1">IFERROR(__xludf.DUMMYFUNCTION("""COMPUTED_VALUE"""),"")</f>
        <v/>
      </c>
      <c r="U99" t="str">
        <f ca="1">IFERROR(__xludf.DUMMYFUNCTION("""COMPUTED_VALUE"""),"")</f>
        <v/>
      </c>
      <c r="V99" t="str">
        <f ca="1">IFERROR(__xludf.DUMMYFUNCTION("""COMPUTED_VALUE"""),"")</f>
        <v/>
      </c>
      <c r="W99" t="str">
        <f ca="1">IFERROR(__xludf.DUMMYFUNCTION("""COMPUTED_VALUE"""),"")</f>
        <v/>
      </c>
      <c r="X99" t="str">
        <f ca="1">IFERROR(__xludf.DUMMYFUNCTION("""COMPUTED_VALUE"""),"")</f>
        <v/>
      </c>
      <c r="Y99" t="str">
        <f ca="1">IFERROR(__xludf.DUMMYFUNCTION("""COMPUTED_VALUE"""),"")</f>
        <v/>
      </c>
      <c r="Z99" t="str">
        <f ca="1">IFERROR(__xludf.DUMMYFUNCTION("""COMPUTED_VALUE"""),"")</f>
        <v/>
      </c>
      <c r="AA99" t="str">
        <f ca="1">IFERROR(__xludf.DUMMYFUNCTION("""COMPUTED_VALUE"""),"Pas de commande")</f>
        <v>Pas de commande</v>
      </c>
      <c r="AB99" s="8" t="str">
        <f ca="1">IFERROR(__xludf.DUMMYFUNCTION("""COMPUTED_VALUE"""),"")</f>
        <v/>
      </c>
      <c r="AC99" s="8" t="str">
        <f ca="1">IFERROR(__xludf.DUMMYFUNCTION("""COMPUTED_VALUE"""),"")</f>
        <v/>
      </c>
      <c r="AD99" s="11" t="str">
        <f ca="1">IFERROR(__xludf.DUMMYFUNCTION("""COMPUTED_VALUE"""),"")</f>
        <v/>
      </c>
      <c r="AE99" t="str">
        <f ca="1">IFERROR(__xludf.DUMMYFUNCTION("""COMPUTED_VALUE"""),"")</f>
        <v/>
      </c>
    </row>
    <row r="100" spans="1:31" ht="12.75" x14ac:dyDescent="0.2">
      <c r="A100">
        <f ca="1">IFERROR(__xludf.DUMMYFUNCTION("""COMPUTED_VALUE"""),96992)</f>
        <v>96992</v>
      </c>
      <c r="B100" t="str">
        <f ca="1">IFERROR(__xludf.DUMMYFUNCTION("""COMPUTED_VALUE"""),"BISCARROSSE")</f>
        <v>BISCARROSSE</v>
      </c>
      <c r="C100" t="str">
        <f ca="1">IFERROR(__xludf.DUMMYFUNCTION("""COMPUTED_VALUE"""),"Super U")</f>
        <v>Super U</v>
      </c>
      <c r="D100" t="str">
        <f ca="1">IFERROR(__xludf.DUMMYFUNCTION("""COMPUTED_VALUE"""),"Coop U Enseigne Sud")</f>
        <v>Coop U Enseigne Sud</v>
      </c>
      <c r="E100">
        <f ca="1">IFERROR(__xludf.DUMMYFUNCTION("""COMPUTED_VALUE"""),40600)</f>
        <v>40600</v>
      </c>
      <c r="F100" t="str">
        <f ca="1">IFERROR(__xludf.DUMMYFUNCTION("""COMPUTED_VALUE"""),"ROUTE DE PARENTIS")</f>
        <v>ROUTE DE PARENTIS</v>
      </c>
      <c r="G100" t="str">
        <f ca="1">IFERROR(__xludf.DUMMYFUNCTION("""COMPUTED_VALUE"""),"05.58.82.58.82")</f>
        <v>05.58.82.58.82</v>
      </c>
      <c r="H100" t="str">
        <f ca="1">IFERROR(__xludf.DUMMYFUNCTION("""COMPUTED_VALUE"""),"GONTHIER Mickael")</f>
        <v>GONTHIER Mickael</v>
      </c>
      <c r="I100" t="str">
        <f ca="1">IFERROR(__xludf.DUMMYFUNCTION("""COMPUTED_VALUE"""),"michael.gonthier@systeme-u.fr")</f>
        <v>michael.gonthier@systeme-u.fr</v>
      </c>
      <c r="J100" t="str">
        <f ca="1">IFERROR(__xludf.DUMMYFUNCTION("""COMPUTED_VALUE"""),"M. Descampeaux")</f>
        <v>M. Descampeaux</v>
      </c>
      <c r="K100" t="str">
        <f ca="1">IFERROR(__xludf.DUMMYFUNCTION("""COMPUTED_VALUE"""),"superu.biscarrosse.direction@systeme-u.fr")</f>
        <v>superu.biscarrosse.direction@systeme-u.fr</v>
      </c>
      <c r="L100" t="str">
        <f ca="1">IFERROR(__xludf.DUMMYFUNCTION("""COMPUTED_VALUE"""),"")</f>
        <v/>
      </c>
      <c r="M100" t="str">
        <f ca="1">IFERROR(__xludf.DUMMYFUNCTION("""COMPUTED_VALUE"""),"99.Hors Périmetre")</f>
        <v>99.Hors Périmetre</v>
      </c>
      <c r="N100" t="str">
        <f ca="1">IFERROR(__xludf.DUMMYFUNCTION("""COMPUTED_VALUE"""),"")</f>
        <v/>
      </c>
      <c r="O100" t="str">
        <f ca="1">IFERROR(__xludf.DUMMYFUNCTION("""COMPUTED_VALUE"""),"")</f>
        <v/>
      </c>
      <c r="P100" t="str">
        <f ca="1">IFERROR(__xludf.DUMMYFUNCTION("""COMPUTED_VALUE"""),"")</f>
        <v/>
      </c>
      <c r="Q100" s="5" t="str">
        <f ca="1">IFERROR(__xludf.DUMMYFUNCTION("""COMPUTED_VALUE"""),"")</f>
        <v/>
      </c>
      <c r="R100" s="6" t="str">
        <f ca="1">IFERROR(__xludf.DUMMYFUNCTION("""COMPUTED_VALUE"""),"")</f>
        <v/>
      </c>
      <c r="S100" t="str">
        <f ca="1">IFERROR(__xludf.DUMMYFUNCTION("""COMPUTED_VALUE"""),"")</f>
        <v/>
      </c>
      <c r="T100" t="str">
        <f ca="1">IFERROR(__xludf.DUMMYFUNCTION("""COMPUTED_VALUE"""),"")</f>
        <v/>
      </c>
      <c r="U100" t="str">
        <f ca="1">IFERROR(__xludf.DUMMYFUNCTION("""COMPUTED_VALUE"""),"")</f>
        <v/>
      </c>
      <c r="V100" t="str">
        <f ca="1">IFERROR(__xludf.DUMMYFUNCTION("""COMPUTED_VALUE"""),"")</f>
        <v/>
      </c>
      <c r="W100" t="str">
        <f ca="1">IFERROR(__xludf.DUMMYFUNCTION("""COMPUTED_VALUE"""),"")</f>
        <v/>
      </c>
      <c r="X100" t="str">
        <f ca="1">IFERROR(__xludf.DUMMYFUNCTION("""COMPUTED_VALUE"""),"")</f>
        <v/>
      </c>
      <c r="Y100" t="str">
        <f ca="1">IFERROR(__xludf.DUMMYFUNCTION("""COMPUTED_VALUE"""),"")</f>
        <v/>
      </c>
      <c r="Z100" t="str">
        <f ca="1">IFERROR(__xludf.DUMMYFUNCTION("""COMPUTED_VALUE"""),"")</f>
        <v/>
      </c>
      <c r="AA100" t="str">
        <f ca="1">IFERROR(__xludf.DUMMYFUNCTION("""COMPUTED_VALUE"""),"Pas de commande")</f>
        <v>Pas de commande</v>
      </c>
      <c r="AB100" s="8" t="str">
        <f ca="1">IFERROR(__xludf.DUMMYFUNCTION("""COMPUTED_VALUE"""),"")</f>
        <v/>
      </c>
      <c r="AC100" s="8" t="str">
        <f ca="1">IFERROR(__xludf.DUMMYFUNCTION("""COMPUTED_VALUE"""),"")</f>
        <v/>
      </c>
      <c r="AD100" s="11" t="str">
        <f ca="1">IFERROR(__xludf.DUMMYFUNCTION("""COMPUTED_VALUE"""),"")</f>
        <v/>
      </c>
      <c r="AE100" t="str">
        <f ca="1">IFERROR(__xludf.DUMMYFUNCTION("""COMPUTED_VALUE"""),"")</f>
        <v/>
      </c>
    </row>
    <row r="101" spans="1:31" ht="12.75" x14ac:dyDescent="0.2">
      <c r="A101">
        <f ca="1">IFERROR(__xludf.DUMMYFUNCTION("""COMPUTED_VALUE"""),60708)</f>
        <v>60708</v>
      </c>
      <c r="B101" t="str">
        <f ca="1">IFERROR(__xludf.DUMMYFUNCTION("""COMPUTED_VALUE"""),"BISCHWILLER")</f>
        <v>BISCHWILLER</v>
      </c>
      <c r="C101" t="str">
        <f ca="1">IFERROR(__xludf.DUMMYFUNCTION("""COMPUTED_VALUE"""),"Super U")</f>
        <v>Super U</v>
      </c>
      <c r="D101" t="str">
        <f ca="1">IFERROR(__xludf.DUMMYFUNCTION("""COMPUTED_VALUE"""),"Coop U Enseigne Est")</f>
        <v>Coop U Enseigne Est</v>
      </c>
      <c r="E101">
        <f ca="1">IFERROR(__xludf.DUMMYFUNCTION("""COMPUTED_VALUE"""),67240)</f>
        <v>67240</v>
      </c>
      <c r="F101" t="str">
        <f ca="1">IFERROR(__xludf.DUMMYFUNCTION("""COMPUTED_VALUE"""),"17 route d'Oberhoffen")</f>
        <v>17 route d'Oberhoffen</v>
      </c>
      <c r="G101" t="str">
        <f ca="1">IFERROR(__xludf.DUMMYFUNCTION("""COMPUTED_VALUE"""),"03.88.06.42.00")</f>
        <v>03.88.06.42.00</v>
      </c>
      <c r="H101" t="str">
        <f ca="1">IFERROR(__xludf.DUMMYFUNCTION("""COMPUTED_VALUE"""),"HOUOT RPT SAS HOUOT INVEST Cédric")</f>
        <v>HOUOT RPT SAS HOUOT INVEST Cédric</v>
      </c>
      <c r="I101" t="str">
        <f ca="1">IFERROR(__xludf.DUMMYFUNCTION("""COMPUTED_VALUE"""),"cedric.houot@systeme-u.fr")</f>
        <v>cedric.houot@systeme-u.fr</v>
      </c>
      <c r="J101" t="str">
        <f ca="1">IFERROR(__xludf.DUMMYFUNCTION("""COMPUTED_VALUE"""),"M Gaulard
Mr Ponchel (DAF = Pilote)")</f>
        <v>M Gaulard
Mr Ponchel (DAF = Pilote)</v>
      </c>
      <c r="K101" t="str">
        <f ca="1">IFERROR(__xludf.DUMMYFUNCTION("""COMPUTED_VALUE"""),"superu.bischwiller.direction@systeme-u.fr, superu.bischwiller.compta@systeme-u.fr")</f>
        <v>superu.bischwiller.direction@systeme-u.fr, superu.bischwiller.compta@systeme-u.fr</v>
      </c>
      <c r="L101" t="str">
        <f ca="1">IFERROR(__xludf.DUMMYFUNCTION("""COMPUTED_VALUE"""),"Standard")</f>
        <v>Standard</v>
      </c>
      <c r="M101" t="str">
        <f ca="1">IFERROR(__xludf.DUMMYFUNCTION("""COMPUTED_VALUE"""),"0. Non démarré")</f>
        <v>0. Non démarré</v>
      </c>
      <c r="N101" t="str">
        <f ca="1">IFERROR(__xludf.DUMMYFUNCTION("""COMPUTED_VALUE"""),"")</f>
        <v/>
      </c>
      <c r="O101" t="str">
        <f ca="1">IFERROR(__xludf.DUMMYFUNCTION("""COMPUTED_VALUE"""),"")</f>
        <v/>
      </c>
      <c r="P101" t="str">
        <f ca="1">IFERROR(__xludf.DUMMYFUNCTION("""COMPUTED_VALUE"""),"")</f>
        <v/>
      </c>
      <c r="Q101" s="5" t="str">
        <f ca="1">IFERROR(__xludf.DUMMYFUNCTION("""COMPUTED_VALUE"""),"")</f>
        <v/>
      </c>
      <c r="R101" s="6" t="str">
        <f ca="1">IFERROR(__xludf.DUMMYFUNCTION("""COMPUTED_VALUE"""),"")</f>
        <v/>
      </c>
      <c r="S101" t="str">
        <f ca="1">IFERROR(__xludf.DUMMYFUNCTION("""COMPUTED_VALUE"""),"")</f>
        <v/>
      </c>
      <c r="T101" t="str">
        <f ca="1">IFERROR(__xludf.DUMMYFUNCTION("""COMPUTED_VALUE"""),"")</f>
        <v/>
      </c>
      <c r="U101" t="str">
        <f ca="1">IFERROR(__xludf.DUMMYFUNCTION("""COMPUTED_VALUE"""),"")</f>
        <v/>
      </c>
      <c r="V101" t="str">
        <f ca="1">IFERROR(__xludf.DUMMYFUNCTION("""COMPUTED_VALUE"""),"")</f>
        <v/>
      </c>
      <c r="W101" t="str">
        <f ca="1">IFERROR(__xludf.DUMMYFUNCTION("""COMPUTED_VALUE"""),"R5")</f>
        <v>R5</v>
      </c>
      <c r="X101" t="str">
        <f ca="1">IFERROR(__xludf.DUMMYFUNCTION("""COMPUTED_VALUE"""),"Pricer")</f>
        <v>Pricer</v>
      </c>
      <c r="Y101" t="str">
        <f ca="1">IFERROR(__xludf.DUMMYFUNCTION("""COMPUTED_VALUE"""),"")</f>
        <v/>
      </c>
      <c r="Z101" t="str">
        <f ca="1">IFERROR(__xludf.DUMMYFUNCTION("""COMPUTED_VALUE"""),"")</f>
        <v/>
      </c>
      <c r="AA101" t="str">
        <f ca="1">IFERROR(__xludf.DUMMYFUNCTION("""COMPUTED_VALUE"""),"Pas de commande")</f>
        <v>Pas de commande</v>
      </c>
      <c r="AB101" s="8" t="str">
        <f ca="1">IFERROR(__xludf.DUMMYFUNCTION("""COMPUTED_VALUE"""),"")</f>
        <v/>
      </c>
      <c r="AC101" s="8" t="str">
        <f ca="1">IFERROR(__xludf.DUMMYFUNCTION("""COMPUTED_VALUE"""),"")</f>
        <v/>
      </c>
      <c r="AD101" s="11" t="str">
        <f ca="1">IFERROR(__xludf.DUMMYFUNCTION("""COMPUTED_VALUE"""),"")</f>
        <v/>
      </c>
      <c r="AE101" t="str">
        <f ca="1">IFERROR(__xludf.DUMMYFUNCTION("""COMPUTED_VALUE"""),"")</f>
        <v/>
      </c>
    </row>
    <row r="102" spans="1:31" ht="12.75" x14ac:dyDescent="0.2">
      <c r="A102">
        <f ca="1">IFERROR(__xludf.DUMMYFUNCTION("""COMPUTED_VALUE"""),60815)</f>
        <v>60815</v>
      </c>
      <c r="B102" t="str">
        <f ca="1">IFERROR(__xludf.DUMMYFUNCTION("""COMPUTED_VALUE"""),"BITSCHWILLER LES THANN")</f>
        <v>BITSCHWILLER LES THANN</v>
      </c>
      <c r="C102" t="str">
        <f ca="1">IFERROR(__xludf.DUMMYFUNCTION("""COMPUTED_VALUE"""),"Super U")</f>
        <v>Super U</v>
      </c>
      <c r="D102" t="str">
        <f ca="1">IFERROR(__xludf.DUMMYFUNCTION("""COMPUTED_VALUE"""),"Coop U Enseigne Est")</f>
        <v>Coop U Enseigne Est</v>
      </c>
      <c r="E102">
        <f ca="1">IFERROR(__xludf.DUMMYFUNCTION("""COMPUTED_VALUE"""),68620)</f>
        <v>68620</v>
      </c>
      <c r="F102" t="str">
        <f ca="1">IFERROR(__xludf.DUMMYFUNCTION("""COMPUTED_VALUE"""),"53 FAUBOURG DU RHIN")</f>
        <v>53 FAUBOURG DU RHIN</v>
      </c>
      <c r="G102" t="str">
        <f ca="1">IFERROR(__xludf.DUMMYFUNCTION("""COMPUTED_VALUE"""),"03.89.37.70.70")</f>
        <v>03.89.37.70.70</v>
      </c>
      <c r="H102" t="str">
        <f ca="1">IFERROR(__xludf.DUMMYFUNCTION("""COMPUTED_VALUE"""),"ABRUZZI Elric")</f>
        <v>ABRUZZI Elric</v>
      </c>
      <c r="I102" t="str">
        <f ca="1">IFERROR(__xludf.DUMMYFUNCTION("""COMPUTED_VALUE"""),"elric.abruzzi@systeme-u.fr")</f>
        <v>elric.abruzzi@systeme-u.fr</v>
      </c>
      <c r="J102" t="str">
        <f ca="1">IFERROR(__xludf.DUMMYFUNCTION("""COMPUTED_VALUE"""),"Myriam SZABELSKI
Martine Herrgott (comptable - pilote)")</f>
        <v>Myriam SZABELSKI
Martine Herrgott (comptable - pilote)</v>
      </c>
      <c r="K102" t="str">
        <f ca="1">IFERROR(__xludf.DUMMYFUNCTION("""COMPUTED_VALUE"""),"superu.bitschwillerlesthann@systeme-u.fr, superu.bitschwillerlesthann.compta@systeme-u.fr")</f>
        <v>superu.bitschwillerlesthann@systeme-u.fr, superu.bitschwillerlesthann.compta@systeme-u.fr</v>
      </c>
      <c r="L102" t="str">
        <f ca="1">IFERROR(__xludf.DUMMYFUNCTION("""COMPUTED_VALUE"""),"")</f>
        <v/>
      </c>
      <c r="M102" t="str">
        <f ca="1">IFERROR(__xludf.DUMMYFUNCTION("""COMPUTED_VALUE"""),"99.Hors Périmetre")</f>
        <v>99.Hors Périmetre</v>
      </c>
      <c r="N102" t="str">
        <f ca="1">IFERROR(__xludf.DUMMYFUNCTION("""COMPUTED_VALUE"""),"")</f>
        <v/>
      </c>
      <c r="O102" t="str">
        <f ca="1">IFERROR(__xludf.DUMMYFUNCTION("""COMPUTED_VALUE"""),"")</f>
        <v/>
      </c>
      <c r="P102" t="str">
        <f ca="1">IFERROR(__xludf.DUMMYFUNCTION("""COMPUTED_VALUE"""),"")</f>
        <v/>
      </c>
      <c r="Q102" s="5" t="str">
        <f ca="1">IFERROR(__xludf.DUMMYFUNCTION("""COMPUTED_VALUE"""),"")</f>
        <v/>
      </c>
      <c r="R102" s="6" t="str">
        <f ca="1">IFERROR(__xludf.DUMMYFUNCTION("""COMPUTED_VALUE"""),"")</f>
        <v/>
      </c>
      <c r="S102" t="str">
        <f ca="1">IFERROR(__xludf.DUMMYFUNCTION("""COMPUTED_VALUE"""),"")</f>
        <v/>
      </c>
      <c r="T102" t="str">
        <f ca="1">IFERROR(__xludf.DUMMYFUNCTION("""COMPUTED_VALUE"""),"")</f>
        <v/>
      </c>
      <c r="U102" t="str">
        <f ca="1">IFERROR(__xludf.DUMMYFUNCTION("""COMPUTED_VALUE"""),"")</f>
        <v/>
      </c>
      <c r="V102" t="str">
        <f ca="1">IFERROR(__xludf.DUMMYFUNCTION("""COMPUTED_VALUE"""),"")</f>
        <v/>
      </c>
      <c r="W102" t="str">
        <f ca="1">IFERROR(__xludf.DUMMYFUNCTION("""COMPUTED_VALUE"""),"")</f>
        <v/>
      </c>
      <c r="X102" t="str">
        <f ca="1">IFERROR(__xludf.DUMMYFUNCTION("""COMPUTED_VALUE"""),"")</f>
        <v/>
      </c>
      <c r="Y102" t="str">
        <f ca="1">IFERROR(__xludf.DUMMYFUNCTION("""COMPUTED_VALUE"""),"")</f>
        <v/>
      </c>
      <c r="Z102" t="str">
        <f ca="1">IFERROR(__xludf.DUMMYFUNCTION("""COMPUTED_VALUE"""),"")</f>
        <v/>
      </c>
      <c r="AA102" t="str">
        <f ca="1">IFERROR(__xludf.DUMMYFUNCTION("""COMPUTED_VALUE"""),"Pas de commande")</f>
        <v>Pas de commande</v>
      </c>
      <c r="AB102" s="8" t="str">
        <f ca="1">IFERROR(__xludf.DUMMYFUNCTION("""COMPUTED_VALUE"""),"")</f>
        <v/>
      </c>
      <c r="AC102" s="8" t="str">
        <f ca="1">IFERROR(__xludf.DUMMYFUNCTION("""COMPUTED_VALUE"""),"")</f>
        <v/>
      </c>
      <c r="AD102" s="11" t="str">
        <f ca="1">IFERROR(__xludf.DUMMYFUNCTION("""COMPUTED_VALUE"""),"")</f>
        <v/>
      </c>
      <c r="AE102" t="str">
        <f ca="1">IFERROR(__xludf.DUMMYFUNCTION("""COMPUTED_VALUE"""),"")</f>
        <v/>
      </c>
    </row>
    <row r="103" spans="1:31" ht="12.75" x14ac:dyDescent="0.2">
      <c r="A103">
        <f ca="1">IFERROR(__xludf.DUMMYFUNCTION("""COMPUTED_VALUE"""),66176)</f>
        <v>66176</v>
      </c>
      <c r="B103" t="str">
        <f ca="1">IFERROR(__xludf.DUMMYFUNCTION("""COMPUTED_VALUE"""),"BIVIERS")</f>
        <v>BIVIERS</v>
      </c>
      <c r="C103" t="str">
        <f ca="1">IFERROR(__xludf.DUMMYFUNCTION("""COMPUTED_VALUE"""),"Super U")</f>
        <v>Super U</v>
      </c>
      <c r="D103" t="str">
        <f ca="1">IFERROR(__xludf.DUMMYFUNCTION("""COMPUTED_VALUE"""),"Coop U Enseigne Est")</f>
        <v>Coop U Enseigne Est</v>
      </c>
      <c r="E103">
        <f ca="1">IFERROR(__xludf.DUMMYFUNCTION("""COMPUTED_VALUE"""),38330)</f>
        <v>38330</v>
      </c>
      <c r="F103" t="str">
        <f ca="1">IFERROR(__xludf.DUMMYFUNCTION("""COMPUTED_VALUE"""),"60 CHEMIN DES EVÊQUAUX ZA")</f>
        <v>60 CHEMIN DES EVÊQUAUX ZA</v>
      </c>
      <c r="G103" t="str">
        <f ca="1">IFERROR(__xludf.DUMMYFUNCTION("""COMPUTED_VALUE"""),"04.76.52.95.10")</f>
        <v>04.76.52.95.10</v>
      </c>
      <c r="H103" t="str">
        <f ca="1">IFERROR(__xludf.DUMMYFUNCTION("""COMPUTED_VALUE"""),"LAUBRY Nicolas")</f>
        <v>LAUBRY Nicolas</v>
      </c>
      <c r="I103" t="str">
        <f ca="1">IFERROR(__xludf.DUMMYFUNCTION("""COMPUTED_VALUE"""),"nicolas.laubry@systeme-u.fr")</f>
        <v>nicolas.laubry@systeme-u.fr</v>
      </c>
      <c r="J103" t="str">
        <f ca="1">IFERROR(__xludf.DUMMYFUNCTION("""COMPUTED_VALUE"""),"Zriouel Marouan
Nadège (comptable)")</f>
        <v>Zriouel Marouan
Nadège (comptable)</v>
      </c>
      <c r="K103" t="str">
        <f ca="1">IFERROR(__xludf.DUMMYFUNCTION("""COMPUTED_VALUE"""),"superu.biviers.direction@systeme-u.fr, superu.biviers.compta@systeme-u.fr")</f>
        <v>superu.biviers.direction@systeme-u.fr, superu.biviers.compta@systeme-u.fr</v>
      </c>
      <c r="L103" t="str">
        <f ca="1">IFERROR(__xludf.DUMMYFUNCTION("""COMPUTED_VALUE"""),"")</f>
        <v/>
      </c>
      <c r="M103" t="str">
        <f ca="1">IFERROR(__xludf.DUMMYFUNCTION("""COMPUTED_VALUE"""),"99.Hors Périmetre")</f>
        <v>99.Hors Périmetre</v>
      </c>
      <c r="N103" t="str">
        <f ca="1">IFERROR(__xludf.DUMMYFUNCTION("""COMPUTED_VALUE"""),"")</f>
        <v/>
      </c>
      <c r="O103" t="str">
        <f ca="1">IFERROR(__xludf.DUMMYFUNCTION("""COMPUTED_VALUE"""),"")</f>
        <v/>
      </c>
      <c r="P103" t="str">
        <f ca="1">IFERROR(__xludf.DUMMYFUNCTION("""COMPUTED_VALUE"""),"")</f>
        <v/>
      </c>
      <c r="Q103" s="5" t="str">
        <f ca="1">IFERROR(__xludf.DUMMYFUNCTION("""COMPUTED_VALUE"""),"")</f>
        <v/>
      </c>
      <c r="R103" s="6" t="str">
        <f ca="1">IFERROR(__xludf.DUMMYFUNCTION("""COMPUTED_VALUE"""),"")</f>
        <v/>
      </c>
      <c r="S103" t="str">
        <f ca="1">IFERROR(__xludf.DUMMYFUNCTION("""COMPUTED_VALUE"""),"")</f>
        <v/>
      </c>
      <c r="T103" t="str">
        <f ca="1">IFERROR(__xludf.DUMMYFUNCTION("""COMPUTED_VALUE"""),"")</f>
        <v/>
      </c>
      <c r="U103" t="str">
        <f ca="1">IFERROR(__xludf.DUMMYFUNCTION("""COMPUTED_VALUE"""),"")</f>
        <v/>
      </c>
      <c r="V103" t="str">
        <f ca="1">IFERROR(__xludf.DUMMYFUNCTION("""COMPUTED_VALUE"""),"")</f>
        <v/>
      </c>
      <c r="W103" t="str">
        <f ca="1">IFERROR(__xludf.DUMMYFUNCTION("""COMPUTED_VALUE"""),"")</f>
        <v/>
      </c>
      <c r="X103" t="str">
        <f ca="1">IFERROR(__xludf.DUMMYFUNCTION("""COMPUTED_VALUE"""),"")</f>
        <v/>
      </c>
      <c r="Y103" t="str">
        <f ca="1">IFERROR(__xludf.DUMMYFUNCTION("""COMPUTED_VALUE"""),"")</f>
        <v/>
      </c>
      <c r="Z103" t="str">
        <f ca="1">IFERROR(__xludf.DUMMYFUNCTION("""COMPUTED_VALUE"""),"")</f>
        <v/>
      </c>
      <c r="AA103" t="str">
        <f ca="1">IFERROR(__xludf.DUMMYFUNCTION("""COMPUTED_VALUE"""),"Pas de commande")</f>
        <v>Pas de commande</v>
      </c>
      <c r="AB103" s="8" t="str">
        <f ca="1">IFERROR(__xludf.DUMMYFUNCTION("""COMPUTED_VALUE"""),"")</f>
        <v/>
      </c>
      <c r="AC103" s="8" t="str">
        <f ca="1">IFERROR(__xludf.DUMMYFUNCTION("""COMPUTED_VALUE"""),"")</f>
        <v/>
      </c>
      <c r="AD103" s="11" t="str">
        <f ca="1">IFERROR(__xludf.DUMMYFUNCTION("""COMPUTED_VALUE"""),"")</f>
        <v/>
      </c>
      <c r="AE103" t="str">
        <f ca="1">IFERROR(__xludf.DUMMYFUNCTION("""COMPUTED_VALUE"""),"")</f>
        <v/>
      </c>
    </row>
    <row r="104" spans="1:31" ht="12.75" x14ac:dyDescent="0.2">
      <c r="A104">
        <f ca="1">IFERROR(__xludf.DUMMYFUNCTION("""COMPUTED_VALUE"""),36645)</f>
        <v>36645</v>
      </c>
      <c r="B104" t="str">
        <f ca="1">IFERROR(__xludf.DUMMYFUNCTION("""COMPUTED_VALUE"""),"BLAIN")</f>
        <v>BLAIN</v>
      </c>
      <c r="C104" t="str">
        <f ca="1">IFERROR(__xludf.DUMMYFUNCTION("""COMPUTED_VALUE"""),"Hyper U")</f>
        <v>Hyper U</v>
      </c>
      <c r="D104" t="str">
        <f ca="1">IFERROR(__xludf.DUMMYFUNCTION("""COMPUTED_VALUE"""),"Coop U Enseigne Ouest")</f>
        <v>Coop U Enseigne Ouest</v>
      </c>
      <c r="E104">
        <f ca="1">IFERROR(__xludf.DUMMYFUNCTION("""COMPUTED_VALUE"""),44130)</f>
        <v>44130</v>
      </c>
      <c r="F104" t="str">
        <f ca="1">IFERROR(__xludf.DUMMYFUNCTION("""COMPUTED_VALUE"""),"27 ROUTE DE L'ISAC")</f>
        <v>27 ROUTE DE L'ISAC</v>
      </c>
      <c r="G104" t="str">
        <f ca="1">IFERROR(__xludf.DUMMYFUNCTION("""COMPUTED_VALUE"""),"02.40.79.14.77")</f>
        <v>02.40.79.14.77</v>
      </c>
      <c r="H104" t="str">
        <f ca="1">IFERROR(__xludf.DUMMYFUNCTION("""COMPUTED_VALUE"""),"PAYET Thierry")</f>
        <v>PAYET Thierry</v>
      </c>
      <c r="I104" t="str">
        <f ca="1">IFERROR(__xludf.DUMMYFUNCTION("""COMPUTED_VALUE"""),"thierry.payet@systeme-u.fr")</f>
        <v>thierry.payet@systeme-u.fr</v>
      </c>
      <c r="J104" t="str">
        <f ca="1">IFERROR(__xludf.DUMMYFUNCTION("""COMPUTED_VALUE"""),"Guilbeaudeau Chantal ")</f>
        <v xml:space="preserve">Guilbeaudeau Chantal </v>
      </c>
      <c r="K104" t="str">
        <f ca="1">IFERROR(__xludf.DUMMYFUNCTION("""COMPUTED_VALUE"""),"hyperu.blain@systeme-u.fr")</f>
        <v>hyperu.blain@systeme-u.fr</v>
      </c>
      <c r="L104" t="str">
        <f ca="1">IFERROR(__xludf.DUMMYFUNCTION("""COMPUTED_VALUE"""),"")</f>
        <v/>
      </c>
      <c r="M104" t="str">
        <f ca="1">IFERROR(__xludf.DUMMYFUNCTION("""COMPUTED_VALUE"""),"3.1 Migration réalisée avec réserve(s)")</f>
        <v>3.1 Migration réalisée avec réserve(s)</v>
      </c>
      <c r="N104" t="str">
        <f ca="1">IFERROR(__xludf.DUMMYFUNCTION("""COMPUTED_VALUE"""),"")</f>
        <v/>
      </c>
      <c r="O104" t="str">
        <f ca="1">IFERROR(__xludf.DUMMYFUNCTION("""COMPUTED_VALUE"""),"29/03 CMA Migration planifiée avec Mme AMIOT Magali (Resp. informatique)
19/04 Attente retour opv pour descente base article")</f>
        <v>29/03 CMA Migration planifiée avec Mme AMIOT Magali (Resp. informatique)
19/04 Attente retour opv pour descente base article</v>
      </c>
      <c r="P104">
        <f ca="1">IFERROR(__xludf.DUMMYFUNCTION("""COMPUTED_VALUE"""),16)</f>
        <v>16</v>
      </c>
      <c r="Q104" s="5" t="str">
        <f ca="1">IFERROR(__xludf.DUMMYFUNCTION("""COMPUTED_VALUE"""),"")</f>
        <v/>
      </c>
      <c r="R104" s="6">
        <f ca="1">IFERROR(__xludf.DUMMYFUNCTION("""COMPUTED_VALUE"""),43574.3958333333)</f>
        <v>43574.395833333299</v>
      </c>
      <c r="S104" t="str">
        <f ca="1">IFERROR(__xludf.DUMMYFUNCTION("""COMPUTED_VALUE"""),"MEP8522662")</f>
        <v>MEP8522662</v>
      </c>
      <c r="T104" t="str">
        <f ca="1">IFERROR(__xludf.DUMMYFUNCTION("""COMPUTED_VALUE"""),"MEP8522664")</f>
        <v>MEP8522664</v>
      </c>
      <c r="U104" t="str">
        <f ca="1">IFERROR(__xludf.DUMMYFUNCTION("""COMPUTED_VALUE"""),"")</f>
        <v/>
      </c>
      <c r="V104" t="str">
        <f ca="1">IFERROR(__xludf.DUMMYFUNCTION("""COMPUTED_VALUE"""),"10.188.116.237")</f>
        <v>10.188.116.237</v>
      </c>
      <c r="W104" t="str">
        <f ca="1">IFERROR(__xludf.DUMMYFUNCTION("""COMPUTED_VALUE"""),"R5")</f>
        <v>R5</v>
      </c>
      <c r="X104" t="str">
        <f ca="1">IFERROR(__xludf.DUMMYFUNCTION("""COMPUTED_VALUE"""),"U StoreBox")</f>
        <v>U StoreBox</v>
      </c>
      <c r="Y104" t="str">
        <f ca="1">IFERROR(__xludf.DUMMYFUNCTION("""COMPUTED_VALUE"""),"Primo")</f>
        <v>Primo</v>
      </c>
      <c r="Z104" t="str">
        <f ca="1">IFERROR(__xludf.DUMMYFUNCTION("""COMPUTED_VALUE"""),"")</f>
        <v/>
      </c>
      <c r="AA104" t="str">
        <f ca="1">IFERROR(__xludf.DUMMYFUNCTION("""COMPUTED_VALUE"""),"Prérequis déposés")</f>
        <v>Prérequis déposés</v>
      </c>
      <c r="AB104" s="8">
        <f ca="1">IFERROR(__xludf.DUMMYFUNCTION("""COMPUTED_VALUE"""),43565)</f>
        <v>43565</v>
      </c>
      <c r="AC104" s="8">
        <f ca="1">IFERROR(__xludf.DUMMYFUNCTION("""COMPUTED_VALUE"""),43579)</f>
        <v>43579</v>
      </c>
      <c r="AD104" s="11" t="str">
        <f ca="1">IFERROR(__xludf.DUMMYFUNCTION("""COMPUTED_VALUE"""),"")</f>
        <v/>
      </c>
      <c r="AE104" t="str">
        <f ca="1">IFERROR(__xludf.DUMMYFUNCTION("""COMPUTED_VALUE"""),"")</f>
        <v/>
      </c>
    </row>
    <row r="105" spans="1:31" ht="12.75" x14ac:dyDescent="0.2">
      <c r="A105">
        <f ca="1">IFERROR(__xludf.DUMMYFUNCTION("""COMPUTED_VALUE"""),21368)</f>
        <v>21368</v>
      </c>
      <c r="B105" t="str">
        <f ca="1">IFERROR(__xludf.DUMMYFUNCTION("""COMPUTED_VALUE"""),"BLANGY SUR BRESLE")</f>
        <v>BLANGY SUR BRESLE</v>
      </c>
      <c r="C105" t="str">
        <f ca="1">IFERROR(__xludf.DUMMYFUNCTION("""COMPUTED_VALUE"""),"Super U")</f>
        <v>Super U</v>
      </c>
      <c r="D105" t="str">
        <f ca="1">IFERROR(__xludf.DUMMYFUNCTION("""COMPUTED_VALUE"""),"Coop U Enseigne NordOuest")</f>
        <v>Coop U Enseigne NordOuest</v>
      </c>
      <c r="E105">
        <f ca="1">IFERROR(__xludf.DUMMYFUNCTION("""COMPUTED_VALUE"""),76340)</f>
        <v>76340</v>
      </c>
      <c r="F105" t="str">
        <f ca="1">IFERROR(__xludf.DUMMYFUNCTION("""COMPUTED_VALUE"""),"RUE DES MARAIS")</f>
        <v>RUE DES MARAIS</v>
      </c>
      <c r="G105" t="str">
        <f ca="1">IFERROR(__xludf.DUMMYFUNCTION("""COMPUTED_VALUE"""),"02.35.93.44.70")</f>
        <v>02.35.93.44.70</v>
      </c>
      <c r="H105" t="str">
        <f ca="1">IFERROR(__xludf.DUMMYFUNCTION("""COMPUTED_VALUE"""),"MOTTIN Anthony")</f>
        <v>MOTTIN Anthony</v>
      </c>
      <c r="I105" t="str">
        <f ca="1">IFERROR(__xludf.DUMMYFUNCTION("""COMPUTED_VALUE"""),"anthony.mottin@systeme-u.fr")</f>
        <v>anthony.mottin@systeme-u.fr</v>
      </c>
      <c r="J105" t="str">
        <f ca="1">IFERROR(__xludf.DUMMYFUNCTION("""COMPUTED_VALUE"""),"Mottin Anthony")</f>
        <v>Mottin Anthony</v>
      </c>
      <c r="K105" t="str">
        <f ca="1">IFERROR(__xludf.DUMMYFUNCTION("""COMPUTED_VALUE"""),"superu.blangysurbresle.culturel@systeme-u.fr")</f>
        <v>superu.blangysurbresle.culturel@systeme-u.fr</v>
      </c>
      <c r="L105" t="str">
        <f ca="1">IFERROR(__xludf.DUMMYFUNCTION("""COMPUTED_VALUE"""),"")</f>
        <v/>
      </c>
      <c r="M105" t="str">
        <f ca="1">IFERROR(__xludf.DUMMYFUNCTION("""COMPUTED_VALUE"""),"99.Hors Périmetre")</f>
        <v>99.Hors Périmetre</v>
      </c>
      <c r="N105" t="str">
        <f ca="1">IFERROR(__xludf.DUMMYFUNCTION("""COMPUTED_VALUE"""),"")</f>
        <v/>
      </c>
      <c r="O105" t="str">
        <f ca="1">IFERROR(__xludf.DUMMYFUNCTION("""COMPUTED_VALUE"""),"")</f>
        <v/>
      </c>
      <c r="P105" t="str">
        <f ca="1">IFERROR(__xludf.DUMMYFUNCTION("""COMPUTED_VALUE"""),"")</f>
        <v/>
      </c>
      <c r="Q105" s="5" t="str">
        <f ca="1">IFERROR(__xludf.DUMMYFUNCTION("""COMPUTED_VALUE"""),"")</f>
        <v/>
      </c>
      <c r="R105" s="6" t="str">
        <f ca="1">IFERROR(__xludf.DUMMYFUNCTION("""COMPUTED_VALUE"""),"")</f>
        <v/>
      </c>
      <c r="S105" t="str">
        <f ca="1">IFERROR(__xludf.DUMMYFUNCTION("""COMPUTED_VALUE"""),"")</f>
        <v/>
      </c>
      <c r="T105" t="str">
        <f ca="1">IFERROR(__xludf.DUMMYFUNCTION("""COMPUTED_VALUE"""),"")</f>
        <v/>
      </c>
      <c r="U105" t="str">
        <f ca="1">IFERROR(__xludf.DUMMYFUNCTION("""COMPUTED_VALUE"""),"")</f>
        <v/>
      </c>
      <c r="V105" t="str">
        <f ca="1">IFERROR(__xludf.DUMMYFUNCTION("""COMPUTED_VALUE"""),"")</f>
        <v/>
      </c>
      <c r="W105" t="str">
        <f ca="1">IFERROR(__xludf.DUMMYFUNCTION("""COMPUTED_VALUE"""),"")</f>
        <v/>
      </c>
      <c r="X105" t="str">
        <f ca="1">IFERROR(__xludf.DUMMYFUNCTION("""COMPUTED_VALUE"""),"")</f>
        <v/>
      </c>
      <c r="Y105" t="str">
        <f ca="1">IFERROR(__xludf.DUMMYFUNCTION("""COMPUTED_VALUE"""),"")</f>
        <v/>
      </c>
      <c r="Z105" t="str">
        <f ca="1">IFERROR(__xludf.DUMMYFUNCTION("""COMPUTED_VALUE"""),"")</f>
        <v/>
      </c>
      <c r="AA105" t="str">
        <f ca="1">IFERROR(__xludf.DUMMYFUNCTION("""COMPUTED_VALUE"""),"Pas de commande")</f>
        <v>Pas de commande</v>
      </c>
      <c r="AB105" s="8" t="str">
        <f ca="1">IFERROR(__xludf.DUMMYFUNCTION("""COMPUTED_VALUE"""),"")</f>
        <v/>
      </c>
      <c r="AC105" s="8" t="str">
        <f ca="1">IFERROR(__xludf.DUMMYFUNCTION("""COMPUTED_VALUE"""),"")</f>
        <v/>
      </c>
      <c r="AD105" s="11" t="str">
        <f ca="1">IFERROR(__xludf.DUMMYFUNCTION("""COMPUTED_VALUE"""),"")</f>
        <v/>
      </c>
      <c r="AE105" t="str">
        <f ca="1">IFERROR(__xludf.DUMMYFUNCTION("""COMPUTED_VALUE"""),"")</f>
        <v/>
      </c>
    </row>
    <row r="106" spans="1:31" ht="12.75" x14ac:dyDescent="0.2">
      <c r="A106">
        <f ca="1">IFERROR(__xludf.DUMMYFUNCTION("""COMPUTED_VALUE"""),90436)</f>
        <v>90436</v>
      </c>
      <c r="B106" t="str">
        <f ca="1">IFERROR(__xludf.DUMMYFUNCTION("""COMPUTED_VALUE"""),"BLAYE LES MINES")</f>
        <v>BLAYE LES MINES</v>
      </c>
      <c r="C106" t="str">
        <f ca="1">IFERROR(__xludf.DUMMYFUNCTION("""COMPUTED_VALUE"""),"Super U")</f>
        <v>Super U</v>
      </c>
      <c r="D106" t="str">
        <f ca="1">IFERROR(__xludf.DUMMYFUNCTION("""COMPUTED_VALUE"""),"Coop U Enseigne Sud")</f>
        <v>Coop U Enseigne Sud</v>
      </c>
      <c r="E106">
        <f ca="1">IFERROR(__xludf.DUMMYFUNCTION("""COMPUTED_VALUE"""),81400)</f>
        <v>81400</v>
      </c>
      <c r="F106" t="str">
        <f ca="1">IFERROR(__xludf.DUMMYFUNCTION("""COMPUTED_VALUE"""),"150 AVENUE D'ALBI")</f>
        <v>150 AVENUE D'ALBI</v>
      </c>
      <c r="G106" t="str">
        <f ca="1">IFERROR(__xludf.DUMMYFUNCTION("""COMPUTED_VALUE"""),"05.63.80.23.23")</f>
        <v>05.63.80.23.23</v>
      </c>
      <c r="H106" t="str">
        <f ca="1">IFERROR(__xludf.DUMMYFUNCTION("""COMPUTED_VALUE"""),"BONNET THIERRY")</f>
        <v>BONNET THIERRY</v>
      </c>
      <c r="I106" t="str">
        <f ca="1">IFERROR(__xludf.DUMMYFUNCTION("""COMPUTED_VALUE"""),"thierry.bonnet@systeme-u.fr")</f>
        <v>thierry.bonnet@systeme-u.fr</v>
      </c>
      <c r="J106" t="str">
        <f ca="1">IFERROR(__xludf.DUMMYFUNCTION("""COMPUTED_VALUE"""),"Corinne REDONDO")</f>
        <v>Corinne REDONDO</v>
      </c>
      <c r="K106" t="str">
        <f ca="1">IFERROR(__xludf.DUMMYFUNCTION("""COMPUTED_VALUE"""),"superu.blayelesmines.gestion@systeme-u.fr")</f>
        <v>superu.blayelesmines.gestion@systeme-u.fr</v>
      </c>
      <c r="L106" t="str">
        <f ca="1">IFERROR(__xludf.DUMMYFUNCTION("""COMPUTED_VALUE"""),"Standard")</f>
        <v>Standard</v>
      </c>
      <c r="M106" t="str">
        <f ca="1">IFERROR(__xludf.DUMMYFUNCTION("""COMPUTED_VALUE"""),"0. Non démarré")</f>
        <v>0. Non démarré</v>
      </c>
      <c r="N106" t="str">
        <f ca="1">IFERROR(__xludf.DUMMYFUNCTION("""COMPUTED_VALUE"""),"")</f>
        <v/>
      </c>
      <c r="O106" t="str">
        <f ca="1">IFERROR(__xludf.DUMMYFUNCTION("""COMPUTED_VALUE"""),"")</f>
        <v/>
      </c>
      <c r="P106" t="str">
        <f ca="1">IFERROR(__xludf.DUMMYFUNCTION("""COMPUTED_VALUE"""),"")</f>
        <v/>
      </c>
      <c r="Q106" s="5" t="str">
        <f ca="1">IFERROR(__xludf.DUMMYFUNCTION("""COMPUTED_VALUE"""),"")</f>
        <v/>
      </c>
      <c r="R106" s="6" t="str">
        <f ca="1">IFERROR(__xludf.DUMMYFUNCTION("""COMPUTED_VALUE"""),"")</f>
        <v/>
      </c>
      <c r="S106" t="str">
        <f ca="1">IFERROR(__xludf.DUMMYFUNCTION("""COMPUTED_VALUE"""),"")</f>
        <v/>
      </c>
      <c r="T106" t="str">
        <f ca="1">IFERROR(__xludf.DUMMYFUNCTION("""COMPUTED_VALUE"""),"")</f>
        <v/>
      </c>
      <c r="U106" t="str">
        <f ca="1">IFERROR(__xludf.DUMMYFUNCTION("""COMPUTED_VALUE"""),"")</f>
        <v/>
      </c>
      <c r="V106" t="str">
        <f ca="1">IFERROR(__xludf.DUMMYFUNCTION("""COMPUTED_VALUE"""),"")</f>
        <v/>
      </c>
      <c r="W106" t="str">
        <f ca="1">IFERROR(__xludf.DUMMYFUNCTION("""COMPUTED_VALUE"""),"R3")</f>
        <v>R3</v>
      </c>
      <c r="X106" t="str">
        <f ca="1">IFERROR(__xludf.DUMMYFUNCTION("""COMPUTED_VALUE"""),"Pricer &lt;8Go")</f>
        <v>Pricer &lt;8Go</v>
      </c>
      <c r="Y106" t="str">
        <f ca="1">IFERROR(__xludf.DUMMYFUNCTION("""COMPUTED_VALUE"""),"")</f>
        <v/>
      </c>
      <c r="Z106" t="str">
        <f ca="1">IFERROR(__xludf.DUMMYFUNCTION("""COMPUTED_VALUE"""),"")</f>
        <v/>
      </c>
      <c r="AA106" t="str">
        <f ca="1">IFERROR(__xludf.DUMMYFUNCTION("""COMPUTED_VALUE"""),"Pas de commande")</f>
        <v>Pas de commande</v>
      </c>
      <c r="AB106" s="8" t="str">
        <f ca="1">IFERROR(__xludf.DUMMYFUNCTION("""COMPUTED_VALUE"""),"")</f>
        <v/>
      </c>
      <c r="AC106" s="8" t="str">
        <f ca="1">IFERROR(__xludf.DUMMYFUNCTION("""COMPUTED_VALUE"""),"")</f>
        <v/>
      </c>
      <c r="AD106" s="11" t="str">
        <f ca="1">IFERROR(__xludf.DUMMYFUNCTION("""COMPUTED_VALUE"""),"")</f>
        <v/>
      </c>
      <c r="AE106" t="str">
        <f ca="1">IFERROR(__xludf.DUMMYFUNCTION("""COMPUTED_VALUE"""),"")</f>
        <v/>
      </c>
    </row>
    <row r="107" spans="1:31" ht="12.75" x14ac:dyDescent="0.2">
      <c r="A107">
        <f ca="1">IFERROR(__xludf.DUMMYFUNCTION("""COMPUTED_VALUE"""),62084)</f>
        <v>62084</v>
      </c>
      <c r="B107" t="str">
        <f ca="1">IFERROR(__xludf.DUMMYFUNCTION("""COMPUTED_VALUE"""),"BLETTERANS")</f>
        <v>BLETTERANS</v>
      </c>
      <c r="C107" t="str">
        <f ca="1">IFERROR(__xludf.DUMMYFUNCTION("""COMPUTED_VALUE"""),"Super U")</f>
        <v>Super U</v>
      </c>
      <c r="D107" t="str">
        <f ca="1">IFERROR(__xludf.DUMMYFUNCTION("""COMPUTED_VALUE"""),"Coop U Enseigne Est")</f>
        <v>Coop U Enseigne Est</v>
      </c>
      <c r="E107">
        <f ca="1">IFERROR(__xludf.DUMMYFUNCTION("""COMPUTED_VALUE"""),39140)</f>
        <v>39140</v>
      </c>
      <c r="F107" t="str">
        <f ca="1">IFERROR(__xludf.DUMMYFUNCTION("""COMPUTED_VALUE"""),"4 Faubourg d'Aval")</f>
        <v>4 Faubourg d'Aval</v>
      </c>
      <c r="G107" t="str">
        <f ca="1">IFERROR(__xludf.DUMMYFUNCTION("""COMPUTED_VALUE"""),"03.84.48.16.89")</f>
        <v>03.84.48.16.89</v>
      </c>
      <c r="H107" t="str">
        <f ca="1">IFERROR(__xludf.DUMMYFUNCTION("""COMPUTED_VALUE"""),"BARTHOLOME Hubert")</f>
        <v>BARTHOLOME Hubert</v>
      </c>
      <c r="I107" t="str">
        <f ca="1">IFERROR(__xludf.DUMMYFUNCTION("""COMPUTED_VALUE"""),"hubert.bartholome@systeme-u.fr")</f>
        <v>hubert.bartholome@systeme-u.fr</v>
      </c>
      <c r="J107" t="str">
        <f ca="1">IFERROR(__xludf.DUMMYFUNCTION("""COMPUTED_VALUE"""),"Mme Rossignol (comptable - pilote)")</f>
        <v>Mme Rossignol (comptable - pilote)</v>
      </c>
      <c r="K107" t="str">
        <f ca="1">IFERROR(__xludf.DUMMYFUNCTION("""COMPUTED_VALUE"""),"superu.bletterans.compta@systeme-u.fr")</f>
        <v>superu.bletterans.compta@systeme-u.fr</v>
      </c>
      <c r="L107" t="str">
        <f ca="1">IFERROR(__xludf.DUMMYFUNCTION("""COMPUTED_VALUE"""),"")</f>
        <v/>
      </c>
      <c r="M107" t="str">
        <f ca="1">IFERROR(__xludf.DUMMYFUNCTION("""COMPUTED_VALUE"""),"99.Hors Périmetre")</f>
        <v>99.Hors Périmetre</v>
      </c>
      <c r="N107" t="str">
        <f ca="1">IFERROR(__xludf.DUMMYFUNCTION("""COMPUTED_VALUE"""),"")</f>
        <v/>
      </c>
      <c r="O107" t="str">
        <f ca="1">IFERROR(__xludf.DUMMYFUNCTION("""COMPUTED_VALUE"""),"")</f>
        <v/>
      </c>
      <c r="P107" t="str">
        <f ca="1">IFERROR(__xludf.DUMMYFUNCTION("""COMPUTED_VALUE"""),"")</f>
        <v/>
      </c>
      <c r="Q107" s="5" t="str">
        <f ca="1">IFERROR(__xludf.DUMMYFUNCTION("""COMPUTED_VALUE"""),"")</f>
        <v/>
      </c>
      <c r="R107" s="6" t="str">
        <f ca="1">IFERROR(__xludf.DUMMYFUNCTION("""COMPUTED_VALUE"""),"")</f>
        <v/>
      </c>
      <c r="S107" t="str">
        <f ca="1">IFERROR(__xludf.DUMMYFUNCTION("""COMPUTED_VALUE"""),"")</f>
        <v/>
      </c>
      <c r="T107" t="str">
        <f ca="1">IFERROR(__xludf.DUMMYFUNCTION("""COMPUTED_VALUE"""),"")</f>
        <v/>
      </c>
      <c r="U107" t="str">
        <f ca="1">IFERROR(__xludf.DUMMYFUNCTION("""COMPUTED_VALUE"""),"")</f>
        <v/>
      </c>
      <c r="V107" t="str">
        <f ca="1">IFERROR(__xludf.DUMMYFUNCTION("""COMPUTED_VALUE"""),"")</f>
        <v/>
      </c>
      <c r="W107" t="str">
        <f ca="1">IFERROR(__xludf.DUMMYFUNCTION("""COMPUTED_VALUE"""),"")</f>
        <v/>
      </c>
      <c r="X107" t="str">
        <f ca="1">IFERROR(__xludf.DUMMYFUNCTION("""COMPUTED_VALUE"""),"")</f>
        <v/>
      </c>
      <c r="Y107" t="str">
        <f ca="1">IFERROR(__xludf.DUMMYFUNCTION("""COMPUTED_VALUE"""),"")</f>
        <v/>
      </c>
      <c r="Z107" t="str">
        <f ca="1">IFERROR(__xludf.DUMMYFUNCTION("""COMPUTED_VALUE"""),"")</f>
        <v/>
      </c>
      <c r="AA107" t="str">
        <f ca="1">IFERROR(__xludf.DUMMYFUNCTION("""COMPUTED_VALUE"""),"Pas de commande")</f>
        <v>Pas de commande</v>
      </c>
      <c r="AB107" s="8" t="str">
        <f ca="1">IFERROR(__xludf.DUMMYFUNCTION("""COMPUTED_VALUE"""),"")</f>
        <v/>
      </c>
      <c r="AC107" s="8" t="str">
        <f ca="1">IFERROR(__xludf.DUMMYFUNCTION("""COMPUTED_VALUE"""),"")</f>
        <v/>
      </c>
      <c r="AD107" s="11" t="str">
        <f ca="1">IFERROR(__xludf.DUMMYFUNCTION("""COMPUTED_VALUE"""),"")</f>
        <v/>
      </c>
      <c r="AE107" t="str">
        <f ca="1">IFERROR(__xludf.DUMMYFUNCTION("""COMPUTED_VALUE"""),"")</f>
        <v/>
      </c>
    </row>
    <row r="108" spans="1:31" ht="12.75" x14ac:dyDescent="0.2">
      <c r="A108">
        <f ca="1">IFERROR(__xludf.DUMMYFUNCTION("""COMPUTED_VALUE"""),28273)</f>
        <v>28273</v>
      </c>
      <c r="B108" t="str">
        <f ca="1">IFERROR(__xludf.DUMMYFUNCTION("""COMPUTED_VALUE"""),"BOLBEC")</f>
        <v>BOLBEC</v>
      </c>
      <c r="C108" t="str">
        <f ca="1">IFERROR(__xludf.DUMMYFUNCTION("""COMPUTED_VALUE"""),"U Express")</f>
        <v>U Express</v>
      </c>
      <c r="D108" t="str">
        <f ca="1">IFERROR(__xludf.DUMMYFUNCTION("""COMPUTED_VALUE"""),"Coop U Enseigne NordOuest")</f>
        <v>Coop U Enseigne NordOuest</v>
      </c>
      <c r="E108">
        <f ca="1">IFERROR(__xludf.DUMMYFUNCTION("""COMPUTED_VALUE"""),76210)</f>
        <v>76210</v>
      </c>
      <c r="F108" t="str">
        <f ca="1">IFERROR(__xludf.DUMMYFUNCTION("""COMPUTED_VALUE"""),"17 PLACE CHARLES DE GAULLE")</f>
        <v>17 PLACE CHARLES DE GAULLE</v>
      </c>
      <c r="G108" t="str">
        <f ca="1">IFERROR(__xludf.DUMMYFUNCTION("""COMPUTED_VALUE"""),"02.35.31.07.65")</f>
        <v>02.35.31.07.65</v>
      </c>
      <c r="H108" t="str">
        <f ca="1">IFERROR(__xludf.DUMMYFUNCTION("""COMPUTED_VALUE"""),"JOIMEL Thierry")</f>
        <v>JOIMEL Thierry</v>
      </c>
      <c r="I108" t="str">
        <f ca="1">IFERROR(__xludf.DUMMYFUNCTION("""COMPUTED_VALUE"""),"thierry.joimel@systeme-u.fr")</f>
        <v>thierry.joimel@systeme-u.fr</v>
      </c>
      <c r="J108" t="str">
        <f ca="1">IFERROR(__xludf.DUMMYFUNCTION("""COMPUTED_VALUE"""),"M. Aumont")</f>
        <v>M. Aumont</v>
      </c>
      <c r="K108" t="str">
        <f ca="1">IFERROR(__xludf.DUMMYFUNCTION("""COMPUTED_VALUE"""),"uexpress.bolbec@systeme-u.fr ")</f>
        <v xml:space="preserve">uexpress.bolbec@systeme-u.fr </v>
      </c>
      <c r="L108" t="str">
        <f ca="1">IFERROR(__xludf.DUMMYFUNCTION("""COMPUTED_VALUE"""),"")</f>
        <v/>
      </c>
      <c r="M108" t="str">
        <f ca="1">IFERROR(__xludf.DUMMYFUNCTION("""COMPUTED_VALUE"""),"99.Hors Périmetre")</f>
        <v>99.Hors Périmetre</v>
      </c>
      <c r="N108" t="str">
        <f ca="1">IFERROR(__xludf.DUMMYFUNCTION("""COMPUTED_VALUE"""),"")</f>
        <v/>
      </c>
      <c r="O108" t="str">
        <f ca="1">IFERROR(__xludf.DUMMYFUNCTION("""COMPUTED_VALUE"""),"")</f>
        <v/>
      </c>
      <c r="P108" t="str">
        <f ca="1">IFERROR(__xludf.DUMMYFUNCTION("""COMPUTED_VALUE"""),"")</f>
        <v/>
      </c>
      <c r="Q108" s="5" t="str">
        <f ca="1">IFERROR(__xludf.DUMMYFUNCTION("""COMPUTED_VALUE"""),"")</f>
        <v/>
      </c>
      <c r="R108" s="6" t="str">
        <f ca="1">IFERROR(__xludf.DUMMYFUNCTION("""COMPUTED_VALUE"""),"")</f>
        <v/>
      </c>
      <c r="S108" t="str">
        <f ca="1">IFERROR(__xludf.DUMMYFUNCTION("""COMPUTED_VALUE"""),"")</f>
        <v/>
      </c>
      <c r="T108" t="str">
        <f ca="1">IFERROR(__xludf.DUMMYFUNCTION("""COMPUTED_VALUE"""),"")</f>
        <v/>
      </c>
      <c r="U108" t="str">
        <f ca="1">IFERROR(__xludf.DUMMYFUNCTION("""COMPUTED_VALUE"""),"")</f>
        <v/>
      </c>
      <c r="V108" t="str">
        <f ca="1">IFERROR(__xludf.DUMMYFUNCTION("""COMPUTED_VALUE"""),"")</f>
        <v/>
      </c>
      <c r="W108" t="str">
        <f ca="1">IFERROR(__xludf.DUMMYFUNCTION("""COMPUTED_VALUE"""),"")</f>
        <v/>
      </c>
      <c r="X108" t="str">
        <f ca="1">IFERROR(__xludf.DUMMYFUNCTION("""COMPUTED_VALUE"""),"")</f>
        <v/>
      </c>
      <c r="Y108" t="str">
        <f ca="1">IFERROR(__xludf.DUMMYFUNCTION("""COMPUTED_VALUE"""),"")</f>
        <v/>
      </c>
      <c r="Z108" t="str">
        <f ca="1">IFERROR(__xludf.DUMMYFUNCTION("""COMPUTED_VALUE"""),"")</f>
        <v/>
      </c>
      <c r="AA108" t="str">
        <f ca="1">IFERROR(__xludf.DUMMYFUNCTION("""COMPUTED_VALUE"""),"Pas de commande")</f>
        <v>Pas de commande</v>
      </c>
      <c r="AB108" s="8" t="str">
        <f ca="1">IFERROR(__xludf.DUMMYFUNCTION("""COMPUTED_VALUE"""),"")</f>
        <v/>
      </c>
      <c r="AC108" s="8" t="str">
        <f ca="1">IFERROR(__xludf.DUMMYFUNCTION("""COMPUTED_VALUE"""),"")</f>
        <v/>
      </c>
      <c r="AD108" s="11" t="str">
        <f ca="1">IFERROR(__xludf.DUMMYFUNCTION("""COMPUTED_VALUE"""),"")</f>
        <v/>
      </c>
      <c r="AE108" t="str">
        <f ca="1">IFERROR(__xludf.DUMMYFUNCTION("""COMPUTED_VALUE"""),"")</f>
        <v/>
      </c>
    </row>
    <row r="109" spans="1:31" ht="12.75" x14ac:dyDescent="0.2">
      <c r="A109">
        <f ca="1">IFERROR(__xludf.DUMMYFUNCTION("""COMPUTED_VALUE"""),60018)</f>
        <v>60018</v>
      </c>
      <c r="B109" t="str">
        <f ca="1">IFERROR(__xludf.DUMMYFUNCTION("""COMPUTED_VALUE"""),"BOLLWILLER")</f>
        <v>BOLLWILLER</v>
      </c>
      <c r="C109" t="str">
        <f ca="1">IFERROR(__xludf.DUMMYFUNCTION("""COMPUTED_VALUE"""),"Super U")</f>
        <v>Super U</v>
      </c>
      <c r="D109" t="str">
        <f ca="1">IFERROR(__xludf.DUMMYFUNCTION("""COMPUTED_VALUE"""),"Coop U Enseigne Est")</f>
        <v>Coop U Enseigne Est</v>
      </c>
      <c r="E109">
        <f ca="1">IFERROR(__xludf.DUMMYFUNCTION("""COMPUTED_VALUE"""),68540)</f>
        <v>68540</v>
      </c>
      <c r="F109" t="str">
        <f ca="1">IFERROR(__xludf.DUMMYFUNCTION("""COMPUTED_VALUE"""),"Rue de Guebwiller")</f>
        <v>Rue de Guebwiller</v>
      </c>
      <c r="G109" t="str">
        <f ca="1">IFERROR(__xludf.DUMMYFUNCTION("""COMPUTED_VALUE"""),"03.89.48.10.37")</f>
        <v>03.89.48.10.37</v>
      </c>
      <c r="H109" t="str">
        <f ca="1">IFERROR(__xludf.DUMMYFUNCTION("""COMPUTED_VALUE"""),"WAGNER Fabrice")</f>
        <v>WAGNER Fabrice</v>
      </c>
      <c r="I109" t="str">
        <f ca="1">IFERROR(__xludf.DUMMYFUNCTION("""COMPUTED_VALUE"""),"fabrice.wagner@systeme-u.fr")</f>
        <v>fabrice.wagner@systeme-u.fr</v>
      </c>
      <c r="J109" t="str">
        <f ca="1">IFERROR(__xludf.DUMMYFUNCTION("""COMPUTED_VALUE"""),"Alexandra (UPLV)")</f>
        <v>Alexandra (UPLV)</v>
      </c>
      <c r="K109" t="str">
        <f ca="1">IFERROR(__xludf.DUMMYFUNCTION("""COMPUTED_VALUE"""),"superu.bollwiller.administratif@systeme-u.fr")</f>
        <v>superu.bollwiller.administratif@systeme-u.fr</v>
      </c>
      <c r="L109" t="str">
        <f ca="1">IFERROR(__xludf.DUMMYFUNCTION("""COMPUTED_VALUE"""),"")</f>
        <v/>
      </c>
      <c r="M109" t="str">
        <f ca="1">IFERROR(__xludf.DUMMYFUNCTION("""COMPUTED_VALUE"""),"99.Hors Périmetre")</f>
        <v>99.Hors Périmetre</v>
      </c>
      <c r="N109" t="str">
        <f ca="1">IFERROR(__xludf.DUMMYFUNCTION("""COMPUTED_VALUE"""),"")</f>
        <v/>
      </c>
      <c r="O109" t="str">
        <f ca="1">IFERROR(__xludf.DUMMYFUNCTION("""COMPUTED_VALUE"""),"")</f>
        <v/>
      </c>
      <c r="P109" t="str">
        <f ca="1">IFERROR(__xludf.DUMMYFUNCTION("""COMPUTED_VALUE"""),"")</f>
        <v/>
      </c>
      <c r="Q109" s="5" t="str">
        <f ca="1">IFERROR(__xludf.DUMMYFUNCTION("""COMPUTED_VALUE"""),"")</f>
        <v/>
      </c>
      <c r="R109" s="6" t="str">
        <f ca="1">IFERROR(__xludf.DUMMYFUNCTION("""COMPUTED_VALUE"""),"")</f>
        <v/>
      </c>
      <c r="S109" t="str">
        <f ca="1">IFERROR(__xludf.DUMMYFUNCTION("""COMPUTED_VALUE"""),"")</f>
        <v/>
      </c>
      <c r="T109" t="str">
        <f ca="1">IFERROR(__xludf.DUMMYFUNCTION("""COMPUTED_VALUE"""),"")</f>
        <v/>
      </c>
      <c r="U109" t="str">
        <f ca="1">IFERROR(__xludf.DUMMYFUNCTION("""COMPUTED_VALUE"""),"")</f>
        <v/>
      </c>
      <c r="V109" t="str">
        <f ca="1">IFERROR(__xludf.DUMMYFUNCTION("""COMPUTED_VALUE"""),"")</f>
        <v/>
      </c>
      <c r="W109" t="str">
        <f ca="1">IFERROR(__xludf.DUMMYFUNCTION("""COMPUTED_VALUE"""),"")</f>
        <v/>
      </c>
      <c r="X109" t="str">
        <f ca="1">IFERROR(__xludf.DUMMYFUNCTION("""COMPUTED_VALUE"""),"")</f>
        <v/>
      </c>
      <c r="Y109" t="str">
        <f ca="1">IFERROR(__xludf.DUMMYFUNCTION("""COMPUTED_VALUE"""),"")</f>
        <v/>
      </c>
      <c r="Z109" t="str">
        <f ca="1">IFERROR(__xludf.DUMMYFUNCTION("""COMPUTED_VALUE"""),"")</f>
        <v/>
      </c>
      <c r="AA109" t="str">
        <f ca="1">IFERROR(__xludf.DUMMYFUNCTION("""COMPUTED_VALUE"""),"Pas de commande")</f>
        <v>Pas de commande</v>
      </c>
      <c r="AB109" s="8" t="str">
        <f ca="1">IFERROR(__xludf.DUMMYFUNCTION("""COMPUTED_VALUE"""),"")</f>
        <v/>
      </c>
      <c r="AC109" s="8" t="str">
        <f ca="1">IFERROR(__xludf.DUMMYFUNCTION("""COMPUTED_VALUE"""),"")</f>
        <v/>
      </c>
      <c r="AD109" s="11" t="str">
        <f ca="1">IFERROR(__xludf.DUMMYFUNCTION("""COMPUTED_VALUE"""),"")</f>
        <v/>
      </c>
      <c r="AE109" t="str">
        <f ca="1">IFERROR(__xludf.DUMMYFUNCTION("""COMPUTED_VALUE"""),"")</f>
        <v/>
      </c>
    </row>
    <row r="110" spans="1:31" ht="12.75" x14ac:dyDescent="0.2">
      <c r="A110">
        <f ca="1">IFERROR(__xludf.DUMMYFUNCTION("""COMPUTED_VALUE"""),90499)</f>
        <v>90499</v>
      </c>
      <c r="B110" t="str">
        <f ca="1">IFERROR(__xludf.DUMMYFUNCTION("""COMPUTED_VALUE"""),"BOMPAS")</f>
        <v>BOMPAS</v>
      </c>
      <c r="C110" t="str">
        <f ca="1">IFERROR(__xludf.DUMMYFUNCTION("""COMPUTED_VALUE"""),"Super U")</f>
        <v>Super U</v>
      </c>
      <c r="D110" t="str">
        <f ca="1">IFERROR(__xludf.DUMMYFUNCTION("""COMPUTED_VALUE"""),"Coop U Enseigne Sud")</f>
        <v>Coop U Enseigne Sud</v>
      </c>
      <c r="E110">
        <f ca="1">IFERROR(__xludf.DUMMYFUNCTION("""COMPUTED_VALUE"""),66430)</f>
        <v>66430</v>
      </c>
      <c r="F110" t="str">
        <f ca="1">IFERROR(__xludf.DUMMYFUNCTION("""COMPUTED_VALUE"""),"ROUTE DE TORREILLES")</f>
        <v>ROUTE DE TORREILLES</v>
      </c>
      <c r="G110" t="str">
        <f ca="1">IFERROR(__xludf.DUMMYFUNCTION("""COMPUTED_VALUE"""),"04.68.63.20.01")</f>
        <v>04.68.63.20.01</v>
      </c>
      <c r="H110" t="str">
        <f ca="1">IFERROR(__xludf.DUMMYFUNCTION("""COMPUTED_VALUE"""),"GARA Riadh")</f>
        <v>GARA Riadh</v>
      </c>
      <c r="I110" t="str">
        <f ca="1">IFERROR(__xludf.DUMMYFUNCTION("""COMPUTED_VALUE"""),"riadh.gara@systeme-u.fr")</f>
        <v>riadh.gara@systeme-u.fr</v>
      </c>
      <c r="J110" t="str">
        <f ca="1">IFERROR(__xludf.DUMMYFUNCTION("""COMPUTED_VALUE"""),"GUTIERREZ SYLVIE")</f>
        <v>GUTIERREZ SYLVIE</v>
      </c>
      <c r="K110" t="str">
        <f ca="1">IFERROR(__xludf.DUMMYFUNCTION("""COMPUTED_VALUE"""),"superu.bompas.compta@systeme-u.fr")</f>
        <v>superu.bompas.compta@systeme-u.fr</v>
      </c>
      <c r="L110" t="str">
        <f ca="1">IFERROR(__xludf.DUMMYFUNCTION("""COMPUTED_VALUE"""),"")</f>
        <v/>
      </c>
      <c r="M110" t="str">
        <f ca="1">IFERROR(__xludf.DUMMYFUNCTION("""COMPUTED_VALUE"""),"99.Hors Périmetre")</f>
        <v>99.Hors Périmetre</v>
      </c>
      <c r="N110" t="str">
        <f ca="1">IFERROR(__xludf.DUMMYFUNCTION("""COMPUTED_VALUE"""),"")</f>
        <v/>
      </c>
      <c r="O110" t="str">
        <f ca="1">IFERROR(__xludf.DUMMYFUNCTION("""COMPUTED_VALUE"""),"")</f>
        <v/>
      </c>
      <c r="P110" t="str">
        <f ca="1">IFERROR(__xludf.DUMMYFUNCTION("""COMPUTED_VALUE"""),"")</f>
        <v/>
      </c>
      <c r="Q110" s="5" t="str">
        <f ca="1">IFERROR(__xludf.DUMMYFUNCTION("""COMPUTED_VALUE"""),"")</f>
        <v/>
      </c>
      <c r="R110" s="6" t="str">
        <f ca="1">IFERROR(__xludf.DUMMYFUNCTION("""COMPUTED_VALUE"""),"")</f>
        <v/>
      </c>
      <c r="S110" t="str">
        <f ca="1">IFERROR(__xludf.DUMMYFUNCTION("""COMPUTED_VALUE"""),"")</f>
        <v/>
      </c>
      <c r="T110" t="str">
        <f ca="1">IFERROR(__xludf.DUMMYFUNCTION("""COMPUTED_VALUE"""),"")</f>
        <v/>
      </c>
      <c r="U110" t="str">
        <f ca="1">IFERROR(__xludf.DUMMYFUNCTION("""COMPUTED_VALUE"""),"")</f>
        <v/>
      </c>
      <c r="V110" t="str">
        <f ca="1">IFERROR(__xludf.DUMMYFUNCTION("""COMPUTED_VALUE"""),"")</f>
        <v/>
      </c>
      <c r="W110" t="str">
        <f ca="1">IFERROR(__xludf.DUMMYFUNCTION("""COMPUTED_VALUE"""),"")</f>
        <v/>
      </c>
      <c r="X110" t="str">
        <f ca="1">IFERROR(__xludf.DUMMYFUNCTION("""COMPUTED_VALUE"""),"")</f>
        <v/>
      </c>
      <c r="Y110" t="str">
        <f ca="1">IFERROR(__xludf.DUMMYFUNCTION("""COMPUTED_VALUE"""),"")</f>
        <v/>
      </c>
      <c r="Z110" t="str">
        <f ca="1">IFERROR(__xludf.DUMMYFUNCTION("""COMPUTED_VALUE"""),"")</f>
        <v/>
      </c>
      <c r="AA110" t="str">
        <f ca="1">IFERROR(__xludf.DUMMYFUNCTION("""COMPUTED_VALUE"""),"Pas de commande")</f>
        <v>Pas de commande</v>
      </c>
      <c r="AB110" s="8" t="str">
        <f ca="1">IFERROR(__xludf.DUMMYFUNCTION("""COMPUTED_VALUE"""),"")</f>
        <v/>
      </c>
      <c r="AC110" s="8" t="str">
        <f ca="1">IFERROR(__xludf.DUMMYFUNCTION("""COMPUTED_VALUE"""),"")</f>
        <v/>
      </c>
      <c r="AD110" s="11" t="str">
        <f ca="1">IFERROR(__xludf.DUMMYFUNCTION("""COMPUTED_VALUE"""),"")</f>
        <v/>
      </c>
      <c r="AE110" t="str">
        <f ca="1">IFERROR(__xludf.DUMMYFUNCTION("""COMPUTED_VALUE"""),"")</f>
        <v/>
      </c>
    </row>
    <row r="111" spans="1:31" ht="12.75" x14ac:dyDescent="0.2">
      <c r="A111">
        <f ca="1">IFERROR(__xludf.DUMMYFUNCTION("""COMPUTED_VALUE"""),66143)</f>
        <v>66143</v>
      </c>
      <c r="B111" t="str">
        <f ca="1">IFERROR(__xludf.DUMMYFUNCTION("""COMPUTED_VALUE"""),"BONNE")</f>
        <v>BONNE</v>
      </c>
      <c r="C111" t="str">
        <f ca="1">IFERROR(__xludf.DUMMYFUNCTION("""COMPUTED_VALUE"""),"Super U")</f>
        <v>Super U</v>
      </c>
      <c r="D111" t="str">
        <f ca="1">IFERROR(__xludf.DUMMYFUNCTION("""COMPUTED_VALUE"""),"Coop U Enseigne Est")</f>
        <v>Coop U Enseigne Est</v>
      </c>
      <c r="E111">
        <f ca="1">IFERROR(__xludf.DUMMYFUNCTION("""COMPUTED_VALUE"""),74380)</f>
        <v>74380</v>
      </c>
      <c r="F111" t="str">
        <f ca="1">IFERROR(__xludf.DUMMYFUNCTION("""COMPUTED_VALUE"""),"Parc d'activ. de la MENOGE")</f>
        <v>Parc d'activ. de la MENOGE</v>
      </c>
      <c r="G111" t="str">
        <f ca="1">IFERROR(__xludf.DUMMYFUNCTION("""COMPUTED_VALUE"""),"04.50.31.68.90")</f>
        <v>04.50.31.68.90</v>
      </c>
      <c r="H111" t="str">
        <f ca="1">IFERROR(__xludf.DUMMYFUNCTION("""COMPUTED_VALUE"""),"ALVES Christophe")</f>
        <v>ALVES Christophe</v>
      </c>
      <c r="I111" t="str">
        <f ca="1">IFERROR(__xludf.DUMMYFUNCTION("""COMPUTED_VALUE"""),"christophe.alves@systeme-u.fr")</f>
        <v>christophe.alves@systeme-u.fr</v>
      </c>
      <c r="J111" t="str">
        <f ca="1">IFERROR(__xludf.DUMMYFUNCTION("""COMPUTED_VALUE"""),"Alagapin Mickael ")</f>
        <v xml:space="preserve">Alagapin Mickael </v>
      </c>
      <c r="K111" t="str">
        <f ca="1">IFERROR(__xludf.DUMMYFUNCTION("""COMPUTED_VALUE"""),"superu.bonne.directeur@systeme-u.fr")</f>
        <v>superu.bonne.directeur@systeme-u.fr</v>
      </c>
      <c r="L111" t="str">
        <f ca="1">IFERROR(__xludf.DUMMYFUNCTION("""COMPUTED_VALUE"""),"")</f>
        <v/>
      </c>
      <c r="M111" t="str">
        <f ca="1">IFERROR(__xludf.DUMMYFUNCTION("""COMPUTED_VALUE"""),"99.Hors Périmetre")</f>
        <v>99.Hors Périmetre</v>
      </c>
      <c r="N111" t="str">
        <f ca="1">IFERROR(__xludf.DUMMYFUNCTION("""COMPUTED_VALUE"""),"")</f>
        <v/>
      </c>
      <c r="O111" t="str">
        <f ca="1">IFERROR(__xludf.DUMMYFUNCTION("""COMPUTED_VALUE"""),"")</f>
        <v/>
      </c>
      <c r="P111" t="str">
        <f ca="1">IFERROR(__xludf.DUMMYFUNCTION("""COMPUTED_VALUE"""),"")</f>
        <v/>
      </c>
      <c r="Q111" s="5" t="str">
        <f ca="1">IFERROR(__xludf.DUMMYFUNCTION("""COMPUTED_VALUE"""),"")</f>
        <v/>
      </c>
      <c r="R111" s="6" t="str">
        <f ca="1">IFERROR(__xludf.DUMMYFUNCTION("""COMPUTED_VALUE"""),"")</f>
        <v/>
      </c>
      <c r="S111" t="str">
        <f ca="1">IFERROR(__xludf.DUMMYFUNCTION("""COMPUTED_VALUE"""),"")</f>
        <v/>
      </c>
      <c r="T111" t="str">
        <f ca="1">IFERROR(__xludf.DUMMYFUNCTION("""COMPUTED_VALUE"""),"")</f>
        <v/>
      </c>
      <c r="U111" t="str">
        <f ca="1">IFERROR(__xludf.DUMMYFUNCTION("""COMPUTED_VALUE"""),"")</f>
        <v/>
      </c>
      <c r="V111" t="str">
        <f ca="1">IFERROR(__xludf.DUMMYFUNCTION("""COMPUTED_VALUE"""),"")</f>
        <v/>
      </c>
      <c r="W111" t="str">
        <f ca="1">IFERROR(__xludf.DUMMYFUNCTION("""COMPUTED_VALUE"""),"")</f>
        <v/>
      </c>
      <c r="X111" t="str">
        <f ca="1">IFERROR(__xludf.DUMMYFUNCTION("""COMPUTED_VALUE"""),"")</f>
        <v/>
      </c>
      <c r="Y111" t="str">
        <f ca="1">IFERROR(__xludf.DUMMYFUNCTION("""COMPUTED_VALUE"""),"")</f>
        <v/>
      </c>
      <c r="Z111" t="str">
        <f ca="1">IFERROR(__xludf.DUMMYFUNCTION("""COMPUTED_VALUE"""),"")</f>
        <v/>
      </c>
      <c r="AA111" t="str">
        <f ca="1">IFERROR(__xludf.DUMMYFUNCTION("""COMPUTED_VALUE"""),"Pas de commande")</f>
        <v>Pas de commande</v>
      </c>
      <c r="AB111" s="8" t="str">
        <f ca="1">IFERROR(__xludf.DUMMYFUNCTION("""COMPUTED_VALUE"""),"")</f>
        <v/>
      </c>
      <c r="AC111" s="8" t="str">
        <f ca="1">IFERROR(__xludf.DUMMYFUNCTION("""COMPUTED_VALUE"""),"")</f>
        <v/>
      </c>
      <c r="AD111" s="11" t="str">
        <f ca="1">IFERROR(__xludf.DUMMYFUNCTION("""COMPUTED_VALUE"""),"")</f>
        <v/>
      </c>
      <c r="AE111" t="str">
        <f ca="1">IFERROR(__xludf.DUMMYFUNCTION("""COMPUTED_VALUE"""),"")</f>
        <v/>
      </c>
    </row>
    <row r="112" spans="1:31" ht="12.75" x14ac:dyDescent="0.2">
      <c r="A112">
        <f ca="1">IFERROR(__xludf.DUMMYFUNCTION("""COMPUTED_VALUE"""),33034)</f>
        <v>33034</v>
      </c>
      <c r="B112" t="str">
        <f ca="1">IFERROR(__xludf.DUMMYFUNCTION("""COMPUTED_VALUE"""),"BONNETABLE")</f>
        <v>BONNETABLE</v>
      </c>
      <c r="C112" t="str">
        <f ca="1">IFERROR(__xludf.DUMMYFUNCTION("""COMPUTED_VALUE"""),"Super U")</f>
        <v>Super U</v>
      </c>
      <c r="D112" t="str">
        <f ca="1">IFERROR(__xludf.DUMMYFUNCTION("""COMPUTED_VALUE"""),"Coop U Enseigne Ouest")</f>
        <v>Coop U Enseigne Ouest</v>
      </c>
      <c r="E112">
        <f ca="1">IFERROR(__xludf.DUMMYFUNCTION("""COMPUTED_VALUE"""),72110)</f>
        <v>72110</v>
      </c>
      <c r="F112" t="str">
        <f ca="1">IFERROR(__xludf.DUMMYFUNCTION("""COMPUTED_VALUE"""),"43, AVENUE DU 8 MAI 1945")</f>
        <v>43, AVENUE DU 8 MAI 1945</v>
      </c>
      <c r="G112" t="str">
        <f ca="1">IFERROR(__xludf.DUMMYFUNCTION("""COMPUTED_VALUE"""),"02.43.52.11.22")</f>
        <v>02.43.52.11.22</v>
      </c>
      <c r="H112" t="str">
        <f ca="1">IFERROR(__xludf.DUMMYFUNCTION("""COMPUTED_VALUE"""),"BUSSON RPT SARL JABD INVESTISS Johnny")</f>
        <v>BUSSON RPT SARL JABD INVESTISS Johnny</v>
      </c>
      <c r="I112" t="str">
        <f ca="1">IFERROR(__xludf.DUMMYFUNCTION("""COMPUTED_VALUE"""),"johnny.busson@systeme-u.fr")</f>
        <v>johnny.busson@systeme-u.fr</v>
      </c>
      <c r="J112" t="str">
        <f ca="1">IFERROR(__xludf.DUMMYFUNCTION("""COMPUTED_VALUE"""),"Mme Ballu Geraldine")</f>
        <v>Mme Ballu Geraldine</v>
      </c>
      <c r="K112" t="str">
        <f ca="1">IFERROR(__xludf.DUMMYFUNCTION("""COMPUTED_VALUE"""),"superu.bonnetable.accueil@systeme-u.fr")</f>
        <v>superu.bonnetable.accueil@systeme-u.fr</v>
      </c>
      <c r="L112" t="str">
        <f ca="1">IFERROR(__xludf.DUMMYFUNCTION("""COMPUTED_VALUE"""),"")</f>
        <v/>
      </c>
      <c r="M112" t="str">
        <f ca="1">IFERROR(__xludf.DUMMYFUNCTION("""COMPUTED_VALUE"""),"99.Hors Périmetre")</f>
        <v>99.Hors Périmetre</v>
      </c>
      <c r="N112" t="str">
        <f ca="1">IFERROR(__xludf.DUMMYFUNCTION("""COMPUTED_VALUE"""),"")</f>
        <v/>
      </c>
      <c r="O112" t="str">
        <f ca="1">IFERROR(__xludf.DUMMYFUNCTION("""COMPUTED_VALUE"""),"")</f>
        <v/>
      </c>
      <c r="P112" t="str">
        <f ca="1">IFERROR(__xludf.DUMMYFUNCTION("""COMPUTED_VALUE"""),"")</f>
        <v/>
      </c>
      <c r="Q112" s="5" t="str">
        <f ca="1">IFERROR(__xludf.DUMMYFUNCTION("""COMPUTED_VALUE"""),"")</f>
        <v/>
      </c>
      <c r="R112" s="6" t="str">
        <f ca="1">IFERROR(__xludf.DUMMYFUNCTION("""COMPUTED_VALUE"""),"")</f>
        <v/>
      </c>
      <c r="S112" t="str">
        <f ca="1">IFERROR(__xludf.DUMMYFUNCTION("""COMPUTED_VALUE"""),"")</f>
        <v/>
      </c>
      <c r="T112" t="str">
        <f ca="1">IFERROR(__xludf.DUMMYFUNCTION("""COMPUTED_VALUE"""),"")</f>
        <v/>
      </c>
      <c r="U112" t="str">
        <f ca="1">IFERROR(__xludf.DUMMYFUNCTION("""COMPUTED_VALUE"""),"")</f>
        <v/>
      </c>
      <c r="V112" t="str">
        <f ca="1">IFERROR(__xludf.DUMMYFUNCTION("""COMPUTED_VALUE"""),"")</f>
        <v/>
      </c>
      <c r="W112" t="str">
        <f ca="1">IFERROR(__xludf.DUMMYFUNCTION("""COMPUTED_VALUE"""),"")</f>
        <v/>
      </c>
      <c r="X112" t="str">
        <f ca="1">IFERROR(__xludf.DUMMYFUNCTION("""COMPUTED_VALUE"""),"")</f>
        <v/>
      </c>
      <c r="Y112" t="str">
        <f ca="1">IFERROR(__xludf.DUMMYFUNCTION("""COMPUTED_VALUE"""),"")</f>
        <v/>
      </c>
      <c r="Z112" t="str">
        <f ca="1">IFERROR(__xludf.DUMMYFUNCTION("""COMPUTED_VALUE"""),"")</f>
        <v/>
      </c>
      <c r="AA112" t="str">
        <f ca="1">IFERROR(__xludf.DUMMYFUNCTION("""COMPUTED_VALUE"""),"Pas de commande")</f>
        <v>Pas de commande</v>
      </c>
      <c r="AB112" s="8" t="str">
        <f ca="1">IFERROR(__xludf.DUMMYFUNCTION("""COMPUTED_VALUE"""),"")</f>
        <v/>
      </c>
      <c r="AC112" s="8" t="str">
        <f ca="1">IFERROR(__xludf.DUMMYFUNCTION("""COMPUTED_VALUE"""),"")</f>
        <v/>
      </c>
      <c r="AD112" s="11" t="str">
        <f ca="1">IFERROR(__xludf.DUMMYFUNCTION("""COMPUTED_VALUE"""),"")</f>
        <v/>
      </c>
      <c r="AE112" t="str">
        <f ca="1">IFERROR(__xludf.DUMMYFUNCTION("""COMPUTED_VALUE"""),"")</f>
        <v/>
      </c>
    </row>
    <row r="113" spans="1:31" ht="12.75" x14ac:dyDescent="0.2">
      <c r="A113">
        <f ca="1">IFERROR(__xludf.DUMMYFUNCTION("""COMPUTED_VALUE"""),38915)</f>
        <v>38915</v>
      </c>
      <c r="B113" t="str">
        <f ca="1">IFERROR(__xludf.DUMMYFUNCTION("""COMPUTED_VALUE"""),"BONNY-SUR-LOIRE")</f>
        <v>BONNY-SUR-LOIRE</v>
      </c>
      <c r="C113" t="str">
        <f ca="1">IFERROR(__xludf.DUMMYFUNCTION("""COMPUTED_VALUE"""),"Super U")</f>
        <v>Super U</v>
      </c>
      <c r="D113" t="str">
        <f ca="1">IFERROR(__xludf.DUMMYFUNCTION("""COMPUTED_VALUE"""),"Coop U Enseigne Ouest")</f>
        <v>Coop U Enseigne Ouest</v>
      </c>
      <c r="E113">
        <f ca="1">IFERROR(__xludf.DUMMYFUNCTION("""COMPUTED_VALUE"""),45420)</f>
        <v>45420</v>
      </c>
      <c r="F113" t="str">
        <f ca="1">IFERROR(__xludf.DUMMYFUNCTION("""COMPUTED_VALUE"""),"ZI LA CHAMPAGNE")</f>
        <v>ZI LA CHAMPAGNE</v>
      </c>
      <c r="G113" t="str">
        <f ca="1">IFERROR(__xludf.DUMMYFUNCTION("""COMPUTED_VALUE"""),"02.38.31.52.20")</f>
        <v>02.38.31.52.20</v>
      </c>
      <c r="H113" t="str">
        <f ca="1">IFERROR(__xludf.DUMMYFUNCTION("""COMPUTED_VALUE"""),"ANNET RPT SARL D2P INVESTISS. Dominique")</f>
        <v>ANNET RPT SARL D2P INVESTISS. Dominique</v>
      </c>
      <c r="I113" t="str">
        <f ca="1">IFERROR(__xludf.DUMMYFUNCTION("""COMPUTED_VALUE"""),"dominique.annet@systeme-u.fr")</f>
        <v>dominique.annet@systeme-u.fr</v>
      </c>
      <c r="J113" t="str">
        <f ca="1">IFERROR(__xludf.DUMMYFUNCTION("""COMPUTED_VALUE"""),"Mme Annet")</f>
        <v>Mme Annet</v>
      </c>
      <c r="K113" t="str">
        <f ca="1">IFERROR(__xludf.DUMMYFUNCTION("""COMPUTED_VALUE"""),"")</f>
        <v/>
      </c>
      <c r="L113" t="str">
        <f ca="1">IFERROR(__xludf.DUMMYFUNCTION("""COMPUTED_VALUE"""),"PiloteDepl")</f>
        <v>PiloteDepl</v>
      </c>
      <c r="M113" t="str">
        <f ca="1">IFERROR(__xludf.DUMMYFUNCTION("""COMPUTED_VALUE"""),"0.1 Pre-Planification")</f>
        <v>0.1 Pre-Planification</v>
      </c>
      <c r="N113" t="str">
        <f ca="1">IFERROR(__xludf.DUMMYFUNCTION("""COMPUTED_VALUE"""),"")</f>
        <v/>
      </c>
      <c r="O113" t="str">
        <f ca="1">IFERROR(__xludf.DUMMYFUNCTION("""COMPUTED_VALUE"""),"")</f>
        <v/>
      </c>
      <c r="P113" t="str">
        <f ca="1">IFERROR(__xludf.DUMMYFUNCTION("""COMPUTED_VALUE"""),"")</f>
        <v/>
      </c>
      <c r="Q113" s="5" t="str">
        <f ca="1">IFERROR(__xludf.DUMMYFUNCTION("""COMPUTED_VALUE"""),"")</f>
        <v/>
      </c>
      <c r="R113" s="6" t="str">
        <f ca="1">IFERROR(__xludf.DUMMYFUNCTION("""COMPUTED_VALUE"""),"")</f>
        <v/>
      </c>
      <c r="S113" t="str">
        <f ca="1">IFERROR(__xludf.DUMMYFUNCTION("""COMPUTED_VALUE"""),"")</f>
        <v/>
      </c>
      <c r="T113" t="str">
        <f ca="1">IFERROR(__xludf.DUMMYFUNCTION("""COMPUTED_VALUE"""),"")</f>
        <v/>
      </c>
      <c r="U113" t="str">
        <f ca="1">IFERROR(__xludf.DUMMYFUNCTION("""COMPUTED_VALUE"""),"")</f>
        <v/>
      </c>
      <c r="V113" t="str">
        <f ca="1">IFERROR(__xludf.DUMMYFUNCTION("""COMPUTED_VALUE"""),"")</f>
        <v/>
      </c>
      <c r="W113" t="str">
        <f ca="1">IFERROR(__xludf.DUMMYFUNCTION("""COMPUTED_VALUE"""),"R5")</f>
        <v>R5</v>
      </c>
      <c r="X113" t="str">
        <f ca="1">IFERROR(__xludf.DUMMYFUNCTION("""COMPUTED_VALUE"""),"Pricer")</f>
        <v>Pricer</v>
      </c>
      <c r="Y113" t="str">
        <f ca="1">IFERROR(__xludf.DUMMYFUNCTION("""COMPUTED_VALUE"""),"Mig_std")</f>
        <v>Mig_std</v>
      </c>
      <c r="Z113" t="str">
        <f ca="1">IFERROR(__xludf.DUMMYFUNCTION("""COMPUTED_VALUE"""),"")</f>
        <v/>
      </c>
      <c r="AA113" t="str">
        <f ca="1">IFERROR(__xludf.DUMMYFUNCTION("""COMPUTED_VALUE"""),"Pas de commande")</f>
        <v>Pas de commande</v>
      </c>
      <c r="AB113" s="8" t="str">
        <f ca="1">IFERROR(__xludf.DUMMYFUNCTION("""COMPUTED_VALUE"""),"")</f>
        <v/>
      </c>
      <c r="AC113" s="8" t="str">
        <f ca="1">IFERROR(__xludf.DUMMYFUNCTION("""COMPUTED_VALUE"""),"")</f>
        <v/>
      </c>
      <c r="AD113" s="11" t="str">
        <f ca="1">IFERROR(__xludf.DUMMYFUNCTION("""COMPUTED_VALUE"""),"")</f>
        <v/>
      </c>
      <c r="AE113" t="str">
        <f ca="1">IFERROR(__xludf.DUMMYFUNCTION("""COMPUTED_VALUE"""),"")</f>
        <v/>
      </c>
    </row>
    <row r="114" spans="1:31" ht="12.75" x14ac:dyDescent="0.2">
      <c r="A114">
        <f ca="1">IFERROR(__xludf.DUMMYFUNCTION("""COMPUTED_VALUE"""),25606)</f>
        <v>25606</v>
      </c>
      <c r="B114" t="str">
        <f ca="1">IFERROR(__xludf.DUMMYFUNCTION("""COMPUTED_VALUE"""),"BONSECOURS")</f>
        <v>BONSECOURS</v>
      </c>
      <c r="C114" t="str">
        <f ca="1">IFERROR(__xludf.DUMMYFUNCTION("""COMPUTED_VALUE"""),"Super U")</f>
        <v>Super U</v>
      </c>
      <c r="D114" t="str">
        <f ca="1">IFERROR(__xludf.DUMMYFUNCTION("""COMPUTED_VALUE"""),"Coop U Enseigne NordOuest")</f>
        <v>Coop U Enseigne NordOuest</v>
      </c>
      <c r="E114">
        <f ca="1">IFERROR(__xludf.DUMMYFUNCTION("""COMPUTED_VALUE"""),76240)</f>
        <v>76240</v>
      </c>
      <c r="F114" t="str">
        <f ca="1">IFERROR(__xludf.DUMMYFUNCTION("""COMPUTED_VALUE"""),"RUE ETIENNE ACHAVANNE")</f>
        <v>RUE ETIENNE ACHAVANNE</v>
      </c>
      <c r="G114" t="str">
        <f ca="1">IFERROR(__xludf.DUMMYFUNCTION("""COMPUTED_VALUE"""),"02.35.79.83.17")</f>
        <v>02.35.79.83.17</v>
      </c>
      <c r="H114" t="str">
        <f ca="1">IFERROR(__xludf.DUMMYFUNCTION("""COMPUTED_VALUE"""),"BARRE Stéphane")</f>
        <v>BARRE Stéphane</v>
      </c>
      <c r="I114" t="str">
        <f ca="1">IFERROR(__xludf.DUMMYFUNCTION("""COMPUTED_VALUE"""),"stephane.barre@systeme-u.fr")</f>
        <v>stephane.barre@systeme-u.fr</v>
      </c>
      <c r="J114" t="str">
        <f ca="1">IFERROR(__xludf.DUMMYFUNCTION("""COMPUTED_VALUE"""),"Mme Boulant")</f>
        <v>Mme Boulant</v>
      </c>
      <c r="K114" t="str">
        <f ca="1">IFERROR(__xludf.DUMMYFUNCTION("""COMPUTED_VALUE"""),"superu.bonsecours@systeme-u.fr,philippe.cappe@coop-cnp.coop, murielle.boulant@coop-cnp.coop")</f>
        <v>superu.bonsecours@systeme-u.fr,philippe.cappe@coop-cnp.coop, murielle.boulant@coop-cnp.coop</v>
      </c>
      <c r="L114" t="str">
        <f ca="1">IFERROR(__xludf.DUMMYFUNCTION("""COMPUTED_VALUE"""),"Standard")</f>
        <v>Standard</v>
      </c>
      <c r="M114" t="str">
        <f ca="1">IFERROR(__xludf.DUMMYFUNCTION("""COMPUTED_VALUE"""),"0. Non démarré")</f>
        <v>0. Non démarré</v>
      </c>
      <c r="N114" t="str">
        <f ca="1">IFERROR(__xludf.DUMMYFUNCTION("""COMPUTED_VALUE"""),"")</f>
        <v/>
      </c>
      <c r="O114" t="str">
        <f ca="1">IFERROR(__xludf.DUMMYFUNCTION("""COMPUTED_VALUE"""),"")</f>
        <v/>
      </c>
      <c r="P114" t="str">
        <f ca="1">IFERROR(__xludf.DUMMYFUNCTION("""COMPUTED_VALUE"""),"")</f>
        <v/>
      </c>
      <c r="Q114" s="5" t="str">
        <f ca="1">IFERROR(__xludf.DUMMYFUNCTION("""COMPUTED_VALUE"""),"")</f>
        <v/>
      </c>
      <c r="R114" s="6" t="str">
        <f ca="1">IFERROR(__xludf.DUMMYFUNCTION("""COMPUTED_VALUE"""),"")</f>
        <v/>
      </c>
      <c r="S114" t="str">
        <f ca="1">IFERROR(__xludf.DUMMYFUNCTION("""COMPUTED_VALUE"""),"")</f>
        <v/>
      </c>
      <c r="T114" t="str">
        <f ca="1">IFERROR(__xludf.DUMMYFUNCTION("""COMPUTED_VALUE"""),"")</f>
        <v/>
      </c>
      <c r="U114" t="str">
        <f ca="1">IFERROR(__xludf.DUMMYFUNCTION("""COMPUTED_VALUE"""),"")</f>
        <v/>
      </c>
      <c r="V114" t="str">
        <f ca="1">IFERROR(__xludf.DUMMYFUNCTION("""COMPUTED_VALUE"""),"")</f>
        <v/>
      </c>
      <c r="W114" t="str">
        <f ca="1">IFERROR(__xludf.DUMMYFUNCTION("""COMPUTED_VALUE"""),"R3")</f>
        <v>R3</v>
      </c>
      <c r="X114" t="str">
        <f ca="1">IFERROR(__xludf.DUMMYFUNCTION("""COMPUTED_VALUE"""),"Pricer &lt;8Go")</f>
        <v>Pricer &lt;8Go</v>
      </c>
      <c r="Y114" t="str">
        <f ca="1">IFERROR(__xludf.DUMMYFUNCTION("""COMPUTED_VALUE"""),"")</f>
        <v/>
      </c>
      <c r="Z114" t="str">
        <f ca="1">IFERROR(__xludf.DUMMYFUNCTION("""COMPUTED_VALUE"""),"")</f>
        <v/>
      </c>
      <c r="AA114" t="str">
        <f ca="1">IFERROR(__xludf.DUMMYFUNCTION("""COMPUTED_VALUE"""),"Pas de commande")</f>
        <v>Pas de commande</v>
      </c>
      <c r="AB114" s="8" t="str">
        <f ca="1">IFERROR(__xludf.DUMMYFUNCTION("""COMPUTED_VALUE"""),"")</f>
        <v/>
      </c>
      <c r="AC114" s="8" t="str">
        <f ca="1">IFERROR(__xludf.DUMMYFUNCTION("""COMPUTED_VALUE"""),"")</f>
        <v/>
      </c>
      <c r="AD114" s="11" t="str">
        <f ca="1">IFERROR(__xludf.DUMMYFUNCTION("""COMPUTED_VALUE"""),"")</f>
        <v/>
      </c>
      <c r="AE114" t="str">
        <f ca="1">IFERROR(__xludf.DUMMYFUNCTION("""COMPUTED_VALUE"""),"")</f>
        <v/>
      </c>
    </row>
    <row r="115" spans="1:31" ht="12.75" x14ac:dyDescent="0.2">
      <c r="A115">
        <f ca="1">IFERROR(__xludf.DUMMYFUNCTION("""COMPUTED_VALUE"""),60738)</f>
        <v>60738</v>
      </c>
      <c r="B115" t="str">
        <f ca="1">IFERROR(__xludf.DUMMYFUNCTION("""COMPUTED_VALUE"""),"BOOFZHEIM")</f>
        <v>BOOFZHEIM</v>
      </c>
      <c r="C115" t="str">
        <f ca="1">IFERROR(__xludf.DUMMYFUNCTION("""COMPUTED_VALUE"""),"Super U")</f>
        <v>Super U</v>
      </c>
      <c r="D115" t="str">
        <f ca="1">IFERROR(__xludf.DUMMYFUNCTION("""COMPUTED_VALUE"""),"Coop U Enseigne Est")</f>
        <v>Coop U Enseigne Est</v>
      </c>
      <c r="E115">
        <f ca="1">IFERROR(__xludf.DUMMYFUNCTION("""COMPUTED_VALUE"""),67860)</f>
        <v>67860</v>
      </c>
      <c r="F115" t="str">
        <f ca="1">IFERROR(__xludf.DUMMYFUNCTION("""COMPUTED_VALUE"""),"Route de Rhinau")</f>
        <v>Route de Rhinau</v>
      </c>
      <c r="G115" t="str">
        <f ca="1">IFERROR(__xludf.DUMMYFUNCTION("""COMPUTED_VALUE"""),"03.88.58.76.00")</f>
        <v>03.88.58.76.00</v>
      </c>
      <c r="H115" t="str">
        <f ca="1">IFERROR(__xludf.DUMMYFUNCTION("""COMPUTED_VALUE"""),"BACQUET Vincent")</f>
        <v>BACQUET Vincent</v>
      </c>
      <c r="I115" t="str">
        <f ca="1">IFERROR(__xludf.DUMMYFUNCTION("""COMPUTED_VALUE"""),"vincent.bacquet@systeme-u.fr")</f>
        <v>vincent.bacquet@systeme-u.fr</v>
      </c>
      <c r="J115" t="str">
        <f ca="1">IFERROR(__xludf.DUMMYFUNCTION("""COMPUTED_VALUE"""),"MEYER Alexandre")</f>
        <v>MEYER Alexandre</v>
      </c>
      <c r="K115" t="str">
        <f ca="1">IFERROR(__xludf.DUMMYFUNCTION("""COMPUTED_VALUE"""),"superu.eschau.services@systeme-u.fr")</f>
        <v>superu.eschau.services@systeme-u.fr</v>
      </c>
      <c r="L115" t="str">
        <f ca="1">IFERROR(__xludf.DUMMYFUNCTION("""COMPUTED_VALUE"""),"")</f>
        <v/>
      </c>
      <c r="M115" t="str">
        <f ca="1">IFERROR(__xludf.DUMMYFUNCTION("""COMPUTED_VALUE"""),"99.Hors Périmetre")</f>
        <v>99.Hors Périmetre</v>
      </c>
      <c r="N115" t="str">
        <f ca="1">IFERROR(__xludf.DUMMYFUNCTION("""COMPUTED_VALUE"""),"")</f>
        <v/>
      </c>
      <c r="O115" t="str">
        <f ca="1">IFERROR(__xludf.DUMMYFUNCTION("""COMPUTED_VALUE"""),"")</f>
        <v/>
      </c>
      <c r="P115" t="str">
        <f ca="1">IFERROR(__xludf.DUMMYFUNCTION("""COMPUTED_VALUE"""),"")</f>
        <v/>
      </c>
      <c r="Q115" s="5" t="str">
        <f ca="1">IFERROR(__xludf.DUMMYFUNCTION("""COMPUTED_VALUE"""),"")</f>
        <v/>
      </c>
      <c r="R115" s="6" t="str">
        <f ca="1">IFERROR(__xludf.DUMMYFUNCTION("""COMPUTED_VALUE"""),"")</f>
        <v/>
      </c>
      <c r="S115" t="str">
        <f ca="1">IFERROR(__xludf.DUMMYFUNCTION("""COMPUTED_VALUE"""),"")</f>
        <v/>
      </c>
      <c r="T115" t="str">
        <f ca="1">IFERROR(__xludf.DUMMYFUNCTION("""COMPUTED_VALUE"""),"")</f>
        <v/>
      </c>
      <c r="U115" t="str">
        <f ca="1">IFERROR(__xludf.DUMMYFUNCTION("""COMPUTED_VALUE"""),"")</f>
        <v/>
      </c>
      <c r="V115" t="str">
        <f ca="1">IFERROR(__xludf.DUMMYFUNCTION("""COMPUTED_VALUE"""),"")</f>
        <v/>
      </c>
      <c r="W115" t="str">
        <f ca="1">IFERROR(__xludf.DUMMYFUNCTION("""COMPUTED_VALUE"""),"")</f>
        <v/>
      </c>
      <c r="X115" t="str">
        <f ca="1">IFERROR(__xludf.DUMMYFUNCTION("""COMPUTED_VALUE"""),"")</f>
        <v/>
      </c>
      <c r="Y115" t="str">
        <f ca="1">IFERROR(__xludf.DUMMYFUNCTION("""COMPUTED_VALUE"""),"")</f>
        <v/>
      </c>
      <c r="Z115" t="str">
        <f ca="1">IFERROR(__xludf.DUMMYFUNCTION("""COMPUTED_VALUE"""),"")</f>
        <v/>
      </c>
      <c r="AA115" t="str">
        <f ca="1">IFERROR(__xludf.DUMMYFUNCTION("""COMPUTED_VALUE"""),"Pas de commande")</f>
        <v>Pas de commande</v>
      </c>
      <c r="AB115" s="8" t="str">
        <f ca="1">IFERROR(__xludf.DUMMYFUNCTION("""COMPUTED_VALUE"""),"")</f>
        <v/>
      </c>
      <c r="AC115" s="8" t="str">
        <f ca="1">IFERROR(__xludf.DUMMYFUNCTION("""COMPUTED_VALUE"""),"")</f>
        <v/>
      </c>
      <c r="AD115" s="11" t="str">
        <f ca="1">IFERROR(__xludf.DUMMYFUNCTION("""COMPUTED_VALUE"""),"")</f>
        <v/>
      </c>
      <c r="AE115" t="str">
        <f ca="1">IFERROR(__xludf.DUMMYFUNCTION("""COMPUTED_VALUE"""),"")</f>
        <v/>
      </c>
    </row>
    <row r="116" spans="1:31" ht="12.75" x14ac:dyDescent="0.2">
      <c r="A116">
        <f ca="1">IFERROR(__xludf.DUMMYFUNCTION("""COMPUTED_VALUE"""),95469)</f>
        <v>95469</v>
      </c>
      <c r="B116" t="str">
        <f ca="1">IFERROR(__xludf.DUMMYFUNCTION("""COMPUTED_VALUE"""),"BORDEAUX BELCIER")</f>
        <v>BORDEAUX BELCIER</v>
      </c>
      <c r="C116" t="str">
        <f ca="1">IFERROR(__xludf.DUMMYFUNCTION("""COMPUTED_VALUE"""),"U Express")</f>
        <v>U Express</v>
      </c>
      <c r="D116" t="str">
        <f ca="1">IFERROR(__xludf.DUMMYFUNCTION("""COMPUTED_VALUE"""),"Coop UPSO")</f>
        <v>Coop UPSO</v>
      </c>
      <c r="E116">
        <f ca="1">IFERROR(__xludf.DUMMYFUNCTION("""COMPUTED_VALUE"""),33800)</f>
        <v>33800</v>
      </c>
      <c r="F116" t="str">
        <f ca="1">IFERROR(__xludf.DUMMYFUNCTION("""COMPUTED_VALUE"""),"ALLEES EUGENE DELACROIX")</f>
        <v>ALLEES EUGENE DELACROIX</v>
      </c>
      <c r="G116" t="str">
        <f ca="1">IFERROR(__xludf.DUMMYFUNCTION("""COMPUTED_VALUE"""),"05.56.94.49.80")</f>
        <v>05.56.94.49.80</v>
      </c>
      <c r="H116" t="str">
        <f ca="1">IFERROR(__xludf.DUMMYFUNCTION("""COMPUTED_VALUE"""),"REGNIER SEBASTIEN")</f>
        <v>REGNIER SEBASTIEN</v>
      </c>
      <c r="I116" t="str">
        <f ca="1">IFERROR(__xludf.DUMMYFUNCTION("""COMPUTED_VALUE"""),"s.regnier@gmail.com")</f>
        <v>s.regnier@gmail.com</v>
      </c>
      <c r="J116" t="str">
        <f ca="1">IFERROR(__xludf.DUMMYFUNCTION("""COMPUTED_VALUE"""),"")</f>
        <v/>
      </c>
      <c r="K116" t="str">
        <f ca="1">IFERROR(__xludf.DUMMYFUNCTION("""COMPUTED_VALUE"""),"")</f>
        <v/>
      </c>
      <c r="L116" t="str">
        <f ca="1">IFERROR(__xludf.DUMMYFUNCTION("""COMPUTED_VALUE"""),"")</f>
        <v/>
      </c>
      <c r="M116" t="str">
        <f ca="1">IFERROR(__xludf.DUMMYFUNCTION("""COMPUTED_VALUE"""),"99.Hors Périmetre")</f>
        <v>99.Hors Périmetre</v>
      </c>
      <c r="N116" t="str">
        <f ca="1">IFERROR(__xludf.DUMMYFUNCTION("""COMPUTED_VALUE"""),"")</f>
        <v/>
      </c>
      <c r="O116" t="str">
        <f ca="1">IFERROR(__xludf.DUMMYFUNCTION("""COMPUTED_VALUE"""),"")</f>
        <v/>
      </c>
      <c r="P116" t="str">
        <f ca="1">IFERROR(__xludf.DUMMYFUNCTION("""COMPUTED_VALUE"""),"")</f>
        <v/>
      </c>
      <c r="Q116" s="5" t="str">
        <f ca="1">IFERROR(__xludf.DUMMYFUNCTION("""COMPUTED_VALUE"""),"")</f>
        <v/>
      </c>
      <c r="R116" s="6" t="str">
        <f ca="1">IFERROR(__xludf.DUMMYFUNCTION("""COMPUTED_VALUE"""),"")</f>
        <v/>
      </c>
      <c r="S116" t="str">
        <f ca="1">IFERROR(__xludf.DUMMYFUNCTION("""COMPUTED_VALUE"""),"")</f>
        <v/>
      </c>
      <c r="T116" t="str">
        <f ca="1">IFERROR(__xludf.DUMMYFUNCTION("""COMPUTED_VALUE"""),"")</f>
        <v/>
      </c>
      <c r="U116" t="str">
        <f ca="1">IFERROR(__xludf.DUMMYFUNCTION("""COMPUTED_VALUE"""),"")</f>
        <v/>
      </c>
      <c r="V116" t="str">
        <f ca="1">IFERROR(__xludf.DUMMYFUNCTION("""COMPUTED_VALUE"""),"")</f>
        <v/>
      </c>
      <c r="W116" t="str">
        <f ca="1">IFERROR(__xludf.DUMMYFUNCTION("""COMPUTED_VALUE"""),"R5")</f>
        <v>R5</v>
      </c>
      <c r="X116" t="str">
        <f ca="1">IFERROR(__xludf.DUMMYFUNCTION("""COMPUTED_VALUE"""),"Pricer")</f>
        <v>Pricer</v>
      </c>
      <c r="Y116" t="str">
        <f ca="1">IFERROR(__xludf.DUMMYFUNCTION("""COMPUTED_VALUE"""),"")</f>
        <v/>
      </c>
      <c r="Z116" t="str">
        <f ca="1">IFERROR(__xludf.DUMMYFUNCTION("""COMPUTED_VALUE"""),"")</f>
        <v/>
      </c>
      <c r="AA116" t="str">
        <f ca="1">IFERROR(__xludf.DUMMYFUNCTION("""COMPUTED_VALUE"""),"Pas de commande")</f>
        <v>Pas de commande</v>
      </c>
      <c r="AB116" s="8" t="str">
        <f ca="1">IFERROR(__xludf.DUMMYFUNCTION("""COMPUTED_VALUE"""),"")</f>
        <v/>
      </c>
      <c r="AC116" s="8" t="str">
        <f ca="1">IFERROR(__xludf.DUMMYFUNCTION("""COMPUTED_VALUE"""),"")</f>
        <v/>
      </c>
      <c r="AD116" s="11" t="str">
        <f ca="1">IFERROR(__xludf.DUMMYFUNCTION("""COMPUTED_VALUE"""),"")</f>
        <v/>
      </c>
      <c r="AE116" t="str">
        <f ca="1">IFERROR(__xludf.DUMMYFUNCTION("""COMPUTED_VALUE"""),"")</f>
        <v/>
      </c>
    </row>
    <row r="117" spans="1:31" ht="12.75" x14ac:dyDescent="0.2">
      <c r="A117">
        <f ca="1">IFERROR(__xludf.DUMMYFUNCTION("""COMPUTED_VALUE"""),95151)</f>
        <v>95151</v>
      </c>
      <c r="B117" t="str">
        <f ca="1">IFERROR(__xludf.DUMMYFUNCTION("""COMPUTED_VALUE"""),"BORDEAUX CAPUCINS")</f>
        <v>BORDEAUX CAPUCINS</v>
      </c>
      <c r="C117" t="str">
        <f ca="1">IFERROR(__xludf.DUMMYFUNCTION("""COMPUTED_VALUE"""),"U Express")</f>
        <v>U Express</v>
      </c>
      <c r="D117" t="str">
        <f ca="1">IFERROR(__xludf.DUMMYFUNCTION("""COMPUTED_VALUE"""),"Coop U Enseigne Sud")</f>
        <v>Coop U Enseigne Sud</v>
      </c>
      <c r="E117">
        <f ca="1">IFERROR(__xludf.DUMMYFUNCTION("""COMPUTED_VALUE"""),33000)</f>
        <v>33000</v>
      </c>
      <c r="F117" t="str">
        <f ca="1">IFERROR(__xludf.DUMMYFUNCTION("""COMPUTED_VALUE"""),"RUE JULES GUESDE")</f>
        <v>RUE JULES GUESDE</v>
      </c>
      <c r="G117" t="str">
        <f ca="1">IFERROR(__xludf.DUMMYFUNCTION("""COMPUTED_VALUE"""),"05.56.92.35.21")</f>
        <v>05.56.92.35.21</v>
      </c>
      <c r="H117" t="str">
        <f ca="1">IFERROR(__xludf.DUMMYFUNCTION("""COMPUTED_VALUE"""),"BOUQUET-NADAUD Thomas")</f>
        <v>BOUQUET-NADAUD Thomas</v>
      </c>
      <c r="I117" t="str">
        <f ca="1">IFERROR(__xludf.DUMMYFUNCTION("""COMPUTED_VALUE"""),"thomas.bouquet-nadaud@systeme-u.fr")</f>
        <v>thomas.bouquet-nadaud@systeme-u.fr</v>
      </c>
      <c r="J117" t="str">
        <f ca="1">IFERROR(__xludf.DUMMYFUNCTION("""COMPUTED_VALUE"""),"Madame Brieu")</f>
        <v>Madame Brieu</v>
      </c>
      <c r="K117" t="str">
        <f ca="1">IFERROR(__xludf.DUMMYFUNCTION("""COMPUTED_VALUE"""),"marcheu.bordeauxcapucins.direction@systeme-u.fr")</f>
        <v>marcheu.bordeauxcapucins.direction@systeme-u.fr</v>
      </c>
      <c r="L117" t="str">
        <f ca="1">IFERROR(__xludf.DUMMYFUNCTION("""COMPUTED_VALUE"""),"")</f>
        <v/>
      </c>
      <c r="M117" t="str">
        <f ca="1">IFERROR(__xludf.DUMMYFUNCTION("""COMPUTED_VALUE"""),"99.Hors Périmetre")</f>
        <v>99.Hors Périmetre</v>
      </c>
      <c r="N117" t="str">
        <f ca="1">IFERROR(__xludf.DUMMYFUNCTION("""COMPUTED_VALUE"""),"")</f>
        <v/>
      </c>
      <c r="O117" t="str">
        <f ca="1">IFERROR(__xludf.DUMMYFUNCTION("""COMPUTED_VALUE"""),"")</f>
        <v/>
      </c>
      <c r="P117" t="str">
        <f ca="1">IFERROR(__xludf.DUMMYFUNCTION("""COMPUTED_VALUE"""),"")</f>
        <v/>
      </c>
      <c r="Q117" s="5" t="str">
        <f ca="1">IFERROR(__xludf.DUMMYFUNCTION("""COMPUTED_VALUE"""),"")</f>
        <v/>
      </c>
      <c r="R117" s="6" t="str">
        <f ca="1">IFERROR(__xludf.DUMMYFUNCTION("""COMPUTED_VALUE"""),"")</f>
        <v/>
      </c>
      <c r="S117" t="str">
        <f ca="1">IFERROR(__xludf.DUMMYFUNCTION("""COMPUTED_VALUE"""),"")</f>
        <v/>
      </c>
      <c r="T117" t="str">
        <f ca="1">IFERROR(__xludf.DUMMYFUNCTION("""COMPUTED_VALUE"""),"")</f>
        <v/>
      </c>
      <c r="U117" t="str">
        <f ca="1">IFERROR(__xludf.DUMMYFUNCTION("""COMPUTED_VALUE"""),"")</f>
        <v/>
      </c>
      <c r="V117" t="str">
        <f ca="1">IFERROR(__xludf.DUMMYFUNCTION("""COMPUTED_VALUE"""),"")</f>
        <v/>
      </c>
      <c r="W117" t="str">
        <f ca="1">IFERROR(__xludf.DUMMYFUNCTION("""COMPUTED_VALUE"""),"")</f>
        <v/>
      </c>
      <c r="X117" t="str">
        <f ca="1">IFERROR(__xludf.DUMMYFUNCTION("""COMPUTED_VALUE"""),"")</f>
        <v/>
      </c>
      <c r="Y117" t="str">
        <f ca="1">IFERROR(__xludf.DUMMYFUNCTION("""COMPUTED_VALUE"""),"")</f>
        <v/>
      </c>
      <c r="Z117" t="str">
        <f ca="1">IFERROR(__xludf.DUMMYFUNCTION("""COMPUTED_VALUE"""),"")</f>
        <v/>
      </c>
      <c r="AA117" t="str">
        <f ca="1">IFERROR(__xludf.DUMMYFUNCTION("""COMPUTED_VALUE"""),"Pas de commande")</f>
        <v>Pas de commande</v>
      </c>
      <c r="AB117" s="8" t="str">
        <f ca="1">IFERROR(__xludf.DUMMYFUNCTION("""COMPUTED_VALUE"""),"")</f>
        <v/>
      </c>
      <c r="AC117" s="8" t="str">
        <f ca="1">IFERROR(__xludf.DUMMYFUNCTION("""COMPUTED_VALUE"""),"")</f>
        <v/>
      </c>
      <c r="AD117" s="11" t="str">
        <f ca="1">IFERROR(__xludf.DUMMYFUNCTION("""COMPUTED_VALUE"""),"")</f>
        <v/>
      </c>
      <c r="AE117" t="str">
        <f ca="1">IFERROR(__xludf.DUMMYFUNCTION("""COMPUTED_VALUE"""),"")</f>
        <v/>
      </c>
    </row>
    <row r="118" spans="1:31" ht="12.75" x14ac:dyDescent="0.2">
      <c r="A118">
        <f ca="1">IFERROR(__xludf.DUMMYFUNCTION("""COMPUTED_VALUE"""),95461)</f>
        <v>95461</v>
      </c>
      <c r="B118" t="str">
        <f ca="1">IFERROR(__xludf.DUMMYFUNCTION("""COMPUTED_VALUE"""),"BORDEAUX STE CATHERINE")</f>
        <v>BORDEAUX STE CATHERINE</v>
      </c>
      <c r="C118" t="str">
        <f ca="1">IFERROR(__xludf.DUMMYFUNCTION("""COMPUTED_VALUE"""),"U Express")</f>
        <v>U Express</v>
      </c>
      <c r="D118" t="str">
        <f ca="1">IFERROR(__xludf.DUMMYFUNCTION("""COMPUTED_VALUE"""),"Coop UPSO")</f>
        <v>Coop UPSO</v>
      </c>
      <c r="E118">
        <f ca="1">IFERROR(__xludf.DUMMYFUNCTION("""COMPUTED_VALUE"""),33000)</f>
        <v>33000</v>
      </c>
      <c r="F118" t="str">
        <f ca="1">IFERROR(__xludf.DUMMYFUNCTION("""COMPUTED_VALUE"""),"3 RUE RAVEZ")</f>
        <v>3 RUE RAVEZ</v>
      </c>
      <c r="G118" t="str">
        <f ca="1">IFERROR(__xludf.DUMMYFUNCTION("""COMPUTED_VALUE"""),"05.57.10.45.13")</f>
        <v>05.57.10.45.13</v>
      </c>
      <c r="H118" t="str">
        <f ca="1">IFERROR(__xludf.DUMMYFUNCTION("""COMPUTED_VALUE"""),"BOUQUET NADAUD Thomas")</f>
        <v>BOUQUET NADAUD Thomas</v>
      </c>
      <c r="I118" t="str">
        <f ca="1">IFERROR(__xludf.DUMMYFUNCTION("""COMPUTED_VALUE"""),"thomas.bouquet-nadaud@systeme-u.fr")</f>
        <v>thomas.bouquet-nadaud@systeme-u.fr</v>
      </c>
      <c r="J118" t="str">
        <f ca="1">IFERROR(__xludf.DUMMYFUNCTION("""COMPUTED_VALUE"""),"Mme PELARD")</f>
        <v>Mme PELARD</v>
      </c>
      <c r="K118" t="str">
        <f ca="1">IFERROR(__xludf.DUMMYFUNCTION("""COMPUTED_VALUE"""),"uexpress.bordeauxsaintecatherine@systeme-u.fr")</f>
        <v>uexpress.bordeauxsaintecatherine@systeme-u.fr</v>
      </c>
      <c r="L118" t="str">
        <f ca="1">IFERROR(__xludf.DUMMYFUNCTION("""COMPUTED_VALUE"""),"")</f>
        <v/>
      </c>
      <c r="M118" t="str">
        <f ca="1">IFERROR(__xludf.DUMMYFUNCTION("""COMPUTED_VALUE"""),"99.Hors Périmetre")</f>
        <v>99.Hors Périmetre</v>
      </c>
      <c r="N118" t="str">
        <f ca="1">IFERROR(__xludf.DUMMYFUNCTION("""COMPUTED_VALUE"""),"")</f>
        <v/>
      </c>
      <c r="O118" t="str">
        <f ca="1">IFERROR(__xludf.DUMMYFUNCTION("""COMPUTED_VALUE"""),"")</f>
        <v/>
      </c>
      <c r="P118" t="str">
        <f ca="1">IFERROR(__xludf.DUMMYFUNCTION("""COMPUTED_VALUE"""),"")</f>
        <v/>
      </c>
      <c r="Q118" s="5" t="str">
        <f ca="1">IFERROR(__xludf.DUMMYFUNCTION("""COMPUTED_VALUE"""),"")</f>
        <v/>
      </c>
      <c r="R118" s="6" t="str">
        <f ca="1">IFERROR(__xludf.DUMMYFUNCTION("""COMPUTED_VALUE"""),"")</f>
        <v/>
      </c>
      <c r="S118" t="str">
        <f ca="1">IFERROR(__xludf.DUMMYFUNCTION("""COMPUTED_VALUE"""),"")</f>
        <v/>
      </c>
      <c r="T118" t="str">
        <f ca="1">IFERROR(__xludf.DUMMYFUNCTION("""COMPUTED_VALUE"""),"")</f>
        <v/>
      </c>
      <c r="U118" t="str">
        <f ca="1">IFERROR(__xludf.DUMMYFUNCTION("""COMPUTED_VALUE"""),"")</f>
        <v/>
      </c>
      <c r="V118" t="str">
        <f ca="1">IFERROR(__xludf.DUMMYFUNCTION("""COMPUTED_VALUE"""),"")</f>
        <v/>
      </c>
      <c r="W118" t="str">
        <f ca="1">IFERROR(__xludf.DUMMYFUNCTION("""COMPUTED_VALUE"""),"")</f>
        <v/>
      </c>
      <c r="X118" t="str">
        <f ca="1">IFERROR(__xludf.DUMMYFUNCTION("""COMPUTED_VALUE"""),"")</f>
        <v/>
      </c>
      <c r="Y118" t="str">
        <f ca="1">IFERROR(__xludf.DUMMYFUNCTION("""COMPUTED_VALUE"""),"")</f>
        <v/>
      </c>
      <c r="Z118" t="str">
        <f ca="1">IFERROR(__xludf.DUMMYFUNCTION("""COMPUTED_VALUE"""),"")</f>
        <v/>
      </c>
      <c r="AA118" t="str">
        <f ca="1">IFERROR(__xludf.DUMMYFUNCTION("""COMPUTED_VALUE"""),"Pas de commande")</f>
        <v>Pas de commande</v>
      </c>
      <c r="AB118" s="8" t="str">
        <f ca="1">IFERROR(__xludf.DUMMYFUNCTION("""COMPUTED_VALUE"""),"")</f>
        <v/>
      </c>
      <c r="AC118" s="8" t="str">
        <f ca="1">IFERROR(__xludf.DUMMYFUNCTION("""COMPUTED_VALUE"""),"")</f>
        <v/>
      </c>
      <c r="AD118" s="11" t="str">
        <f ca="1">IFERROR(__xludf.DUMMYFUNCTION("""COMPUTED_VALUE"""),"")</f>
        <v/>
      </c>
      <c r="AE118" t="str">
        <f ca="1">IFERROR(__xludf.DUMMYFUNCTION("""COMPUTED_VALUE"""),"")</f>
        <v/>
      </c>
    </row>
    <row r="119" spans="1:31" ht="12.75" x14ac:dyDescent="0.2">
      <c r="A119">
        <f ca="1">IFERROR(__xludf.DUMMYFUNCTION("""COMPUTED_VALUE"""),90626)</f>
        <v>90626</v>
      </c>
      <c r="B119" t="str">
        <f ca="1">IFERROR(__xludf.DUMMYFUNCTION("""COMPUTED_VALUE"""),"BORGO")</f>
        <v>BORGO</v>
      </c>
      <c r="C119" t="str">
        <f ca="1">IFERROR(__xludf.DUMMYFUNCTION("""COMPUTED_VALUE"""),"U Express")</f>
        <v>U Express</v>
      </c>
      <c r="D119" t="str">
        <f ca="1">IFERROR(__xludf.DUMMYFUNCTION("""COMPUTED_VALUE"""),"Coop MISTRAL")</f>
        <v>Coop MISTRAL</v>
      </c>
      <c r="E119">
        <f ca="1">IFERROR(__xludf.DUMMYFUNCTION("""COMPUTED_VALUE"""),20290)</f>
        <v>20290</v>
      </c>
      <c r="F119" t="str">
        <f ca="1">IFERROR(__xludf.DUMMYFUNCTION("""COMPUTED_VALUE"""),"C/C MONTE STELLO")</f>
        <v>C/C MONTE STELLO</v>
      </c>
      <c r="G119" t="str">
        <f ca="1">IFERROR(__xludf.DUMMYFUNCTION("""COMPUTED_VALUE"""),"04.95.36.22.12")</f>
        <v>04.95.36.22.12</v>
      </c>
      <c r="H119" t="str">
        <f ca="1">IFERROR(__xludf.DUMMYFUNCTION("""COMPUTED_VALUE"""),"ANTONY Romain")</f>
        <v>ANTONY Romain</v>
      </c>
      <c r="I119" t="str">
        <f ca="1">IFERROR(__xludf.DUMMYFUNCTION("""COMPUTED_VALUE"""),"")</f>
        <v/>
      </c>
      <c r="J119" t="str">
        <f ca="1">IFERROR(__xludf.DUMMYFUNCTION("""COMPUTED_VALUE"""),"")</f>
        <v/>
      </c>
      <c r="K119" t="str">
        <f ca="1">IFERROR(__xludf.DUMMYFUNCTION("""COMPUTED_VALUE"""),"delphine.damian@lemistral.fr,helene.mina@lemistral.fr")</f>
        <v>delphine.damian@lemistral.fr,helene.mina@lemistral.fr</v>
      </c>
      <c r="L119" t="str">
        <f ca="1">IFERROR(__xludf.DUMMYFUNCTION("""COMPUTED_VALUE"""),"")</f>
        <v/>
      </c>
      <c r="M119" t="str">
        <f ca="1">IFERROR(__xludf.DUMMYFUNCTION("""COMPUTED_VALUE"""),"99.Hors Périmetre")</f>
        <v>99.Hors Périmetre</v>
      </c>
      <c r="N119" t="str">
        <f ca="1">IFERROR(__xludf.DUMMYFUNCTION("""COMPUTED_VALUE"""),"")</f>
        <v/>
      </c>
      <c r="O119" t="str">
        <f ca="1">IFERROR(__xludf.DUMMYFUNCTION("""COMPUTED_VALUE"""),"")</f>
        <v/>
      </c>
      <c r="P119" t="str">
        <f ca="1">IFERROR(__xludf.DUMMYFUNCTION("""COMPUTED_VALUE"""),"")</f>
        <v/>
      </c>
      <c r="Q119" s="5" t="str">
        <f ca="1">IFERROR(__xludf.DUMMYFUNCTION("""COMPUTED_VALUE"""),"")</f>
        <v/>
      </c>
      <c r="R119" s="6" t="str">
        <f ca="1">IFERROR(__xludf.DUMMYFUNCTION("""COMPUTED_VALUE"""),"")</f>
        <v/>
      </c>
      <c r="S119" t="str">
        <f ca="1">IFERROR(__xludf.DUMMYFUNCTION("""COMPUTED_VALUE"""),"")</f>
        <v/>
      </c>
      <c r="T119" t="str">
        <f ca="1">IFERROR(__xludf.DUMMYFUNCTION("""COMPUTED_VALUE"""),"")</f>
        <v/>
      </c>
      <c r="U119" t="str">
        <f ca="1">IFERROR(__xludf.DUMMYFUNCTION("""COMPUTED_VALUE"""),"")</f>
        <v/>
      </c>
      <c r="V119" t="str">
        <f ca="1">IFERROR(__xludf.DUMMYFUNCTION("""COMPUTED_VALUE"""),"")</f>
        <v/>
      </c>
      <c r="W119" t="str">
        <f ca="1">IFERROR(__xludf.DUMMYFUNCTION("""COMPUTED_VALUE"""),"")</f>
        <v/>
      </c>
      <c r="X119" t="str">
        <f ca="1">IFERROR(__xludf.DUMMYFUNCTION("""COMPUTED_VALUE"""),"")</f>
        <v/>
      </c>
      <c r="Y119" t="str">
        <f ca="1">IFERROR(__xludf.DUMMYFUNCTION("""COMPUTED_VALUE"""),"")</f>
        <v/>
      </c>
      <c r="Z119" t="str">
        <f ca="1">IFERROR(__xludf.DUMMYFUNCTION("""COMPUTED_VALUE"""),"")</f>
        <v/>
      </c>
      <c r="AA119" t="str">
        <f ca="1">IFERROR(__xludf.DUMMYFUNCTION("""COMPUTED_VALUE"""),"Pas de commande")</f>
        <v>Pas de commande</v>
      </c>
      <c r="AB119" s="8" t="str">
        <f ca="1">IFERROR(__xludf.DUMMYFUNCTION("""COMPUTED_VALUE"""),"")</f>
        <v/>
      </c>
      <c r="AC119" s="8" t="str">
        <f ca="1">IFERROR(__xludf.DUMMYFUNCTION("""COMPUTED_VALUE"""),"")</f>
        <v/>
      </c>
      <c r="AD119" s="11" t="str">
        <f ca="1">IFERROR(__xludf.DUMMYFUNCTION("""COMPUTED_VALUE"""),"")</f>
        <v/>
      </c>
      <c r="AE119" t="str">
        <f ca="1">IFERROR(__xludf.DUMMYFUNCTION("""COMPUTED_VALUE"""),"")</f>
        <v/>
      </c>
    </row>
    <row r="120" spans="1:31" ht="12.75" x14ac:dyDescent="0.2">
      <c r="A120">
        <f ca="1">IFERROR(__xludf.DUMMYFUNCTION("""COMPUTED_VALUE"""),33174)</f>
        <v>33174</v>
      </c>
      <c r="B120" t="str">
        <f ca="1">IFERROR(__xludf.DUMMYFUNCTION("""COMPUTED_VALUE"""),"BOUAYE")</f>
        <v>BOUAYE</v>
      </c>
      <c r="C120" t="str">
        <f ca="1">IFERROR(__xludf.DUMMYFUNCTION("""COMPUTED_VALUE"""),"Super U")</f>
        <v>Super U</v>
      </c>
      <c r="D120" t="str">
        <f ca="1">IFERROR(__xludf.DUMMYFUNCTION("""COMPUTED_VALUE"""),"Coop U Enseigne Ouest")</f>
        <v>Coop U Enseigne Ouest</v>
      </c>
      <c r="E120">
        <f ca="1">IFERROR(__xludf.DUMMYFUNCTION("""COMPUTED_VALUE"""),44830)</f>
        <v>44830</v>
      </c>
      <c r="F120" t="str">
        <f ca="1">IFERROR(__xludf.DUMMYFUNCTION("""COMPUTED_VALUE"""),"53, RUE DE NANTES")</f>
        <v>53, RUE DE NANTES</v>
      </c>
      <c r="G120" t="str">
        <f ca="1">IFERROR(__xludf.DUMMYFUNCTION("""COMPUTED_VALUE"""),"02.40.65.40.62")</f>
        <v>02.40.65.40.62</v>
      </c>
      <c r="H120" t="str">
        <f ca="1">IFERROR(__xludf.DUMMYFUNCTION("""COMPUTED_VALUE"""),"DANIC RPT SARL HOLDING MTS Catherine")</f>
        <v>DANIC RPT SARL HOLDING MTS Catherine</v>
      </c>
      <c r="I120" t="str">
        <f ca="1">IFERROR(__xludf.DUMMYFUNCTION("""COMPUTED_VALUE"""),"catherine.danic@systeme-u.fr")</f>
        <v>catherine.danic@systeme-u.fr</v>
      </c>
      <c r="J120" t="str">
        <f ca="1">IFERROR(__xludf.DUMMYFUNCTION("""COMPUTED_VALUE"""),"BIGOT Stéphane")</f>
        <v>BIGOT Stéphane</v>
      </c>
      <c r="K120" t="str">
        <f ca="1">IFERROR(__xludf.DUMMYFUNCTION("""COMPUTED_VALUE"""),"superu.bouaye.gescom@systeme-u.fr")</f>
        <v>superu.bouaye.gescom@systeme-u.fr</v>
      </c>
      <c r="L120" t="str">
        <f ca="1">IFERROR(__xludf.DUMMYFUNCTION("""COMPUTED_VALUE"""),"")</f>
        <v/>
      </c>
      <c r="M120" t="str">
        <f ca="1">IFERROR(__xludf.DUMMYFUNCTION("""COMPUTED_VALUE"""),"99.Hors Périmetre")</f>
        <v>99.Hors Périmetre</v>
      </c>
      <c r="N120" t="str">
        <f ca="1">IFERROR(__xludf.DUMMYFUNCTION("""COMPUTED_VALUE"""),"")</f>
        <v/>
      </c>
      <c r="O120" t="str">
        <f ca="1">IFERROR(__xludf.DUMMYFUNCTION("""COMPUTED_VALUE"""),"")</f>
        <v/>
      </c>
      <c r="P120" t="str">
        <f ca="1">IFERROR(__xludf.DUMMYFUNCTION("""COMPUTED_VALUE"""),"")</f>
        <v/>
      </c>
      <c r="Q120" s="5" t="str">
        <f ca="1">IFERROR(__xludf.DUMMYFUNCTION("""COMPUTED_VALUE"""),"")</f>
        <v/>
      </c>
      <c r="R120" s="6" t="str">
        <f ca="1">IFERROR(__xludf.DUMMYFUNCTION("""COMPUTED_VALUE"""),"")</f>
        <v/>
      </c>
      <c r="S120" t="str">
        <f ca="1">IFERROR(__xludf.DUMMYFUNCTION("""COMPUTED_VALUE"""),"")</f>
        <v/>
      </c>
      <c r="T120" t="str">
        <f ca="1">IFERROR(__xludf.DUMMYFUNCTION("""COMPUTED_VALUE"""),"")</f>
        <v/>
      </c>
      <c r="U120" t="str">
        <f ca="1">IFERROR(__xludf.DUMMYFUNCTION("""COMPUTED_VALUE"""),"")</f>
        <v/>
      </c>
      <c r="V120" t="str">
        <f ca="1">IFERROR(__xludf.DUMMYFUNCTION("""COMPUTED_VALUE"""),"")</f>
        <v/>
      </c>
      <c r="W120" t="str">
        <f ca="1">IFERROR(__xludf.DUMMYFUNCTION("""COMPUTED_VALUE"""),"")</f>
        <v/>
      </c>
      <c r="X120" t="str">
        <f ca="1">IFERROR(__xludf.DUMMYFUNCTION("""COMPUTED_VALUE"""),"")</f>
        <v/>
      </c>
      <c r="Y120" t="str">
        <f ca="1">IFERROR(__xludf.DUMMYFUNCTION("""COMPUTED_VALUE"""),"")</f>
        <v/>
      </c>
      <c r="Z120" t="str">
        <f ca="1">IFERROR(__xludf.DUMMYFUNCTION("""COMPUTED_VALUE"""),"")</f>
        <v/>
      </c>
      <c r="AA120" t="str">
        <f ca="1">IFERROR(__xludf.DUMMYFUNCTION("""COMPUTED_VALUE"""),"Pas de commande")</f>
        <v>Pas de commande</v>
      </c>
      <c r="AB120" s="8" t="str">
        <f ca="1">IFERROR(__xludf.DUMMYFUNCTION("""COMPUTED_VALUE"""),"")</f>
        <v/>
      </c>
      <c r="AC120" s="8" t="str">
        <f ca="1">IFERROR(__xludf.DUMMYFUNCTION("""COMPUTED_VALUE"""),"")</f>
        <v/>
      </c>
      <c r="AD120" s="11" t="str">
        <f ca="1">IFERROR(__xludf.DUMMYFUNCTION("""COMPUTED_VALUE"""),"")</f>
        <v/>
      </c>
      <c r="AE120" t="str">
        <f ca="1">IFERROR(__xludf.DUMMYFUNCTION("""COMPUTED_VALUE"""),"")</f>
        <v/>
      </c>
    </row>
    <row r="121" spans="1:31" ht="12.75" x14ac:dyDescent="0.2">
      <c r="A121">
        <f ca="1">IFERROR(__xludf.DUMMYFUNCTION("""COMPUTED_VALUE"""),90543)</f>
        <v>90543</v>
      </c>
      <c r="B121" t="str">
        <f ca="1">IFERROR(__xludf.DUMMYFUNCTION("""COMPUTED_VALUE"""),"BOUC BEL AIR")</f>
        <v>BOUC BEL AIR</v>
      </c>
      <c r="C121" t="str">
        <f ca="1">IFERROR(__xludf.DUMMYFUNCTION("""COMPUTED_VALUE"""),"Super U")</f>
        <v>Super U</v>
      </c>
      <c r="D121" t="str">
        <f ca="1">IFERROR(__xludf.DUMMYFUNCTION("""COMPUTED_VALUE"""),"Coop U Enseigne Sud")</f>
        <v>Coop U Enseigne Sud</v>
      </c>
      <c r="E121">
        <f ca="1">IFERROR(__xludf.DUMMYFUNCTION("""COMPUTED_VALUE"""),13320)</f>
        <v>13320</v>
      </c>
      <c r="F121" t="str">
        <f ca="1">IFERROR(__xludf.DUMMYFUNCTION("""COMPUTED_VALUE"""),"687 AVENUE VIOLESI RN 8N")</f>
        <v>687 AVENUE VIOLESI RN 8N</v>
      </c>
      <c r="G121" t="str">
        <f ca="1">IFERROR(__xludf.DUMMYFUNCTION("""COMPUTED_VALUE"""),"04.42.60.72.60")</f>
        <v>04.42.60.72.60</v>
      </c>
      <c r="H121" t="str">
        <f ca="1">IFERROR(__xludf.DUMMYFUNCTION("""COMPUTED_VALUE"""),"BAUDE Philippe")</f>
        <v>BAUDE Philippe</v>
      </c>
      <c r="I121" t="str">
        <f ca="1">IFERROR(__xludf.DUMMYFUNCTION("""COMPUTED_VALUE"""),"philippe.baude@systeme-u.fr")</f>
        <v>philippe.baude@systeme-u.fr</v>
      </c>
      <c r="J121" t="str">
        <f ca="1">IFERROR(__xludf.DUMMYFUNCTION("""COMPUTED_VALUE"""),"Frédéric Di Giacomo")</f>
        <v>Frédéric Di Giacomo</v>
      </c>
      <c r="K121" t="str">
        <f ca="1">IFERROR(__xludf.DUMMYFUNCTION("""COMPUTED_VALUE"""),"superu.boucbelair.direction@systeme-u.fr")</f>
        <v>superu.boucbelair.direction@systeme-u.fr</v>
      </c>
      <c r="L121" t="str">
        <f ca="1">IFERROR(__xludf.DUMMYFUNCTION("""COMPUTED_VALUE"""),"")</f>
        <v/>
      </c>
      <c r="M121" t="str">
        <f ca="1">IFERROR(__xludf.DUMMYFUNCTION("""COMPUTED_VALUE"""),"")</f>
        <v/>
      </c>
      <c r="N121" t="str">
        <f ca="1">IFERROR(__xludf.DUMMYFUNCTION("""COMPUTED_VALUE"""),"")</f>
        <v/>
      </c>
      <c r="O121" t="str">
        <f ca="1">IFERROR(__xludf.DUMMYFUNCTION("""COMPUTED_VALUE"""),"")</f>
        <v/>
      </c>
      <c r="P121" t="str">
        <f ca="1">IFERROR(__xludf.DUMMYFUNCTION("""COMPUTED_VALUE"""),"")</f>
        <v/>
      </c>
      <c r="Q121" s="5" t="str">
        <f ca="1">IFERROR(__xludf.DUMMYFUNCTION("""COMPUTED_VALUE"""),"")</f>
        <v/>
      </c>
      <c r="R121" s="6" t="str">
        <f ca="1">IFERROR(__xludf.DUMMYFUNCTION("""COMPUTED_VALUE"""),"")</f>
        <v/>
      </c>
      <c r="S121" t="str">
        <f ca="1">IFERROR(__xludf.DUMMYFUNCTION("""COMPUTED_VALUE"""),"")</f>
        <v/>
      </c>
      <c r="T121" t="str">
        <f ca="1">IFERROR(__xludf.DUMMYFUNCTION("""COMPUTED_VALUE"""),"")</f>
        <v/>
      </c>
      <c r="U121" t="str">
        <f ca="1">IFERROR(__xludf.DUMMYFUNCTION("""COMPUTED_VALUE"""),"")</f>
        <v/>
      </c>
      <c r="V121" t="str">
        <f ca="1">IFERROR(__xludf.DUMMYFUNCTION("""COMPUTED_VALUE"""),"")</f>
        <v/>
      </c>
      <c r="W121" t="str">
        <f ca="1">IFERROR(__xludf.DUMMYFUNCTION("""COMPUTED_VALUE"""),"")</f>
        <v/>
      </c>
      <c r="X121" t="str">
        <f ca="1">IFERROR(__xludf.DUMMYFUNCTION("""COMPUTED_VALUE"""),"")</f>
        <v/>
      </c>
      <c r="Y121" t="str">
        <f ca="1">IFERROR(__xludf.DUMMYFUNCTION("""COMPUTED_VALUE"""),"")</f>
        <v/>
      </c>
      <c r="Z121" t="str">
        <f ca="1">IFERROR(__xludf.DUMMYFUNCTION("""COMPUTED_VALUE"""),"")</f>
        <v/>
      </c>
      <c r="AA121" t="str">
        <f ca="1">IFERROR(__xludf.DUMMYFUNCTION("""COMPUTED_VALUE"""),"Pas de commande")</f>
        <v>Pas de commande</v>
      </c>
      <c r="AB121" s="8" t="str">
        <f ca="1">IFERROR(__xludf.DUMMYFUNCTION("""COMPUTED_VALUE"""),"")</f>
        <v/>
      </c>
      <c r="AC121" s="8" t="str">
        <f ca="1">IFERROR(__xludf.DUMMYFUNCTION("""COMPUTED_VALUE"""),"")</f>
        <v/>
      </c>
      <c r="AD121" s="11" t="str">
        <f ca="1">IFERROR(__xludf.DUMMYFUNCTION("""COMPUTED_VALUE"""),"")</f>
        <v/>
      </c>
      <c r="AE121" t="str">
        <f ca="1">IFERROR(__xludf.DUMMYFUNCTION("""COMPUTED_VALUE"""),"")</f>
        <v/>
      </c>
    </row>
    <row r="122" spans="1:31" ht="12.75" x14ac:dyDescent="0.2">
      <c r="A122">
        <f ca="1">IFERROR(__xludf.DUMMYFUNCTION("""COMPUTED_VALUE"""),90618)</f>
        <v>90618</v>
      </c>
      <c r="B122" t="str">
        <f ca="1">IFERROR(__xludf.DUMMYFUNCTION("""COMPUTED_VALUE"""),"BOUC BEL AIR")</f>
        <v>BOUC BEL AIR</v>
      </c>
      <c r="C122" t="str">
        <f ca="1">IFERROR(__xludf.DUMMYFUNCTION("""COMPUTED_VALUE"""),"U Express")</f>
        <v>U Express</v>
      </c>
      <c r="D122" t="str">
        <f ca="1">IFERROR(__xludf.DUMMYFUNCTION("""COMPUTED_VALUE"""),"Coop MISTRAL")</f>
        <v>Coop MISTRAL</v>
      </c>
      <c r="E122">
        <f ca="1">IFERROR(__xludf.DUMMYFUNCTION("""COMPUTED_VALUE"""),13320)</f>
        <v>13320</v>
      </c>
      <c r="F122" t="str">
        <f ca="1">IFERROR(__xludf.DUMMYFUNCTION("""COMPUTED_VALUE"""),"C/C LA GRATIANE")</f>
        <v>C/C LA GRATIANE</v>
      </c>
      <c r="G122" t="str">
        <f ca="1">IFERROR(__xludf.DUMMYFUNCTION("""COMPUTED_VALUE"""),"04.42.22.36.10")</f>
        <v>04.42.22.36.10</v>
      </c>
      <c r="H122" t="str">
        <f ca="1">IFERROR(__xludf.DUMMYFUNCTION("""COMPUTED_VALUE"""),"MACCARIO Jean-Marc")</f>
        <v>MACCARIO Jean-Marc</v>
      </c>
      <c r="I122" t="str">
        <f ca="1">IFERROR(__xludf.DUMMYFUNCTION("""COMPUTED_VALUE"""),"")</f>
        <v/>
      </c>
      <c r="J122" t="str">
        <f ca="1">IFERROR(__xludf.DUMMYFUNCTION("""COMPUTED_VALUE"""),"Thomas DIAVORINI")</f>
        <v>Thomas DIAVORINI</v>
      </c>
      <c r="K122" t="str">
        <f ca="1">IFERROR(__xludf.DUMMYFUNCTION("""COMPUTED_VALUE"""),"delphine.damian@lemistral.fr,helene.mina@lemistral.fr,uexpress.boucbelair@mistral-u.fr")</f>
        <v>delphine.damian@lemistral.fr,helene.mina@lemistral.fr,uexpress.boucbelair@mistral-u.fr</v>
      </c>
      <c r="L122" t="str">
        <f ca="1">IFERROR(__xludf.DUMMYFUNCTION("""COMPUTED_VALUE"""),"")</f>
        <v/>
      </c>
      <c r="M122" t="str">
        <f ca="1">IFERROR(__xludf.DUMMYFUNCTION("""COMPUTED_VALUE"""),"99.Hors Périmetre")</f>
        <v>99.Hors Périmetre</v>
      </c>
      <c r="N122" t="str">
        <f ca="1">IFERROR(__xludf.DUMMYFUNCTION("""COMPUTED_VALUE"""),"")</f>
        <v/>
      </c>
      <c r="O122" t="str">
        <f ca="1">IFERROR(__xludf.DUMMYFUNCTION("""COMPUTED_VALUE"""),"")</f>
        <v/>
      </c>
      <c r="P122" t="str">
        <f ca="1">IFERROR(__xludf.DUMMYFUNCTION("""COMPUTED_VALUE"""),"")</f>
        <v/>
      </c>
      <c r="Q122" s="5" t="str">
        <f ca="1">IFERROR(__xludf.DUMMYFUNCTION("""COMPUTED_VALUE"""),"")</f>
        <v/>
      </c>
      <c r="R122" s="6" t="str">
        <f ca="1">IFERROR(__xludf.DUMMYFUNCTION("""COMPUTED_VALUE"""),"")</f>
        <v/>
      </c>
      <c r="S122" t="str">
        <f ca="1">IFERROR(__xludf.DUMMYFUNCTION("""COMPUTED_VALUE"""),"")</f>
        <v/>
      </c>
      <c r="T122" t="str">
        <f ca="1">IFERROR(__xludf.DUMMYFUNCTION("""COMPUTED_VALUE"""),"")</f>
        <v/>
      </c>
      <c r="U122" t="str">
        <f ca="1">IFERROR(__xludf.DUMMYFUNCTION("""COMPUTED_VALUE"""),"")</f>
        <v/>
      </c>
      <c r="V122" t="str">
        <f ca="1">IFERROR(__xludf.DUMMYFUNCTION("""COMPUTED_VALUE"""),"")</f>
        <v/>
      </c>
      <c r="W122" t="str">
        <f ca="1">IFERROR(__xludf.DUMMYFUNCTION("""COMPUTED_VALUE"""),"R5")</f>
        <v>R5</v>
      </c>
      <c r="X122" t="str">
        <f ca="1">IFERROR(__xludf.DUMMYFUNCTION("""COMPUTED_VALUE"""),"Pricer")</f>
        <v>Pricer</v>
      </c>
      <c r="Y122" t="str">
        <f ca="1">IFERROR(__xludf.DUMMYFUNCTION("""COMPUTED_VALUE"""),"")</f>
        <v/>
      </c>
      <c r="Z122" t="str">
        <f ca="1">IFERROR(__xludf.DUMMYFUNCTION("""COMPUTED_VALUE"""),"")</f>
        <v/>
      </c>
      <c r="AA122" t="str">
        <f ca="1">IFERROR(__xludf.DUMMYFUNCTION("""COMPUTED_VALUE"""),"Pas de commande")</f>
        <v>Pas de commande</v>
      </c>
      <c r="AB122" s="8" t="str">
        <f ca="1">IFERROR(__xludf.DUMMYFUNCTION("""COMPUTED_VALUE"""),"")</f>
        <v/>
      </c>
      <c r="AC122" s="8" t="str">
        <f ca="1">IFERROR(__xludf.DUMMYFUNCTION("""COMPUTED_VALUE"""),"")</f>
        <v/>
      </c>
      <c r="AD122" s="11" t="str">
        <f ca="1">IFERROR(__xludf.DUMMYFUNCTION("""COMPUTED_VALUE"""),"")</f>
        <v/>
      </c>
      <c r="AE122" t="str">
        <f ca="1">IFERROR(__xludf.DUMMYFUNCTION("""COMPUTED_VALUE"""),"")</f>
        <v/>
      </c>
    </row>
    <row r="123" spans="1:31" ht="12.75" x14ac:dyDescent="0.2">
      <c r="A123">
        <f ca="1">IFERROR(__xludf.DUMMYFUNCTION("""COMPUTED_VALUE"""),35797)</f>
        <v>35797</v>
      </c>
      <c r="B123" t="str">
        <f ca="1">IFERROR(__xludf.DUMMYFUNCTION("""COMPUTED_VALUE"""),"BOUFFERE")</f>
        <v>BOUFFERE</v>
      </c>
      <c r="C123" t="str">
        <f ca="1">IFERROR(__xludf.DUMMYFUNCTION("""COMPUTED_VALUE"""),"Super U")</f>
        <v>Super U</v>
      </c>
      <c r="D123" t="str">
        <f ca="1">IFERROR(__xludf.DUMMYFUNCTION("""COMPUTED_VALUE"""),"Coop U Enseigne Ouest")</f>
        <v>Coop U Enseigne Ouest</v>
      </c>
      <c r="E123">
        <f ca="1">IFERROR(__xludf.DUMMYFUNCTION("""COMPUTED_VALUE"""),85600)</f>
        <v>85600</v>
      </c>
      <c r="F123" t="str">
        <f ca="1">IFERROR(__xludf.DUMMYFUNCTION("""COMPUTED_VALUE"""),"RD ROUTE DE BOUFFÉRÉ")</f>
        <v>RD ROUTE DE BOUFFÉRÉ</v>
      </c>
      <c r="G123" t="str">
        <f ca="1">IFERROR(__xludf.DUMMYFUNCTION("""COMPUTED_VALUE"""),"02.51.98.11.00")</f>
        <v>02.51.98.11.00</v>
      </c>
      <c r="H123" t="str">
        <f ca="1">IFERROR(__xludf.DUMMYFUNCTION("""COMPUTED_VALUE"""),"BROSSET RPT SARL I.C.B. Jean-Marc")</f>
        <v>BROSSET RPT SARL I.C.B. Jean-Marc</v>
      </c>
      <c r="I123" t="str">
        <f ca="1">IFERROR(__xludf.DUMMYFUNCTION("""COMPUTED_VALUE"""),"jean-marc.brosset@systeme-u.fr")</f>
        <v>jean-marc.brosset@systeme-u.fr</v>
      </c>
      <c r="J123" t="str">
        <f ca="1">IFERROR(__xludf.DUMMYFUNCTION("""COMPUTED_VALUE"""),"PARNET Sébastien")</f>
        <v>PARNET Sébastien</v>
      </c>
      <c r="K123" t="str">
        <f ca="1">IFERROR(__xludf.DUMMYFUNCTION("""COMPUTED_VALUE"""),"superu.bouffere.compta@systeme-u.fr")</f>
        <v>superu.bouffere.compta@systeme-u.fr</v>
      </c>
      <c r="L123" t="str">
        <f ca="1">IFERROR(__xludf.DUMMYFUNCTION("""COMPUTED_VALUE"""),"")</f>
        <v/>
      </c>
      <c r="M123" t="str">
        <f ca="1">IFERROR(__xludf.DUMMYFUNCTION("""COMPUTED_VALUE"""),"99.Hors Périmetre")</f>
        <v>99.Hors Périmetre</v>
      </c>
      <c r="N123" t="str">
        <f ca="1">IFERROR(__xludf.DUMMYFUNCTION("""COMPUTED_VALUE"""),"")</f>
        <v/>
      </c>
      <c r="O123" t="str">
        <f ca="1">IFERROR(__xludf.DUMMYFUNCTION("""COMPUTED_VALUE"""),"")</f>
        <v/>
      </c>
      <c r="P123" t="str">
        <f ca="1">IFERROR(__xludf.DUMMYFUNCTION("""COMPUTED_VALUE"""),"")</f>
        <v/>
      </c>
      <c r="Q123" s="5" t="str">
        <f ca="1">IFERROR(__xludf.DUMMYFUNCTION("""COMPUTED_VALUE"""),"")</f>
        <v/>
      </c>
      <c r="R123" s="6" t="str">
        <f ca="1">IFERROR(__xludf.DUMMYFUNCTION("""COMPUTED_VALUE"""),"")</f>
        <v/>
      </c>
      <c r="S123" t="str">
        <f ca="1">IFERROR(__xludf.DUMMYFUNCTION("""COMPUTED_VALUE"""),"")</f>
        <v/>
      </c>
      <c r="T123" t="str">
        <f ca="1">IFERROR(__xludf.DUMMYFUNCTION("""COMPUTED_VALUE"""),"")</f>
        <v/>
      </c>
      <c r="U123" t="str">
        <f ca="1">IFERROR(__xludf.DUMMYFUNCTION("""COMPUTED_VALUE"""),"")</f>
        <v/>
      </c>
      <c r="V123" t="str">
        <f ca="1">IFERROR(__xludf.DUMMYFUNCTION("""COMPUTED_VALUE"""),"")</f>
        <v/>
      </c>
      <c r="W123" t="str">
        <f ca="1">IFERROR(__xludf.DUMMYFUNCTION("""COMPUTED_VALUE"""),"")</f>
        <v/>
      </c>
      <c r="X123" t="str">
        <f ca="1">IFERROR(__xludf.DUMMYFUNCTION("""COMPUTED_VALUE"""),"")</f>
        <v/>
      </c>
      <c r="Y123" t="str">
        <f ca="1">IFERROR(__xludf.DUMMYFUNCTION("""COMPUTED_VALUE"""),"")</f>
        <v/>
      </c>
      <c r="Z123" t="str">
        <f ca="1">IFERROR(__xludf.DUMMYFUNCTION("""COMPUTED_VALUE"""),"")</f>
        <v/>
      </c>
      <c r="AA123" t="str">
        <f ca="1">IFERROR(__xludf.DUMMYFUNCTION("""COMPUTED_VALUE"""),"Pas de commande")</f>
        <v>Pas de commande</v>
      </c>
      <c r="AB123" s="8" t="str">
        <f ca="1">IFERROR(__xludf.DUMMYFUNCTION("""COMPUTED_VALUE"""),"")</f>
        <v/>
      </c>
      <c r="AC123" s="8" t="str">
        <f ca="1">IFERROR(__xludf.DUMMYFUNCTION("""COMPUTED_VALUE"""),"")</f>
        <v/>
      </c>
      <c r="AD123" s="11" t="str">
        <f ca="1">IFERROR(__xludf.DUMMYFUNCTION("""COMPUTED_VALUE"""),"")</f>
        <v/>
      </c>
      <c r="AE123" t="str">
        <f ca="1">IFERROR(__xludf.DUMMYFUNCTION("""COMPUTED_VALUE"""),"")</f>
        <v/>
      </c>
    </row>
    <row r="124" spans="1:31" ht="12.75" x14ac:dyDescent="0.2">
      <c r="A124">
        <f ca="1">IFERROR(__xludf.DUMMYFUNCTION("""COMPUTED_VALUE"""),31422)</f>
        <v>31422</v>
      </c>
      <c r="B124" t="str">
        <f ca="1">IFERROR(__xludf.DUMMYFUNCTION("""COMPUTED_VALUE"""),"BOUGUENAIS")</f>
        <v>BOUGUENAIS</v>
      </c>
      <c r="C124" t="str">
        <f ca="1">IFERROR(__xludf.DUMMYFUNCTION("""COMPUTED_VALUE"""),"U Express")</f>
        <v>U Express</v>
      </c>
      <c r="D124" t="str">
        <f ca="1">IFERROR(__xludf.DUMMYFUNCTION("""COMPUTED_VALUE"""),"Coop U Enseigne Ouest")</f>
        <v>Coop U Enseigne Ouest</v>
      </c>
      <c r="E124">
        <f ca="1">IFERROR(__xludf.DUMMYFUNCTION("""COMPUTED_VALUE"""),44340)</f>
        <v>44340</v>
      </c>
      <c r="F124" t="str">
        <f ca="1">IFERROR(__xludf.DUMMYFUNCTION("""COMPUTED_VALUE"""),"PLACE DE LA CHAPELLE")</f>
        <v>PLACE DE LA CHAPELLE</v>
      </c>
      <c r="G124" t="str">
        <f ca="1">IFERROR(__xludf.DUMMYFUNCTION("""COMPUTED_VALUE"""),"02.40.32.06.34")</f>
        <v>02.40.32.06.34</v>
      </c>
      <c r="H124" t="str">
        <f ca="1">IFERROR(__xludf.DUMMYFUNCTION("""COMPUTED_VALUE"""),"LE NORCY Stéphane")</f>
        <v>LE NORCY Stéphane</v>
      </c>
      <c r="I124" t="str">
        <f ca="1">IFERROR(__xludf.DUMMYFUNCTION("""COMPUTED_VALUE"""),"stephane.lenorcy@systeme-u.fr")</f>
        <v>stephane.lenorcy@systeme-u.fr</v>
      </c>
      <c r="J124" t="str">
        <f ca="1">IFERROR(__xludf.DUMMYFUNCTION("""COMPUTED_VALUE"""),"")</f>
        <v/>
      </c>
      <c r="K124" t="str">
        <f ca="1">IFERROR(__xludf.DUMMYFUNCTION("""COMPUTED_VALUE"""),"")</f>
        <v/>
      </c>
      <c r="L124" t="str">
        <f ca="1">IFERROR(__xludf.DUMMYFUNCTION("""COMPUTED_VALUE"""),"")</f>
        <v/>
      </c>
      <c r="M124" t="str">
        <f ca="1">IFERROR(__xludf.DUMMYFUNCTION("""COMPUTED_VALUE"""),"99.Hors Périmetre")</f>
        <v>99.Hors Périmetre</v>
      </c>
      <c r="N124" t="str">
        <f ca="1">IFERROR(__xludf.DUMMYFUNCTION("""COMPUTED_VALUE"""),"")</f>
        <v/>
      </c>
      <c r="O124" t="str">
        <f ca="1">IFERROR(__xludf.DUMMYFUNCTION("""COMPUTED_VALUE"""),"")</f>
        <v/>
      </c>
      <c r="P124" t="str">
        <f ca="1">IFERROR(__xludf.DUMMYFUNCTION("""COMPUTED_VALUE"""),"")</f>
        <v/>
      </c>
      <c r="Q124" s="5" t="str">
        <f ca="1">IFERROR(__xludf.DUMMYFUNCTION("""COMPUTED_VALUE"""),"")</f>
        <v/>
      </c>
      <c r="R124" s="6" t="str">
        <f ca="1">IFERROR(__xludf.DUMMYFUNCTION("""COMPUTED_VALUE"""),"")</f>
        <v/>
      </c>
      <c r="S124" t="str">
        <f ca="1">IFERROR(__xludf.DUMMYFUNCTION("""COMPUTED_VALUE"""),"")</f>
        <v/>
      </c>
      <c r="T124" t="str">
        <f ca="1">IFERROR(__xludf.DUMMYFUNCTION("""COMPUTED_VALUE"""),"")</f>
        <v/>
      </c>
      <c r="U124" t="str">
        <f ca="1">IFERROR(__xludf.DUMMYFUNCTION("""COMPUTED_VALUE"""),"")</f>
        <v/>
      </c>
      <c r="V124" t="str">
        <f ca="1">IFERROR(__xludf.DUMMYFUNCTION("""COMPUTED_VALUE"""),"")</f>
        <v/>
      </c>
      <c r="W124" t="str">
        <f ca="1">IFERROR(__xludf.DUMMYFUNCTION("""COMPUTED_VALUE"""),"")</f>
        <v/>
      </c>
      <c r="X124" t="str">
        <f ca="1">IFERROR(__xludf.DUMMYFUNCTION("""COMPUTED_VALUE"""),"")</f>
        <v/>
      </c>
      <c r="Y124" t="str">
        <f ca="1">IFERROR(__xludf.DUMMYFUNCTION("""COMPUTED_VALUE"""),"")</f>
        <v/>
      </c>
      <c r="Z124" t="str">
        <f ca="1">IFERROR(__xludf.DUMMYFUNCTION("""COMPUTED_VALUE"""),"")</f>
        <v/>
      </c>
      <c r="AA124" t="str">
        <f ca="1">IFERROR(__xludf.DUMMYFUNCTION("""COMPUTED_VALUE"""),"Pas de commande")</f>
        <v>Pas de commande</v>
      </c>
      <c r="AB124" s="8" t="str">
        <f ca="1">IFERROR(__xludf.DUMMYFUNCTION("""COMPUTED_VALUE"""),"")</f>
        <v/>
      </c>
      <c r="AC124" s="8" t="str">
        <f ca="1">IFERROR(__xludf.DUMMYFUNCTION("""COMPUTED_VALUE"""),"")</f>
        <v/>
      </c>
      <c r="AD124" s="11" t="str">
        <f ca="1">IFERROR(__xludf.DUMMYFUNCTION("""COMPUTED_VALUE"""),"")</f>
        <v/>
      </c>
      <c r="AE124" t="str">
        <f ca="1">IFERROR(__xludf.DUMMYFUNCTION("""COMPUTED_VALUE"""),"")</f>
        <v/>
      </c>
    </row>
    <row r="125" spans="1:31" ht="12.75" x14ac:dyDescent="0.2">
      <c r="A125">
        <f ca="1">IFERROR(__xludf.DUMMYFUNCTION("""COMPUTED_VALUE"""),65454)</f>
        <v>65454</v>
      </c>
      <c r="B125" t="str">
        <f ca="1">IFERROR(__xludf.DUMMYFUNCTION("""COMPUTED_VALUE"""),"BOULAY")</f>
        <v>BOULAY</v>
      </c>
      <c r="C125" t="str">
        <f ca="1">IFERROR(__xludf.DUMMYFUNCTION("""COMPUTED_VALUE"""),"Super U")</f>
        <v>Super U</v>
      </c>
      <c r="D125" t="str">
        <f ca="1">IFERROR(__xludf.DUMMYFUNCTION("""COMPUTED_VALUE"""),"Coop U Enseigne Est")</f>
        <v>Coop U Enseigne Est</v>
      </c>
      <c r="E125">
        <f ca="1">IFERROR(__xludf.DUMMYFUNCTION("""COMPUTED_VALUE"""),57220)</f>
        <v>57220</v>
      </c>
      <c r="F125" t="str">
        <f ca="1">IFERROR(__xludf.DUMMYFUNCTION("""COMPUTED_VALUE"""),"Rue du Général Neuwinger")</f>
        <v>Rue du Général Neuwinger</v>
      </c>
      <c r="G125" t="str">
        <f ca="1">IFERROR(__xludf.DUMMYFUNCTION("""COMPUTED_VALUE"""),"03.87.79.43.60")</f>
        <v>03.87.79.43.60</v>
      </c>
      <c r="H125" t="str">
        <f ca="1">IFERROR(__xludf.DUMMYFUNCTION("""COMPUTED_VALUE"""),"BARANGER CHRISTOPHE")</f>
        <v>BARANGER CHRISTOPHE</v>
      </c>
      <c r="I125" t="str">
        <f ca="1">IFERROR(__xludf.DUMMYFUNCTION("""COMPUTED_VALUE"""),"christophe.baranger@systeme-u.fr")</f>
        <v>christophe.baranger@systeme-u.fr</v>
      </c>
      <c r="J125" t="str">
        <f ca="1">IFERROR(__xludf.DUMMYFUNCTION("""COMPUTED_VALUE"""),"M. SANTONI")</f>
        <v>M. SANTONI</v>
      </c>
      <c r="K125" t="str">
        <f ca="1">IFERROR(__xludf.DUMMYFUNCTION("""COMPUTED_VALUE"""),"superu.boulay.direction@systeme-u.fr")</f>
        <v>superu.boulay.direction@systeme-u.fr</v>
      </c>
      <c r="L125" t="str">
        <f ca="1">IFERROR(__xludf.DUMMYFUNCTION("""COMPUTED_VALUE"""),"")</f>
        <v/>
      </c>
      <c r="M125" t="str">
        <f ca="1">IFERROR(__xludf.DUMMYFUNCTION("""COMPUTED_VALUE"""),"99.Hors Périmetre")</f>
        <v>99.Hors Périmetre</v>
      </c>
      <c r="N125" t="str">
        <f ca="1">IFERROR(__xludf.DUMMYFUNCTION("""COMPUTED_VALUE"""),"")</f>
        <v/>
      </c>
      <c r="O125" t="str">
        <f ca="1">IFERROR(__xludf.DUMMYFUNCTION("""COMPUTED_VALUE"""),"")</f>
        <v/>
      </c>
      <c r="P125" t="str">
        <f ca="1">IFERROR(__xludf.DUMMYFUNCTION("""COMPUTED_VALUE"""),"")</f>
        <v/>
      </c>
      <c r="Q125" s="5" t="str">
        <f ca="1">IFERROR(__xludf.DUMMYFUNCTION("""COMPUTED_VALUE"""),"")</f>
        <v/>
      </c>
      <c r="R125" s="6" t="str">
        <f ca="1">IFERROR(__xludf.DUMMYFUNCTION("""COMPUTED_VALUE"""),"")</f>
        <v/>
      </c>
      <c r="S125" t="str">
        <f ca="1">IFERROR(__xludf.DUMMYFUNCTION("""COMPUTED_VALUE"""),"")</f>
        <v/>
      </c>
      <c r="T125" t="str">
        <f ca="1">IFERROR(__xludf.DUMMYFUNCTION("""COMPUTED_VALUE"""),"")</f>
        <v/>
      </c>
      <c r="U125" t="str">
        <f ca="1">IFERROR(__xludf.DUMMYFUNCTION("""COMPUTED_VALUE"""),"")</f>
        <v/>
      </c>
      <c r="V125" t="str">
        <f ca="1">IFERROR(__xludf.DUMMYFUNCTION("""COMPUTED_VALUE"""),"")</f>
        <v/>
      </c>
      <c r="W125" t="str">
        <f ca="1">IFERROR(__xludf.DUMMYFUNCTION("""COMPUTED_VALUE"""),"")</f>
        <v/>
      </c>
      <c r="X125" t="str">
        <f ca="1">IFERROR(__xludf.DUMMYFUNCTION("""COMPUTED_VALUE"""),"")</f>
        <v/>
      </c>
      <c r="Y125" t="str">
        <f ca="1">IFERROR(__xludf.DUMMYFUNCTION("""COMPUTED_VALUE"""),"")</f>
        <v/>
      </c>
      <c r="Z125" t="str">
        <f ca="1">IFERROR(__xludf.DUMMYFUNCTION("""COMPUTED_VALUE"""),"")</f>
        <v/>
      </c>
      <c r="AA125" t="str">
        <f ca="1">IFERROR(__xludf.DUMMYFUNCTION("""COMPUTED_VALUE"""),"Pas de commande")</f>
        <v>Pas de commande</v>
      </c>
      <c r="AB125" s="8" t="str">
        <f ca="1">IFERROR(__xludf.DUMMYFUNCTION("""COMPUTED_VALUE"""),"")</f>
        <v/>
      </c>
      <c r="AC125" s="8" t="str">
        <f ca="1">IFERROR(__xludf.DUMMYFUNCTION("""COMPUTED_VALUE"""),"")</f>
        <v/>
      </c>
      <c r="AD125" s="11" t="str">
        <f ca="1">IFERROR(__xludf.DUMMYFUNCTION("""COMPUTED_VALUE"""),"")</f>
        <v/>
      </c>
      <c r="AE125" t="str">
        <f ca="1">IFERROR(__xludf.DUMMYFUNCTION("""COMPUTED_VALUE"""),"")</f>
        <v/>
      </c>
    </row>
    <row r="126" spans="1:31" ht="12.75" x14ac:dyDescent="0.2">
      <c r="A126">
        <f ca="1">IFERROR(__xludf.DUMMYFUNCTION("""COMPUTED_VALUE"""),38117)</f>
        <v>38117</v>
      </c>
      <c r="B126" t="str">
        <f ca="1">IFERROR(__xludf.DUMMYFUNCTION("""COMPUTED_VALUE"""),"BOULOIRE")</f>
        <v>BOULOIRE</v>
      </c>
      <c r="C126" t="str">
        <f ca="1">IFERROR(__xludf.DUMMYFUNCTION("""COMPUTED_VALUE"""),"Super U")</f>
        <v>Super U</v>
      </c>
      <c r="D126" t="str">
        <f ca="1">IFERROR(__xludf.DUMMYFUNCTION("""COMPUTED_VALUE"""),"Coop U Enseigne Ouest")</f>
        <v>Coop U Enseigne Ouest</v>
      </c>
      <c r="E126">
        <f ca="1">IFERROR(__xludf.DUMMYFUNCTION("""COMPUTED_VALUE"""),72440)</f>
        <v>72440</v>
      </c>
      <c r="F126" t="str">
        <f ca="1">IFERROR(__xludf.DUMMYFUNCTION("""COMPUTED_VALUE"""),"129 RUE NATIONALE")</f>
        <v>129 RUE NATIONALE</v>
      </c>
      <c r="G126" t="str">
        <f ca="1">IFERROR(__xludf.DUMMYFUNCTION("""COMPUTED_VALUE"""),"02.43.35.40.26")</f>
        <v>02.43.35.40.26</v>
      </c>
      <c r="H126" t="str">
        <f ca="1">IFERROR(__xludf.DUMMYFUNCTION("""COMPUTED_VALUE"""),"SABLE RPT SARL TERTRALI David")</f>
        <v>SABLE RPT SARL TERTRALI David</v>
      </c>
      <c r="I126" t="str">
        <f ca="1">IFERROR(__xludf.DUMMYFUNCTION("""COMPUTED_VALUE"""),"david.sable@systeme-u.fr")</f>
        <v>david.sable@systeme-u.fr</v>
      </c>
      <c r="J126" t="str">
        <f ca="1">IFERROR(__xludf.DUMMYFUNCTION("""COMPUTED_VALUE"""),"Mme SABLE")</f>
        <v>Mme SABLE</v>
      </c>
      <c r="K126" t="str">
        <f ca="1">IFERROR(__xludf.DUMMYFUNCTION("""COMPUTED_VALUE"""),"karine.sable@systeme-u.fr")</f>
        <v>karine.sable@systeme-u.fr</v>
      </c>
      <c r="L126" t="str">
        <f ca="1">IFERROR(__xludf.DUMMYFUNCTION("""COMPUTED_VALUE"""),"")</f>
        <v/>
      </c>
      <c r="M126" t="str">
        <f ca="1">IFERROR(__xludf.DUMMYFUNCTION("""COMPUTED_VALUE"""),"99.Hors Périmetre")</f>
        <v>99.Hors Périmetre</v>
      </c>
      <c r="N126" t="str">
        <f ca="1">IFERROR(__xludf.DUMMYFUNCTION("""COMPUTED_VALUE"""),"")</f>
        <v/>
      </c>
      <c r="O126" t="str">
        <f ca="1">IFERROR(__xludf.DUMMYFUNCTION("""COMPUTED_VALUE"""),"")</f>
        <v/>
      </c>
      <c r="P126" t="str">
        <f ca="1">IFERROR(__xludf.DUMMYFUNCTION("""COMPUTED_VALUE"""),"")</f>
        <v/>
      </c>
      <c r="Q126" s="5" t="str">
        <f ca="1">IFERROR(__xludf.DUMMYFUNCTION("""COMPUTED_VALUE"""),"")</f>
        <v/>
      </c>
      <c r="R126" s="6" t="str">
        <f ca="1">IFERROR(__xludf.DUMMYFUNCTION("""COMPUTED_VALUE"""),"")</f>
        <v/>
      </c>
      <c r="S126" t="str">
        <f ca="1">IFERROR(__xludf.DUMMYFUNCTION("""COMPUTED_VALUE"""),"")</f>
        <v/>
      </c>
      <c r="T126" t="str">
        <f ca="1">IFERROR(__xludf.DUMMYFUNCTION("""COMPUTED_VALUE"""),"")</f>
        <v/>
      </c>
      <c r="U126" t="str">
        <f ca="1">IFERROR(__xludf.DUMMYFUNCTION("""COMPUTED_VALUE"""),"")</f>
        <v/>
      </c>
      <c r="V126" t="str">
        <f ca="1">IFERROR(__xludf.DUMMYFUNCTION("""COMPUTED_VALUE"""),"")</f>
        <v/>
      </c>
      <c r="W126" t="str">
        <f ca="1">IFERROR(__xludf.DUMMYFUNCTION("""COMPUTED_VALUE"""),"")</f>
        <v/>
      </c>
      <c r="X126" t="str">
        <f ca="1">IFERROR(__xludf.DUMMYFUNCTION("""COMPUTED_VALUE"""),"")</f>
        <v/>
      </c>
      <c r="Y126" t="str">
        <f ca="1">IFERROR(__xludf.DUMMYFUNCTION("""COMPUTED_VALUE"""),"")</f>
        <v/>
      </c>
      <c r="Z126" t="str">
        <f ca="1">IFERROR(__xludf.DUMMYFUNCTION("""COMPUTED_VALUE"""),"")</f>
        <v/>
      </c>
      <c r="AA126" t="str">
        <f ca="1">IFERROR(__xludf.DUMMYFUNCTION("""COMPUTED_VALUE"""),"Pas de commande")</f>
        <v>Pas de commande</v>
      </c>
      <c r="AB126" s="8" t="str">
        <f ca="1">IFERROR(__xludf.DUMMYFUNCTION("""COMPUTED_VALUE"""),"")</f>
        <v/>
      </c>
      <c r="AC126" s="8" t="str">
        <f ca="1">IFERROR(__xludf.DUMMYFUNCTION("""COMPUTED_VALUE"""),"")</f>
        <v/>
      </c>
      <c r="AD126" s="11" t="str">
        <f ca="1">IFERROR(__xludf.DUMMYFUNCTION("""COMPUTED_VALUE"""),"")</f>
        <v/>
      </c>
      <c r="AE126" t="str">
        <f ca="1">IFERROR(__xludf.DUMMYFUNCTION("""COMPUTED_VALUE"""),"")</f>
        <v/>
      </c>
    </row>
    <row r="127" spans="1:31" ht="12.75" x14ac:dyDescent="0.2">
      <c r="A127">
        <f ca="1">IFERROR(__xludf.DUMMYFUNCTION("""COMPUTED_VALUE"""),66093)</f>
        <v>66093</v>
      </c>
      <c r="B127" t="str">
        <f ca="1">IFERROR(__xludf.DUMMYFUNCTION("""COMPUTED_VALUE"""),"BOURG ST MAURICE")</f>
        <v>BOURG ST MAURICE</v>
      </c>
      <c r="C127" t="str">
        <f ca="1">IFERROR(__xludf.DUMMYFUNCTION("""COMPUTED_VALUE"""),"Super U")</f>
        <v>Super U</v>
      </c>
      <c r="D127" t="str">
        <f ca="1">IFERROR(__xludf.DUMMYFUNCTION("""COMPUTED_VALUE"""),"Coop U Enseigne Est")</f>
        <v>Coop U Enseigne Est</v>
      </c>
      <c r="E127">
        <f ca="1">IFERROR(__xludf.DUMMYFUNCTION("""COMPUTED_VALUE"""),73704)</f>
        <v>73704</v>
      </c>
      <c r="F127" t="str">
        <f ca="1">IFERROR(__xludf.DUMMYFUNCTION("""COMPUTED_VALUE"""),"Route des Arcs")</f>
        <v>Route des Arcs</v>
      </c>
      <c r="G127" t="str">
        <f ca="1">IFERROR(__xludf.DUMMYFUNCTION("""COMPUTED_VALUE"""),"04.79.07.24.11")</f>
        <v>04.79.07.24.11</v>
      </c>
      <c r="H127" t="str">
        <f ca="1">IFERROR(__xludf.DUMMYFUNCTION("""COMPUTED_VALUE"""),"SILVESTRE Luc")</f>
        <v>SILVESTRE Luc</v>
      </c>
      <c r="I127" t="str">
        <f ca="1">IFERROR(__xludf.DUMMYFUNCTION("""COMPUTED_VALUE"""),"luc.silvestre@systeme-u.fr")</f>
        <v>luc.silvestre@systeme-u.fr</v>
      </c>
      <c r="J127" t="str">
        <f ca="1">IFERROR(__xludf.DUMMYFUNCTION("""COMPUTED_VALUE"""),"COMBE LAURENT")</f>
        <v>COMBE LAURENT</v>
      </c>
      <c r="K127" t="str">
        <f ca="1">IFERROR(__xludf.DUMMYFUNCTION("""COMPUTED_VALUE"""),"superu.bourgstmaurice.administratif@systeme-u.fr")</f>
        <v>superu.bourgstmaurice.administratif@systeme-u.fr</v>
      </c>
      <c r="L127" t="str">
        <f ca="1">IFERROR(__xludf.DUMMYFUNCTION("""COMPUTED_VALUE"""),"")</f>
        <v/>
      </c>
      <c r="M127" t="str">
        <f ca="1">IFERROR(__xludf.DUMMYFUNCTION("""COMPUTED_VALUE"""),"99.Hors Périmetre")</f>
        <v>99.Hors Périmetre</v>
      </c>
      <c r="N127" t="str">
        <f ca="1">IFERROR(__xludf.DUMMYFUNCTION("""COMPUTED_VALUE"""),"")</f>
        <v/>
      </c>
      <c r="O127" t="str">
        <f ca="1">IFERROR(__xludf.DUMMYFUNCTION("""COMPUTED_VALUE"""),"")</f>
        <v/>
      </c>
      <c r="P127" t="str">
        <f ca="1">IFERROR(__xludf.DUMMYFUNCTION("""COMPUTED_VALUE"""),"")</f>
        <v/>
      </c>
      <c r="Q127" s="5" t="str">
        <f ca="1">IFERROR(__xludf.DUMMYFUNCTION("""COMPUTED_VALUE"""),"")</f>
        <v/>
      </c>
      <c r="R127" s="6" t="str">
        <f ca="1">IFERROR(__xludf.DUMMYFUNCTION("""COMPUTED_VALUE"""),"")</f>
        <v/>
      </c>
      <c r="S127" t="str">
        <f ca="1">IFERROR(__xludf.DUMMYFUNCTION("""COMPUTED_VALUE"""),"")</f>
        <v/>
      </c>
      <c r="T127" t="str">
        <f ca="1">IFERROR(__xludf.DUMMYFUNCTION("""COMPUTED_VALUE"""),"")</f>
        <v/>
      </c>
      <c r="U127" t="str">
        <f ca="1">IFERROR(__xludf.DUMMYFUNCTION("""COMPUTED_VALUE"""),"")</f>
        <v/>
      </c>
      <c r="V127" t="str">
        <f ca="1">IFERROR(__xludf.DUMMYFUNCTION("""COMPUTED_VALUE"""),"")</f>
        <v/>
      </c>
      <c r="W127" t="str">
        <f ca="1">IFERROR(__xludf.DUMMYFUNCTION("""COMPUTED_VALUE"""),"")</f>
        <v/>
      </c>
      <c r="X127" t="str">
        <f ca="1">IFERROR(__xludf.DUMMYFUNCTION("""COMPUTED_VALUE"""),"")</f>
        <v/>
      </c>
      <c r="Y127" t="str">
        <f ca="1">IFERROR(__xludf.DUMMYFUNCTION("""COMPUTED_VALUE"""),"")</f>
        <v/>
      </c>
      <c r="Z127" t="str">
        <f ca="1">IFERROR(__xludf.DUMMYFUNCTION("""COMPUTED_VALUE"""),"")</f>
        <v/>
      </c>
      <c r="AA127" t="str">
        <f ca="1">IFERROR(__xludf.DUMMYFUNCTION("""COMPUTED_VALUE"""),"Pas de commande")</f>
        <v>Pas de commande</v>
      </c>
      <c r="AB127" s="8" t="str">
        <f ca="1">IFERROR(__xludf.DUMMYFUNCTION("""COMPUTED_VALUE"""),"")</f>
        <v/>
      </c>
      <c r="AC127" s="8" t="str">
        <f ca="1">IFERROR(__xludf.DUMMYFUNCTION("""COMPUTED_VALUE"""),"")</f>
        <v/>
      </c>
      <c r="AD127" s="11" t="str">
        <f ca="1">IFERROR(__xludf.DUMMYFUNCTION("""COMPUTED_VALUE"""),"")</f>
        <v/>
      </c>
      <c r="AE127" t="str">
        <f ca="1">IFERROR(__xludf.DUMMYFUNCTION("""COMPUTED_VALUE"""),"")</f>
        <v/>
      </c>
    </row>
    <row r="128" spans="1:31" ht="12.75" x14ac:dyDescent="0.2">
      <c r="A128">
        <f ca="1">IFERROR(__xludf.DUMMYFUNCTION("""COMPUTED_VALUE"""),32119)</f>
        <v>32119</v>
      </c>
      <c r="B128" t="str">
        <f ca="1">IFERROR(__xludf.DUMMYFUNCTION("""COMPUTED_VALUE"""),"BOURGNEUF-EN-RETZ")</f>
        <v>BOURGNEUF-EN-RETZ</v>
      </c>
      <c r="C128" t="str">
        <f ca="1">IFERROR(__xludf.DUMMYFUNCTION("""COMPUTED_VALUE"""),"U Express")</f>
        <v>U Express</v>
      </c>
      <c r="D128" t="str">
        <f ca="1">IFERROR(__xludf.DUMMYFUNCTION("""COMPUTED_VALUE"""),"Coop U Enseigne Ouest")</f>
        <v>Coop U Enseigne Ouest</v>
      </c>
      <c r="E128">
        <f ca="1">IFERROR(__xludf.DUMMYFUNCTION("""COMPUTED_VALUE"""),44580)</f>
        <v>44580</v>
      </c>
      <c r="F128" t="str">
        <f ca="1">IFERROR(__xludf.DUMMYFUNCTION("""COMPUTED_VALUE"""),"CHEMIN DE LA CULÉE")</f>
        <v>CHEMIN DE LA CULÉE</v>
      </c>
      <c r="G128" t="str">
        <f ca="1">IFERROR(__xludf.DUMMYFUNCTION("""COMPUTED_VALUE"""),"02.40.21.40.60")</f>
        <v>02.40.21.40.60</v>
      </c>
      <c r="H128" t="str">
        <f ca="1">IFERROR(__xludf.DUMMYFUNCTION("""COMPUTED_VALUE"""),"REMAUD RPT SOFIRE Patrick")</f>
        <v>REMAUD RPT SOFIRE Patrick</v>
      </c>
      <c r="I128" t="str">
        <f ca="1">IFERROR(__xludf.DUMMYFUNCTION("""COMPUTED_VALUE"""),"patrick.remaud@systeme-u.fr")</f>
        <v>patrick.remaud@systeme-u.fr</v>
      </c>
      <c r="J128" t="str">
        <f ca="1">IFERROR(__xludf.DUMMYFUNCTION("""COMPUTED_VALUE"""),"PEDOUX Alain")</f>
        <v>PEDOUX Alain</v>
      </c>
      <c r="K128" t="str">
        <f ca="1">IFERROR(__xludf.DUMMYFUNCTION("""COMPUTED_VALUE"""),"alain.pedoux@systeme-u.fr")</f>
        <v>alain.pedoux@systeme-u.fr</v>
      </c>
      <c r="L128" t="str">
        <f ca="1">IFERROR(__xludf.DUMMYFUNCTION("""COMPUTED_VALUE"""),"")</f>
        <v/>
      </c>
      <c r="M128" t="str">
        <f ca="1">IFERROR(__xludf.DUMMYFUNCTION("""COMPUTED_VALUE"""),"99.Hors Périmetre")</f>
        <v>99.Hors Périmetre</v>
      </c>
      <c r="N128" t="str">
        <f ca="1">IFERROR(__xludf.DUMMYFUNCTION("""COMPUTED_VALUE"""),"")</f>
        <v/>
      </c>
      <c r="O128" t="str">
        <f ca="1">IFERROR(__xludf.DUMMYFUNCTION("""COMPUTED_VALUE"""),"")</f>
        <v/>
      </c>
      <c r="P128" t="str">
        <f ca="1">IFERROR(__xludf.DUMMYFUNCTION("""COMPUTED_VALUE"""),"")</f>
        <v/>
      </c>
      <c r="Q128" s="5" t="str">
        <f ca="1">IFERROR(__xludf.DUMMYFUNCTION("""COMPUTED_VALUE"""),"")</f>
        <v/>
      </c>
      <c r="R128" s="6" t="str">
        <f ca="1">IFERROR(__xludf.DUMMYFUNCTION("""COMPUTED_VALUE"""),"")</f>
        <v/>
      </c>
      <c r="S128" t="str">
        <f ca="1">IFERROR(__xludf.DUMMYFUNCTION("""COMPUTED_VALUE"""),"")</f>
        <v/>
      </c>
      <c r="T128" t="str">
        <f ca="1">IFERROR(__xludf.DUMMYFUNCTION("""COMPUTED_VALUE"""),"")</f>
        <v/>
      </c>
      <c r="U128" t="str">
        <f ca="1">IFERROR(__xludf.DUMMYFUNCTION("""COMPUTED_VALUE"""),"")</f>
        <v/>
      </c>
      <c r="V128" t="str">
        <f ca="1">IFERROR(__xludf.DUMMYFUNCTION("""COMPUTED_VALUE"""),"")</f>
        <v/>
      </c>
      <c r="W128" t="str">
        <f ca="1">IFERROR(__xludf.DUMMYFUNCTION("""COMPUTED_VALUE"""),"")</f>
        <v/>
      </c>
      <c r="X128" t="str">
        <f ca="1">IFERROR(__xludf.DUMMYFUNCTION("""COMPUTED_VALUE"""),"")</f>
        <v/>
      </c>
      <c r="Y128" t="str">
        <f ca="1">IFERROR(__xludf.DUMMYFUNCTION("""COMPUTED_VALUE"""),"")</f>
        <v/>
      </c>
      <c r="Z128" t="str">
        <f ca="1">IFERROR(__xludf.DUMMYFUNCTION("""COMPUTED_VALUE"""),"")</f>
        <v/>
      </c>
      <c r="AA128" t="str">
        <f ca="1">IFERROR(__xludf.DUMMYFUNCTION("""COMPUTED_VALUE"""),"Pas de commande")</f>
        <v>Pas de commande</v>
      </c>
      <c r="AB128" s="8" t="str">
        <f ca="1">IFERROR(__xludf.DUMMYFUNCTION("""COMPUTED_VALUE"""),"")</f>
        <v/>
      </c>
      <c r="AC128" s="8" t="str">
        <f ca="1">IFERROR(__xludf.DUMMYFUNCTION("""COMPUTED_VALUE"""),"")</f>
        <v/>
      </c>
      <c r="AD128" s="11" t="str">
        <f ca="1">IFERROR(__xludf.DUMMYFUNCTION("""COMPUTED_VALUE"""),"")</f>
        <v/>
      </c>
      <c r="AE128" t="str">
        <f ca="1">IFERROR(__xludf.DUMMYFUNCTION("""COMPUTED_VALUE"""),"")</f>
        <v/>
      </c>
    </row>
    <row r="129" spans="1:31" ht="12.75" x14ac:dyDescent="0.2">
      <c r="A129">
        <f ca="1">IFERROR(__xludf.DUMMYFUNCTION("""COMPUTED_VALUE"""),37617)</f>
        <v>37617</v>
      </c>
      <c r="B129" t="str">
        <f ca="1">IFERROR(__xludf.DUMMYFUNCTION("""COMPUTED_VALUE"""),"BOURGUEIL")</f>
        <v>BOURGUEIL</v>
      </c>
      <c r="C129" t="str">
        <f ca="1">IFERROR(__xludf.DUMMYFUNCTION("""COMPUTED_VALUE"""),"Hyper U")</f>
        <v>Hyper U</v>
      </c>
      <c r="D129" t="str">
        <f ca="1">IFERROR(__xludf.DUMMYFUNCTION("""COMPUTED_VALUE"""),"Coop U Enseigne Ouest")</f>
        <v>Coop U Enseigne Ouest</v>
      </c>
      <c r="E129">
        <f ca="1">IFERROR(__xludf.DUMMYFUNCTION("""COMPUTED_VALUE"""),37140)</f>
        <v>37140</v>
      </c>
      <c r="F129" t="str">
        <f ca="1">IFERROR(__xludf.DUMMYFUNCTION("""COMPUTED_VALUE"""),"ROUTE DE CHINON")</f>
        <v>ROUTE DE CHINON</v>
      </c>
      <c r="G129" t="str">
        <f ca="1">IFERROR(__xludf.DUMMYFUNCTION("""COMPUTED_VALUE"""),"02.47.97.82.14")</f>
        <v>02.47.97.82.14</v>
      </c>
      <c r="H129" t="str">
        <f ca="1">IFERROR(__xludf.DUMMYFUNCTION("""COMPUTED_VALUE"""),"LEFAY Mélanie")</f>
        <v>LEFAY Mélanie</v>
      </c>
      <c r="I129" t="str">
        <f ca="1">IFERROR(__xludf.DUMMYFUNCTION("""COMPUTED_VALUE"""),"melanie.lefay@systeme-u.fr")</f>
        <v>melanie.lefay@systeme-u.fr</v>
      </c>
      <c r="J129" t="str">
        <f ca="1">IFERROR(__xludf.DUMMYFUNCTION("""COMPUTED_VALUE"""),"LEFAY Raphael")</f>
        <v>LEFAY Raphael</v>
      </c>
      <c r="K129" t="str">
        <f ca="1">IFERROR(__xludf.DUMMYFUNCTION("""COMPUTED_VALUE"""),"raphael.lefay@systeme-u.fr")</f>
        <v>raphael.lefay@systeme-u.fr</v>
      </c>
      <c r="L129" t="str">
        <f ca="1">IFERROR(__xludf.DUMMYFUNCTION("""COMPUTED_VALUE"""),"")</f>
        <v/>
      </c>
      <c r="M129" t="str">
        <f ca="1">IFERROR(__xludf.DUMMYFUNCTION("""COMPUTED_VALUE"""),"99.Hors Périmetre")</f>
        <v>99.Hors Périmetre</v>
      </c>
      <c r="N129" t="str">
        <f ca="1">IFERROR(__xludf.DUMMYFUNCTION("""COMPUTED_VALUE"""),"")</f>
        <v/>
      </c>
      <c r="O129" t="str">
        <f ca="1">IFERROR(__xludf.DUMMYFUNCTION("""COMPUTED_VALUE"""),"")</f>
        <v/>
      </c>
      <c r="P129" t="str">
        <f ca="1">IFERROR(__xludf.DUMMYFUNCTION("""COMPUTED_VALUE"""),"")</f>
        <v/>
      </c>
      <c r="Q129" s="5" t="str">
        <f ca="1">IFERROR(__xludf.DUMMYFUNCTION("""COMPUTED_VALUE"""),"")</f>
        <v/>
      </c>
      <c r="R129" s="6" t="str">
        <f ca="1">IFERROR(__xludf.DUMMYFUNCTION("""COMPUTED_VALUE"""),"")</f>
        <v/>
      </c>
      <c r="S129" t="str">
        <f ca="1">IFERROR(__xludf.DUMMYFUNCTION("""COMPUTED_VALUE"""),"")</f>
        <v/>
      </c>
      <c r="T129" t="str">
        <f ca="1">IFERROR(__xludf.DUMMYFUNCTION("""COMPUTED_VALUE"""),"")</f>
        <v/>
      </c>
      <c r="U129" t="str">
        <f ca="1">IFERROR(__xludf.DUMMYFUNCTION("""COMPUTED_VALUE"""),"")</f>
        <v/>
      </c>
      <c r="V129" t="str">
        <f ca="1">IFERROR(__xludf.DUMMYFUNCTION("""COMPUTED_VALUE"""),"")</f>
        <v/>
      </c>
      <c r="W129" t="str">
        <f ca="1">IFERROR(__xludf.DUMMYFUNCTION("""COMPUTED_VALUE"""),"")</f>
        <v/>
      </c>
      <c r="X129" t="str">
        <f ca="1">IFERROR(__xludf.DUMMYFUNCTION("""COMPUTED_VALUE"""),"")</f>
        <v/>
      </c>
      <c r="Y129" t="str">
        <f ca="1">IFERROR(__xludf.DUMMYFUNCTION("""COMPUTED_VALUE"""),"")</f>
        <v/>
      </c>
      <c r="Z129" t="str">
        <f ca="1">IFERROR(__xludf.DUMMYFUNCTION("""COMPUTED_VALUE"""),"")</f>
        <v/>
      </c>
      <c r="AA129" t="str">
        <f ca="1">IFERROR(__xludf.DUMMYFUNCTION("""COMPUTED_VALUE"""),"Pas de commande")</f>
        <v>Pas de commande</v>
      </c>
      <c r="AB129" s="8" t="str">
        <f ca="1">IFERROR(__xludf.DUMMYFUNCTION("""COMPUTED_VALUE"""),"")</f>
        <v/>
      </c>
      <c r="AC129" s="8" t="str">
        <f ca="1">IFERROR(__xludf.DUMMYFUNCTION("""COMPUTED_VALUE"""),"")</f>
        <v/>
      </c>
      <c r="AD129" s="11" t="str">
        <f ca="1">IFERROR(__xludf.DUMMYFUNCTION("""COMPUTED_VALUE"""),"")</f>
        <v/>
      </c>
      <c r="AE129" t="str">
        <f ca="1">IFERROR(__xludf.DUMMYFUNCTION("""COMPUTED_VALUE"""),"")</f>
        <v/>
      </c>
    </row>
    <row r="130" spans="1:31" ht="12.75" x14ac:dyDescent="0.2">
      <c r="A130">
        <f ca="1">IFERROR(__xludf.DUMMYFUNCTION("""COMPUTED_VALUE"""),20736)</f>
        <v>20736</v>
      </c>
      <c r="B130" t="str">
        <f ca="1">IFERROR(__xludf.DUMMYFUNCTION("""COMPUTED_VALUE"""),"BRECEY")</f>
        <v>BRECEY</v>
      </c>
      <c r="C130" t="str">
        <f ca="1">IFERROR(__xludf.DUMMYFUNCTION("""COMPUTED_VALUE"""),"Super U")</f>
        <v>Super U</v>
      </c>
      <c r="D130" t="str">
        <f ca="1">IFERROR(__xludf.DUMMYFUNCTION("""COMPUTED_VALUE"""),"Coop U Enseigne NordOuest")</f>
        <v>Coop U Enseigne NordOuest</v>
      </c>
      <c r="E130">
        <f ca="1">IFERROR(__xludf.DUMMYFUNCTION("""COMPUTED_VALUE"""),50370)</f>
        <v>50370</v>
      </c>
      <c r="F130" t="str">
        <f ca="1">IFERROR(__xludf.DUMMYFUNCTION("""COMPUTED_VALUE"""),"5 RUE JEANNE D'ARC")</f>
        <v>5 RUE JEANNE D'ARC</v>
      </c>
      <c r="G130" t="str">
        <f ca="1">IFERROR(__xludf.DUMMYFUNCTION("""COMPUTED_VALUE"""),"02.33.48.73.71")</f>
        <v>02.33.48.73.71</v>
      </c>
      <c r="H130" t="str">
        <f ca="1">IFERROR(__xludf.DUMMYFUNCTION("""COMPUTED_VALUE"""),"HAROU Olivier")</f>
        <v>HAROU Olivier</v>
      </c>
      <c r="I130" t="str">
        <f ca="1">IFERROR(__xludf.DUMMYFUNCTION("""COMPUTED_VALUE"""),"olivier.harou@systeme-u.fr")</f>
        <v>olivier.harou@systeme-u.fr</v>
      </c>
      <c r="J130" t="str">
        <f ca="1">IFERROR(__xludf.DUMMYFUNCTION("""COMPUTED_VALUE"""),"M LEMARCHAND")</f>
        <v>M LEMARCHAND</v>
      </c>
      <c r="K130" t="str">
        <f ca="1">IFERROR(__xludf.DUMMYFUNCTION("""COMPUTED_VALUE"""),"")</f>
        <v/>
      </c>
      <c r="L130" t="str">
        <f ca="1">IFERROR(__xludf.DUMMYFUNCTION("""COMPUTED_VALUE"""),"")</f>
        <v/>
      </c>
      <c r="M130" t="str">
        <f ca="1">IFERROR(__xludf.DUMMYFUNCTION("""COMPUTED_VALUE"""),"99.Hors Périmetre")</f>
        <v>99.Hors Périmetre</v>
      </c>
      <c r="N130" t="str">
        <f ca="1">IFERROR(__xludf.DUMMYFUNCTION("""COMPUTED_VALUE"""),"")</f>
        <v/>
      </c>
      <c r="O130" t="str">
        <f ca="1">IFERROR(__xludf.DUMMYFUNCTION("""COMPUTED_VALUE"""),"")</f>
        <v/>
      </c>
      <c r="P130" t="str">
        <f ca="1">IFERROR(__xludf.DUMMYFUNCTION("""COMPUTED_VALUE"""),"")</f>
        <v/>
      </c>
      <c r="Q130" s="5" t="str">
        <f ca="1">IFERROR(__xludf.DUMMYFUNCTION("""COMPUTED_VALUE"""),"")</f>
        <v/>
      </c>
      <c r="R130" s="6" t="str">
        <f ca="1">IFERROR(__xludf.DUMMYFUNCTION("""COMPUTED_VALUE"""),"")</f>
        <v/>
      </c>
      <c r="S130" t="str">
        <f ca="1">IFERROR(__xludf.DUMMYFUNCTION("""COMPUTED_VALUE"""),"")</f>
        <v/>
      </c>
      <c r="T130" t="str">
        <f ca="1">IFERROR(__xludf.DUMMYFUNCTION("""COMPUTED_VALUE"""),"")</f>
        <v/>
      </c>
      <c r="U130" t="str">
        <f ca="1">IFERROR(__xludf.DUMMYFUNCTION("""COMPUTED_VALUE"""),"")</f>
        <v/>
      </c>
      <c r="V130" t="str">
        <f ca="1">IFERROR(__xludf.DUMMYFUNCTION("""COMPUTED_VALUE"""),"")</f>
        <v/>
      </c>
      <c r="W130" t="str">
        <f ca="1">IFERROR(__xludf.DUMMYFUNCTION("""COMPUTED_VALUE"""),"")</f>
        <v/>
      </c>
      <c r="X130" t="str">
        <f ca="1">IFERROR(__xludf.DUMMYFUNCTION("""COMPUTED_VALUE"""),"")</f>
        <v/>
      </c>
      <c r="Y130" t="str">
        <f ca="1">IFERROR(__xludf.DUMMYFUNCTION("""COMPUTED_VALUE"""),"")</f>
        <v/>
      </c>
      <c r="Z130" t="str">
        <f ca="1">IFERROR(__xludf.DUMMYFUNCTION("""COMPUTED_VALUE"""),"")</f>
        <v/>
      </c>
      <c r="AA130" t="str">
        <f ca="1">IFERROR(__xludf.DUMMYFUNCTION("""COMPUTED_VALUE"""),"Pas de commande")</f>
        <v>Pas de commande</v>
      </c>
      <c r="AB130" s="8" t="str">
        <f ca="1">IFERROR(__xludf.DUMMYFUNCTION("""COMPUTED_VALUE"""),"")</f>
        <v/>
      </c>
      <c r="AC130" s="8" t="str">
        <f ca="1">IFERROR(__xludf.DUMMYFUNCTION("""COMPUTED_VALUE"""),"")</f>
        <v/>
      </c>
      <c r="AD130" s="11" t="str">
        <f ca="1">IFERROR(__xludf.DUMMYFUNCTION("""COMPUTED_VALUE"""),"")</f>
        <v/>
      </c>
      <c r="AE130" t="str">
        <f ca="1">IFERROR(__xludf.DUMMYFUNCTION("""COMPUTED_VALUE"""),"")</f>
        <v/>
      </c>
    </row>
    <row r="131" spans="1:31" ht="12.75" x14ac:dyDescent="0.2">
      <c r="A131">
        <f ca="1">IFERROR(__xludf.DUMMYFUNCTION("""COMPUTED_VALUE"""),20256)</f>
        <v>20256</v>
      </c>
      <c r="B131" t="str">
        <f ca="1">IFERROR(__xludf.DUMMYFUNCTION("""COMPUTED_VALUE"""),"BREHAL")</f>
        <v>BREHAL</v>
      </c>
      <c r="C131" t="str">
        <f ca="1">IFERROR(__xludf.DUMMYFUNCTION("""COMPUTED_VALUE"""),"Super U")</f>
        <v>Super U</v>
      </c>
      <c r="D131" t="str">
        <f ca="1">IFERROR(__xludf.DUMMYFUNCTION("""COMPUTED_VALUE"""),"Coop U Enseigne NordOuest")</f>
        <v>Coop U Enseigne NordOuest</v>
      </c>
      <c r="E131">
        <f ca="1">IFERROR(__xludf.DUMMYFUNCTION("""COMPUTED_VALUE"""),50290)</f>
        <v>50290</v>
      </c>
      <c r="F131" t="str">
        <f ca="1">IFERROR(__xludf.DUMMYFUNCTION("""COMPUTED_VALUE"""),"ROUTE DE MONTMARTIN")</f>
        <v>ROUTE DE MONTMARTIN</v>
      </c>
      <c r="G131" t="str">
        <f ca="1">IFERROR(__xludf.DUMMYFUNCTION("""COMPUTED_VALUE"""),"02.33.51.70.72")</f>
        <v>02.33.51.70.72</v>
      </c>
      <c r="H131" t="str">
        <f ca="1">IFERROR(__xludf.DUMMYFUNCTION("""COMPUTED_VALUE"""),"LEMOINE Patrick")</f>
        <v>LEMOINE Patrick</v>
      </c>
      <c r="I131" t="str">
        <f ca="1">IFERROR(__xludf.DUMMYFUNCTION("""COMPUTED_VALUE"""),"patrick.lemoine@systeme-u.fr")</f>
        <v>patrick.lemoine@systeme-u.fr</v>
      </c>
      <c r="J131" t="str">
        <f ca="1">IFERROR(__xludf.DUMMYFUNCTION("""COMPUTED_VALUE"""),"Mme Mondher (Resp. informatique)")</f>
        <v>Mme Mondher (Resp. informatique)</v>
      </c>
      <c r="K131" t="str">
        <f ca="1">IFERROR(__xludf.DUMMYFUNCTION("""COMPUTED_VALUE"""),"superu.brehal@systeme-u.fr")</f>
        <v>superu.brehal@systeme-u.fr</v>
      </c>
      <c r="L131" t="str">
        <f ca="1">IFERROR(__xludf.DUMMYFUNCTION("""COMPUTED_VALUE"""),"")</f>
        <v/>
      </c>
      <c r="M131" t="str">
        <f ca="1">IFERROR(__xludf.DUMMYFUNCTION("""COMPUTED_VALUE"""),"99.Hors Périmetre")</f>
        <v>99.Hors Périmetre</v>
      </c>
      <c r="N131" t="str">
        <f ca="1">IFERROR(__xludf.DUMMYFUNCTION("""COMPUTED_VALUE"""),"")</f>
        <v/>
      </c>
      <c r="O131" t="str">
        <f ca="1">IFERROR(__xludf.DUMMYFUNCTION("""COMPUTED_VALUE"""),"")</f>
        <v/>
      </c>
      <c r="P131" t="str">
        <f ca="1">IFERROR(__xludf.DUMMYFUNCTION("""COMPUTED_VALUE"""),"")</f>
        <v/>
      </c>
      <c r="Q131" s="5" t="str">
        <f ca="1">IFERROR(__xludf.DUMMYFUNCTION("""COMPUTED_VALUE"""),"")</f>
        <v/>
      </c>
      <c r="R131" s="6" t="str">
        <f ca="1">IFERROR(__xludf.DUMMYFUNCTION("""COMPUTED_VALUE"""),"")</f>
        <v/>
      </c>
      <c r="S131" t="str">
        <f ca="1">IFERROR(__xludf.DUMMYFUNCTION("""COMPUTED_VALUE"""),"")</f>
        <v/>
      </c>
      <c r="T131" t="str">
        <f ca="1">IFERROR(__xludf.DUMMYFUNCTION("""COMPUTED_VALUE"""),"")</f>
        <v/>
      </c>
      <c r="U131" t="str">
        <f ca="1">IFERROR(__xludf.DUMMYFUNCTION("""COMPUTED_VALUE"""),"")</f>
        <v/>
      </c>
      <c r="V131" t="str">
        <f ca="1">IFERROR(__xludf.DUMMYFUNCTION("""COMPUTED_VALUE"""),"")</f>
        <v/>
      </c>
      <c r="W131" t="str">
        <f ca="1">IFERROR(__xludf.DUMMYFUNCTION("""COMPUTED_VALUE"""),"")</f>
        <v/>
      </c>
      <c r="X131" t="str">
        <f ca="1">IFERROR(__xludf.DUMMYFUNCTION("""COMPUTED_VALUE"""),"")</f>
        <v/>
      </c>
      <c r="Y131" t="str">
        <f ca="1">IFERROR(__xludf.DUMMYFUNCTION("""COMPUTED_VALUE"""),"")</f>
        <v/>
      </c>
      <c r="Z131" t="str">
        <f ca="1">IFERROR(__xludf.DUMMYFUNCTION("""COMPUTED_VALUE"""),"")</f>
        <v/>
      </c>
      <c r="AA131" t="str">
        <f ca="1">IFERROR(__xludf.DUMMYFUNCTION("""COMPUTED_VALUE"""),"Pas de commande")</f>
        <v>Pas de commande</v>
      </c>
      <c r="AB131" s="8" t="str">
        <f ca="1">IFERROR(__xludf.DUMMYFUNCTION("""COMPUTED_VALUE"""),"")</f>
        <v/>
      </c>
      <c r="AC131" s="8" t="str">
        <f ca="1">IFERROR(__xludf.DUMMYFUNCTION("""COMPUTED_VALUE"""),"")</f>
        <v/>
      </c>
      <c r="AD131" s="11" t="str">
        <f ca="1">IFERROR(__xludf.DUMMYFUNCTION("""COMPUTED_VALUE"""),"")</f>
        <v/>
      </c>
      <c r="AE131" t="str">
        <f ca="1">IFERROR(__xludf.DUMMYFUNCTION("""COMPUTED_VALUE"""),"")</f>
        <v/>
      </c>
    </row>
    <row r="132" spans="1:31" ht="12.75" x14ac:dyDescent="0.2">
      <c r="A132">
        <f ca="1">IFERROR(__xludf.DUMMYFUNCTION("""COMPUTED_VALUE"""),35037)</f>
        <v>35037</v>
      </c>
      <c r="B132" t="str">
        <f ca="1">IFERROR(__xludf.DUMMYFUNCTION("""COMPUTED_VALUE"""),"BREHAN")</f>
        <v>BREHAN</v>
      </c>
      <c r="C132" t="str">
        <f ca="1">IFERROR(__xludf.DUMMYFUNCTION("""COMPUTED_VALUE"""),"U Express")</f>
        <v>U Express</v>
      </c>
      <c r="D132" t="str">
        <f ca="1">IFERROR(__xludf.DUMMYFUNCTION("""COMPUTED_VALUE"""),"Coop U Enseigne Ouest")</f>
        <v>Coop U Enseigne Ouest</v>
      </c>
      <c r="E132">
        <f ca="1">IFERROR(__xludf.DUMMYFUNCTION("""COMPUTED_VALUE"""),56580)</f>
        <v>56580</v>
      </c>
      <c r="F132" t="str">
        <f ca="1">IFERROR(__xludf.DUMMYFUNCTION("""COMPUTED_VALUE"""),"16 RUE DE CHATEAUBRIAND")</f>
        <v>16 RUE DE CHATEAUBRIAND</v>
      </c>
      <c r="G132" t="str">
        <f ca="1">IFERROR(__xludf.DUMMYFUNCTION("""COMPUTED_VALUE"""),"02.97.38.80.90")</f>
        <v>02.97.38.80.90</v>
      </c>
      <c r="H132" t="str">
        <f ca="1">IFERROR(__xludf.DUMMYFUNCTION("""COMPUTED_VALUE"""),"GUYON Julien")</f>
        <v>GUYON Julien</v>
      </c>
      <c r="I132" t="str">
        <f ca="1">IFERROR(__xludf.DUMMYFUNCTION("""COMPUTED_VALUE"""),"julien.guyon@systeme-u.fr")</f>
        <v>julien.guyon@systeme-u.fr</v>
      </c>
      <c r="J132" t="str">
        <f ca="1">IFERROR(__xludf.DUMMYFUNCTION("""COMPUTED_VALUE"""),"MENARD Sébastien et Christelle")</f>
        <v>MENARD Sébastien et Christelle</v>
      </c>
      <c r="K132" t="str">
        <f ca="1">IFERROR(__xludf.DUMMYFUNCTION("""COMPUTED_VALUE"""),"")</f>
        <v/>
      </c>
      <c r="L132" t="str">
        <f ca="1">IFERROR(__xludf.DUMMYFUNCTION("""COMPUTED_VALUE"""),"")</f>
        <v/>
      </c>
      <c r="M132" t="str">
        <f ca="1">IFERROR(__xludf.DUMMYFUNCTION("""COMPUTED_VALUE"""),"99.Hors Périmetre")</f>
        <v>99.Hors Périmetre</v>
      </c>
      <c r="N132" t="str">
        <f ca="1">IFERROR(__xludf.DUMMYFUNCTION("""COMPUTED_VALUE"""),"")</f>
        <v/>
      </c>
      <c r="O132" t="str">
        <f ca="1">IFERROR(__xludf.DUMMYFUNCTION("""COMPUTED_VALUE"""),"")</f>
        <v/>
      </c>
      <c r="P132" t="str">
        <f ca="1">IFERROR(__xludf.DUMMYFUNCTION("""COMPUTED_VALUE"""),"")</f>
        <v/>
      </c>
      <c r="Q132" s="5" t="str">
        <f ca="1">IFERROR(__xludf.DUMMYFUNCTION("""COMPUTED_VALUE"""),"")</f>
        <v/>
      </c>
      <c r="R132" s="6" t="str">
        <f ca="1">IFERROR(__xludf.DUMMYFUNCTION("""COMPUTED_VALUE"""),"")</f>
        <v/>
      </c>
      <c r="S132" t="str">
        <f ca="1">IFERROR(__xludf.DUMMYFUNCTION("""COMPUTED_VALUE"""),"")</f>
        <v/>
      </c>
      <c r="T132" t="str">
        <f ca="1">IFERROR(__xludf.DUMMYFUNCTION("""COMPUTED_VALUE"""),"")</f>
        <v/>
      </c>
      <c r="U132" t="str">
        <f ca="1">IFERROR(__xludf.DUMMYFUNCTION("""COMPUTED_VALUE"""),"")</f>
        <v/>
      </c>
      <c r="V132" t="str">
        <f ca="1">IFERROR(__xludf.DUMMYFUNCTION("""COMPUTED_VALUE"""),"")</f>
        <v/>
      </c>
      <c r="W132" t="str">
        <f ca="1">IFERROR(__xludf.DUMMYFUNCTION("""COMPUTED_VALUE"""),"")</f>
        <v/>
      </c>
      <c r="X132" t="str">
        <f ca="1">IFERROR(__xludf.DUMMYFUNCTION("""COMPUTED_VALUE"""),"")</f>
        <v/>
      </c>
      <c r="Y132" t="str">
        <f ca="1">IFERROR(__xludf.DUMMYFUNCTION("""COMPUTED_VALUE"""),"")</f>
        <v/>
      </c>
      <c r="Z132" t="str">
        <f ca="1">IFERROR(__xludf.DUMMYFUNCTION("""COMPUTED_VALUE"""),"")</f>
        <v/>
      </c>
      <c r="AA132" t="str">
        <f ca="1">IFERROR(__xludf.DUMMYFUNCTION("""COMPUTED_VALUE"""),"Pas de commande")</f>
        <v>Pas de commande</v>
      </c>
      <c r="AB132" s="8" t="str">
        <f ca="1">IFERROR(__xludf.DUMMYFUNCTION("""COMPUTED_VALUE"""),"")</f>
        <v/>
      </c>
      <c r="AC132" s="8" t="str">
        <f ca="1">IFERROR(__xludf.DUMMYFUNCTION("""COMPUTED_VALUE"""),"")</f>
        <v/>
      </c>
      <c r="AD132" s="11" t="str">
        <f ca="1">IFERROR(__xludf.DUMMYFUNCTION("""COMPUTED_VALUE"""),"")</f>
        <v/>
      </c>
      <c r="AE132" t="str">
        <f ca="1">IFERROR(__xludf.DUMMYFUNCTION("""COMPUTED_VALUE"""),"")</f>
        <v/>
      </c>
    </row>
    <row r="133" spans="1:31" ht="12.75" x14ac:dyDescent="0.2">
      <c r="A133">
        <f ca="1">IFERROR(__xludf.DUMMYFUNCTION("""COMPUTED_VALUE"""),38221)</f>
        <v>38221</v>
      </c>
      <c r="B133" t="str">
        <f ca="1">IFERROR(__xludf.DUMMYFUNCTION("""COMPUTED_VALUE"""),"BRESSUIRE")</f>
        <v>BRESSUIRE</v>
      </c>
      <c r="C133" t="str">
        <f ca="1">IFERROR(__xludf.DUMMYFUNCTION("""COMPUTED_VALUE"""),"U Express")</f>
        <v>U Express</v>
      </c>
      <c r="D133" t="str">
        <f ca="1">IFERROR(__xludf.DUMMYFUNCTION("""COMPUTED_VALUE"""),"Coop U Enseigne Ouest")</f>
        <v>Coop U Enseigne Ouest</v>
      </c>
      <c r="E133">
        <f ca="1">IFERROR(__xludf.DUMMYFUNCTION("""COMPUTED_VALUE"""),79300)</f>
        <v>79300</v>
      </c>
      <c r="F133" t="str">
        <f ca="1">IFERROR(__xludf.DUMMYFUNCTION("""COMPUTED_VALUE"""),"3 RUE DE LA VERGNE")</f>
        <v>3 RUE DE LA VERGNE</v>
      </c>
      <c r="G133" t="str">
        <f ca="1">IFERROR(__xludf.DUMMYFUNCTION("""COMPUTED_VALUE"""),"05.49.82.00.90")</f>
        <v>05.49.82.00.90</v>
      </c>
      <c r="H133" t="str">
        <f ca="1">IFERROR(__xludf.DUMMYFUNCTION("""COMPUTED_VALUE"""),"PAPIN RPT SARL MACHADIS Marie-Hélène")</f>
        <v>PAPIN RPT SARL MACHADIS Marie-Hélène</v>
      </c>
      <c r="I133" t="str">
        <f ca="1">IFERROR(__xludf.DUMMYFUNCTION("""COMPUTED_VALUE"""),"lionel.laville@systeme-u.fr")</f>
        <v>lionel.laville@systeme-u.fr</v>
      </c>
      <c r="J133" t="str">
        <f ca="1">IFERROR(__xludf.DUMMYFUNCTION("""COMPUTED_VALUE"""),"LAVILLE LIONEL")</f>
        <v>LAVILLE LIONEL</v>
      </c>
      <c r="K133" t="str">
        <f ca="1">IFERROR(__xludf.DUMMYFUNCTION("""COMPUTED_VALUE"""),"lionel.laville@systeme-u.fr")</f>
        <v>lionel.laville@systeme-u.fr</v>
      </c>
      <c r="L133" t="str">
        <f ca="1">IFERROR(__xludf.DUMMYFUNCTION("""COMPUTED_VALUE"""),"")</f>
        <v/>
      </c>
      <c r="M133" t="str">
        <f ca="1">IFERROR(__xludf.DUMMYFUNCTION("""COMPUTED_VALUE"""),"99.Hors Périmetre")</f>
        <v>99.Hors Périmetre</v>
      </c>
      <c r="N133" t="str">
        <f ca="1">IFERROR(__xludf.DUMMYFUNCTION("""COMPUTED_VALUE"""),"")</f>
        <v/>
      </c>
      <c r="O133" t="str">
        <f ca="1">IFERROR(__xludf.DUMMYFUNCTION("""COMPUTED_VALUE"""),"")</f>
        <v/>
      </c>
      <c r="P133" t="str">
        <f ca="1">IFERROR(__xludf.DUMMYFUNCTION("""COMPUTED_VALUE"""),"")</f>
        <v/>
      </c>
      <c r="Q133" s="5" t="str">
        <f ca="1">IFERROR(__xludf.DUMMYFUNCTION("""COMPUTED_VALUE"""),"")</f>
        <v/>
      </c>
      <c r="R133" s="6" t="str">
        <f ca="1">IFERROR(__xludf.DUMMYFUNCTION("""COMPUTED_VALUE"""),"")</f>
        <v/>
      </c>
      <c r="S133" t="str">
        <f ca="1">IFERROR(__xludf.DUMMYFUNCTION("""COMPUTED_VALUE"""),"")</f>
        <v/>
      </c>
      <c r="T133" t="str">
        <f ca="1">IFERROR(__xludf.DUMMYFUNCTION("""COMPUTED_VALUE"""),"")</f>
        <v/>
      </c>
      <c r="U133" t="str">
        <f ca="1">IFERROR(__xludf.DUMMYFUNCTION("""COMPUTED_VALUE"""),"")</f>
        <v/>
      </c>
      <c r="V133" t="str">
        <f ca="1">IFERROR(__xludf.DUMMYFUNCTION("""COMPUTED_VALUE"""),"")</f>
        <v/>
      </c>
      <c r="W133" t="str">
        <f ca="1">IFERROR(__xludf.DUMMYFUNCTION("""COMPUTED_VALUE"""),"")</f>
        <v/>
      </c>
      <c r="X133" t="str">
        <f ca="1">IFERROR(__xludf.DUMMYFUNCTION("""COMPUTED_VALUE"""),"")</f>
        <v/>
      </c>
      <c r="Y133" t="str">
        <f ca="1">IFERROR(__xludf.DUMMYFUNCTION("""COMPUTED_VALUE"""),"")</f>
        <v/>
      </c>
      <c r="Z133" t="str">
        <f ca="1">IFERROR(__xludf.DUMMYFUNCTION("""COMPUTED_VALUE"""),"")</f>
        <v/>
      </c>
      <c r="AA133" t="str">
        <f ca="1">IFERROR(__xludf.DUMMYFUNCTION("""COMPUTED_VALUE"""),"Pas de commande")</f>
        <v>Pas de commande</v>
      </c>
      <c r="AB133" s="8" t="str">
        <f ca="1">IFERROR(__xludf.DUMMYFUNCTION("""COMPUTED_VALUE"""),"")</f>
        <v/>
      </c>
      <c r="AC133" s="8" t="str">
        <f ca="1">IFERROR(__xludf.DUMMYFUNCTION("""COMPUTED_VALUE"""),"")</f>
        <v/>
      </c>
      <c r="AD133" s="11" t="str">
        <f ca="1">IFERROR(__xludf.DUMMYFUNCTION("""COMPUTED_VALUE"""),"")</f>
        <v/>
      </c>
      <c r="AE133" t="str">
        <f ca="1">IFERROR(__xludf.DUMMYFUNCTION("""COMPUTED_VALUE"""),"")</f>
        <v/>
      </c>
    </row>
    <row r="134" spans="1:31" ht="12.75" x14ac:dyDescent="0.2">
      <c r="A134">
        <f ca="1">IFERROR(__xludf.DUMMYFUNCTION("""COMPUTED_VALUE"""),31244)</f>
        <v>31244</v>
      </c>
      <c r="B134" t="str">
        <f ca="1">IFERROR(__xludf.DUMMYFUNCTION("""COMPUTED_VALUE"""),"BREST KEREDERN")</f>
        <v>BREST KEREDERN</v>
      </c>
      <c r="C134" t="str">
        <f ca="1">IFERROR(__xludf.DUMMYFUNCTION("""COMPUTED_VALUE"""),"Super U")</f>
        <v>Super U</v>
      </c>
      <c r="D134" t="str">
        <f ca="1">IFERROR(__xludf.DUMMYFUNCTION("""COMPUTED_VALUE"""),"Coop U Enseigne Ouest")</f>
        <v>Coop U Enseigne Ouest</v>
      </c>
      <c r="E134">
        <f ca="1">IFERROR(__xludf.DUMMYFUNCTION("""COMPUTED_VALUE"""),29200)</f>
        <v>29200</v>
      </c>
      <c r="F134" t="str">
        <f ca="1">IFERROR(__xludf.DUMMYFUNCTION("""COMPUTED_VALUE"""),"17 RUE CUIRASSE BRETAGNE")</f>
        <v>17 RUE CUIRASSE BRETAGNE</v>
      </c>
      <c r="G134" t="str">
        <f ca="1">IFERROR(__xludf.DUMMYFUNCTION("""COMPUTED_VALUE"""),"02.98.47.74.11")</f>
        <v>02.98.47.74.11</v>
      </c>
      <c r="H134" t="str">
        <f ca="1">IFERROR(__xludf.DUMMYFUNCTION("""COMPUTED_VALUE"""),"LE GOFF RPT FINANCIERE GH Hervé")</f>
        <v>LE GOFF RPT FINANCIERE GH Hervé</v>
      </c>
      <c r="I134" t="str">
        <f ca="1">IFERROR(__xludf.DUMMYFUNCTION("""COMPUTED_VALUE"""),"herve.le-goff@systeme-u.fr")</f>
        <v>herve.le-goff@systeme-u.fr</v>
      </c>
      <c r="J134" t="str">
        <f ca="1">IFERROR(__xludf.DUMMYFUNCTION("""COMPUTED_VALUE"""),"LE GOFF Damien
QUEMENEUR Emilie")</f>
        <v>LE GOFF Damien
QUEMENEUR Emilie</v>
      </c>
      <c r="K134" t="str">
        <f ca="1">IFERROR(__xludf.DUMMYFUNCTION("""COMPUTED_VALUE"""),"damien.le-goff@systeme-u.fr,superu.brestgaylussac.compta@systeme-u.fr")</f>
        <v>damien.le-goff@systeme-u.fr,superu.brestgaylussac.compta@systeme-u.fr</v>
      </c>
      <c r="L134" t="str">
        <f ca="1">IFERROR(__xludf.DUMMYFUNCTION("""COMPUTED_VALUE"""),"")</f>
        <v/>
      </c>
      <c r="M134" t="str">
        <f ca="1">IFERROR(__xludf.DUMMYFUNCTION("""COMPUTED_VALUE"""),"99.Hors Périmetre")</f>
        <v>99.Hors Périmetre</v>
      </c>
      <c r="N134" t="str">
        <f ca="1">IFERROR(__xludf.DUMMYFUNCTION("""COMPUTED_VALUE"""),"")</f>
        <v/>
      </c>
      <c r="O134" t="str">
        <f ca="1">IFERROR(__xludf.DUMMYFUNCTION("""COMPUTED_VALUE"""),"")</f>
        <v/>
      </c>
      <c r="P134" t="str">
        <f ca="1">IFERROR(__xludf.DUMMYFUNCTION("""COMPUTED_VALUE"""),"")</f>
        <v/>
      </c>
      <c r="Q134" s="5" t="str">
        <f ca="1">IFERROR(__xludf.DUMMYFUNCTION("""COMPUTED_VALUE"""),"")</f>
        <v/>
      </c>
      <c r="R134" s="6" t="str">
        <f ca="1">IFERROR(__xludf.DUMMYFUNCTION("""COMPUTED_VALUE"""),"")</f>
        <v/>
      </c>
      <c r="S134" t="str">
        <f ca="1">IFERROR(__xludf.DUMMYFUNCTION("""COMPUTED_VALUE"""),"")</f>
        <v/>
      </c>
      <c r="T134" t="str">
        <f ca="1">IFERROR(__xludf.DUMMYFUNCTION("""COMPUTED_VALUE"""),"")</f>
        <v/>
      </c>
      <c r="U134" t="str">
        <f ca="1">IFERROR(__xludf.DUMMYFUNCTION("""COMPUTED_VALUE"""),"")</f>
        <v/>
      </c>
      <c r="V134" t="str">
        <f ca="1">IFERROR(__xludf.DUMMYFUNCTION("""COMPUTED_VALUE"""),"")</f>
        <v/>
      </c>
      <c r="W134" t="str">
        <f ca="1">IFERROR(__xludf.DUMMYFUNCTION("""COMPUTED_VALUE"""),"")</f>
        <v/>
      </c>
      <c r="X134" t="str">
        <f ca="1">IFERROR(__xludf.DUMMYFUNCTION("""COMPUTED_VALUE"""),"")</f>
        <v/>
      </c>
      <c r="Y134" t="str">
        <f ca="1">IFERROR(__xludf.DUMMYFUNCTION("""COMPUTED_VALUE"""),"")</f>
        <v/>
      </c>
      <c r="Z134" t="str">
        <f ca="1">IFERROR(__xludf.DUMMYFUNCTION("""COMPUTED_VALUE"""),"")</f>
        <v/>
      </c>
      <c r="AA134" t="str">
        <f ca="1">IFERROR(__xludf.DUMMYFUNCTION("""COMPUTED_VALUE"""),"Pas de commande")</f>
        <v>Pas de commande</v>
      </c>
      <c r="AB134" s="8" t="str">
        <f ca="1">IFERROR(__xludf.DUMMYFUNCTION("""COMPUTED_VALUE"""),"")</f>
        <v/>
      </c>
      <c r="AC134" s="8" t="str">
        <f ca="1">IFERROR(__xludf.DUMMYFUNCTION("""COMPUTED_VALUE"""),"")</f>
        <v/>
      </c>
      <c r="AD134" s="11" t="str">
        <f ca="1">IFERROR(__xludf.DUMMYFUNCTION("""COMPUTED_VALUE"""),"")</f>
        <v/>
      </c>
      <c r="AE134" t="str">
        <f ca="1">IFERROR(__xludf.DUMMYFUNCTION("""COMPUTED_VALUE"""),"")</f>
        <v/>
      </c>
    </row>
    <row r="135" spans="1:31" ht="12.75" x14ac:dyDescent="0.2">
      <c r="A135">
        <f ca="1">IFERROR(__xludf.DUMMYFUNCTION("""COMPUTED_VALUE"""),32461)</f>
        <v>32461</v>
      </c>
      <c r="B135" t="str">
        <f ca="1">IFERROR(__xludf.DUMMYFUNCTION("""COMPUTED_VALUE"""),"BREST RECOUVRANCE")</f>
        <v>BREST RECOUVRANCE</v>
      </c>
      <c r="C135" t="str">
        <f ca="1">IFERROR(__xludf.DUMMYFUNCTION("""COMPUTED_VALUE"""),"U Express")</f>
        <v>U Express</v>
      </c>
      <c r="D135" t="str">
        <f ca="1">IFERROR(__xludf.DUMMYFUNCTION("""COMPUTED_VALUE"""),"Coop U Enseigne Ouest")</f>
        <v>Coop U Enseigne Ouest</v>
      </c>
      <c r="E135">
        <f ca="1">IFERROR(__xludf.DUMMYFUNCTION("""COMPUTED_VALUE"""),29200)</f>
        <v>29200</v>
      </c>
      <c r="F135" t="str">
        <f ca="1">IFERROR(__xludf.DUMMYFUNCTION("""COMPUTED_VALUE"""),"33, RUE D ARMORIQUE")</f>
        <v>33, RUE D ARMORIQUE</v>
      </c>
      <c r="G135" t="str">
        <f ca="1">IFERROR(__xludf.DUMMYFUNCTION("""COMPUTED_VALUE"""),"02.98.45.13.68")</f>
        <v>02.98.45.13.68</v>
      </c>
      <c r="H135" t="str">
        <f ca="1">IFERROR(__xludf.DUMMYFUNCTION("""COMPUTED_VALUE"""),"POSIER Jean michel")</f>
        <v>POSIER Jean michel</v>
      </c>
      <c r="I135" t="str">
        <f ca="1">IFERROR(__xludf.DUMMYFUNCTION("""COMPUTED_VALUE"""),"jean-michel.posier@systeme-u.fr")</f>
        <v>jean-michel.posier@systeme-u.fr</v>
      </c>
      <c r="J135" t="str">
        <f ca="1">IFERROR(__xludf.DUMMYFUNCTION("""COMPUTED_VALUE"""),"Prémel philippe")</f>
        <v>Prémel philippe</v>
      </c>
      <c r="K135" t="str">
        <f ca="1">IFERROR(__xludf.DUMMYFUNCTION("""COMPUTED_VALUE"""),"uexpress.brestrecouvrance.direction@systeme-u.fr")</f>
        <v>uexpress.brestrecouvrance.direction@systeme-u.fr</v>
      </c>
      <c r="L135" t="str">
        <f ca="1">IFERROR(__xludf.DUMMYFUNCTION("""COMPUTED_VALUE"""),"")</f>
        <v/>
      </c>
      <c r="M135" t="str">
        <f ca="1">IFERROR(__xludf.DUMMYFUNCTION("""COMPUTED_VALUE"""),"99.Hors Périmetre")</f>
        <v>99.Hors Périmetre</v>
      </c>
      <c r="N135" t="str">
        <f ca="1">IFERROR(__xludf.DUMMYFUNCTION("""COMPUTED_VALUE"""),"")</f>
        <v/>
      </c>
      <c r="O135" t="str">
        <f ca="1">IFERROR(__xludf.DUMMYFUNCTION("""COMPUTED_VALUE"""),"")</f>
        <v/>
      </c>
      <c r="P135" t="str">
        <f ca="1">IFERROR(__xludf.DUMMYFUNCTION("""COMPUTED_VALUE"""),"")</f>
        <v/>
      </c>
      <c r="Q135" s="5" t="str">
        <f ca="1">IFERROR(__xludf.DUMMYFUNCTION("""COMPUTED_VALUE"""),"")</f>
        <v/>
      </c>
      <c r="R135" s="6" t="str">
        <f ca="1">IFERROR(__xludf.DUMMYFUNCTION("""COMPUTED_VALUE"""),"")</f>
        <v/>
      </c>
      <c r="S135" t="str">
        <f ca="1">IFERROR(__xludf.DUMMYFUNCTION("""COMPUTED_VALUE"""),"")</f>
        <v/>
      </c>
      <c r="T135" t="str">
        <f ca="1">IFERROR(__xludf.DUMMYFUNCTION("""COMPUTED_VALUE"""),"")</f>
        <v/>
      </c>
      <c r="U135" t="str">
        <f ca="1">IFERROR(__xludf.DUMMYFUNCTION("""COMPUTED_VALUE"""),"")</f>
        <v/>
      </c>
      <c r="V135" t="str">
        <f ca="1">IFERROR(__xludf.DUMMYFUNCTION("""COMPUTED_VALUE"""),"")</f>
        <v/>
      </c>
      <c r="W135" t="str">
        <f ca="1">IFERROR(__xludf.DUMMYFUNCTION("""COMPUTED_VALUE"""),"")</f>
        <v/>
      </c>
      <c r="X135" t="str">
        <f ca="1">IFERROR(__xludf.DUMMYFUNCTION("""COMPUTED_VALUE"""),"")</f>
        <v/>
      </c>
      <c r="Y135" t="str">
        <f ca="1">IFERROR(__xludf.DUMMYFUNCTION("""COMPUTED_VALUE"""),"")</f>
        <v/>
      </c>
      <c r="Z135" t="str">
        <f ca="1">IFERROR(__xludf.DUMMYFUNCTION("""COMPUTED_VALUE"""),"")</f>
        <v/>
      </c>
      <c r="AA135" t="str">
        <f ca="1">IFERROR(__xludf.DUMMYFUNCTION("""COMPUTED_VALUE"""),"Pas de commande")</f>
        <v>Pas de commande</v>
      </c>
      <c r="AB135" s="8" t="str">
        <f ca="1">IFERROR(__xludf.DUMMYFUNCTION("""COMPUTED_VALUE"""),"")</f>
        <v/>
      </c>
      <c r="AC135" s="8" t="str">
        <f ca="1">IFERROR(__xludf.DUMMYFUNCTION("""COMPUTED_VALUE"""),"")</f>
        <v/>
      </c>
      <c r="AD135" s="11" t="str">
        <f ca="1">IFERROR(__xludf.DUMMYFUNCTION("""COMPUTED_VALUE"""),"")</f>
        <v/>
      </c>
      <c r="AE135" t="str">
        <f ca="1">IFERROR(__xludf.DUMMYFUNCTION("""COMPUTED_VALUE"""),"")</f>
        <v/>
      </c>
    </row>
    <row r="136" spans="1:31" ht="12.75" x14ac:dyDescent="0.2">
      <c r="A136">
        <f ca="1">IFERROR(__xludf.DUMMYFUNCTION("""COMPUTED_VALUE"""),32089)</f>
        <v>32089</v>
      </c>
      <c r="B136" t="str">
        <f ca="1">IFERROR(__xludf.DUMMYFUNCTION("""COMPUTED_VALUE"""),"BRETEIL")</f>
        <v>BRETEIL</v>
      </c>
      <c r="C136" t="str">
        <f ca="1">IFERROR(__xludf.DUMMYFUNCTION("""COMPUTED_VALUE"""),"Super U")</f>
        <v>Super U</v>
      </c>
      <c r="D136" t="str">
        <f ca="1">IFERROR(__xludf.DUMMYFUNCTION("""COMPUTED_VALUE"""),"Coop U Enseigne Ouest")</f>
        <v>Coop U Enseigne Ouest</v>
      </c>
      <c r="E136">
        <f ca="1">IFERROR(__xludf.DUMMYFUNCTION("""COMPUTED_VALUE"""),35160)</f>
        <v>35160</v>
      </c>
      <c r="F136" t="str">
        <f ca="1">IFERROR(__xludf.DUMMYFUNCTION("""COMPUTED_VALUE"""),"LAUNAY QUERO")</f>
        <v>LAUNAY QUERO</v>
      </c>
      <c r="G136" t="str">
        <f ca="1">IFERROR(__xludf.DUMMYFUNCTION("""COMPUTED_VALUE"""),"02.99.09.13.41")</f>
        <v>02.99.09.13.41</v>
      </c>
      <c r="H136" t="str">
        <f ca="1">IFERROR(__xludf.DUMMYFUNCTION("""COMPUTED_VALUE"""),"PORCHER RPT SARL AJM Arnaud")</f>
        <v>PORCHER RPT SARL AJM Arnaud</v>
      </c>
      <c r="I136" t="str">
        <f ca="1">IFERROR(__xludf.DUMMYFUNCTION("""COMPUTED_VALUE"""),"arnaud.porcher@systeme-u.fr")</f>
        <v>arnaud.porcher@systeme-u.fr</v>
      </c>
      <c r="J136" t="str">
        <f ca="1">IFERROR(__xludf.DUMMYFUNCTION("""COMPUTED_VALUE"""),"LE FRAY JEROME")</f>
        <v>LE FRAY JEROME</v>
      </c>
      <c r="K136" t="str">
        <f ca="1">IFERROR(__xludf.DUMMYFUNCTION("""COMPUTED_VALUE"""),"superu.montfortsurmeu.direction@systeme-u.fr")</f>
        <v>superu.montfortsurmeu.direction@systeme-u.fr</v>
      </c>
      <c r="L136" t="str">
        <f ca="1">IFERROR(__xludf.DUMMYFUNCTION("""COMPUTED_VALUE"""),"")</f>
        <v/>
      </c>
      <c r="M136" t="str">
        <f ca="1">IFERROR(__xludf.DUMMYFUNCTION("""COMPUTED_VALUE"""),"99.Hors Périmetre")</f>
        <v>99.Hors Périmetre</v>
      </c>
      <c r="N136" t="str">
        <f ca="1">IFERROR(__xludf.DUMMYFUNCTION("""COMPUTED_VALUE"""),"")</f>
        <v/>
      </c>
      <c r="O136" t="str">
        <f ca="1">IFERROR(__xludf.DUMMYFUNCTION("""COMPUTED_VALUE"""),"")</f>
        <v/>
      </c>
      <c r="P136" t="str">
        <f ca="1">IFERROR(__xludf.DUMMYFUNCTION("""COMPUTED_VALUE"""),"")</f>
        <v/>
      </c>
      <c r="Q136" s="5" t="str">
        <f ca="1">IFERROR(__xludf.DUMMYFUNCTION("""COMPUTED_VALUE"""),"")</f>
        <v/>
      </c>
      <c r="R136" s="6" t="str">
        <f ca="1">IFERROR(__xludf.DUMMYFUNCTION("""COMPUTED_VALUE"""),"")</f>
        <v/>
      </c>
      <c r="S136" t="str">
        <f ca="1">IFERROR(__xludf.DUMMYFUNCTION("""COMPUTED_VALUE"""),"")</f>
        <v/>
      </c>
      <c r="T136" t="str">
        <f ca="1">IFERROR(__xludf.DUMMYFUNCTION("""COMPUTED_VALUE"""),"")</f>
        <v/>
      </c>
      <c r="U136" t="str">
        <f ca="1">IFERROR(__xludf.DUMMYFUNCTION("""COMPUTED_VALUE"""),"")</f>
        <v/>
      </c>
      <c r="V136" t="str">
        <f ca="1">IFERROR(__xludf.DUMMYFUNCTION("""COMPUTED_VALUE"""),"")</f>
        <v/>
      </c>
      <c r="W136" t="str">
        <f ca="1">IFERROR(__xludf.DUMMYFUNCTION("""COMPUTED_VALUE"""),"")</f>
        <v/>
      </c>
      <c r="X136" t="str">
        <f ca="1">IFERROR(__xludf.DUMMYFUNCTION("""COMPUTED_VALUE"""),"")</f>
        <v/>
      </c>
      <c r="Y136" t="str">
        <f ca="1">IFERROR(__xludf.DUMMYFUNCTION("""COMPUTED_VALUE"""),"")</f>
        <v/>
      </c>
      <c r="Z136" t="str">
        <f ca="1">IFERROR(__xludf.DUMMYFUNCTION("""COMPUTED_VALUE"""),"")</f>
        <v/>
      </c>
      <c r="AA136" t="str">
        <f ca="1">IFERROR(__xludf.DUMMYFUNCTION("""COMPUTED_VALUE"""),"Pas de commande")</f>
        <v>Pas de commande</v>
      </c>
      <c r="AB136" s="8" t="str">
        <f ca="1">IFERROR(__xludf.DUMMYFUNCTION("""COMPUTED_VALUE"""),"")</f>
        <v/>
      </c>
      <c r="AC136" s="8" t="str">
        <f ca="1">IFERROR(__xludf.DUMMYFUNCTION("""COMPUTED_VALUE"""),"")</f>
        <v/>
      </c>
      <c r="AD136" s="11" t="str">
        <f ca="1">IFERROR(__xludf.DUMMYFUNCTION("""COMPUTED_VALUE"""),"")</f>
        <v/>
      </c>
      <c r="AE136" t="str">
        <f ca="1">IFERROR(__xludf.DUMMYFUNCTION("""COMPUTED_VALUE"""),"")</f>
        <v/>
      </c>
    </row>
    <row r="137" spans="1:31" ht="12.75" x14ac:dyDescent="0.2">
      <c r="A137">
        <f ca="1">IFERROR(__xludf.DUMMYFUNCTION("""COMPUTED_VALUE"""),30906)</f>
        <v>30906</v>
      </c>
      <c r="B137" t="str">
        <f ca="1">IFERROR(__xludf.DUMMYFUNCTION("""COMPUTED_VALUE"""),"BRETIGNOLLES-SUR-MER")</f>
        <v>BRETIGNOLLES-SUR-MER</v>
      </c>
      <c r="C137" t="str">
        <f ca="1">IFERROR(__xludf.DUMMYFUNCTION("""COMPUTED_VALUE"""),"Super U")</f>
        <v>Super U</v>
      </c>
      <c r="D137" t="str">
        <f ca="1">IFERROR(__xludf.DUMMYFUNCTION("""COMPUTED_VALUE"""),"Coop U Enseigne Ouest")</f>
        <v>Coop U Enseigne Ouest</v>
      </c>
      <c r="E137">
        <f ca="1">IFERROR(__xludf.DUMMYFUNCTION("""COMPUTED_VALUE"""),85470)</f>
        <v>85470</v>
      </c>
      <c r="F137" t="str">
        <f ca="1">IFERROR(__xludf.DUMMYFUNCTION("""COMPUTED_VALUE"""),"8, AVENUE DE VERDUN")</f>
        <v>8, AVENUE DE VERDUN</v>
      </c>
      <c r="G137" t="str">
        <f ca="1">IFERROR(__xludf.DUMMYFUNCTION("""COMPUTED_VALUE"""),"02.51.90.09.09")</f>
        <v>02.51.90.09.09</v>
      </c>
      <c r="H137" t="str">
        <f ca="1">IFERROR(__xludf.DUMMYFUNCTION("""COMPUTED_VALUE"""),"PRAUD RPT SARL PRAUFI STEPHANE")</f>
        <v>PRAUD RPT SARL PRAUFI STEPHANE</v>
      </c>
      <c r="I137" t="str">
        <f ca="1">IFERROR(__xludf.DUMMYFUNCTION("""COMPUTED_VALUE"""),"stephane.praud@systeme-u.fr")</f>
        <v>stephane.praud@systeme-u.fr</v>
      </c>
      <c r="J137" t="str">
        <f ca="1">IFERROR(__xludf.DUMMYFUNCTION("""COMPUTED_VALUE"""),"Claude MORIN")</f>
        <v>Claude MORIN</v>
      </c>
      <c r="K137" t="str">
        <f ca="1">IFERROR(__xludf.DUMMYFUNCTION("""COMPUTED_VALUE"""),"superu.bretignollessurmer.rh@systeme-u.fr")</f>
        <v>superu.bretignollessurmer.rh@systeme-u.fr</v>
      </c>
      <c r="L137" t="str">
        <f ca="1">IFERROR(__xludf.DUMMYFUNCTION("""COMPUTED_VALUE"""),"")</f>
        <v/>
      </c>
      <c r="M137" t="str">
        <f ca="1">IFERROR(__xludf.DUMMYFUNCTION("""COMPUTED_VALUE"""),"99.Hors Périmetre")</f>
        <v>99.Hors Périmetre</v>
      </c>
      <c r="N137" t="str">
        <f ca="1">IFERROR(__xludf.DUMMYFUNCTION("""COMPUTED_VALUE"""),"")</f>
        <v/>
      </c>
      <c r="O137" t="str">
        <f ca="1">IFERROR(__xludf.DUMMYFUNCTION("""COMPUTED_VALUE"""),"")</f>
        <v/>
      </c>
      <c r="P137" t="str">
        <f ca="1">IFERROR(__xludf.DUMMYFUNCTION("""COMPUTED_VALUE"""),"")</f>
        <v/>
      </c>
      <c r="Q137" s="5" t="str">
        <f ca="1">IFERROR(__xludf.DUMMYFUNCTION("""COMPUTED_VALUE"""),"")</f>
        <v/>
      </c>
      <c r="R137" s="6" t="str">
        <f ca="1">IFERROR(__xludf.DUMMYFUNCTION("""COMPUTED_VALUE"""),"")</f>
        <v/>
      </c>
      <c r="S137" t="str">
        <f ca="1">IFERROR(__xludf.DUMMYFUNCTION("""COMPUTED_VALUE"""),"")</f>
        <v/>
      </c>
      <c r="T137" t="str">
        <f ca="1">IFERROR(__xludf.DUMMYFUNCTION("""COMPUTED_VALUE"""),"")</f>
        <v/>
      </c>
      <c r="U137" t="str">
        <f ca="1">IFERROR(__xludf.DUMMYFUNCTION("""COMPUTED_VALUE"""),"")</f>
        <v/>
      </c>
      <c r="V137" t="str">
        <f ca="1">IFERROR(__xludf.DUMMYFUNCTION("""COMPUTED_VALUE"""),"")</f>
        <v/>
      </c>
      <c r="W137" t="str">
        <f ca="1">IFERROR(__xludf.DUMMYFUNCTION("""COMPUTED_VALUE"""),"")</f>
        <v/>
      </c>
      <c r="X137" t="str">
        <f ca="1">IFERROR(__xludf.DUMMYFUNCTION("""COMPUTED_VALUE"""),"")</f>
        <v/>
      </c>
      <c r="Y137" t="str">
        <f ca="1">IFERROR(__xludf.DUMMYFUNCTION("""COMPUTED_VALUE"""),"")</f>
        <v/>
      </c>
      <c r="Z137" t="str">
        <f ca="1">IFERROR(__xludf.DUMMYFUNCTION("""COMPUTED_VALUE"""),"")</f>
        <v/>
      </c>
      <c r="AA137" t="str">
        <f ca="1">IFERROR(__xludf.DUMMYFUNCTION("""COMPUTED_VALUE"""),"Pas de commande")</f>
        <v>Pas de commande</v>
      </c>
      <c r="AB137" s="8" t="str">
        <f ca="1">IFERROR(__xludf.DUMMYFUNCTION("""COMPUTED_VALUE"""),"")</f>
        <v/>
      </c>
      <c r="AC137" s="8" t="str">
        <f ca="1">IFERROR(__xludf.DUMMYFUNCTION("""COMPUTED_VALUE"""),"")</f>
        <v/>
      </c>
      <c r="AD137" s="11" t="str">
        <f ca="1">IFERROR(__xludf.DUMMYFUNCTION("""COMPUTED_VALUE"""),"")</f>
        <v/>
      </c>
      <c r="AE137" t="str">
        <f ca="1">IFERROR(__xludf.DUMMYFUNCTION("""COMPUTED_VALUE"""),"")</f>
        <v/>
      </c>
    </row>
    <row r="138" spans="1:31" ht="12.75" x14ac:dyDescent="0.2">
      <c r="A138">
        <f ca="1">IFERROR(__xludf.DUMMYFUNCTION("""COMPUTED_VALUE"""),24448)</f>
        <v>24448</v>
      </c>
      <c r="B138" t="str">
        <f ca="1">IFERROR(__xludf.DUMMYFUNCTION("""COMPUTED_VALUE"""),"#N/A")</f>
        <v>#N/A</v>
      </c>
      <c r="C138" t="str">
        <f ca="1">IFERROR(__xludf.DUMMYFUNCTION("""COMPUTED_VALUE"""),"#N/A")</f>
        <v>#N/A</v>
      </c>
      <c r="D138" t="str">
        <f ca="1">IFERROR(__xludf.DUMMYFUNCTION("""COMPUTED_VALUE"""),"#N/A")</f>
        <v>#N/A</v>
      </c>
      <c r="E138" t="str">
        <f ca="1">IFERROR(__xludf.DUMMYFUNCTION("""COMPUTED_VALUE"""),"")</f>
        <v/>
      </c>
      <c r="F138" t="str">
        <f ca="1">IFERROR(__xludf.DUMMYFUNCTION("""COMPUTED_VALUE"""),"#N/A")</f>
        <v>#N/A</v>
      </c>
      <c r="G138" t="str">
        <f ca="1">IFERROR(__xludf.DUMMYFUNCTION("""COMPUTED_VALUE"""),"#N/A")</f>
        <v>#N/A</v>
      </c>
      <c r="H138" t="str">
        <f ca="1">IFERROR(__xludf.DUMMYFUNCTION("""COMPUTED_VALUE"""),"#N/A")</f>
        <v>#N/A</v>
      </c>
      <c r="I138" t="str">
        <f ca="1">IFERROR(__xludf.DUMMYFUNCTION("""COMPUTED_VALUE"""),"#N/A")</f>
        <v>#N/A</v>
      </c>
      <c r="J138" t="str">
        <f ca="1">IFERROR(__xludf.DUMMYFUNCTION("""COMPUTED_VALUE"""),"Gilles EVRARD")</f>
        <v>Gilles EVRARD</v>
      </c>
      <c r="K138" t="str">
        <f ca="1">IFERROR(__xludf.DUMMYFUNCTION("""COMPUTED_VALUE"""),"gilles.evrard@syrinxpan.fr")</f>
        <v>gilles.evrard@syrinxpan.fr</v>
      </c>
      <c r="L138" t="str">
        <f ca="1">IFERROR(__xludf.DUMMYFUNCTION("""COMPUTED_VALUE"""),"")</f>
        <v/>
      </c>
      <c r="M138" t="str">
        <f ca="1">IFERROR(__xludf.DUMMYFUNCTION("""COMPUTED_VALUE"""),"99.Hors Périmetre")</f>
        <v>99.Hors Périmetre</v>
      </c>
      <c r="N138" t="str">
        <f ca="1">IFERROR(__xludf.DUMMYFUNCTION("""COMPUTED_VALUE"""),"")</f>
        <v/>
      </c>
      <c r="O138" t="str">
        <f ca="1">IFERROR(__xludf.DUMMYFUNCTION("""COMPUTED_VALUE"""),"")</f>
        <v/>
      </c>
      <c r="P138" t="str">
        <f ca="1">IFERROR(__xludf.DUMMYFUNCTION("""COMPUTED_VALUE"""),"")</f>
        <v/>
      </c>
      <c r="Q138" s="5" t="str">
        <f ca="1">IFERROR(__xludf.DUMMYFUNCTION("""COMPUTED_VALUE"""),"")</f>
        <v/>
      </c>
      <c r="R138" s="6" t="str">
        <f ca="1">IFERROR(__xludf.DUMMYFUNCTION("""COMPUTED_VALUE"""),"")</f>
        <v/>
      </c>
      <c r="S138" t="str">
        <f ca="1">IFERROR(__xludf.DUMMYFUNCTION("""COMPUTED_VALUE"""),"")</f>
        <v/>
      </c>
      <c r="T138" t="str">
        <f ca="1">IFERROR(__xludf.DUMMYFUNCTION("""COMPUTED_VALUE"""),"")</f>
        <v/>
      </c>
      <c r="U138" t="str">
        <f ca="1">IFERROR(__xludf.DUMMYFUNCTION("""COMPUTED_VALUE"""),"")</f>
        <v/>
      </c>
      <c r="V138" t="str">
        <f ca="1">IFERROR(__xludf.DUMMYFUNCTION("""COMPUTED_VALUE"""),"")</f>
        <v/>
      </c>
      <c r="W138" t="str">
        <f ca="1">IFERROR(__xludf.DUMMYFUNCTION("""COMPUTED_VALUE"""),"")</f>
        <v/>
      </c>
      <c r="X138" t="str">
        <f ca="1">IFERROR(__xludf.DUMMYFUNCTION("""COMPUTED_VALUE"""),"")</f>
        <v/>
      </c>
      <c r="Y138" t="str">
        <f ca="1">IFERROR(__xludf.DUMMYFUNCTION("""COMPUTED_VALUE"""),"")</f>
        <v/>
      </c>
      <c r="Z138" t="str">
        <f ca="1">IFERROR(__xludf.DUMMYFUNCTION("""COMPUTED_VALUE"""),"")</f>
        <v/>
      </c>
      <c r="AA138" t="str">
        <f ca="1">IFERROR(__xludf.DUMMYFUNCTION("""COMPUTED_VALUE"""),"Pas de commande")</f>
        <v>Pas de commande</v>
      </c>
      <c r="AB138" s="8" t="str">
        <f ca="1">IFERROR(__xludf.DUMMYFUNCTION("""COMPUTED_VALUE"""),"")</f>
        <v/>
      </c>
      <c r="AC138" s="8" t="str">
        <f ca="1">IFERROR(__xludf.DUMMYFUNCTION("""COMPUTED_VALUE"""),"")</f>
        <v/>
      </c>
      <c r="AD138" s="11" t="str">
        <f ca="1">IFERROR(__xludf.DUMMYFUNCTION("""COMPUTED_VALUE"""),"")</f>
        <v/>
      </c>
      <c r="AE138" t="str">
        <f ca="1">IFERROR(__xludf.DUMMYFUNCTION("""COMPUTED_VALUE"""),"")</f>
        <v/>
      </c>
    </row>
    <row r="139" spans="1:31" ht="12.75" x14ac:dyDescent="0.2">
      <c r="A139">
        <f ca="1">IFERROR(__xludf.DUMMYFUNCTION("""COMPUTED_VALUE"""),38251)</f>
        <v>38251</v>
      </c>
      <c r="B139" t="str">
        <f ca="1">IFERROR(__xludf.DUMMYFUNCTION("""COMPUTED_VALUE"""),"BRIARE")</f>
        <v>BRIARE</v>
      </c>
      <c r="C139" t="str">
        <f ca="1">IFERROR(__xludf.DUMMYFUNCTION("""COMPUTED_VALUE"""),"U Express")</f>
        <v>U Express</v>
      </c>
      <c r="D139" t="str">
        <f ca="1">IFERROR(__xludf.DUMMYFUNCTION("""COMPUTED_VALUE"""),"Coop U Enseigne Ouest")</f>
        <v>Coop U Enseigne Ouest</v>
      </c>
      <c r="E139">
        <f ca="1">IFERROR(__xludf.DUMMYFUNCTION("""COMPUTED_VALUE"""),45250)</f>
        <v>45250</v>
      </c>
      <c r="F139" t="str">
        <f ca="1">IFERROR(__xludf.DUMMYFUNCTION("""COMPUTED_VALUE"""),"ROUTE DE PARIS")</f>
        <v>ROUTE DE PARIS</v>
      </c>
      <c r="G139" t="str">
        <f ca="1">IFERROR(__xludf.DUMMYFUNCTION("""COMPUTED_VALUE"""),"02.38.37.12.12")</f>
        <v>02.38.37.12.12</v>
      </c>
      <c r="H139" t="str">
        <f ca="1">IFERROR(__xludf.DUMMYFUNCTION("""COMPUTED_VALUE"""),"ANNET Dominique")</f>
        <v>ANNET Dominique</v>
      </c>
      <c r="I139" t="str">
        <f ca="1">IFERROR(__xludf.DUMMYFUNCTION("""COMPUTED_VALUE"""),"dominique.annet@systeme-u.fr")</f>
        <v>dominique.annet@systeme-u.fr</v>
      </c>
      <c r="J139" t="str">
        <f ca="1">IFERROR(__xludf.DUMMYFUNCTION("""COMPUTED_VALUE"""),"PREVOT Laurent (Directeur)")</f>
        <v>PREVOT Laurent (Directeur)</v>
      </c>
      <c r="K139" t="str">
        <f ca="1">IFERROR(__xludf.DUMMYFUNCTION("""COMPUTED_VALUE"""),"uexpress.briare.direction@systeme-u.fr")</f>
        <v>uexpress.briare.direction@systeme-u.fr</v>
      </c>
      <c r="L139" t="str">
        <f ca="1">IFERROR(__xludf.DUMMYFUNCTION("""COMPUTED_VALUE"""),"Standard")</f>
        <v>Standard</v>
      </c>
      <c r="M139" t="str">
        <f ca="1">IFERROR(__xludf.DUMMYFUNCTION("""COMPUTED_VALUE"""),"0. Non démarré")</f>
        <v>0. Non démarré</v>
      </c>
      <c r="N139" t="str">
        <f ca="1">IFERROR(__xludf.DUMMYFUNCTION("""COMPUTED_VALUE"""),"")</f>
        <v/>
      </c>
      <c r="O139" t="str">
        <f ca="1">IFERROR(__xludf.DUMMYFUNCTION("""COMPUTED_VALUE"""),"")</f>
        <v/>
      </c>
      <c r="P139" t="str">
        <f ca="1">IFERROR(__xludf.DUMMYFUNCTION("""COMPUTED_VALUE"""),"")</f>
        <v/>
      </c>
      <c r="Q139" s="5" t="str">
        <f ca="1">IFERROR(__xludf.DUMMYFUNCTION("""COMPUTED_VALUE"""),"")</f>
        <v/>
      </c>
      <c r="R139" s="6" t="str">
        <f ca="1">IFERROR(__xludf.DUMMYFUNCTION("""COMPUTED_VALUE"""),"")</f>
        <v/>
      </c>
      <c r="S139" t="str">
        <f ca="1">IFERROR(__xludf.DUMMYFUNCTION("""COMPUTED_VALUE"""),"")</f>
        <v/>
      </c>
      <c r="T139" t="str">
        <f ca="1">IFERROR(__xludf.DUMMYFUNCTION("""COMPUTED_VALUE"""),"")</f>
        <v/>
      </c>
      <c r="U139" t="str">
        <f ca="1">IFERROR(__xludf.DUMMYFUNCTION("""COMPUTED_VALUE"""),"")</f>
        <v/>
      </c>
      <c r="V139" t="str">
        <f ca="1">IFERROR(__xludf.DUMMYFUNCTION("""COMPUTED_VALUE"""),"")</f>
        <v/>
      </c>
      <c r="W139" t="str">
        <f ca="1">IFERROR(__xludf.DUMMYFUNCTION("""COMPUTED_VALUE"""),"R5")</f>
        <v>R5</v>
      </c>
      <c r="X139" t="str">
        <f ca="1">IFERROR(__xludf.DUMMYFUNCTION("""COMPUTED_VALUE"""),"Pricer")</f>
        <v>Pricer</v>
      </c>
      <c r="Y139" t="str">
        <f ca="1">IFERROR(__xludf.DUMMYFUNCTION("""COMPUTED_VALUE"""),"")</f>
        <v/>
      </c>
      <c r="Z139" t="str">
        <f ca="1">IFERROR(__xludf.DUMMYFUNCTION("""COMPUTED_VALUE"""),"")</f>
        <v/>
      </c>
      <c r="AA139" t="str">
        <f ca="1">IFERROR(__xludf.DUMMYFUNCTION("""COMPUTED_VALUE"""),"Pas de commande")</f>
        <v>Pas de commande</v>
      </c>
      <c r="AB139" s="8" t="str">
        <f ca="1">IFERROR(__xludf.DUMMYFUNCTION("""COMPUTED_VALUE"""),"")</f>
        <v/>
      </c>
      <c r="AC139" s="8" t="str">
        <f ca="1">IFERROR(__xludf.DUMMYFUNCTION("""COMPUTED_VALUE"""),"")</f>
        <v/>
      </c>
      <c r="AD139" s="11" t="str">
        <f ca="1">IFERROR(__xludf.DUMMYFUNCTION("""COMPUTED_VALUE"""),"")</f>
        <v/>
      </c>
      <c r="AE139" t="str">
        <f ca="1">IFERROR(__xludf.DUMMYFUNCTION("""COMPUTED_VALUE"""),"")</f>
        <v/>
      </c>
    </row>
    <row r="140" spans="1:31" ht="12.75" x14ac:dyDescent="0.2">
      <c r="A140">
        <f ca="1">IFERROR(__xludf.DUMMYFUNCTION("""COMPUTED_VALUE"""),21104)</f>
        <v>21104</v>
      </c>
      <c r="B140" t="str">
        <f ca="1">IFERROR(__xludf.DUMMYFUNCTION("""COMPUTED_VALUE"""),"BRICQUEBEC")</f>
        <v>BRICQUEBEC</v>
      </c>
      <c r="C140" t="str">
        <f ca="1">IFERROR(__xludf.DUMMYFUNCTION("""COMPUTED_VALUE"""),"Super U")</f>
        <v>Super U</v>
      </c>
      <c r="D140" t="str">
        <f ca="1">IFERROR(__xludf.DUMMYFUNCTION("""COMPUTED_VALUE"""),"Coop U Enseigne NordOuest")</f>
        <v>Coop U Enseigne NordOuest</v>
      </c>
      <c r="E140">
        <f ca="1">IFERROR(__xludf.DUMMYFUNCTION("""COMPUTED_VALUE"""),50260)</f>
        <v>50260</v>
      </c>
      <c r="F140" t="str">
        <f ca="1">IFERROR(__xludf.DUMMYFUNCTION("""COMPUTED_VALUE"""),"39 ROUTE DE VALOGNES")</f>
        <v>39 ROUTE DE VALOGNES</v>
      </c>
      <c r="G140" t="str">
        <f ca="1">IFERROR(__xludf.DUMMYFUNCTION("""COMPUTED_VALUE"""),"02.33.87.23.87")</f>
        <v>02.33.87.23.87</v>
      </c>
      <c r="H140" t="str">
        <f ca="1">IFERROR(__xludf.DUMMYFUNCTION("""COMPUTED_VALUE"""),"MEVEL Yves")</f>
        <v>MEVEL Yves</v>
      </c>
      <c r="I140" t="str">
        <f ca="1">IFERROR(__xludf.DUMMYFUNCTION("""COMPUTED_VALUE"""),"yves.mevel@systeme-u.fr")</f>
        <v>yves.mevel@systeme-u.fr</v>
      </c>
      <c r="J140" t="str">
        <f ca="1">IFERROR(__xludf.DUMMYFUNCTION("""COMPUTED_VALUE"""),"Pesnel Delphine")</f>
        <v>Pesnel Delphine</v>
      </c>
      <c r="K140" t="str">
        <f ca="1">IFERROR(__xludf.DUMMYFUNCTION("""COMPUTED_VALUE"""),"superu.bricquebec.informatique@systeme-u.fr")</f>
        <v>superu.bricquebec.informatique@systeme-u.fr</v>
      </c>
      <c r="L140" t="str">
        <f ca="1">IFERROR(__xludf.DUMMYFUNCTION("""COMPUTED_VALUE"""),"Standard")</f>
        <v>Standard</v>
      </c>
      <c r="M140" t="str">
        <f ca="1">IFERROR(__xludf.DUMMYFUNCTION("""COMPUTED_VALUE"""),"0. Non démarré")</f>
        <v>0. Non démarré</v>
      </c>
      <c r="N140" t="str">
        <f ca="1">IFERROR(__xludf.DUMMYFUNCTION("""COMPUTED_VALUE"""),"")</f>
        <v/>
      </c>
      <c r="O140" t="str">
        <f ca="1">IFERROR(__xludf.DUMMYFUNCTION("""COMPUTED_VALUE"""),"")</f>
        <v/>
      </c>
      <c r="P140" t="str">
        <f ca="1">IFERROR(__xludf.DUMMYFUNCTION("""COMPUTED_VALUE"""),"")</f>
        <v/>
      </c>
      <c r="Q140" s="5" t="str">
        <f ca="1">IFERROR(__xludf.DUMMYFUNCTION("""COMPUTED_VALUE"""),"")</f>
        <v/>
      </c>
      <c r="R140" s="6" t="str">
        <f ca="1">IFERROR(__xludf.DUMMYFUNCTION("""COMPUTED_VALUE"""),"")</f>
        <v/>
      </c>
      <c r="S140" t="str">
        <f ca="1">IFERROR(__xludf.DUMMYFUNCTION("""COMPUTED_VALUE"""),"")</f>
        <v/>
      </c>
      <c r="T140" t="str">
        <f ca="1">IFERROR(__xludf.DUMMYFUNCTION("""COMPUTED_VALUE"""),"")</f>
        <v/>
      </c>
      <c r="U140" t="str">
        <f ca="1">IFERROR(__xludf.DUMMYFUNCTION("""COMPUTED_VALUE"""),"")</f>
        <v/>
      </c>
      <c r="V140" t="str">
        <f ca="1">IFERROR(__xludf.DUMMYFUNCTION("""COMPUTED_VALUE"""),"")</f>
        <v/>
      </c>
      <c r="W140" t="str">
        <f ca="1">IFERROR(__xludf.DUMMYFUNCTION("""COMPUTED_VALUE"""),"R3")</f>
        <v>R3</v>
      </c>
      <c r="X140" t="str">
        <f ca="1">IFERROR(__xludf.DUMMYFUNCTION("""COMPUTED_VALUE"""),"Pricer &lt;8Go")</f>
        <v>Pricer &lt;8Go</v>
      </c>
      <c r="Y140" t="str">
        <f ca="1">IFERROR(__xludf.DUMMYFUNCTION("""COMPUTED_VALUE"""),"")</f>
        <v/>
      </c>
      <c r="Z140" t="str">
        <f ca="1">IFERROR(__xludf.DUMMYFUNCTION("""COMPUTED_VALUE"""),"")</f>
        <v/>
      </c>
      <c r="AA140" t="str">
        <f ca="1">IFERROR(__xludf.DUMMYFUNCTION("""COMPUTED_VALUE"""),"Pas de commande")</f>
        <v>Pas de commande</v>
      </c>
      <c r="AB140" s="8" t="str">
        <f ca="1">IFERROR(__xludf.DUMMYFUNCTION("""COMPUTED_VALUE"""),"")</f>
        <v/>
      </c>
      <c r="AC140" s="8" t="str">
        <f ca="1">IFERROR(__xludf.DUMMYFUNCTION("""COMPUTED_VALUE"""),"")</f>
        <v/>
      </c>
      <c r="AD140" s="11" t="str">
        <f ca="1">IFERROR(__xludf.DUMMYFUNCTION("""COMPUTED_VALUE"""),"")</f>
        <v/>
      </c>
      <c r="AE140" t="str">
        <f ca="1">IFERROR(__xludf.DUMMYFUNCTION("""COMPUTED_VALUE"""),"")</f>
        <v/>
      </c>
    </row>
    <row r="141" spans="1:31" ht="12.75" x14ac:dyDescent="0.2">
      <c r="A141">
        <f ca="1">IFERROR(__xludf.DUMMYFUNCTION("""COMPUTED_VALUE"""),26440)</f>
        <v>26440</v>
      </c>
      <c r="B141" t="str">
        <f ca="1">IFERROR(__xludf.DUMMYFUNCTION("""COMPUTED_VALUE"""),"BRIE COMTE ROBERT")</f>
        <v>BRIE COMTE ROBERT</v>
      </c>
      <c r="C141" t="str">
        <f ca="1">IFERROR(__xludf.DUMMYFUNCTION("""COMPUTED_VALUE"""),"Hyper U")</f>
        <v>Hyper U</v>
      </c>
      <c r="D141" t="str">
        <f ca="1">IFERROR(__xludf.DUMMYFUNCTION("""COMPUTED_VALUE"""),"Coop U Enseigne NordOuest")</f>
        <v>Coop U Enseigne NordOuest</v>
      </c>
      <c r="E141">
        <f ca="1">IFERROR(__xludf.DUMMYFUNCTION("""COMPUTED_VALUE"""),77170)</f>
        <v>77170</v>
      </c>
      <c r="F141" t="str">
        <f ca="1">IFERROR(__xludf.DUMMYFUNCTION("""COMPUTED_VALUE"""),"RUE GUSTAVE EIFFEL")</f>
        <v>RUE GUSTAVE EIFFEL</v>
      </c>
      <c r="G141" t="str">
        <f ca="1">IFERROR(__xludf.DUMMYFUNCTION("""COMPUTED_VALUE"""),"01.64.05.23.01")</f>
        <v>01.64.05.23.01</v>
      </c>
      <c r="H141" t="str">
        <f ca="1">IFERROR(__xludf.DUMMYFUNCTION("""COMPUTED_VALUE"""),"GOURNAY (SUNO) Daniel")</f>
        <v>GOURNAY (SUNO) Daniel</v>
      </c>
      <c r="I141" t="str">
        <f ca="1">IFERROR(__xludf.DUMMYFUNCTION("""COMPUTED_VALUE"""),"daniel.gournay@systeme-u.fr")</f>
        <v>daniel.gournay@systeme-u.fr</v>
      </c>
      <c r="J141" t="str">
        <f ca="1">IFERROR(__xludf.DUMMYFUNCTION("""COMPUTED_VALUE"""),"M. Dauvergne
Béatrice Janvier (UPLV)")</f>
        <v>M. Dauvergne
Béatrice Janvier (UPLV)</v>
      </c>
      <c r="K141" t="str">
        <f ca="1">IFERROR(__xludf.DUMMYFUNCTION("""COMPUTED_VALUE"""),"hyperu.briecomterobert.direction@systeme-u.fr, hyperu.briecomterobert.deco@systeme-u.fr
")</f>
        <v xml:space="preserve">hyperu.briecomterobert.direction@systeme-u.fr, hyperu.briecomterobert.deco@systeme-u.fr
</v>
      </c>
      <c r="L141" t="str">
        <f ca="1">IFERROR(__xludf.DUMMYFUNCTION("""COMPUTED_VALUE"""),"")</f>
        <v/>
      </c>
      <c r="M141" t="str">
        <f ca="1">IFERROR(__xludf.DUMMYFUNCTION("""COMPUTED_VALUE"""),"99.Hors Périmetre")</f>
        <v>99.Hors Périmetre</v>
      </c>
      <c r="N141" t="str">
        <f ca="1">IFERROR(__xludf.DUMMYFUNCTION("""COMPUTED_VALUE"""),"")</f>
        <v/>
      </c>
      <c r="O141" t="str">
        <f ca="1">IFERROR(__xludf.DUMMYFUNCTION("""COMPUTED_VALUE"""),"")</f>
        <v/>
      </c>
      <c r="P141" t="str">
        <f ca="1">IFERROR(__xludf.DUMMYFUNCTION("""COMPUTED_VALUE"""),"")</f>
        <v/>
      </c>
      <c r="Q141" s="5" t="str">
        <f ca="1">IFERROR(__xludf.DUMMYFUNCTION("""COMPUTED_VALUE"""),"")</f>
        <v/>
      </c>
      <c r="R141" s="6" t="str">
        <f ca="1">IFERROR(__xludf.DUMMYFUNCTION("""COMPUTED_VALUE"""),"")</f>
        <v/>
      </c>
      <c r="S141" t="str">
        <f ca="1">IFERROR(__xludf.DUMMYFUNCTION("""COMPUTED_VALUE"""),"")</f>
        <v/>
      </c>
      <c r="T141" t="str">
        <f ca="1">IFERROR(__xludf.DUMMYFUNCTION("""COMPUTED_VALUE"""),"")</f>
        <v/>
      </c>
      <c r="U141" t="str">
        <f ca="1">IFERROR(__xludf.DUMMYFUNCTION("""COMPUTED_VALUE"""),"")</f>
        <v/>
      </c>
      <c r="V141" t="str">
        <f ca="1">IFERROR(__xludf.DUMMYFUNCTION("""COMPUTED_VALUE"""),"")</f>
        <v/>
      </c>
      <c r="W141" t="str">
        <f ca="1">IFERROR(__xludf.DUMMYFUNCTION("""COMPUTED_VALUE"""),"")</f>
        <v/>
      </c>
      <c r="X141" t="str">
        <f ca="1">IFERROR(__xludf.DUMMYFUNCTION("""COMPUTED_VALUE"""),"")</f>
        <v/>
      </c>
      <c r="Y141" t="str">
        <f ca="1">IFERROR(__xludf.DUMMYFUNCTION("""COMPUTED_VALUE"""),"")</f>
        <v/>
      </c>
      <c r="Z141" t="str">
        <f ca="1">IFERROR(__xludf.DUMMYFUNCTION("""COMPUTED_VALUE"""),"")</f>
        <v/>
      </c>
      <c r="AA141" t="str">
        <f ca="1">IFERROR(__xludf.DUMMYFUNCTION("""COMPUTED_VALUE"""),"Pas de commande")</f>
        <v>Pas de commande</v>
      </c>
      <c r="AB141" s="8" t="str">
        <f ca="1">IFERROR(__xludf.DUMMYFUNCTION("""COMPUTED_VALUE"""),"")</f>
        <v/>
      </c>
      <c r="AC141" s="8" t="str">
        <f ca="1">IFERROR(__xludf.DUMMYFUNCTION("""COMPUTED_VALUE"""),"")</f>
        <v/>
      </c>
      <c r="AD141" s="11" t="str">
        <f ca="1">IFERROR(__xludf.DUMMYFUNCTION("""COMPUTED_VALUE"""),"")</f>
        <v/>
      </c>
      <c r="AE141" t="str">
        <f ca="1">IFERROR(__xludf.DUMMYFUNCTION("""COMPUTED_VALUE"""),"")</f>
        <v/>
      </c>
    </row>
    <row r="142" spans="1:31" ht="12.75" x14ac:dyDescent="0.2">
      <c r="A142">
        <f ca="1">IFERROR(__xludf.DUMMYFUNCTION("""COMPUTED_VALUE"""),38252)</f>
        <v>38252</v>
      </c>
      <c r="B142" t="str">
        <f ca="1">IFERROR(__xludf.DUMMYFUNCTION("""COMPUTED_VALUE"""),"BRIEC")</f>
        <v>BRIEC</v>
      </c>
      <c r="C142" t="str">
        <f ca="1">IFERROR(__xludf.DUMMYFUNCTION("""COMPUTED_VALUE"""),"U Express")</f>
        <v>U Express</v>
      </c>
      <c r="D142" t="str">
        <f ca="1">IFERROR(__xludf.DUMMYFUNCTION("""COMPUTED_VALUE"""),"Coop U Enseigne Ouest")</f>
        <v>Coop U Enseigne Ouest</v>
      </c>
      <c r="E142">
        <f ca="1">IFERROR(__xludf.DUMMYFUNCTION("""COMPUTED_VALUE"""),29510)</f>
        <v>29510</v>
      </c>
      <c r="F142" t="str">
        <f ca="1">IFERROR(__xludf.DUMMYFUNCTION("""COMPUTED_VALUE"""),"RUE DE KERHAPP")</f>
        <v>RUE DE KERHAPP</v>
      </c>
      <c r="G142" t="str">
        <f ca="1">IFERROR(__xludf.DUMMYFUNCTION("""COMPUTED_VALUE"""),"02.98.57.91.43")</f>
        <v>02.98.57.91.43</v>
      </c>
      <c r="H142" t="str">
        <f ca="1">IFERROR(__xludf.DUMMYFUNCTION("""COMPUTED_VALUE"""),"MENEZ Guy")</f>
        <v>MENEZ Guy</v>
      </c>
      <c r="I142" t="str">
        <f ca="1">IFERROR(__xludf.DUMMYFUNCTION("""COMPUTED_VALUE"""),"guy.menez@systeme-u.fr")</f>
        <v>guy.menez@systeme-u.fr</v>
      </c>
      <c r="J142" t="str">
        <f ca="1">IFERROR(__xludf.DUMMYFUNCTION("""COMPUTED_VALUE"""),"Menez Christopher")</f>
        <v>Menez Christopher</v>
      </c>
      <c r="K142" t="str">
        <f ca="1">IFERROR(__xludf.DUMMYFUNCTION("""COMPUTED_VALUE"""),"")</f>
        <v/>
      </c>
      <c r="L142" t="str">
        <f ca="1">IFERROR(__xludf.DUMMYFUNCTION("""COMPUTED_VALUE"""),"")</f>
        <v/>
      </c>
      <c r="M142" t="str">
        <f ca="1">IFERROR(__xludf.DUMMYFUNCTION("""COMPUTED_VALUE"""),"99.Hors Périmetre")</f>
        <v>99.Hors Périmetre</v>
      </c>
      <c r="N142" t="str">
        <f ca="1">IFERROR(__xludf.DUMMYFUNCTION("""COMPUTED_VALUE"""),"")</f>
        <v/>
      </c>
      <c r="O142" t="str">
        <f ca="1">IFERROR(__xludf.DUMMYFUNCTION("""COMPUTED_VALUE"""),"")</f>
        <v/>
      </c>
      <c r="P142" t="str">
        <f ca="1">IFERROR(__xludf.DUMMYFUNCTION("""COMPUTED_VALUE"""),"")</f>
        <v/>
      </c>
      <c r="Q142" s="5" t="str">
        <f ca="1">IFERROR(__xludf.DUMMYFUNCTION("""COMPUTED_VALUE"""),"")</f>
        <v/>
      </c>
      <c r="R142" s="6" t="str">
        <f ca="1">IFERROR(__xludf.DUMMYFUNCTION("""COMPUTED_VALUE"""),"")</f>
        <v/>
      </c>
      <c r="S142" t="str">
        <f ca="1">IFERROR(__xludf.DUMMYFUNCTION("""COMPUTED_VALUE"""),"")</f>
        <v/>
      </c>
      <c r="T142" t="str">
        <f ca="1">IFERROR(__xludf.DUMMYFUNCTION("""COMPUTED_VALUE"""),"")</f>
        <v/>
      </c>
      <c r="U142" t="str">
        <f ca="1">IFERROR(__xludf.DUMMYFUNCTION("""COMPUTED_VALUE"""),"")</f>
        <v/>
      </c>
      <c r="V142" t="str">
        <f ca="1">IFERROR(__xludf.DUMMYFUNCTION("""COMPUTED_VALUE"""),"")</f>
        <v/>
      </c>
      <c r="W142" t="str">
        <f ca="1">IFERROR(__xludf.DUMMYFUNCTION("""COMPUTED_VALUE"""),"")</f>
        <v/>
      </c>
      <c r="X142" t="str">
        <f ca="1">IFERROR(__xludf.DUMMYFUNCTION("""COMPUTED_VALUE"""),"")</f>
        <v/>
      </c>
      <c r="Y142" t="str">
        <f ca="1">IFERROR(__xludf.DUMMYFUNCTION("""COMPUTED_VALUE"""),"")</f>
        <v/>
      </c>
      <c r="Z142" t="str">
        <f ca="1">IFERROR(__xludf.DUMMYFUNCTION("""COMPUTED_VALUE"""),"")</f>
        <v/>
      </c>
      <c r="AA142" t="str">
        <f ca="1">IFERROR(__xludf.DUMMYFUNCTION("""COMPUTED_VALUE"""),"Pas de commande")</f>
        <v>Pas de commande</v>
      </c>
      <c r="AB142" s="8" t="str">
        <f ca="1">IFERROR(__xludf.DUMMYFUNCTION("""COMPUTED_VALUE"""),"")</f>
        <v/>
      </c>
      <c r="AC142" s="8" t="str">
        <f ca="1">IFERROR(__xludf.DUMMYFUNCTION("""COMPUTED_VALUE"""),"")</f>
        <v/>
      </c>
      <c r="AD142" s="11" t="str">
        <f ca="1">IFERROR(__xludf.DUMMYFUNCTION("""COMPUTED_VALUE"""),"")</f>
        <v/>
      </c>
      <c r="AE142" t="str">
        <f ca="1">IFERROR(__xludf.DUMMYFUNCTION("""COMPUTED_VALUE"""),"")</f>
        <v/>
      </c>
    </row>
    <row r="143" spans="1:31" ht="12.75" x14ac:dyDescent="0.2">
      <c r="A143">
        <f ca="1">IFERROR(__xludf.DUMMYFUNCTION("""COMPUTED_VALUE"""),65449)</f>
        <v>65449</v>
      </c>
      <c r="B143" t="str">
        <f ca="1">IFERROR(__xludf.DUMMYFUNCTION("""COMPUTED_VALUE"""),"BRIEY")</f>
        <v>BRIEY</v>
      </c>
      <c r="C143" t="str">
        <f ca="1">IFERROR(__xludf.DUMMYFUNCTION("""COMPUTED_VALUE"""),"Super U")</f>
        <v>Super U</v>
      </c>
      <c r="D143" t="str">
        <f ca="1">IFERROR(__xludf.DUMMYFUNCTION("""COMPUTED_VALUE"""),"Coop U Enseigne Est")</f>
        <v>Coop U Enseigne Est</v>
      </c>
      <c r="E143">
        <f ca="1">IFERROR(__xludf.DUMMYFUNCTION("""COMPUTED_VALUE"""),54152)</f>
        <v>54152</v>
      </c>
      <c r="F143" t="str">
        <f ca="1">IFERROR(__xludf.DUMMYFUNCTION("""COMPUTED_VALUE"""),"AVENUE MARGUERITE PUHL DEMANGE")</f>
        <v>AVENUE MARGUERITE PUHL DEMANGE</v>
      </c>
      <c r="G143" t="str">
        <f ca="1">IFERROR(__xludf.DUMMYFUNCTION("""COMPUTED_VALUE"""),"03.82.46.62.34")</f>
        <v>03.82.46.62.34</v>
      </c>
      <c r="H143" t="str">
        <f ca="1">IFERROR(__xludf.DUMMYFUNCTION("""COMPUTED_VALUE"""),"PIGUET Stephane")</f>
        <v>PIGUET Stephane</v>
      </c>
      <c r="I143" t="str">
        <f ca="1">IFERROR(__xludf.DUMMYFUNCTION("""COMPUTED_VALUE"""),"stephane.piguet@systeme-u.fr")</f>
        <v>stephane.piguet@systeme-u.fr</v>
      </c>
      <c r="J143" t="str">
        <f ca="1">IFERROR(__xludf.DUMMYFUNCTION("""COMPUTED_VALUE"""),"ALEXANDRA LAUER")</f>
        <v>ALEXANDRA LAUER</v>
      </c>
      <c r="K143" t="str">
        <f ca="1">IFERROR(__xludf.DUMMYFUNCTION("""COMPUTED_VALUE"""),"alexandra.pantalone@systeme-u.fr")</f>
        <v>alexandra.pantalone@systeme-u.fr</v>
      </c>
      <c r="L143" t="str">
        <f ca="1">IFERROR(__xludf.DUMMYFUNCTION("""COMPUTED_VALUE"""),"")</f>
        <v/>
      </c>
      <c r="M143" t="str">
        <f ca="1">IFERROR(__xludf.DUMMYFUNCTION("""COMPUTED_VALUE"""),"99.Hors Périmetre")</f>
        <v>99.Hors Périmetre</v>
      </c>
      <c r="N143" t="str">
        <f ca="1">IFERROR(__xludf.DUMMYFUNCTION("""COMPUTED_VALUE"""),"")</f>
        <v/>
      </c>
      <c r="O143" t="str">
        <f ca="1">IFERROR(__xludf.DUMMYFUNCTION("""COMPUTED_VALUE"""),"")</f>
        <v/>
      </c>
      <c r="P143" t="str">
        <f ca="1">IFERROR(__xludf.DUMMYFUNCTION("""COMPUTED_VALUE"""),"")</f>
        <v/>
      </c>
      <c r="Q143" s="5" t="str">
        <f ca="1">IFERROR(__xludf.DUMMYFUNCTION("""COMPUTED_VALUE"""),"")</f>
        <v/>
      </c>
      <c r="R143" s="6" t="str">
        <f ca="1">IFERROR(__xludf.DUMMYFUNCTION("""COMPUTED_VALUE"""),"")</f>
        <v/>
      </c>
      <c r="S143" t="str">
        <f ca="1">IFERROR(__xludf.DUMMYFUNCTION("""COMPUTED_VALUE"""),"")</f>
        <v/>
      </c>
      <c r="T143" t="str">
        <f ca="1">IFERROR(__xludf.DUMMYFUNCTION("""COMPUTED_VALUE"""),"")</f>
        <v/>
      </c>
      <c r="U143" t="str">
        <f ca="1">IFERROR(__xludf.DUMMYFUNCTION("""COMPUTED_VALUE"""),"")</f>
        <v/>
      </c>
      <c r="V143" t="str">
        <f ca="1">IFERROR(__xludf.DUMMYFUNCTION("""COMPUTED_VALUE"""),"")</f>
        <v/>
      </c>
      <c r="W143" t="str">
        <f ca="1">IFERROR(__xludf.DUMMYFUNCTION("""COMPUTED_VALUE"""),"")</f>
        <v/>
      </c>
      <c r="X143" t="str">
        <f ca="1">IFERROR(__xludf.DUMMYFUNCTION("""COMPUTED_VALUE"""),"")</f>
        <v/>
      </c>
      <c r="Y143" t="str">
        <f ca="1">IFERROR(__xludf.DUMMYFUNCTION("""COMPUTED_VALUE"""),"")</f>
        <v/>
      </c>
      <c r="Z143" t="str">
        <f ca="1">IFERROR(__xludf.DUMMYFUNCTION("""COMPUTED_VALUE"""),"")</f>
        <v/>
      </c>
      <c r="AA143" t="str">
        <f ca="1">IFERROR(__xludf.DUMMYFUNCTION("""COMPUTED_VALUE"""),"Pas de commande")</f>
        <v>Pas de commande</v>
      </c>
      <c r="AB143" s="8" t="str">
        <f ca="1">IFERROR(__xludf.DUMMYFUNCTION("""COMPUTED_VALUE"""),"")</f>
        <v/>
      </c>
      <c r="AC143" s="8" t="str">
        <f ca="1">IFERROR(__xludf.DUMMYFUNCTION("""COMPUTED_VALUE"""),"")</f>
        <v/>
      </c>
      <c r="AD143" s="11" t="str">
        <f ca="1">IFERROR(__xludf.DUMMYFUNCTION("""COMPUTED_VALUE"""),"")</f>
        <v/>
      </c>
      <c r="AE143" t="str">
        <f ca="1">IFERROR(__xludf.DUMMYFUNCTION("""COMPUTED_VALUE"""),"")</f>
        <v/>
      </c>
    </row>
    <row r="144" spans="1:31" ht="12.75" x14ac:dyDescent="0.2">
      <c r="A144">
        <f ca="1">IFERROR(__xludf.DUMMYFUNCTION("""COMPUTED_VALUE"""),35657)</f>
        <v>35657</v>
      </c>
      <c r="B144" t="str">
        <f ca="1">IFERROR(__xludf.DUMMYFUNCTION("""COMPUTED_VALUE"""),"BROONS")</f>
        <v>BROONS</v>
      </c>
      <c r="C144" t="str">
        <f ca="1">IFERROR(__xludf.DUMMYFUNCTION("""COMPUTED_VALUE"""),"Super U")</f>
        <v>Super U</v>
      </c>
      <c r="D144" t="str">
        <f ca="1">IFERROR(__xludf.DUMMYFUNCTION("""COMPUTED_VALUE"""),"Coop U Enseigne Ouest")</f>
        <v>Coop U Enseigne Ouest</v>
      </c>
      <c r="E144">
        <f ca="1">IFERROR(__xludf.DUMMYFUNCTION("""COMPUTED_VALUE"""),22250)</f>
        <v>22250</v>
      </c>
      <c r="F144" t="str">
        <f ca="1">IFERROR(__xludf.DUMMYFUNCTION("""COMPUTED_VALUE"""),"ZONE ARTISANALE LE PILAGA")</f>
        <v>ZONE ARTISANALE LE PILAGA</v>
      </c>
      <c r="G144" t="str">
        <f ca="1">IFERROR(__xludf.DUMMYFUNCTION("""COMPUTED_VALUE"""),"02.96.84.68.93")</f>
        <v>02.96.84.68.93</v>
      </c>
      <c r="H144" t="str">
        <f ca="1">IFERROR(__xludf.DUMMYFUNCTION("""COMPUTED_VALUE"""),"GORON Franck")</f>
        <v>GORON Franck</v>
      </c>
      <c r="I144" t="str">
        <f ca="1">IFERROR(__xludf.DUMMYFUNCTION("""COMPUTED_VALUE"""),"franck.goron@systeme-u.fr")</f>
        <v>franck.goron@systeme-u.fr</v>
      </c>
      <c r="J144" t="str">
        <f ca="1">IFERROR(__xludf.DUMMYFUNCTION("""COMPUTED_VALUE"""),"GORON Gwenola")</f>
        <v>GORON Gwenola</v>
      </c>
      <c r="K144" t="str">
        <f ca="1">IFERROR(__xludf.DUMMYFUNCTION("""COMPUTED_VALUE"""),"superu.broons@systeme-u.fr")</f>
        <v>superu.broons@systeme-u.fr</v>
      </c>
      <c r="L144" t="str">
        <f ca="1">IFERROR(__xludf.DUMMYFUNCTION("""COMPUTED_VALUE"""),"")</f>
        <v/>
      </c>
      <c r="M144" t="str">
        <f ca="1">IFERROR(__xludf.DUMMYFUNCTION("""COMPUTED_VALUE"""),"99.Hors Périmetre")</f>
        <v>99.Hors Périmetre</v>
      </c>
      <c r="N144" t="str">
        <f ca="1">IFERROR(__xludf.DUMMYFUNCTION("""COMPUTED_VALUE"""),"")</f>
        <v/>
      </c>
      <c r="O144" t="str">
        <f ca="1">IFERROR(__xludf.DUMMYFUNCTION("""COMPUTED_VALUE"""),"")</f>
        <v/>
      </c>
      <c r="P144" t="str">
        <f ca="1">IFERROR(__xludf.DUMMYFUNCTION("""COMPUTED_VALUE"""),"")</f>
        <v/>
      </c>
      <c r="Q144" s="5" t="str">
        <f ca="1">IFERROR(__xludf.DUMMYFUNCTION("""COMPUTED_VALUE"""),"")</f>
        <v/>
      </c>
      <c r="R144" s="6" t="str">
        <f ca="1">IFERROR(__xludf.DUMMYFUNCTION("""COMPUTED_VALUE"""),"")</f>
        <v/>
      </c>
      <c r="S144" t="str">
        <f ca="1">IFERROR(__xludf.DUMMYFUNCTION("""COMPUTED_VALUE"""),"")</f>
        <v/>
      </c>
      <c r="T144" t="str">
        <f ca="1">IFERROR(__xludf.DUMMYFUNCTION("""COMPUTED_VALUE"""),"")</f>
        <v/>
      </c>
      <c r="U144" t="str">
        <f ca="1">IFERROR(__xludf.DUMMYFUNCTION("""COMPUTED_VALUE"""),"")</f>
        <v/>
      </c>
      <c r="V144" t="str">
        <f ca="1">IFERROR(__xludf.DUMMYFUNCTION("""COMPUTED_VALUE"""),"")</f>
        <v/>
      </c>
      <c r="W144" t="str">
        <f ca="1">IFERROR(__xludf.DUMMYFUNCTION("""COMPUTED_VALUE"""),"")</f>
        <v/>
      </c>
      <c r="X144" t="str">
        <f ca="1">IFERROR(__xludf.DUMMYFUNCTION("""COMPUTED_VALUE"""),"")</f>
        <v/>
      </c>
      <c r="Y144" t="str">
        <f ca="1">IFERROR(__xludf.DUMMYFUNCTION("""COMPUTED_VALUE"""),"")</f>
        <v/>
      </c>
      <c r="Z144" t="str">
        <f ca="1">IFERROR(__xludf.DUMMYFUNCTION("""COMPUTED_VALUE"""),"")</f>
        <v/>
      </c>
      <c r="AA144" t="str">
        <f ca="1">IFERROR(__xludf.DUMMYFUNCTION("""COMPUTED_VALUE"""),"Pas de commande")</f>
        <v>Pas de commande</v>
      </c>
      <c r="AB144" s="8" t="str">
        <f ca="1">IFERROR(__xludf.DUMMYFUNCTION("""COMPUTED_VALUE"""),"")</f>
        <v/>
      </c>
      <c r="AC144" s="8" t="str">
        <f ca="1">IFERROR(__xludf.DUMMYFUNCTION("""COMPUTED_VALUE"""),"")</f>
        <v/>
      </c>
      <c r="AD144" s="11" t="str">
        <f ca="1">IFERROR(__xludf.DUMMYFUNCTION("""COMPUTED_VALUE"""),"")</f>
        <v/>
      </c>
      <c r="AE144" t="str">
        <f ca="1">IFERROR(__xludf.DUMMYFUNCTION("""COMPUTED_VALUE"""),"")</f>
        <v/>
      </c>
    </row>
    <row r="145" spans="1:31" ht="12.75" x14ac:dyDescent="0.2">
      <c r="A145">
        <f ca="1">IFERROR(__xludf.DUMMYFUNCTION("""COMPUTED_VALUE"""),21589)</f>
        <v>21589</v>
      </c>
      <c r="B145" t="str">
        <f ca="1">IFERROR(__xludf.DUMMYFUNCTION("""COMPUTED_VALUE"""),"BROU")</f>
        <v>BROU</v>
      </c>
      <c r="C145" t="str">
        <f ca="1">IFERROR(__xludf.DUMMYFUNCTION("""COMPUTED_VALUE"""),"Super U")</f>
        <v>Super U</v>
      </c>
      <c r="D145" t="str">
        <f ca="1">IFERROR(__xludf.DUMMYFUNCTION("""COMPUTED_VALUE"""),"Coop U Enseigne NordOuest")</f>
        <v>Coop U Enseigne NordOuest</v>
      </c>
      <c r="E145">
        <f ca="1">IFERROR(__xludf.DUMMYFUNCTION("""COMPUTED_VALUE"""),28160)</f>
        <v>28160</v>
      </c>
      <c r="F145" t="str">
        <f ca="1">IFERROR(__xludf.DUMMYFUNCTION("""COMPUTED_VALUE"""),"B.P 14")</f>
        <v>B.P 14</v>
      </c>
      <c r="G145" t="str">
        <f ca="1">IFERROR(__xludf.DUMMYFUNCTION("""COMPUTED_VALUE"""),"02.37.96.05.02")</f>
        <v>02.37.96.05.02</v>
      </c>
      <c r="H145" t="str">
        <f ca="1">IFERROR(__xludf.DUMMYFUNCTION("""COMPUTED_VALUE"""),"CARON Alexis")</f>
        <v>CARON Alexis</v>
      </c>
      <c r="I145" t="str">
        <f ca="1">IFERROR(__xludf.DUMMYFUNCTION("""COMPUTED_VALUE"""),"alexis.caron@systeme-u.fr")</f>
        <v>alexis.caron@systeme-u.fr</v>
      </c>
      <c r="J145" t="str">
        <f ca="1">IFERROR(__xludf.DUMMYFUNCTION("""COMPUTED_VALUE"""),"Stéphanie Part (directrice)")</f>
        <v>Stéphanie Part (directrice)</v>
      </c>
      <c r="K145" t="str">
        <f ca="1">IFERROR(__xludf.DUMMYFUNCTION("""COMPUTED_VALUE"""),"stephanie.part@systeme-u.fr")</f>
        <v>stephanie.part@systeme-u.fr</v>
      </c>
      <c r="L145" t="str">
        <f ca="1">IFERROR(__xludf.DUMMYFUNCTION("""COMPUTED_VALUE"""),"")</f>
        <v/>
      </c>
      <c r="M145" t="str">
        <f ca="1">IFERROR(__xludf.DUMMYFUNCTION("""COMPUTED_VALUE"""),"99.Hors Périmetre")</f>
        <v>99.Hors Périmetre</v>
      </c>
      <c r="N145" t="str">
        <f ca="1">IFERROR(__xludf.DUMMYFUNCTION("""COMPUTED_VALUE"""),"")</f>
        <v/>
      </c>
      <c r="O145" t="str">
        <f ca="1">IFERROR(__xludf.DUMMYFUNCTION("""COMPUTED_VALUE"""),"")</f>
        <v/>
      </c>
      <c r="P145" t="str">
        <f ca="1">IFERROR(__xludf.DUMMYFUNCTION("""COMPUTED_VALUE"""),"")</f>
        <v/>
      </c>
      <c r="Q145" s="5" t="str">
        <f ca="1">IFERROR(__xludf.DUMMYFUNCTION("""COMPUTED_VALUE"""),"")</f>
        <v/>
      </c>
      <c r="R145" s="6" t="str">
        <f ca="1">IFERROR(__xludf.DUMMYFUNCTION("""COMPUTED_VALUE"""),"")</f>
        <v/>
      </c>
      <c r="S145" t="str">
        <f ca="1">IFERROR(__xludf.DUMMYFUNCTION("""COMPUTED_VALUE"""),"")</f>
        <v/>
      </c>
      <c r="T145" t="str">
        <f ca="1">IFERROR(__xludf.DUMMYFUNCTION("""COMPUTED_VALUE"""),"")</f>
        <v/>
      </c>
      <c r="U145" t="str">
        <f ca="1">IFERROR(__xludf.DUMMYFUNCTION("""COMPUTED_VALUE"""),"")</f>
        <v/>
      </c>
      <c r="V145" t="str">
        <f ca="1">IFERROR(__xludf.DUMMYFUNCTION("""COMPUTED_VALUE"""),"")</f>
        <v/>
      </c>
      <c r="W145" t="str">
        <f ca="1">IFERROR(__xludf.DUMMYFUNCTION("""COMPUTED_VALUE"""),"")</f>
        <v/>
      </c>
      <c r="X145" t="str">
        <f ca="1">IFERROR(__xludf.DUMMYFUNCTION("""COMPUTED_VALUE"""),"")</f>
        <v/>
      </c>
      <c r="Y145" t="str">
        <f ca="1">IFERROR(__xludf.DUMMYFUNCTION("""COMPUTED_VALUE"""),"")</f>
        <v/>
      </c>
      <c r="Z145" t="str">
        <f ca="1">IFERROR(__xludf.DUMMYFUNCTION("""COMPUTED_VALUE"""),"")</f>
        <v/>
      </c>
      <c r="AA145" t="str">
        <f ca="1">IFERROR(__xludf.DUMMYFUNCTION("""COMPUTED_VALUE"""),"Pas de commande")</f>
        <v>Pas de commande</v>
      </c>
      <c r="AB145" s="8" t="str">
        <f ca="1">IFERROR(__xludf.DUMMYFUNCTION("""COMPUTED_VALUE"""),"")</f>
        <v/>
      </c>
      <c r="AC145" s="8" t="str">
        <f ca="1">IFERROR(__xludf.DUMMYFUNCTION("""COMPUTED_VALUE"""),"")</f>
        <v/>
      </c>
      <c r="AD145" s="11" t="str">
        <f ca="1">IFERROR(__xludf.DUMMYFUNCTION("""COMPUTED_VALUE"""),"")</f>
        <v/>
      </c>
      <c r="AE145" t="str">
        <f ca="1">IFERROR(__xludf.DUMMYFUNCTION("""COMPUTED_VALUE"""),"")</f>
        <v/>
      </c>
    </row>
    <row r="146" spans="1:31" ht="12.75" x14ac:dyDescent="0.2">
      <c r="A146">
        <f ca="1">IFERROR(__xludf.DUMMYFUNCTION("""COMPUTED_VALUE"""),29687)</f>
        <v>29687</v>
      </c>
      <c r="B146" t="str">
        <f ca="1">IFERROR(__xludf.DUMMYFUNCTION("""COMPUTED_VALUE"""),"BRUAY SUR L'ESCAUT")</f>
        <v>BRUAY SUR L'ESCAUT</v>
      </c>
      <c r="C146" t="str">
        <f ca="1">IFERROR(__xludf.DUMMYFUNCTION("""COMPUTED_VALUE"""),"Super U")</f>
        <v>Super U</v>
      </c>
      <c r="D146" t="str">
        <f ca="1">IFERROR(__xludf.DUMMYFUNCTION("""COMPUTED_VALUE"""),"Coop U Enseigne NordOuest")</f>
        <v>Coop U Enseigne NordOuest</v>
      </c>
      <c r="E146">
        <f ca="1">IFERROR(__xludf.DUMMYFUNCTION("""COMPUTED_VALUE"""),59860)</f>
        <v>59860</v>
      </c>
      <c r="F146" t="str">
        <f ca="1">IFERROR(__xludf.DUMMYFUNCTION("""COMPUTED_VALUE"""),"386-388 RUE JEAN JAURES")</f>
        <v>386-388 RUE JEAN JAURES</v>
      </c>
      <c r="G146" t="str">
        <f ca="1">IFERROR(__xludf.DUMMYFUNCTION("""COMPUTED_VALUE"""),"03.27.41.48.22")</f>
        <v>03.27.41.48.22</v>
      </c>
      <c r="H146" t="str">
        <f ca="1">IFERROR(__xludf.DUMMYFUNCTION("""COMPUTED_VALUE"""),"JENBACK William")</f>
        <v>JENBACK William</v>
      </c>
      <c r="I146" t="str">
        <f ca="1">IFERROR(__xludf.DUMMYFUNCTION("""COMPUTED_VALUE"""),"william.jenback@systeme-u.fr")</f>
        <v>william.jenback@systeme-u.fr</v>
      </c>
      <c r="J146" t="str">
        <f ca="1">IFERROR(__xludf.DUMMYFUNCTION("""COMPUTED_VALUE"""),"")</f>
        <v/>
      </c>
      <c r="K146" t="str">
        <f ca="1">IFERROR(__xludf.DUMMYFUNCTION("""COMPUTED_VALUE"""),"")</f>
        <v/>
      </c>
      <c r="L146" t="str">
        <f ca="1">IFERROR(__xludf.DUMMYFUNCTION("""COMPUTED_VALUE"""),"")</f>
        <v/>
      </c>
      <c r="M146" t="str">
        <f ca="1">IFERROR(__xludf.DUMMYFUNCTION("""COMPUTED_VALUE"""),"99.Hors Périmetre")</f>
        <v>99.Hors Périmetre</v>
      </c>
      <c r="N146" t="str">
        <f ca="1">IFERROR(__xludf.DUMMYFUNCTION("""COMPUTED_VALUE"""),"")</f>
        <v/>
      </c>
      <c r="O146" t="str">
        <f ca="1">IFERROR(__xludf.DUMMYFUNCTION("""COMPUTED_VALUE"""),"")</f>
        <v/>
      </c>
      <c r="P146" t="str">
        <f ca="1">IFERROR(__xludf.DUMMYFUNCTION("""COMPUTED_VALUE"""),"")</f>
        <v/>
      </c>
      <c r="Q146" s="5" t="str">
        <f ca="1">IFERROR(__xludf.DUMMYFUNCTION("""COMPUTED_VALUE"""),"")</f>
        <v/>
      </c>
      <c r="R146" s="6" t="str">
        <f ca="1">IFERROR(__xludf.DUMMYFUNCTION("""COMPUTED_VALUE"""),"")</f>
        <v/>
      </c>
      <c r="S146" t="str">
        <f ca="1">IFERROR(__xludf.DUMMYFUNCTION("""COMPUTED_VALUE"""),"")</f>
        <v/>
      </c>
      <c r="T146" t="str">
        <f ca="1">IFERROR(__xludf.DUMMYFUNCTION("""COMPUTED_VALUE"""),"")</f>
        <v/>
      </c>
      <c r="U146" t="str">
        <f ca="1">IFERROR(__xludf.DUMMYFUNCTION("""COMPUTED_VALUE"""),"")</f>
        <v/>
      </c>
      <c r="V146" t="str">
        <f ca="1">IFERROR(__xludf.DUMMYFUNCTION("""COMPUTED_VALUE"""),"")</f>
        <v/>
      </c>
      <c r="W146" t="str">
        <f ca="1">IFERROR(__xludf.DUMMYFUNCTION("""COMPUTED_VALUE"""),"")</f>
        <v/>
      </c>
      <c r="X146" t="str">
        <f ca="1">IFERROR(__xludf.DUMMYFUNCTION("""COMPUTED_VALUE"""),"")</f>
        <v/>
      </c>
      <c r="Y146" t="str">
        <f ca="1">IFERROR(__xludf.DUMMYFUNCTION("""COMPUTED_VALUE"""),"")</f>
        <v/>
      </c>
      <c r="Z146" t="str">
        <f ca="1">IFERROR(__xludf.DUMMYFUNCTION("""COMPUTED_VALUE"""),"")</f>
        <v/>
      </c>
      <c r="AA146" t="str">
        <f ca="1">IFERROR(__xludf.DUMMYFUNCTION("""COMPUTED_VALUE"""),"Pas de commande")</f>
        <v>Pas de commande</v>
      </c>
      <c r="AB146" s="8" t="str">
        <f ca="1">IFERROR(__xludf.DUMMYFUNCTION("""COMPUTED_VALUE"""),"")</f>
        <v/>
      </c>
      <c r="AC146" s="8" t="str">
        <f ca="1">IFERROR(__xludf.DUMMYFUNCTION("""COMPUTED_VALUE"""),"")</f>
        <v/>
      </c>
      <c r="AD146" s="11" t="str">
        <f ca="1">IFERROR(__xludf.DUMMYFUNCTION("""COMPUTED_VALUE"""),"")</f>
        <v/>
      </c>
      <c r="AE146" t="str">
        <f ca="1">IFERROR(__xludf.DUMMYFUNCTION("""COMPUTED_VALUE"""),"")</f>
        <v/>
      </c>
    </row>
    <row r="147" spans="1:31" ht="12.75" x14ac:dyDescent="0.2">
      <c r="A147">
        <f ca="1">IFERROR(__xludf.DUMMYFUNCTION("""COMPUTED_VALUE"""),95290)</f>
        <v>95290</v>
      </c>
      <c r="B147" t="str">
        <f ca="1">IFERROR(__xludf.DUMMYFUNCTION("""COMPUTED_VALUE"""),"BRUGUIERES")</f>
        <v>BRUGUIERES</v>
      </c>
      <c r="C147" t="str">
        <f ca="1">IFERROR(__xludf.DUMMYFUNCTION("""COMPUTED_VALUE"""),"Super U")</f>
        <v>Super U</v>
      </c>
      <c r="D147" t="str">
        <f ca="1">IFERROR(__xludf.DUMMYFUNCTION("""COMPUTED_VALUE"""),"Coop U Enseigne Sud")</f>
        <v>Coop U Enseigne Sud</v>
      </c>
      <c r="E147">
        <f ca="1">IFERROR(__xludf.DUMMYFUNCTION("""COMPUTED_VALUE"""),31150)</f>
        <v>31150</v>
      </c>
      <c r="F147" t="str">
        <f ca="1">IFERROR(__xludf.DUMMYFUNCTION("""COMPUTED_VALUE"""),"AVENUE DU BRUGUET")</f>
        <v>AVENUE DU BRUGUET</v>
      </c>
      <c r="G147" t="str">
        <f ca="1">IFERROR(__xludf.DUMMYFUNCTION("""COMPUTED_VALUE"""),"05.62.79.88.99")</f>
        <v>05.62.79.88.99</v>
      </c>
      <c r="H147" t="str">
        <f ca="1">IFERROR(__xludf.DUMMYFUNCTION("""COMPUTED_VALUE"""),"LIOGIER Eric")</f>
        <v>LIOGIER Eric</v>
      </c>
      <c r="I147" t="str">
        <f ca="1">IFERROR(__xludf.DUMMYFUNCTION("""COMPUTED_VALUE"""),"eric.liogier@systeme-u.fr")</f>
        <v>eric.liogier@systeme-u.fr</v>
      </c>
      <c r="J147" t="str">
        <f ca="1">IFERROR(__xludf.DUMMYFUNCTION("""COMPUTED_VALUE"""),"Mme Masbou (comptable - pilote)")</f>
        <v>Mme Masbou (comptable - pilote)</v>
      </c>
      <c r="K147" t="str">
        <f ca="1">IFERROR(__xludf.DUMMYFUNCTION("""COMPUTED_VALUE"""),"superu.bruguieres.compta@systeme-u.fr")</f>
        <v>superu.bruguieres.compta@systeme-u.fr</v>
      </c>
      <c r="L147" t="str">
        <f ca="1">IFERROR(__xludf.DUMMYFUNCTION("""COMPUTED_VALUE"""),"")</f>
        <v/>
      </c>
      <c r="M147" t="str">
        <f ca="1">IFERROR(__xludf.DUMMYFUNCTION("""COMPUTED_VALUE"""),"99.Hors Périmetre")</f>
        <v>99.Hors Périmetre</v>
      </c>
      <c r="N147" t="str">
        <f ca="1">IFERROR(__xludf.DUMMYFUNCTION("""COMPUTED_VALUE"""),"")</f>
        <v/>
      </c>
      <c r="O147" t="str">
        <f ca="1">IFERROR(__xludf.DUMMYFUNCTION("""COMPUTED_VALUE"""),"")</f>
        <v/>
      </c>
      <c r="P147" t="str">
        <f ca="1">IFERROR(__xludf.DUMMYFUNCTION("""COMPUTED_VALUE"""),"")</f>
        <v/>
      </c>
      <c r="Q147" s="5" t="str">
        <f ca="1">IFERROR(__xludf.DUMMYFUNCTION("""COMPUTED_VALUE"""),"")</f>
        <v/>
      </c>
      <c r="R147" s="6" t="str">
        <f ca="1">IFERROR(__xludf.DUMMYFUNCTION("""COMPUTED_VALUE"""),"")</f>
        <v/>
      </c>
      <c r="S147" t="str">
        <f ca="1">IFERROR(__xludf.DUMMYFUNCTION("""COMPUTED_VALUE"""),"")</f>
        <v/>
      </c>
      <c r="T147" t="str">
        <f ca="1">IFERROR(__xludf.DUMMYFUNCTION("""COMPUTED_VALUE"""),"")</f>
        <v/>
      </c>
      <c r="U147" t="str">
        <f ca="1">IFERROR(__xludf.DUMMYFUNCTION("""COMPUTED_VALUE"""),"")</f>
        <v/>
      </c>
      <c r="V147" t="str">
        <f ca="1">IFERROR(__xludf.DUMMYFUNCTION("""COMPUTED_VALUE"""),"")</f>
        <v/>
      </c>
      <c r="W147" t="str">
        <f ca="1">IFERROR(__xludf.DUMMYFUNCTION("""COMPUTED_VALUE"""),"")</f>
        <v/>
      </c>
      <c r="X147" t="str">
        <f ca="1">IFERROR(__xludf.DUMMYFUNCTION("""COMPUTED_VALUE"""),"")</f>
        <v/>
      </c>
      <c r="Y147" t="str">
        <f ca="1">IFERROR(__xludf.DUMMYFUNCTION("""COMPUTED_VALUE"""),"")</f>
        <v/>
      </c>
      <c r="Z147" t="str">
        <f ca="1">IFERROR(__xludf.DUMMYFUNCTION("""COMPUTED_VALUE"""),"")</f>
        <v/>
      </c>
      <c r="AA147" t="str">
        <f ca="1">IFERROR(__xludf.DUMMYFUNCTION("""COMPUTED_VALUE"""),"Pas de commande")</f>
        <v>Pas de commande</v>
      </c>
      <c r="AB147" s="8" t="str">
        <f ca="1">IFERROR(__xludf.DUMMYFUNCTION("""COMPUTED_VALUE"""),"")</f>
        <v/>
      </c>
      <c r="AC147" s="8" t="str">
        <f ca="1">IFERROR(__xludf.DUMMYFUNCTION("""COMPUTED_VALUE"""),"")</f>
        <v/>
      </c>
      <c r="AD147" s="11" t="str">
        <f ca="1">IFERROR(__xludf.DUMMYFUNCTION("""COMPUTED_VALUE"""),"")</f>
        <v/>
      </c>
      <c r="AE147" t="str">
        <f ca="1">IFERROR(__xludf.DUMMYFUNCTION("""COMPUTED_VALUE"""),"")</f>
        <v/>
      </c>
    </row>
    <row r="148" spans="1:31" ht="12.75" x14ac:dyDescent="0.2">
      <c r="A148">
        <f ca="1">IFERROR(__xludf.DUMMYFUNCTION("""COMPUTED_VALUE"""),60410)</f>
        <v>60410</v>
      </c>
      <c r="B148" t="str">
        <f ca="1">IFERROR(__xludf.DUMMYFUNCTION("""COMPUTED_VALUE"""),"BRUNSTATT")</f>
        <v>BRUNSTATT</v>
      </c>
      <c r="C148" t="str">
        <f ca="1">IFERROR(__xludf.DUMMYFUNCTION("""COMPUTED_VALUE"""),"Super U")</f>
        <v>Super U</v>
      </c>
      <c r="D148" t="str">
        <f ca="1">IFERROR(__xludf.DUMMYFUNCTION("""COMPUTED_VALUE"""),"Coop U Enseigne Est")</f>
        <v>Coop U Enseigne Est</v>
      </c>
      <c r="E148">
        <f ca="1">IFERROR(__xludf.DUMMYFUNCTION("""COMPUTED_VALUE"""),68350)</f>
        <v>68350</v>
      </c>
      <c r="F148" t="str">
        <f ca="1">IFERROR(__xludf.DUMMYFUNCTION("""COMPUTED_VALUE"""),"320 avenue d'Altkirch")</f>
        <v>320 avenue d'Altkirch</v>
      </c>
      <c r="G148" t="str">
        <f ca="1">IFERROR(__xludf.DUMMYFUNCTION("""COMPUTED_VALUE"""),"03.89.06.33.34")</f>
        <v>03.89.06.33.34</v>
      </c>
      <c r="H148" t="str">
        <f ca="1">IFERROR(__xludf.DUMMYFUNCTION("""COMPUTED_VALUE"""),"MARQUIS RPT SAS DAMBERG EXPL Vincent")</f>
        <v>MARQUIS RPT SAS DAMBERG EXPL Vincent</v>
      </c>
      <c r="I148" t="str">
        <f ca="1">IFERROR(__xludf.DUMMYFUNCTION("""COMPUTED_VALUE"""),"marie.lorber-marquis@systeme-u.fr")</f>
        <v>marie.lorber-marquis@systeme-u.fr</v>
      </c>
      <c r="J148" t="str">
        <f ca="1">IFERROR(__xludf.DUMMYFUNCTION("""COMPUTED_VALUE"""),"M. DIDIER")</f>
        <v>M. DIDIER</v>
      </c>
      <c r="K148" t="str">
        <f ca="1">IFERROR(__xludf.DUMMYFUNCTION("""COMPUTED_VALUE"""),"superu.brunstatt.administratif4@systeme-u.fr")</f>
        <v>superu.brunstatt.administratif4@systeme-u.fr</v>
      </c>
      <c r="L148" t="str">
        <f ca="1">IFERROR(__xludf.DUMMYFUNCTION("""COMPUTED_VALUE"""),"")</f>
        <v/>
      </c>
      <c r="M148" t="str">
        <f ca="1">IFERROR(__xludf.DUMMYFUNCTION("""COMPUTED_VALUE"""),"99.Hors Périmetre")</f>
        <v>99.Hors Périmetre</v>
      </c>
      <c r="N148" t="str">
        <f ca="1">IFERROR(__xludf.DUMMYFUNCTION("""COMPUTED_VALUE"""),"")</f>
        <v/>
      </c>
      <c r="O148" t="str">
        <f ca="1">IFERROR(__xludf.DUMMYFUNCTION("""COMPUTED_VALUE"""),"")</f>
        <v/>
      </c>
      <c r="P148" t="str">
        <f ca="1">IFERROR(__xludf.DUMMYFUNCTION("""COMPUTED_VALUE"""),"")</f>
        <v/>
      </c>
      <c r="Q148" s="5" t="str">
        <f ca="1">IFERROR(__xludf.DUMMYFUNCTION("""COMPUTED_VALUE"""),"")</f>
        <v/>
      </c>
      <c r="R148" s="6" t="str">
        <f ca="1">IFERROR(__xludf.DUMMYFUNCTION("""COMPUTED_VALUE"""),"")</f>
        <v/>
      </c>
      <c r="S148" t="str">
        <f ca="1">IFERROR(__xludf.DUMMYFUNCTION("""COMPUTED_VALUE"""),"")</f>
        <v/>
      </c>
      <c r="T148" t="str">
        <f ca="1">IFERROR(__xludf.DUMMYFUNCTION("""COMPUTED_VALUE"""),"")</f>
        <v/>
      </c>
      <c r="U148" t="str">
        <f ca="1">IFERROR(__xludf.DUMMYFUNCTION("""COMPUTED_VALUE"""),"")</f>
        <v/>
      </c>
      <c r="V148" t="str">
        <f ca="1">IFERROR(__xludf.DUMMYFUNCTION("""COMPUTED_VALUE"""),"")</f>
        <v/>
      </c>
      <c r="W148" t="str">
        <f ca="1">IFERROR(__xludf.DUMMYFUNCTION("""COMPUTED_VALUE"""),"")</f>
        <v/>
      </c>
      <c r="X148" t="str">
        <f ca="1">IFERROR(__xludf.DUMMYFUNCTION("""COMPUTED_VALUE"""),"")</f>
        <v/>
      </c>
      <c r="Y148" t="str">
        <f ca="1">IFERROR(__xludf.DUMMYFUNCTION("""COMPUTED_VALUE"""),"")</f>
        <v/>
      </c>
      <c r="Z148" t="str">
        <f ca="1">IFERROR(__xludf.DUMMYFUNCTION("""COMPUTED_VALUE"""),"")</f>
        <v/>
      </c>
      <c r="AA148" t="str">
        <f ca="1">IFERROR(__xludf.DUMMYFUNCTION("""COMPUTED_VALUE"""),"Pas de commande")</f>
        <v>Pas de commande</v>
      </c>
      <c r="AB148" s="8" t="str">
        <f ca="1">IFERROR(__xludf.DUMMYFUNCTION("""COMPUTED_VALUE"""),"")</f>
        <v/>
      </c>
      <c r="AC148" s="8" t="str">
        <f ca="1">IFERROR(__xludf.DUMMYFUNCTION("""COMPUTED_VALUE"""),"")</f>
        <v/>
      </c>
      <c r="AD148" s="11" t="str">
        <f ca="1">IFERROR(__xludf.DUMMYFUNCTION("""COMPUTED_VALUE"""),"")</f>
        <v/>
      </c>
      <c r="AE148" t="str">
        <f ca="1">IFERROR(__xludf.DUMMYFUNCTION("""COMPUTED_VALUE"""),"")</f>
        <v/>
      </c>
    </row>
    <row r="149" spans="1:31" ht="12.75" x14ac:dyDescent="0.2">
      <c r="A149">
        <f ca="1">IFERROR(__xludf.DUMMYFUNCTION("""COMPUTED_VALUE"""),33315)</f>
        <v>33315</v>
      </c>
      <c r="B149" t="str">
        <f ca="1">IFERROR(__xludf.DUMMYFUNCTION("""COMPUTED_VALUE"""),"BRUZ")</f>
        <v>BRUZ</v>
      </c>
      <c r="C149" t="str">
        <f ca="1">IFERROR(__xludf.DUMMYFUNCTION("""COMPUTED_VALUE"""),"Super U")</f>
        <v>Super U</v>
      </c>
      <c r="D149" t="str">
        <f ca="1">IFERROR(__xludf.DUMMYFUNCTION("""COMPUTED_VALUE"""),"Coop U Enseigne Ouest")</f>
        <v>Coop U Enseigne Ouest</v>
      </c>
      <c r="E149">
        <f ca="1">IFERROR(__xludf.DUMMYFUNCTION("""COMPUTED_VALUE"""),35170)</f>
        <v>35170</v>
      </c>
      <c r="F149" t="str">
        <f ca="1">IFERROR(__xludf.DUMMYFUNCTION("""COMPUTED_VALUE"""),"12, PLACE DE BRETAGNE")</f>
        <v>12, PLACE DE BRETAGNE</v>
      </c>
      <c r="G149" t="str">
        <f ca="1">IFERROR(__xludf.DUMMYFUNCTION("""COMPUTED_VALUE"""),"02.99.05.90.00")</f>
        <v>02.99.05.90.00</v>
      </c>
      <c r="H149" t="str">
        <f ca="1">IFERROR(__xludf.DUMMYFUNCTION("""COMPUTED_VALUE"""),"PIRON RPT SARL HOLDING MONTAU Gwénael")</f>
        <v>PIRON RPT SARL HOLDING MONTAU Gwénael</v>
      </c>
      <c r="I149" t="str">
        <f ca="1">IFERROR(__xludf.DUMMYFUNCTION("""COMPUTED_VALUE"""),"gwenael.piron@systeme-u.fr")</f>
        <v>gwenael.piron@systeme-u.fr</v>
      </c>
      <c r="J149" t="str">
        <f ca="1">IFERROR(__xludf.DUMMYFUNCTION("""COMPUTED_VALUE"""),"")</f>
        <v/>
      </c>
      <c r="K149" t="str">
        <f ca="1">IFERROR(__xludf.DUMMYFUNCTION("""COMPUTED_VALUE"""),"")</f>
        <v/>
      </c>
      <c r="L149" t="str">
        <f ca="1">IFERROR(__xludf.DUMMYFUNCTION("""COMPUTED_VALUE"""),"")</f>
        <v/>
      </c>
      <c r="M149" t="str">
        <f ca="1">IFERROR(__xludf.DUMMYFUNCTION("""COMPUTED_VALUE"""),"99.Hors Périmetre")</f>
        <v>99.Hors Périmetre</v>
      </c>
      <c r="N149" t="str">
        <f ca="1">IFERROR(__xludf.DUMMYFUNCTION("""COMPUTED_VALUE"""),"")</f>
        <v/>
      </c>
      <c r="O149" t="str">
        <f ca="1">IFERROR(__xludf.DUMMYFUNCTION("""COMPUTED_VALUE"""),"")</f>
        <v/>
      </c>
      <c r="P149" t="str">
        <f ca="1">IFERROR(__xludf.DUMMYFUNCTION("""COMPUTED_VALUE"""),"")</f>
        <v/>
      </c>
      <c r="Q149" s="5" t="str">
        <f ca="1">IFERROR(__xludf.DUMMYFUNCTION("""COMPUTED_VALUE"""),"")</f>
        <v/>
      </c>
      <c r="R149" s="6" t="str">
        <f ca="1">IFERROR(__xludf.DUMMYFUNCTION("""COMPUTED_VALUE"""),"")</f>
        <v/>
      </c>
      <c r="S149" t="str">
        <f ca="1">IFERROR(__xludf.DUMMYFUNCTION("""COMPUTED_VALUE"""),"")</f>
        <v/>
      </c>
      <c r="T149" t="str">
        <f ca="1">IFERROR(__xludf.DUMMYFUNCTION("""COMPUTED_VALUE"""),"")</f>
        <v/>
      </c>
      <c r="U149" t="str">
        <f ca="1">IFERROR(__xludf.DUMMYFUNCTION("""COMPUTED_VALUE"""),"")</f>
        <v/>
      </c>
      <c r="V149" t="str">
        <f ca="1">IFERROR(__xludf.DUMMYFUNCTION("""COMPUTED_VALUE"""),"")</f>
        <v/>
      </c>
      <c r="W149" t="str">
        <f ca="1">IFERROR(__xludf.DUMMYFUNCTION("""COMPUTED_VALUE"""),"")</f>
        <v/>
      </c>
      <c r="X149" t="str">
        <f ca="1">IFERROR(__xludf.DUMMYFUNCTION("""COMPUTED_VALUE"""),"")</f>
        <v/>
      </c>
      <c r="Y149" t="str">
        <f ca="1">IFERROR(__xludf.DUMMYFUNCTION("""COMPUTED_VALUE"""),"")</f>
        <v/>
      </c>
      <c r="Z149" t="str">
        <f ca="1">IFERROR(__xludf.DUMMYFUNCTION("""COMPUTED_VALUE"""),"")</f>
        <v/>
      </c>
      <c r="AA149" t="str">
        <f ca="1">IFERROR(__xludf.DUMMYFUNCTION("""COMPUTED_VALUE"""),"Pas de commande")</f>
        <v>Pas de commande</v>
      </c>
      <c r="AB149" s="8" t="str">
        <f ca="1">IFERROR(__xludf.DUMMYFUNCTION("""COMPUTED_VALUE"""),"")</f>
        <v/>
      </c>
      <c r="AC149" s="8" t="str">
        <f ca="1">IFERROR(__xludf.DUMMYFUNCTION("""COMPUTED_VALUE"""),"")</f>
        <v/>
      </c>
      <c r="AD149" s="11" t="str">
        <f ca="1">IFERROR(__xludf.DUMMYFUNCTION("""COMPUTED_VALUE"""),"")</f>
        <v/>
      </c>
      <c r="AE149" t="str">
        <f ca="1">IFERROR(__xludf.DUMMYFUNCTION("""COMPUTED_VALUE"""),"")</f>
        <v/>
      </c>
    </row>
    <row r="150" spans="1:31" ht="12.75" x14ac:dyDescent="0.2">
      <c r="A150">
        <f ca="1">IFERROR(__xludf.DUMMYFUNCTION("""COMPUTED_VALUE"""),90624)</f>
        <v>90624</v>
      </c>
      <c r="B150" t="str">
        <f ca="1">IFERROR(__xludf.DUMMYFUNCTION("""COMPUTED_VALUE"""),"BUIS LES BARONNIES")</f>
        <v>BUIS LES BARONNIES</v>
      </c>
      <c r="C150" t="str">
        <f ca="1">IFERROR(__xludf.DUMMYFUNCTION("""COMPUTED_VALUE"""),"U Express")</f>
        <v>U Express</v>
      </c>
      <c r="D150" t="str">
        <f ca="1">IFERROR(__xludf.DUMMYFUNCTION("""COMPUTED_VALUE"""),"Coop MISTRAL")</f>
        <v>Coop MISTRAL</v>
      </c>
      <c r="E150">
        <f ca="1">IFERROR(__xludf.DUMMYFUNCTION("""COMPUTED_VALUE"""),26170)</f>
        <v>26170</v>
      </c>
      <c r="F150" t="str">
        <f ca="1">IFERROR(__xludf.DUMMYFUNCTION("""COMPUTED_VALUE"""),"AV BOISSY D ANGLAS")</f>
        <v>AV BOISSY D ANGLAS</v>
      </c>
      <c r="G150" t="str">
        <f ca="1">IFERROR(__xludf.DUMMYFUNCTION("""COMPUTED_VALUE"""),"04.75.28.16.54")</f>
        <v>04.75.28.16.54</v>
      </c>
      <c r="H150" t="str">
        <f ca="1">IFERROR(__xludf.DUMMYFUNCTION("""COMPUTED_VALUE"""),"ROURE Benoit")</f>
        <v>ROURE Benoit</v>
      </c>
      <c r="I150" t="str">
        <f ca="1">IFERROR(__xludf.DUMMYFUNCTION("""COMPUTED_VALUE"""),"")</f>
        <v/>
      </c>
      <c r="J150" t="str">
        <f ca="1">IFERROR(__xludf.DUMMYFUNCTION("""COMPUTED_VALUE"""),"Laetitia Roux")</f>
        <v>Laetitia Roux</v>
      </c>
      <c r="K150" t="str">
        <f ca="1">IFERROR(__xludf.DUMMYFUNCTION("""COMPUTED_VALUE"""),"delphine.damian@lemistral.fr,helene.mina@lemistral.fr, uexpress.buislesbaronnies@mistral-u.fr")</f>
        <v>delphine.damian@lemistral.fr,helene.mina@lemistral.fr, uexpress.buislesbaronnies@mistral-u.fr</v>
      </c>
      <c r="L150" t="str">
        <f ca="1">IFERROR(__xludf.DUMMYFUNCTION("""COMPUTED_VALUE"""),"")</f>
        <v/>
      </c>
      <c r="M150" t="str">
        <f ca="1">IFERROR(__xludf.DUMMYFUNCTION("""COMPUTED_VALUE"""),"99.Hors Périmetre")</f>
        <v>99.Hors Périmetre</v>
      </c>
      <c r="N150" t="str">
        <f ca="1">IFERROR(__xludf.DUMMYFUNCTION("""COMPUTED_VALUE"""),"")</f>
        <v/>
      </c>
      <c r="O150" t="str">
        <f ca="1">IFERROR(__xludf.DUMMYFUNCTION("""COMPUTED_VALUE"""),"")</f>
        <v/>
      </c>
      <c r="P150" t="str">
        <f ca="1">IFERROR(__xludf.DUMMYFUNCTION("""COMPUTED_VALUE"""),"")</f>
        <v/>
      </c>
      <c r="Q150" s="5" t="str">
        <f ca="1">IFERROR(__xludf.DUMMYFUNCTION("""COMPUTED_VALUE"""),"")</f>
        <v/>
      </c>
      <c r="R150" s="6" t="str">
        <f ca="1">IFERROR(__xludf.DUMMYFUNCTION("""COMPUTED_VALUE"""),"")</f>
        <v/>
      </c>
      <c r="S150" t="str">
        <f ca="1">IFERROR(__xludf.DUMMYFUNCTION("""COMPUTED_VALUE"""),"")</f>
        <v/>
      </c>
      <c r="T150" t="str">
        <f ca="1">IFERROR(__xludf.DUMMYFUNCTION("""COMPUTED_VALUE"""),"")</f>
        <v/>
      </c>
      <c r="U150" t="str">
        <f ca="1">IFERROR(__xludf.DUMMYFUNCTION("""COMPUTED_VALUE"""),"")</f>
        <v/>
      </c>
      <c r="V150" t="str">
        <f ca="1">IFERROR(__xludf.DUMMYFUNCTION("""COMPUTED_VALUE"""),"")</f>
        <v/>
      </c>
      <c r="W150" t="str">
        <f ca="1">IFERROR(__xludf.DUMMYFUNCTION("""COMPUTED_VALUE"""),"")</f>
        <v/>
      </c>
      <c r="X150" t="str">
        <f ca="1">IFERROR(__xludf.DUMMYFUNCTION("""COMPUTED_VALUE"""),"")</f>
        <v/>
      </c>
      <c r="Y150" t="str">
        <f ca="1">IFERROR(__xludf.DUMMYFUNCTION("""COMPUTED_VALUE"""),"")</f>
        <v/>
      </c>
      <c r="Z150" t="str">
        <f ca="1">IFERROR(__xludf.DUMMYFUNCTION("""COMPUTED_VALUE"""),"")</f>
        <v/>
      </c>
      <c r="AA150" t="str">
        <f ca="1">IFERROR(__xludf.DUMMYFUNCTION("""COMPUTED_VALUE"""),"Pas de commande")</f>
        <v>Pas de commande</v>
      </c>
      <c r="AB150" s="8" t="str">
        <f ca="1">IFERROR(__xludf.DUMMYFUNCTION("""COMPUTED_VALUE"""),"")</f>
        <v/>
      </c>
      <c r="AC150" s="8" t="str">
        <f ca="1">IFERROR(__xludf.DUMMYFUNCTION("""COMPUTED_VALUE"""),"")</f>
        <v/>
      </c>
      <c r="AD150" s="11" t="str">
        <f ca="1">IFERROR(__xludf.DUMMYFUNCTION("""COMPUTED_VALUE"""),"")</f>
        <v/>
      </c>
      <c r="AE150" t="str">
        <f ca="1">IFERROR(__xludf.DUMMYFUNCTION("""COMPUTED_VALUE"""),"")</f>
        <v/>
      </c>
    </row>
    <row r="151" spans="1:31" ht="12.75" x14ac:dyDescent="0.2">
      <c r="A151">
        <f ca="1">IFERROR(__xludf.DUMMYFUNCTION("""COMPUTED_VALUE"""),60030)</f>
        <v>60030</v>
      </c>
      <c r="B151" t="str">
        <f ca="1">IFERROR(__xludf.DUMMYFUNCTION("""COMPUTED_VALUE"""),"BURNHAUPT LE HAUT")</f>
        <v>BURNHAUPT LE HAUT</v>
      </c>
      <c r="C151" t="str">
        <f ca="1">IFERROR(__xludf.DUMMYFUNCTION("""COMPUTED_VALUE"""),"Super U")</f>
        <v>Super U</v>
      </c>
      <c r="D151" t="str">
        <f ca="1">IFERROR(__xludf.DUMMYFUNCTION("""COMPUTED_VALUE"""),"Coop U Enseigne Est")</f>
        <v>Coop U Enseigne Est</v>
      </c>
      <c r="E151">
        <f ca="1">IFERROR(__xludf.DUMMYFUNCTION("""COMPUTED_VALUE"""),68520)</f>
        <v>68520</v>
      </c>
      <c r="F151" t="str">
        <f ca="1">IFERROR(__xludf.DUMMYFUNCTION("""COMPUTED_VALUE"""),"Pont d'Aspach")</f>
        <v>Pont d'Aspach</v>
      </c>
      <c r="G151" t="str">
        <f ca="1">IFERROR(__xludf.DUMMYFUNCTION("""COMPUTED_VALUE"""),"03.89.48.90.44")</f>
        <v>03.89.48.90.44</v>
      </c>
      <c r="H151" t="str">
        <f ca="1">IFERROR(__xludf.DUMMYFUNCTION("""COMPUTED_VALUE"""),"DI SCALA Eric")</f>
        <v>DI SCALA Eric</v>
      </c>
      <c r="I151" t="str">
        <f ca="1">IFERROR(__xludf.DUMMYFUNCTION("""COMPUTED_VALUE"""),"eric.discala@systeme-u.fr")</f>
        <v>eric.discala@systeme-u.fr</v>
      </c>
      <c r="J151" t="str">
        <f ca="1">IFERROR(__xludf.DUMMYFUNCTION("""COMPUTED_VALUE"""),"Mr Olivier PUSCA (directeur)")</f>
        <v>Mr Olivier PUSCA (directeur)</v>
      </c>
      <c r="K151" t="str">
        <f ca="1">IFERROR(__xludf.DUMMYFUNCTION("""COMPUTED_VALUE"""),"superu.burnhauptlehaut.directeur@systeme-u.fr")</f>
        <v>superu.burnhauptlehaut.directeur@systeme-u.fr</v>
      </c>
      <c r="L151" t="str">
        <f ca="1">IFERROR(__xludf.DUMMYFUNCTION("""COMPUTED_VALUE"""),"")</f>
        <v/>
      </c>
      <c r="M151" t="str">
        <f ca="1">IFERROR(__xludf.DUMMYFUNCTION("""COMPUTED_VALUE"""),"99.Hors Périmetre")</f>
        <v>99.Hors Périmetre</v>
      </c>
      <c r="N151" t="str">
        <f ca="1">IFERROR(__xludf.DUMMYFUNCTION("""COMPUTED_VALUE"""),"")</f>
        <v/>
      </c>
      <c r="O151" t="str">
        <f ca="1">IFERROR(__xludf.DUMMYFUNCTION("""COMPUTED_VALUE"""),"")</f>
        <v/>
      </c>
      <c r="P151" t="str">
        <f ca="1">IFERROR(__xludf.DUMMYFUNCTION("""COMPUTED_VALUE"""),"")</f>
        <v/>
      </c>
      <c r="Q151" s="5" t="str">
        <f ca="1">IFERROR(__xludf.DUMMYFUNCTION("""COMPUTED_VALUE"""),"")</f>
        <v/>
      </c>
      <c r="R151" s="6" t="str">
        <f ca="1">IFERROR(__xludf.DUMMYFUNCTION("""COMPUTED_VALUE"""),"")</f>
        <v/>
      </c>
      <c r="S151" t="str">
        <f ca="1">IFERROR(__xludf.DUMMYFUNCTION("""COMPUTED_VALUE"""),"")</f>
        <v/>
      </c>
      <c r="T151" t="str">
        <f ca="1">IFERROR(__xludf.DUMMYFUNCTION("""COMPUTED_VALUE"""),"")</f>
        <v/>
      </c>
      <c r="U151" t="str">
        <f ca="1">IFERROR(__xludf.DUMMYFUNCTION("""COMPUTED_VALUE"""),"")</f>
        <v/>
      </c>
      <c r="V151" t="str">
        <f ca="1">IFERROR(__xludf.DUMMYFUNCTION("""COMPUTED_VALUE"""),"")</f>
        <v/>
      </c>
      <c r="W151" t="str">
        <f ca="1">IFERROR(__xludf.DUMMYFUNCTION("""COMPUTED_VALUE"""),"")</f>
        <v/>
      </c>
      <c r="X151" t="str">
        <f ca="1">IFERROR(__xludf.DUMMYFUNCTION("""COMPUTED_VALUE"""),"")</f>
        <v/>
      </c>
      <c r="Y151" t="str">
        <f ca="1">IFERROR(__xludf.DUMMYFUNCTION("""COMPUTED_VALUE"""),"")</f>
        <v/>
      </c>
      <c r="Z151" t="str">
        <f ca="1">IFERROR(__xludf.DUMMYFUNCTION("""COMPUTED_VALUE"""),"")</f>
        <v/>
      </c>
      <c r="AA151" t="str">
        <f ca="1">IFERROR(__xludf.DUMMYFUNCTION("""COMPUTED_VALUE"""),"Pas de commande")</f>
        <v>Pas de commande</v>
      </c>
      <c r="AB151" s="8" t="str">
        <f ca="1">IFERROR(__xludf.DUMMYFUNCTION("""COMPUTED_VALUE"""),"")</f>
        <v/>
      </c>
      <c r="AC151" s="8" t="str">
        <f ca="1">IFERROR(__xludf.DUMMYFUNCTION("""COMPUTED_VALUE"""),"")</f>
        <v/>
      </c>
      <c r="AD151" s="11" t="str">
        <f ca="1">IFERROR(__xludf.DUMMYFUNCTION("""COMPUTED_VALUE"""),"")</f>
        <v/>
      </c>
      <c r="AE151" t="str">
        <f ca="1">IFERROR(__xludf.DUMMYFUNCTION("""COMPUTED_VALUE"""),"")</f>
        <v/>
      </c>
    </row>
    <row r="152" spans="1:31" ht="12.75" x14ac:dyDescent="0.2">
      <c r="A152">
        <f ca="1">IFERROR(__xludf.DUMMYFUNCTION("""COMPUTED_VALUE"""),39040)</f>
        <v>39040</v>
      </c>
      <c r="B152" t="str">
        <f ca="1">IFERROR(__xludf.DUMMYFUNCTION("""COMPUTED_VALUE"""),"BUXEROLLES")</f>
        <v>BUXEROLLES</v>
      </c>
      <c r="C152" t="str">
        <f ca="1">IFERROR(__xludf.DUMMYFUNCTION("""COMPUTED_VALUE"""),"Super U")</f>
        <v>Super U</v>
      </c>
      <c r="D152" t="str">
        <f ca="1">IFERROR(__xludf.DUMMYFUNCTION("""COMPUTED_VALUE"""),"Coop U Enseigne Ouest")</f>
        <v>Coop U Enseigne Ouest</v>
      </c>
      <c r="E152">
        <f ca="1">IFERROR(__xludf.DUMMYFUNCTION("""COMPUTED_VALUE"""),86180)</f>
        <v>86180</v>
      </c>
      <c r="F152" t="str">
        <f ca="1">IFERROR(__xludf.DUMMYFUNCTION("""COMPUTED_VALUE"""),"10, RUE DE LA CHARLETTERIE")</f>
        <v>10, RUE DE LA CHARLETTERIE</v>
      </c>
      <c r="G152" t="str">
        <f ca="1">IFERROR(__xludf.DUMMYFUNCTION("""COMPUTED_VALUE"""),"05.49.44.11.97")</f>
        <v>05.49.44.11.97</v>
      </c>
      <c r="H152" t="str">
        <f ca="1">IFERROR(__xludf.DUMMYFUNCTION("""COMPUTED_VALUE"""),"DEFONTAINE Bertrand")</f>
        <v>DEFONTAINE Bertrand</v>
      </c>
      <c r="I152" t="str">
        <f ca="1">IFERROR(__xludf.DUMMYFUNCTION("""COMPUTED_VALUE"""),"")</f>
        <v/>
      </c>
      <c r="J152" t="str">
        <f ca="1">IFERROR(__xludf.DUMMYFUNCTION("""COMPUTED_VALUE"""),"Angélique VAUZELLE (congé maternité)/ demander Hélène ou Isabelle pour l'appel Migration
Sophie (UPLV)
")</f>
        <v xml:space="preserve">Angélique VAUZELLE (congé maternité)/ demander Hélène ou Isabelle pour l'appel Migration
Sophie (UPLV)
</v>
      </c>
      <c r="K152" t="str">
        <f ca="1">IFERROR(__xludf.DUMMYFUNCTION("""COMPUTED_VALUE"""),"nbrigant@coop-atlantique.fr,sjaud@coop-atlantique.fr,serge.lhommeau@systeme-u.fr,superu.buxerolles.managerderayon@systeme-u.fr")</f>
        <v>nbrigant@coop-atlantique.fr,sjaud@coop-atlantique.fr,serge.lhommeau@systeme-u.fr,superu.buxerolles.managerderayon@systeme-u.fr</v>
      </c>
      <c r="L152" t="str">
        <f ca="1">IFERROR(__xludf.DUMMYFUNCTION("""COMPUTED_VALUE"""),"")</f>
        <v/>
      </c>
      <c r="M152" t="str">
        <f ca="1">IFERROR(__xludf.DUMMYFUNCTION("""COMPUTED_VALUE"""),"99.Hors Périmetre")</f>
        <v>99.Hors Périmetre</v>
      </c>
      <c r="N152" t="str">
        <f ca="1">IFERROR(__xludf.DUMMYFUNCTION("""COMPUTED_VALUE"""),"")</f>
        <v/>
      </c>
      <c r="O152" t="str">
        <f ca="1">IFERROR(__xludf.DUMMYFUNCTION("""COMPUTED_VALUE"""),"")</f>
        <v/>
      </c>
      <c r="P152" t="str">
        <f ca="1">IFERROR(__xludf.DUMMYFUNCTION("""COMPUTED_VALUE"""),"")</f>
        <v/>
      </c>
      <c r="Q152" s="5" t="str">
        <f ca="1">IFERROR(__xludf.DUMMYFUNCTION("""COMPUTED_VALUE"""),"")</f>
        <v/>
      </c>
      <c r="R152" s="6" t="str">
        <f ca="1">IFERROR(__xludf.DUMMYFUNCTION("""COMPUTED_VALUE"""),"")</f>
        <v/>
      </c>
      <c r="S152" t="str">
        <f ca="1">IFERROR(__xludf.DUMMYFUNCTION("""COMPUTED_VALUE"""),"")</f>
        <v/>
      </c>
      <c r="T152" t="str">
        <f ca="1">IFERROR(__xludf.DUMMYFUNCTION("""COMPUTED_VALUE"""),"")</f>
        <v/>
      </c>
      <c r="U152" t="str">
        <f ca="1">IFERROR(__xludf.DUMMYFUNCTION("""COMPUTED_VALUE"""),"")</f>
        <v/>
      </c>
      <c r="V152" t="str">
        <f ca="1">IFERROR(__xludf.DUMMYFUNCTION("""COMPUTED_VALUE"""),"")</f>
        <v/>
      </c>
      <c r="W152" t="str">
        <f ca="1">IFERROR(__xludf.DUMMYFUNCTION("""COMPUTED_VALUE"""),"")</f>
        <v/>
      </c>
      <c r="X152" t="str">
        <f ca="1">IFERROR(__xludf.DUMMYFUNCTION("""COMPUTED_VALUE"""),"")</f>
        <v/>
      </c>
      <c r="Y152" t="str">
        <f ca="1">IFERROR(__xludf.DUMMYFUNCTION("""COMPUTED_VALUE"""),"")</f>
        <v/>
      </c>
      <c r="Z152" t="str">
        <f ca="1">IFERROR(__xludf.DUMMYFUNCTION("""COMPUTED_VALUE"""),"")</f>
        <v/>
      </c>
      <c r="AA152" t="str">
        <f ca="1">IFERROR(__xludf.DUMMYFUNCTION("""COMPUTED_VALUE"""),"Pas de commande")</f>
        <v>Pas de commande</v>
      </c>
      <c r="AB152" s="8" t="str">
        <f ca="1">IFERROR(__xludf.DUMMYFUNCTION("""COMPUTED_VALUE"""),"")</f>
        <v/>
      </c>
      <c r="AC152" s="8" t="str">
        <f ca="1">IFERROR(__xludf.DUMMYFUNCTION("""COMPUTED_VALUE"""),"")</f>
        <v/>
      </c>
      <c r="AD152" s="11" t="str">
        <f ca="1">IFERROR(__xludf.DUMMYFUNCTION("""COMPUTED_VALUE"""),"")</f>
        <v/>
      </c>
      <c r="AE152" t="str">
        <f ca="1">IFERROR(__xludf.DUMMYFUNCTION("""COMPUTED_VALUE"""),"")</f>
        <v/>
      </c>
    </row>
    <row r="153" spans="1:31" ht="12.75" x14ac:dyDescent="0.2">
      <c r="A153">
        <f ca="1">IFERROR(__xludf.DUMMYFUNCTION("""COMPUTED_VALUE"""),21481)</f>
        <v>21481</v>
      </c>
      <c r="B153" t="str">
        <f ca="1">IFERROR(__xludf.DUMMYFUNCTION("""COMPUTED_VALUE"""),"CAEN BEAULIEU")</f>
        <v>CAEN BEAULIEU</v>
      </c>
      <c r="C153" t="str">
        <f ca="1">IFERROR(__xludf.DUMMYFUNCTION("""COMPUTED_VALUE"""),"Super U")</f>
        <v>Super U</v>
      </c>
      <c r="D153" t="str">
        <f ca="1">IFERROR(__xludf.DUMMYFUNCTION("""COMPUTED_VALUE"""),"Coop U Enseigne NordOuest")</f>
        <v>Coop U Enseigne NordOuest</v>
      </c>
      <c r="E153">
        <f ca="1">IFERROR(__xludf.DUMMYFUNCTION("""COMPUTED_VALUE"""),14000)</f>
        <v>14000</v>
      </c>
      <c r="F153" t="str">
        <f ca="1">IFERROR(__xludf.DUMMYFUNCTION("""COMPUTED_VALUE"""),"7 RUE ROBERT KASKOREFF")</f>
        <v>7 RUE ROBERT KASKOREFF</v>
      </c>
      <c r="G153" t="str">
        <f ca="1">IFERROR(__xludf.DUMMYFUNCTION("""COMPUTED_VALUE"""),"02.31.74.84.00")</f>
        <v>02.31.74.84.00</v>
      </c>
      <c r="H153" t="str">
        <f ca="1">IFERROR(__xludf.DUMMYFUNCTION("""COMPUTED_VALUE"""),"JAMET Philippe")</f>
        <v>JAMET Philippe</v>
      </c>
      <c r="I153" t="str">
        <f ca="1">IFERROR(__xludf.DUMMYFUNCTION("""COMPUTED_VALUE"""),"philippe.jamet@systeme-u.fr")</f>
        <v>philippe.jamet@systeme-u.fr</v>
      </c>
      <c r="J153" t="str">
        <f ca="1">IFERROR(__xludf.DUMMYFUNCTION("""COMPUTED_VALUE"""),"Pierre Jamet")</f>
        <v>Pierre Jamet</v>
      </c>
      <c r="K153" t="str">
        <f ca="1">IFERROR(__xludf.DUMMYFUNCTION("""COMPUTED_VALUE"""),"pierre.jamet@systeme-u.fr")</f>
        <v>pierre.jamet@systeme-u.fr</v>
      </c>
      <c r="L153" t="str">
        <f ca="1">IFERROR(__xludf.DUMMYFUNCTION("""COMPUTED_VALUE"""),"")</f>
        <v/>
      </c>
      <c r="M153" t="str">
        <f ca="1">IFERROR(__xludf.DUMMYFUNCTION("""COMPUTED_VALUE"""),"99.Hors Périmetre")</f>
        <v>99.Hors Périmetre</v>
      </c>
      <c r="N153" t="str">
        <f ca="1">IFERROR(__xludf.DUMMYFUNCTION("""COMPUTED_VALUE"""),"")</f>
        <v/>
      </c>
      <c r="O153" t="str">
        <f ca="1">IFERROR(__xludf.DUMMYFUNCTION("""COMPUTED_VALUE"""),"")</f>
        <v/>
      </c>
      <c r="P153" t="str">
        <f ca="1">IFERROR(__xludf.DUMMYFUNCTION("""COMPUTED_VALUE"""),"")</f>
        <v/>
      </c>
      <c r="Q153" s="5" t="str">
        <f ca="1">IFERROR(__xludf.DUMMYFUNCTION("""COMPUTED_VALUE"""),"")</f>
        <v/>
      </c>
      <c r="R153" s="6" t="str">
        <f ca="1">IFERROR(__xludf.DUMMYFUNCTION("""COMPUTED_VALUE"""),"")</f>
        <v/>
      </c>
      <c r="S153" t="str">
        <f ca="1">IFERROR(__xludf.DUMMYFUNCTION("""COMPUTED_VALUE"""),"")</f>
        <v/>
      </c>
      <c r="T153" t="str">
        <f ca="1">IFERROR(__xludf.DUMMYFUNCTION("""COMPUTED_VALUE"""),"")</f>
        <v/>
      </c>
      <c r="U153" t="str">
        <f ca="1">IFERROR(__xludf.DUMMYFUNCTION("""COMPUTED_VALUE"""),"")</f>
        <v/>
      </c>
      <c r="V153" t="str">
        <f ca="1">IFERROR(__xludf.DUMMYFUNCTION("""COMPUTED_VALUE"""),"")</f>
        <v/>
      </c>
      <c r="W153" t="str">
        <f ca="1">IFERROR(__xludf.DUMMYFUNCTION("""COMPUTED_VALUE"""),"")</f>
        <v/>
      </c>
      <c r="X153" t="str">
        <f ca="1">IFERROR(__xludf.DUMMYFUNCTION("""COMPUTED_VALUE"""),"")</f>
        <v/>
      </c>
      <c r="Y153" t="str">
        <f ca="1">IFERROR(__xludf.DUMMYFUNCTION("""COMPUTED_VALUE"""),"")</f>
        <v/>
      </c>
      <c r="Z153" t="str">
        <f ca="1">IFERROR(__xludf.DUMMYFUNCTION("""COMPUTED_VALUE"""),"")</f>
        <v/>
      </c>
      <c r="AA153" t="str">
        <f ca="1">IFERROR(__xludf.DUMMYFUNCTION("""COMPUTED_VALUE"""),"Pas de commande")</f>
        <v>Pas de commande</v>
      </c>
      <c r="AB153" s="8" t="str">
        <f ca="1">IFERROR(__xludf.DUMMYFUNCTION("""COMPUTED_VALUE"""),"")</f>
        <v/>
      </c>
      <c r="AC153" s="8" t="str">
        <f ca="1">IFERROR(__xludf.DUMMYFUNCTION("""COMPUTED_VALUE"""),"")</f>
        <v/>
      </c>
      <c r="AD153" s="11" t="str">
        <f ca="1">IFERROR(__xludf.DUMMYFUNCTION("""COMPUTED_VALUE"""),"")</f>
        <v/>
      </c>
      <c r="AE153" t="str">
        <f ca="1">IFERROR(__xludf.DUMMYFUNCTION("""COMPUTED_VALUE"""),"")</f>
        <v/>
      </c>
    </row>
    <row r="154" spans="1:31" ht="12.75" x14ac:dyDescent="0.2">
      <c r="A154">
        <f ca="1">IFERROR(__xludf.DUMMYFUNCTION("""COMPUTED_VALUE"""),90144)</f>
        <v>90144</v>
      </c>
      <c r="B154" t="str">
        <f ca="1">IFERROR(__xludf.DUMMYFUNCTION("""COMPUTED_VALUE"""),"CALVI")</f>
        <v>CALVI</v>
      </c>
      <c r="C154" t="str">
        <f ca="1">IFERROR(__xludf.DUMMYFUNCTION("""COMPUTED_VALUE"""),"Super U")</f>
        <v>Super U</v>
      </c>
      <c r="D154" t="str">
        <f ca="1">IFERROR(__xludf.DUMMYFUNCTION("""COMPUTED_VALUE"""),"Coop U Enseigne Sud")</f>
        <v>Coop U Enseigne Sud</v>
      </c>
      <c r="E154">
        <f ca="1">IFERROR(__xludf.DUMMYFUNCTION("""COMPUTED_VALUE"""),20260)</f>
        <v>20260</v>
      </c>
      <c r="F154" t="str">
        <f ca="1">IFERROR(__xludf.DUMMYFUNCTION("""COMPUTED_VALUE"""),"AVENUE CHRISTOPHE COLOMB")</f>
        <v>AVENUE CHRISTOPHE COLOMB</v>
      </c>
      <c r="G154" t="str">
        <f ca="1">IFERROR(__xludf.DUMMYFUNCTION("""COMPUTED_VALUE"""),"04.95.65.04.32")</f>
        <v>04.95.65.04.32</v>
      </c>
      <c r="H154" t="str">
        <f ca="1">IFERROR(__xludf.DUMMYFUNCTION("""COMPUTED_VALUE"""),"FRANCESCHI Jean-Christophe")</f>
        <v>FRANCESCHI Jean-Christophe</v>
      </c>
      <c r="I154" t="str">
        <f ca="1">IFERROR(__xludf.DUMMYFUNCTION("""COMPUTED_VALUE"""),"jean-christophe.franceschi@systeme-u.fr")</f>
        <v>jean-christophe.franceschi@systeme-u.fr</v>
      </c>
      <c r="J154" t="str">
        <f ca="1">IFERROR(__xludf.DUMMYFUNCTION("""COMPUTED_VALUE"""),"Mme Doriry (directrice)")</f>
        <v>Mme Doriry (directrice)</v>
      </c>
      <c r="K154" t="str">
        <f ca="1">IFERROR(__xludf.DUMMYFUNCTION("""COMPUTED_VALUE"""),"superu.calvi@systeme-u.fr")</f>
        <v>superu.calvi@systeme-u.fr</v>
      </c>
      <c r="L154" t="str">
        <f ca="1">IFERROR(__xludf.DUMMYFUNCTION("""COMPUTED_VALUE"""),"")</f>
        <v/>
      </c>
      <c r="M154" t="str">
        <f ca="1">IFERROR(__xludf.DUMMYFUNCTION("""COMPUTED_VALUE"""),"99.Hors Périmetre")</f>
        <v>99.Hors Périmetre</v>
      </c>
      <c r="N154" t="str">
        <f ca="1">IFERROR(__xludf.DUMMYFUNCTION("""COMPUTED_VALUE"""),"")</f>
        <v/>
      </c>
      <c r="O154" t="str">
        <f ca="1">IFERROR(__xludf.DUMMYFUNCTION("""COMPUTED_VALUE"""),"")</f>
        <v/>
      </c>
      <c r="P154" t="str">
        <f ca="1">IFERROR(__xludf.DUMMYFUNCTION("""COMPUTED_VALUE"""),"")</f>
        <v/>
      </c>
      <c r="Q154" s="5" t="str">
        <f ca="1">IFERROR(__xludf.DUMMYFUNCTION("""COMPUTED_VALUE"""),"")</f>
        <v/>
      </c>
      <c r="R154" s="6" t="str">
        <f ca="1">IFERROR(__xludf.DUMMYFUNCTION("""COMPUTED_VALUE"""),"")</f>
        <v/>
      </c>
      <c r="S154" t="str">
        <f ca="1">IFERROR(__xludf.DUMMYFUNCTION("""COMPUTED_VALUE"""),"")</f>
        <v/>
      </c>
      <c r="T154" t="str">
        <f ca="1">IFERROR(__xludf.DUMMYFUNCTION("""COMPUTED_VALUE"""),"")</f>
        <v/>
      </c>
      <c r="U154" t="str">
        <f ca="1">IFERROR(__xludf.DUMMYFUNCTION("""COMPUTED_VALUE"""),"")</f>
        <v/>
      </c>
      <c r="V154" t="str">
        <f ca="1">IFERROR(__xludf.DUMMYFUNCTION("""COMPUTED_VALUE"""),"")</f>
        <v/>
      </c>
      <c r="W154" t="str">
        <f ca="1">IFERROR(__xludf.DUMMYFUNCTION("""COMPUTED_VALUE"""),"")</f>
        <v/>
      </c>
      <c r="X154" t="str">
        <f ca="1">IFERROR(__xludf.DUMMYFUNCTION("""COMPUTED_VALUE"""),"")</f>
        <v/>
      </c>
      <c r="Y154" t="str">
        <f ca="1">IFERROR(__xludf.DUMMYFUNCTION("""COMPUTED_VALUE"""),"")</f>
        <v/>
      </c>
      <c r="Z154" t="str">
        <f ca="1">IFERROR(__xludf.DUMMYFUNCTION("""COMPUTED_VALUE"""),"")</f>
        <v/>
      </c>
      <c r="AA154" t="str">
        <f ca="1">IFERROR(__xludf.DUMMYFUNCTION("""COMPUTED_VALUE"""),"Pas de commande")</f>
        <v>Pas de commande</v>
      </c>
      <c r="AB154" s="8" t="str">
        <f ca="1">IFERROR(__xludf.DUMMYFUNCTION("""COMPUTED_VALUE"""),"")</f>
        <v/>
      </c>
      <c r="AC154" s="8" t="str">
        <f ca="1">IFERROR(__xludf.DUMMYFUNCTION("""COMPUTED_VALUE"""),"")</f>
        <v/>
      </c>
      <c r="AD154" s="11" t="str">
        <f ca="1">IFERROR(__xludf.DUMMYFUNCTION("""COMPUTED_VALUE"""),"")</f>
        <v/>
      </c>
      <c r="AE154" t="str">
        <f ca="1">IFERROR(__xludf.DUMMYFUNCTION("""COMPUTED_VALUE"""),"")</f>
        <v/>
      </c>
    </row>
    <row r="155" spans="1:31" ht="12.75" x14ac:dyDescent="0.2">
      <c r="A155">
        <f ca="1">IFERROR(__xludf.DUMMYFUNCTION("""COMPUTED_VALUE"""),91262)</f>
        <v>91262</v>
      </c>
      <c r="B155" t="str">
        <f ca="1">IFERROR(__xludf.DUMMYFUNCTION("""COMPUTED_VALUE"""),"CALVISSON")</f>
        <v>CALVISSON</v>
      </c>
      <c r="C155" t="str">
        <f ca="1">IFERROR(__xludf.DUMMYFUNCTION("""COMPUTED_VALUE"""),"U Express")</f>
        <v>U Express</v>
      </c>
      <c r="D155" t="str">
        <f ca="1">IFERROR(__xludf.DUMMYFUNCTION("""COMPUTED_VALUE"""),"Coop MISTRAL")</f>
        <v>Coop MISTRAL</v>
      </c>
      <c r="E155">
        <f ca="1">IFERROR(__xludf.DUMMYFUNCTION("""COMPUTED_VALUE"""),30420)</f>
        <v>30420</v>
      </c>
      <c r="F155" t="str">
        <f ca="1">IFERROR(__xludf.DUMMYFUNCTION("""COMPUTED_VALUE"""),"ZAC DU VIGNÉ")</f>
        <v>ZAC DU VIGNÉ</v>
      </c>
      <c r="G155" t="str">
        <f ca="1">IFERROR(__xludf.DUMMYFUNCTION("""COMPUTED_VALUE"""),"04.66.81.14.53")</f>
        <v>04.66.81.14.53</v>
      </c>
      <c r="H155" t="str">
        <f ca="1">IFERROR(__xludf.DUMMYFUNCTION("""COMPUTED_VALUE"""),"ET RICHARD K DUBOUCHE C")</f>
        <v>ET RICHARD K DUBOUCHE C</v>
      </c>
      <c r="I155" t="str">
        <f ca="1">IFERROR(__xludf.DUMMYFUNCTION("""COMPUTED_VALUE"""),"uexpress.calvisson@mistral-u.fr")</f>
        <v>uexpress.calvisson@mistral-u.fr</v>
      </c>
      <c r="J155" t="str">
        <f ca="1">IFERROR(__xludf.DUMMYFUNCTION("""COMPUTED_VALUE"""),"")</f>
        <v/>
      </c>
      <c r="K155" t="str">
        <f ca="1">IFERROR(__xludf.DUMMYFUNCTION("""COMPUTED_VALUE"""),"")</f>
        <v/>
      </c>
      <c r="L155" t="str">
        <f ca="1">IFERROR(__xludf.DUMMYFUNCTION("""COMPUTED_VALUE"""),"")</f>
        <v/>
      </c>
      <c r="M155" t="str">
        <f ca="1">IFERROR(__xludf.DUMMYFUNCTION("""COMPUTED_VALUE"""),"99.Hors Périmetre")</f>
        <v>99.Hors Périmetre</v>
      </c>
      <c r="N155" t="str">
        <f ca="1">IFERROR(__xludf.DUMMYFUNCTION("""COMPUTED_VALUE"""),"")</f>
        <v/>
      </c>
      <c r="O155" t="str">
        <f ca="1">IFERROR(__xludf.DUMMYFUNCTION("""COMPUTED_VALUE"""),"")</f>
        <v/>
      </c>
      <c r="P155" t="str">
        <f ca="1">IFERROR(__xludf.DUMMYFUNCTION("""COMPUTED_VALUE"""),"")</f>
        <v/>
      </c>
      <c r="Q155" s="5" t="str">
        <f ca="1">IFERROR(__xludf.DUMMYFUNCTION("""COMPUTED_VALUE"""),"")</f>
        <v/>
      </c>
      <c r="R155" s="6" t="str">
        <f ca="1">IFERROR(__xludf.DUMMYFUNCTION("""COMPUTED_VALUE"""),"")</f>
        <v/>
      </c>
      <c r="S155" t="str">
        <f ca="1">IFERROR(__xludf.DUMMYFUNCTION("""COMPUTED_VALUE"""),"")</f>
        <v/>
      </c>
      <c r="T155" t="str">
        <f ca="1">IFERROR(__xludf.DUMMYFUNCTION("""COMPUTED_VALUE"""),"")</f>
        <v/>
      </c>
      <c r="U155" t="str">
        <f ca="1">IFERROR(__xludf.DUMMYFUNCTION("""COMPUTED_VALUE"""),"")</f>
        <v/>
      </c>
      <c r="V155" t="str">
        <f ca="1">IFERROR(__xludf.DUMMYFUNCTION("""COMPUTED_VALUE"""),"")</f>
        <v/>
      </c>
      <c r="W155" t="str">
        <f ca="1">IFERROR(__xludf.DUMMYFUNCTION("""COMPUTED_VALUE"""),"")</f>
        <v/>
      </c>
      <c r="X155" t="str">
        <f ca="1">IFERROR(__xludf.DUMMYFUNCTION("""COMPUTED_VALUE"""),"")</f>
        <v/>
      </c>
      <c r="Y155" t="str">
        <f ca="1">IFERROR(__xludf.DUMMYFUNCTION("""COMPUTED_VALUE"""),"")</f>
        <v/>
      </c>
      <c r="Z155" t="str">
        <f ca="1">IFERROR(__xludf.DUMMYFUNCTION("""COMPUTED_VALUE"""),"")</f>
        <v/>
      </c>
      <c r="AA155" t="str">
        <f ca="1">IFERROR(__xludf.DUMMYFUNCTION("""COMPUTED_VALUE"""),"Pas de commande")</f>
        <v>Pas de commande</v>
      </c>
      <c r="AB155" s="8" t="str">
        <f ca="1">IFERROR(__xludf.DUMMYFUNCTION("""COMPUTED_VALUE"""),"")</f>
        <v/>
      </c>
      <c r="AC155" s="8" t="str">
        <f ca="1">IFERROR(__xludf.DUMMYFUNCTION("""COMPUTED_VALUE"""),"")</f>
        <v/>
      </c>
      <c r="AD155" s="11" t="str">
        <f ca="1">IFERROR(__xludf.DUMMYFUNCTION("""COMPUTED_VALUE"""),"")</f>
        <v/>
      </c>
      <c r="AE155" t="str">
        <f ca="1">IFERROR(__xludf.DUMMYFUNCTION("""COMPUTED_VALUE"""),"")</f>
        <v/>
      </c>
    </row>
    <row r="156" spans="1:31" ht="12.75" x14ac:dyDescent="0.2">
      <c r="A156">
        <f ca="1">IFERROR(__xludf.DUMMYFUNCTION("""COMPUTED_VALUE"""),32542)</f>
        <v>32542</v>
      </c>
      <c r="B156" t="str">
        <f ca="1">IFERROR(__xludf.DUMMYFUNCTION("""COMPUTED_VALUE"""),"CAMARET")</f>
        <v>CAMARET</v>
      </c>
      <c r="C156" t="str">
        <f ca="1">IFERROR(__xludf.DUMMYFUNCTION("""COMPUTED_VALUE"""),"U Express")</f>
        <v>U Express</v>
      </c>
      <c r="D156" t="str">
        <f ca="1">IFERROR(__xludf.DUMMYFUNCTION("""COMPUTED_VALUE"""),"Coop U Enseigne Ouest")</f>
        <v>Coop U Enseigne Ouest</v>
      </c>
      <c r="E156">
        <f ca="1">IFERROR(__xludf.DUMMYFUNCTION("""COMPUTED_VALUE"""),29570)</f>
        <v>29570</v>
      </c>
      <c r="F156" t="str">
        <f ca="1">IFERROR(__xludf.DUMMYFUNCTION("""COMPUTED_VALUE"""),"RUE DES SARDINIERS")</f>
        <v>RUE DES SARDINIERS</v>
      </c>
      <c r="G156" t="str">
        <f ca="1">IFERROR(__xludf.DUMMYFUNCTION("""COMPUTED_VALUE"""),"02.98.27.93.24")</f>
        <v>02.98.27.93.24</v>
      </c>
      <c r="H156" t="str">
        <f ca="1">IFERROR(__xludf.DUMMYFUNCTION("""COMPUTED_VALUE"""),"GOUEZ Jean-Michel")</f>
        <v>GOUEZ Jean-Michel</v>
      </c>
      <c r="I156" t="str">
        <f ca="1">IFERROR(__xludf.DUMMYFUNCTION("""COMPUTED_VALUE"""),"jean-michel.gouez@systeme-u.fr")</f>
        <v>jean-michel.gouez@systeme-u.fr</v>
      </c>
      <c r="J156" t="str">
        <f ca="1">IFERROR(__xludf.DUMMYFUNCTION("""COMPUTED_VALUE"""),"M. GOUEZ
M. SEVELLEC")</f>
        <v>M. GOUEZ
M. SEVELLEC</v>
      </c>
      <c r="K156" t="str">
        <f ca="1">IFERROR(__xludf.DUMMYFUNCTION("""COMPUTED_VALUE"""),"")</f>
        <v/>
      </c>
      <c r="L156" t="str">
        <f ca="1">IFERROR(__xludf.DUMMYFUNCTION("""COMPUTED_VALUE"""),"")</f>
        <v/>
      </c>
      <c r="M156" t="str">
        <f ca="1">IFERROR(__xludf.DUMMYFUNCTION("""COMPUTED_VALUE"""),"99.Hors Périmetre")</f>
        <v>99.Hors Périmetre</v>
      </c>
      <c r="N156" t="str">
        <f ca="1">IFERROR(__xludf.DUMMYFUNCTION("""COMPUTED_VALUE"""),"")</f>
        <v/>
      </c>
      <c r="O156" t="str">
        <f ca="1">IFERROR(__xludf.DUMMYFUNCTION("""COMPUTED_VALUE"""),"")</f>
        <v/>
      </c>
      <c r="P156" t="str">
        <f ca="1">IFERROR(__xludf.DUMMYFUNCTION("""COMPUTED_VALUE"""),"")</f>
        <v/>
      </c>
      <c r="Q156" s="5" t="str">
        <f ca="1">IFERROR(__xludf.DUMMYFUNCTION("""COMPUTED_VALUE"""),"")</f>
        <v/>
      </c>
      <c r="R156" s="6" t="str">
        <f ca="1">IFERROR(__xludf.DUMMYFUNCTION("""COMPUTED_VALUE"""),"")</f>
        <v/>
      </c>
      <c r="S156" t="str">
        <f ca="1">IFERROR(__xludf.DUMMYFUNCTION("""COMPUTED_VALUE"""),"")</f>
        <v/>
      </c>
      <c r="T156" t="str">
        <f ca="1">IFERROR(__xludf.DUMMYFUNCTION("""COMPUTED_VALUE"""),"")</f>
        <v/>
      </c>
      <c r="U156" t="str">
        <f ca="1">IFERROR(__xludf.DUMMYFUNCTION("""COMPUTED_VALUE"""),"")</f>
        <v/>
      </c>
      <c r="V156" t="str">
        <f ca="1">IFERROR(__xludf.DUMMYFUNCTION("""COMPUTED_VALUE"""),"")</f>
        <v/>
      </c>
      <c r="W156" t="str">
        <f ca="1">IFERROR(__xludf.DUMMYFUNCTION("""COMPUTED_VALUE"""),"")</f>
        <v/>
      </c>
      <c r="X156" t="str">
        <f ca="1">IFERROR(__xludf.DUMMYFUNCTION("""COMPUTED_VALUE"""),"")</f>
        <v/>
      </c>
      <c r="Y156" t="str">
        <f ca="1">IFERROR(__xludf.DUMMYFUNCTION("""COMPUTED_VALUE"""),"")</f>
        <v/>
      </c>
      <c r="Z156" t="str">
        <f ca="1">IFERROR(__xludf.DUMMYFUNCTION("""COMPUTED_VALUE"""),"")</f>
        <v/>
      </c>
      <c r="AA156" t="str">
        <f ca="1">IFERROR(__xludf.DUMMYFUNCTION("""COMPUTED_VALUE"""),"Pas de commande")</f>
        <v>Pas de commande</v>
      </c>
      <c r="AB156" s="8" t="str">
        <f ca="1">IFERROR(__xludf.DUMMYFUNCTION("""COMPUTED_VALUE"""),"")</f>
        <v/>
      </c>
      <c r="AC156" s="8" t="str">
        <f ca="1">IFERROR(__xludf.DUMMYFUNCTION("""COMPUTED_VALUE"""),"")</f>
        <v/>
      </c>
      <c r="AD156" s="11" t="str">
        <f ca="1">IFERROR(__xludf.DUMMYFUNCTION("""COMPUTED_VALUE"""),"")</f>
        <v/>
      </c>
      <c r="AE156" t="str">
        <f ca="1">IFERROR(__xludf.DUMMYFUNCTION("""COMPUTED_VALUE"""),"")</f>
        <v/>
      </c>
    </row>
    <row r="157" spans="1:31" ht="12.75" x14ac:dyDescent="0.2">
      <c r="A157">
        <f ca="1">IFERROR(__xludf.DUMMYFUNCTION("""COMPUTED_VALUE"""),95808)</f>
        <v>95808</v>
      </c>
      <c r="B157" t="str">
        <f ca="1">IFERROR(__xludf.DUMMYFUNCTION("""COMPUTED_VALUE"""),"CAMBLANES")</f>
        <v>CAMBLANES</v>
      </c>
      <c r="C157" t="str">
        <f ca="1">IFERROR(__xludf.DUMMYFUNCTION("""COMPUTED_VALUE"""),"Super U")</f>
        <v>Super U</v>
      </c>
      <c r="D157" t="str">
        <f ca="1">IFERROR(__xludf.DUMMYFUNCTION("""COMPUTED_VALUE"""),"Coop U Enseigne Sud")</f>
        <v>Coop U Enseigne Sud</v>
      </c>
      <c r="E157">
        <f ca="1">IFERROR(__xludf.DUMMYFUNCTION("""COMPUTED_VALUE"""),33360)</f>
        <v>33360</v>
      </c>
      <c r="F157" t="str">
        <f ca="1">IFERROR(__xludf.DUMMYFUNCTION("""COMPUTED_VALUE"""),"ROUTE DE MORILLON")</f>
        <v>ROUTE DE MORILLON</v>
      </c>
      <c r="G157" t="str">
        <f ca="1">IFERROR(__xludf.DUMMYFUNCTION("""COMPUTED_VALUE"""),"05.56.20.11.11")</f>
        <v>05.56.20.11.11</v>
      </c>
      <c r="H157" t="str">
        <f ca="1">IFERROR(__xludf.DUMMYFUNCTION("""COMPUTED_VALUE"""),"NOUVET BRIGITTE")</f>
        <v>NOUVET BRIGITTE</v>
      </c>
      <c r="I157" t="str">
        <f ca="1">IFERROR(__xludf.DUMMYFUNCTION("""COMPUTED_VALUE"""),"brigitte.nouvet@systeme-u.fr")</f>
        <v>brigitte.nouvet@systeme-u.fr</v>
      </c>
      <c r="J157" t="str">
        <f ca="1">IFERROR(__xludf.DUMMYFUNCTION("""COMPUTED_VALUE"""),"Mme Boy
Mr Tatas (comptable - pilote)")</f>
        <v>Mme Boy
Mr Tatas (comptable - pilote)</v>
      </c>
      <c r="K157" t="str">
        <f ca="1">IFERROR(__xludf.DUMMYFUNCTION("""COMPUTED_VALUE"""),"superu.camblanes.direction@systeme-u.fr, superu.camblanes.compta@systeme-u.fr")</f>
        <v>superu.camblanes.direction@systeme-u.fr, superu.camblanes.compta@systeme-u.fr</v>
      </c>
      <c r="L157" t="str">
        <f ca="1">IFERROR(__xludf.DUMMYFUNCTION("""COMPUTED_VALUE"""),"")</f>
        <v/>
      </c>
      <c r="M157" t="str">
        <f ca="1">IFERROR(__xludf.DUMMYFUNCTION("""COMPUTED_VALUE"""),"99.Hors Périmetre")</f>
        <v>99.Hors Périmetre</v>
      </c>
      <c r="N157" t="str">
        <f ca="1">IFERROR(__xludf.DUMMYFUNCTION("""COMPUTED_VALUE"""),"")</f>
        <v/>
      </c>
      <c r="O157" t="str">
        <f ca="1">IFERROR(__xludf.DUMMYFUNCTION("""COMPUTED_VALUE"""),"")</f>
        <v/>
      </c>
      <c r="P157" t="str">
        <f ca="1">IFERROR(__xludf.DUMMYFUNCTION("""COMPUTED_VALUE"""),"")</f>
        <v/>
      </c>
      <c r="Q157" s="5" t="str">
        <f ca="1">IFERROR(__xludf.DUMMYFUNCTION("""COMPUTED_VALUE"""),"")</f>
        <v/>
      </c>
      <c r="R157" s="6" t="str">
        <f ca="1">IFERROR(__xludf.DUMMYFUNCTION("""COMPUTED_VALUE"""),"")</f>
        <v/>
      </c>
      <c r="S157" t="str">
        <f ca="1">IFERROR(__xludf.DUMMYFUNCTION("""COMPUTED_VALUE"""),"")</f>
        <v/>
      </c>
      <c r="T157" t="str">
        <f ca="1">IFERROR(__xludf.DUMMYFUNCTION("""COMPUTED_VALUE"""),"")</f>
        <v/>
      </c>
      <c r="U157" t="str">
        <f ca="1">IFERROR(__xludf.DUMMYFUNCTION("""COMPUTED_VALUE"""),"")</f>
        <v/>
      </c>
      <c r="V157" t="str">
        <f ca="1">IFERROR(__xludf.DUMMYFUNCTION("""COMPUTED_VALUE"""),"")</f>
        <v/>
      </c>
      <c r="W157" t="str">
        <f ca="1">IFERROR(__xludf.DUMMYFUNCTION("""COMPUTED_VALUE"""),"")</f>
        <v/>
      </c>
      <c r="X157" t="str">
        <f ca="1">IFERROR(__xludf.DUMMYFUNCTION("""COMPUTED_VALUE"""),"")</f>
        <v/>
      </c>
      <c r="Y157" t="str">
        <f ca="1">IFERROR(__xludf.DUMMYFUNCTION("""COMPUTED_VALUE"""),"")</f>
        <v/>
      </c>
      <c r="Z157" t="str">
        <f ca="1">IFERROR(__xludf.DUMMYFUNCTION("""COMPUTED_VALUE"""),"")</f>
        <v/>
      </c>
      <c r="AA157" t="str">
        <f ca="1">IFERROR(__xludf.DUMMYFUNCTION("""COMPUTED_VALUE"""),"Pas de commande")</f>
        <v>Pas de commande</v>
      </c>
      <c r="AB157" s="8" t="str">
        <f ca="1">IFERROR(__xludf.DUMMYFUNCTION("""COMPUTED_VALUE"""),"")</f>
        <v/>
      </c>
      <c r="AC157" s="8" t="str">
        <f ca="1">IFERROR(__xludf.DUMMYFUNCTION("""COMPUTED_VALUE"""),"")</f>
        <v/>
      </c>
      <c r="AD157" s="11" t="str">
        <f ca="1">IFERROR(__xludf.DUMMYFUNCTION("""COMPUTED_VALUE"""),"")</f>
        <v/>
      </c>
      <c r="AE157" t="str">
        <f ca="1">IFERROR(__xludf.DUMMYFUNCTION("""COMPUTED_VALUE"""),"")</f>
        <v/>
      </c>
    </row>
    <row r="158" spans="1:31" ht="12.75" x14ac:dyDescent="0.2">
      <c r="A158">
        <f ca="1">IFERROR(__xludf.DUMMYFUNCTION("""COMPUTED_VALUE"""),35363)</f>
        <v>35363</v>
      </c>
      <c r="B158" t="str">
        <f ca="1">IFERROR(__xludf.DUMMYFUNCTION("""COMPUTED_VALUE"""),"CANCALE")</f>
        <v>CANCALE</v>
      </c>
      <c r="C158" t="str">
        <f ca="1">IFERROR(__xludf.DUMMYFUNCTION("""COMPUTED_VALUE"""),"Super U")</f>
        <v>Super U</v>
      </c>
      <c r="D158" t="str">
        <f ca="1">IFERROR(__xludf.DUMMYFUNCTION("""COMPUTED_VALUE"""),"Coop U Enseigne Ouest")</f>
        <v>Coop U Enseigne Ouest</v>
      </c>
      <c r="E158">
        <f ca="1">IFERROR(__xludf.DUMMYFUNCTION("""COMPUTED_VALUE"""),35260)</f>
        <v>35260</v>
      </c>
      <c r="F158" t="str">
        <f ca="1">IFERROR(__xludf.DUMMYFUNCTION("""COMPUTED_VALUE"""),"ESPACE COMMERCIALE EMERAUDE")</f>
        <v>ESPACE COMMERCIALE EMERAUDE</v>
      </c>
      <c r="G158" t="str">
        <f ca="1">IFERROR(__xludf.DUMMYFUNCTION("""COMPUTED_VALUE"""),"02.99.89.86.11")</f>
        <v>02.99.89.86.11</v>
      </c>
      <c r="H158" t="str">
        <f ca="1">IFERROR(__xludf.DUMMYFUNCTION("""COMPUTED_VALUE"""),"LE HERAN RPT DLH FINANCE Denis")</f>
        <v>LE HERAN RPT DLH FINANCE Denis</v>
      </c>
      <c r="I158" t="str">
        <f ca="1">IFERROR(__xludf.DUMMYFUNCTION("""COMPUTED_VALUE"""),"denis.leheran@systeme-u.fr")</f>
        <v>denis.leheran@systeme-u.fr</v>
      </c>
      <c r="J158" t="str">
        <f ca="1">IFERROR(__xludf.DUMMYFUNCTION("""COMPUTED_VALUE"""),"Sidonie LEHERAN
Mr Le Floch ( comptable - pilote)")</f>
        <v>Sidonie LEHERAN
Mr Le Floch ( comptable - pilote)</v>
      </c>
      <c r="K158" t="str">
        <f ca="1">IFERROR(__xludf.DUMMYFUNCTION("""COMPUTED_VALUE"""),"sidonie.leheran@systeme-u.fr, superu.cancale.administratif@systeme-u.fr")</f>
        <v>sidonie.leheran@systeme-u.fr, superu.cancale.administratif@systeme-u.fr</v>
      </c>
      <c r="L158" t="str">
        <f ca="1">IFERROR(__xludf.DUMMYFUNCTION("""COMPUTED_VALUE"""),"")</f>
        <v/>
      </c>
      <c r="M158" t="str">
        <f ca="1">IFERROR(__xludf.DUMMYFUNCTION("""COMPUTED_VALUE"""),"99.Hors Périmetre")</f>
        <v>99.Hors Périmetre</v>
      </c>
      <c r="N158" t="str">
        <f ca="1">IFERROR(__xludf.DUMMYFUNCTION("""COMPUTED_VALUE"""),"")</f>
        <v/>
      </c>
      <c r="O158" t="str">
        <f ca="1">IFERROR(__xludf.DUMMYFUNCTION("""COMPUTED_VALUE"""),"")</f>
        <v/>
      </c>
      <c r="P158" t="str">
        <f ca="1">IFERROR(__xludf.DUMMYFUNCTION("""COMPUTED_VALUE"""),"")</f>
        <v/>
      </c>
      <c r="Q158" s="5" t="str">
        <f ca="1">IFERROR(__xludf.DUMMYFUNCTION("""COMPUTED_VALUE"""),"")</f>
        <v/>
      </c>
      <c r="R158" s="6" t="str">
        <f ca="1">IFERROR(__xludf.DUMMYFUNCTION("""COMPUTED_VALUE"""),"")</f>
        <v/>
      </c>
      <c r="S158" t="str">
        <f ca="1">IFERROR(__xludf.DUMMYFUNCTION("""COMPUTED_VALUE"""),"")</f>
        <v/>
      </c>
      <c r="T158" t="str">
        <f ca="1">IFERROR(__xludf.DUMMYFUNCTION("""COMPUTED_VALUE"""),"")</f>
        <v/>
      </c>
      <c r="U158" t="str">
        <f ca="1">IFERROR(__xludf.DUMMYFUNCTION("""COMPUTED_VALUE"""),"")</f>
        <v/>
      </c>
      <c r="V158" t="str">
        <f ca="1">IFERROR(__xludf.DUMMYFUNCTION("""COMPUTED_VALUE"""),"")</f>
        <v/>
      </c>
      <c r="W158" t="str">
        <f ca="1">IFERROR(__xludf.DUMMYFUNCTION("""COMPUTED_VALUE"""),"")</f>
        <v/>
      </c>
      <c r="X158" t="str">
        <f ca="1">IFERROR(__xludf.DUMMYFUNCTION("""COMPUTED_VALUE"""),"")</f>
        <v/>
      </c>
      <c r="Y158" t="str">
        <f ca="1">IFERROR(__xludf.DUMMYFUNCTION("""COMPUTED_VALUE"""),"")</f>
        <v/>
      </c>
      <c r="Z158" t="str">
        <f ca="1">IFERROR(__xludf.DUMMYFUNCTION("""COMPUTED_VALUE"""),"")</f>
        <v/>
      </c>
      <c r="AA158" t="str">
        <f ca="1">IFERROR(__xludf.DUMMYFUNCTION("""COMPUTED_VALUE"""),"Pas de commande")</f>
        <v>Pas de commande</v>
      </c>
      <c r="AB158" s="8" t="str">
        <f ca="1">IFERROR(__xludf.DUMMYFUNCTION("""COMPUTED_VALUE"""),"")</f>
        <v/>
      </c>
      <c r="AC158" s="8" t="str">
        <f ca="1">IFERROR(__xludf.DUMMYFUNCTION("""COMPUTED_VALUE"""),"")</f>
        <v/>
      </c>
      <c r="AD158" s="11" t="str">
        <f ca="1">IFERROR(__xludf.DUMMYFUNCTION("""COMPUTED_VALUE"""),"")</f>
        <v/>
      </c>
      <c r="AE158" t="str">
        <f ca="1">IFERROR(__xludf.DUMMYFUNCTION("""COMPUTED_VALUE"""),"")</f>
        <v/>
      </c>
    </row>
    <row r="159" spans="1:31" ht="12.75" x14ac:dyDescent="0.2">
      <c r="A159">
        <f ca="1">IFERROR(__xludf.DUMMYFUNCTION("""COMPUTED_VALUE"""),31864)</f>
        <v>31864</v>
      </c>
      <c r="B159" t="str">
        <f ca="1">IFERROR(__xludf.DUMMYFUNCTION("""COMPUTED_VALUE"""),"CANDE")</f>
        <v>CANDE</v>
      </c>
      <c r="C159" t="str">
        <f ca="1">IFERROR(__xludf.DUMMYFUNCTION("""COMPUTED_VALUE"""),"Super U")</f>
        <v>Super U</v>
      </c>
      <c r="D159" t="str">
        <f ca="1">IFERROR(__xludf.DUMMYFUNCTION("""COMPUTED_VALUE"""),"Coop U Enseigne Ouest")</f>
        <v>Coop U Enseigne Ouest</v>
      </c>
      <c r="E159">
        <f ca="1">IFERROR(__xludf.DUMMYFUNCTION("""COMPUTED_VALUE"""),49440)</f>
        <v>49440</v>
      </c>
      <c r="F159" t="str">
        <f ca="1">IFERROR(__xludf.DUMMYFUNCTION("""COMPUTED_VALUE"""),"PORTE DE NORMANDIE")</f>
        <v>PORTE DE NORMANDIE</v>
      </c>
      <c r="G159" t="str">
        <f ca="1">IFERROR(__xludf.DUMMYFUNCTION("""COMPUTED_VALUE"""),"02.41.94.92.90")</f>
        <v>02.41.94.92.90</v>
      </c>
      <c r="H159" t="str">
        <f ca="1">IFERROR(__xludf.DUMMYFUNCTION("""COMPUTED_VALUE"""),"GARANDEAU Hervé")</f>
        <v>GARANDEAU Hervé</v>
      </c>
      <c r="I159" t="str">
        <f ca="1">IFERROR(__xludf.DUMMYFUNCTION("""COMPUTED_VALUE"""),"herve.garandeau@systeme-u.fr")</f>
        <v>herve.garandeau@systeme-u.fr</v>
      </c>
      <c r="J159" t="str">
        <f ca="1">IFERROR(__xludf.DUMMYFUNCTION("""COMPUTED_VALUE"""),"GAZEAU Isabelle")</f>
        <v>GAZEAU Isabelle</v>
      </c>
      <c r="K159" t="str">
        <f ca="1">IFERROR(__xludf.DUMMYFUNCTION("""COMPUTED_VALUE"""),"superu.cande.direction@systeme-u.fr,superu.cande.managerderayon@systeme-u.fr")</f>
        <v>superu.cande.direction@systeme-u.fr,superu.cande.managerderayon@systeme-u.fr</v>
      </c>
      <c r="L159" t="str">
        <f ca="1">IFERROR(__xludf.DUMMYFUNCTION("""COMPUTED_VALUE"""),"")</f>
        <v/>
      </c>
      <c r="M159" t="str">
        <f ca="1">IFERROR(__xludf.DUMMYFUNCTION("""COMPUTED_VALUE"""),"99.Hors Périmetre")</f>
        <v>99.Hors Périmetre</v>
      </c>
      <c r="N159" t="str">
        <f ca="1">IFERROR(__xludf.DUMMYFUNCTION("""COMPUTED_VALUE"""),"")</f>
        <v/>
      </c>
      <c r="O159" t="str">
        <f ca="1">IFERROR(__xludf.DUMMYFUNCTION("""COMPUTED_VALUE"""),"")</f>
        <v/>
      </c>
      <c r="P159" t="str">
        <f ca="1">IFERROR(__xludf.DUMMYFUNCTION("""COMPUTED_VALUE"""),"")</f>
        <v/>
      </c>
      <c r="Q159" s="5" t="str">
        <f ca="1">IFERROR(__xludf.DUMMYFUNCTION("""COMPUTED_VALUE"""),"")</f>
        <v/>
      </c>
      <c r="R159" s="6" t="str">
        <f ca="1">IFERROR(__xludf.DUMMYFUNCTION("""COMPUTED_VALUE"""),"")</f>
        <v/>
      </c>
      <c r="S159" t="str">
        <f ca="1">IFERROR(__xludf.DUMMYFUNCTION("""COMPUTED_VALUE"""),"")</f>
        <v/>
      </c>
      <c r="T159" t="str">
        <f ca="1">IFERROR(__xludf.DUMMYFUNCTION("""COMPUTED_VALUE"""),"")</f>
        <v/>
      </c>
      <c r="U159" t="str">
        <f ca="1">IFERROR(__xludf.DUMMYFUNCTION("""COMPUTED_VALUE"""),"")</f>
        <v/>
      </c>
      <c r="V159" t="str">
        <f ca="1">IFERROR(__xludf.DUMMYFUNCTION("""COMPUTED_VALUE"""),"")</f>
        <v/>
      </c>
      <c r="W159" t="str">
        <f ca="1">IFERROR(__xludf.DUMMYFUNCTION("""COMPUTED_VALUE"""),"")</f>
        <v/>
      </c>
      <c r="X159" t="str">
        <f ca="1">IFERROR(__xludf.DUMMYFUNCTION("""COMPUTED_VALUE"""),"")</f>
        <v/>
      </c>
      <c r="Y159" t="str">
        <f ca="1">IFERROR(__xludf.DUMMYFUNCTION("""COMPUTED_VALUE"""),"")</f>
        <v/>
      </c>
      <c r="Z159" t="str">
        <f ca="1">IFERROR(__xludf.DUMMYFUNCTION("""COMPUTED_VALUE"""),"")</f>
        <v/>
      </c>
      <c r="AA159" t="str">
        <f ca="1">IFERROR(__xludf.DUMMYFUNCTION("""COMPUTED_VALUE"""),"Pas de commande")</f>
        <v>Pas de commande</v>
      </c>
      <c r="AB159" s="8" t="str">
        <f ca="1">IFERROR(__xludf.DUMMYFUNCTION("""COMPUTED_VALUE"""),"")</f>
        <v/>
      </c>
      <c r="AC159" s="8" t="str">
        <f ca="1">IFERROR(__xludf.DUMMYFUNCTION("""COMPUTED_VALUE"""),"")</f>
        <v/>
      </c>
      <c r="AD159" s="11" t="str">
        <f ca="1">IFERROR(__xludf.DUMMYFUNCTION("""COMPUTED_VALUE"""),"")</f>
        <v/>
      </c>
      <c r="AE159" t="str">
        <f ca="1">IFERROR(__xludf.DUMMYFUNCTION("""COMPUTED_VALUE"""),"")</f>
        <v/>
      </c>
    </row>
    <row r="160" spans="1:31" ht="12.75" x14ac:dyDescent="0.2">
      <c r="A160">
        <f ca="1">IFERROR(__xludf.DUMMYFUNCTION("""COMPUTED_VALUE"""),90621)</f>
        <v>90621</v>
      </c>
      <c r="B160" t="str">
        <f ca="1">IFERROR(__xludf.DUMMYFUNCTION("""COMPUTED_VALUE"""),"CANNES PETIT JUAS")</f>
        <v>CANNES PETIT JUAS</v>
      </c>
      <c r="C160" t="str">
        <f ca="1">IFERROR(__xludf.DUMMYFUNCTION("""COMPUTED_VALUE"""),"U Express")</f>
        <v>U Express</v>
      </c>
      <c r="D160" t="str">
        <f ca="1">IFERROR(__xludf.DUMMYFUNCTION("""COMPUTED_VALUE"""),"Coop MISTRAL")</f>
        <v>Coop MISTRAL</v>
      </c>
      <c r="E160">
        <f ca="1">IFERROR(__xludf.DUMMYFUNCTION("""COMPUTED_VALUE"""),6400)</f>
        <v>6400</v>
      </c>
      <c r="F160" t="str">
        <f ca="1">IFERROR(__xludf.DUMMYFUNCTION("""COMPUTED_VALUE"""),"20 AV.DU PETIT JUAS")</f>
        <v>20 AV.DU PETIT JUAS</v>
      </c>
      <c r="G160" t="str">
        <f ca="1">IFERROR(__xludf.DUMMYFUNCTION("""COMPUTED_VALUE"""),"04.93.38.94.16")</f>
        <v>04.93.38.94.16</v>
      </c>
      <c r="H160" t="str">
        <f ca="1">IFERROR(__xludf.DUMMYFUNCTION("""COMPUTED_VALUE"""),"COUVAT Thierry")</f>
        <v>COUVAT Thierry</v>
      </c>
      <c r="I160" t="str">
        <f ca="1">IFERROR(__xludf.DUMMYFUNCTION("""COMPUTED_VALUE"""),"antoine.couvat@yahoo.fr")</f>
        <v>antoine.couvat@yahoo.fr</v>
      </c>
      <c r="J160" t="str">
        <f ca="1">IFERROR(__xludf.DUMMYFUNCTION("""COMPUTED_VALUE"""),"")</f>
        <v/>
      </c>
      <c r="K160" t="str">
        <f ca="1">IFERROR(__xludf.DUMMYFUNCTION("""COMPUTED_VALUE"""),"delphine.damian@lemistral.fr,helene.mina@lemistral.fr")</f>
        <v>delphine.damian@lemistral.fr,helene.mina@lemistral.fr</v>
      </c>
      <c r="L160" t="str">
        <f ca="1">IFERROR(__xludf.DUMMYFUNCTION("""COMPUTED_VALUE"""),"Standard")</f>
        <v>Standard</v>
      </c>
      <c r="M160" t="str">
        <f ca="1">IFERROR(__xludf.DUMMYFUNCTION("""COMPUTED_VALUE"""),"0. Non démarré")</f>
        <v>0. Non démarré</v>
      </c>
      <c r="N160" t="str">
        <f ca="1">IFERROR(__xludf.DUMMYFUNCTION("""COMPUTED_VALUE"""),"")</f>
        <v/>
      </c>
      <c r="O160" t="str">
        <f ca="1">IFERROR(__xludf.DUMMYFUNCTION("""COMPUTED_VALUE"""),"")</f>
        <v/>
      </c>
      <c r="P160" t="str">
        <f ca="1">IFERROR(__xludf.DUMMYFUNCTION("""COMPUTED_VALUE"""),"")</f>
        <v/>
      </c>
      <c r="Q160" s="5" t="str">
        <f ca="1">IFERROR(__xludf.DUMMYFUNCTION("""COMPUTED_VALUE"""),"")</f>
        <v/>
      </c>
      <c r="R160" s="6" t="str">
        <f ca="1">IFERROR(__xludf.DUMMYFUNCTION("""COMPUTED_VALUE"""),"")</f>
        <v/>
      </c>
      <c r="S160" t="str">
        <f ca="1">IFERROR(__xludf.DUMMYFUNCTION("""COMPUTED_VALUE"""),"")</f>
        <v/>
      </c>
      <c r="T160" t="str">
        <f ca="1">IFERROR(__xludf.DUMMYFUNCTION("""COMPUTED_VALUE"""),"")</f>
        <v/>
      </c>
      <c r="U160" t="str">
        <f ca="1">IFERROR(__xludf.DUMMYFUNCTION("""COMPUTED_VALUE"""),"")</f>
        <v/>
      </c>
      <c r="V160" t="str">
        <f ca="1">IFERROR(__xludf.DUMMYFUNCTION("""COMPUTED_VALUE"""),"")</f>
        <v/>
      </c>
      <c r="W160" t="str">
        <f ca="1">IFERROR(__xludf.DUMMYFUNCTION("""COMPUTED_VALUE"""),"")</f>
        <v/>
      </c>
      <c r="X160" t="str">
        <f ca="1">IFERROR(__xludf.DUMMYFUNCTION("""COMPUTED_VALUE"""),"")</f>
        <v/>
      </c>
      <c r="Y160" t="str">
        <f ca="1">IFERROR(__xludf.DUMMYFUNCTION("""COMPUTED_VALUE"""),"")</f>
        <v/>
      </c>
      <c r="Z160" t="str">
        <f ca="1">IFERROR(__xludf.DUMMYFUNCTION("""COMPUTED_VALUE"""),"")</f>
        <v/>
      </c>
      <c r="AA160" t="str">
        <f ca="1">IFERROR(__xludf.DUMMYFUNCTION("""COMPUTED_VALUE"""),"Pas de commande")</f>
        <v>Pas de commande</v>
      </c>
      <c r="AB160" s="8" t="str">
        <f ca="1">IFERROR(__xludf.DUMMYFUNCTION("""COMPUTED_VALUE"""),"")</f>
        <v/>
      </c>
      <c r="AC160" s="8" t="str">
        <f ca="1">IFERROR(__xludf.DUMMYFUNCTION("""COMPUTED_VALUE"""),"")</f>
        <v/>
      </c>
      <c r="AD160" s="11" t="str">
        <f ca="1">IFERROR(__xludf.DUMMYFUNCTION("""COMPUTED_VALUE"""),"")</f>
        <v/>
      </c>
      <c r="AE160" t="str">
        <f ca="1">IFERROR(__xludf.DUMMYFUNCTION("""COMPUTED_VALUE"""),"")</f>
        <v/>
      </c>
    </row>
    <row r="161" spans="1:31" ht="12.75" x14ac:dyDescent="0.2">
      <c r="A161">
        <f ca="1">IFERROR(__xludf.DUMMYFUNCTION("""COMPUTED_VALUE"""),65453)</f>
        <v>65453</v>
      </c>
      <c r="B161" t="str">
        <f ca="1">IFERROR(__xludf.DUMMYFUNCTION("""COMPUTED_VALUE"""),"CAPAVENIR VOSGES")</f>
        <v>CAPAVENIR VOSGES</v>
      </c>
      <c r="C161" t="str">
        <f ca="1">IFERROR(__xludf.DUMMYFUNCTION("""COMPUTED_VALUE"""),"Super U")</f>
        <v>Super U</v>
      </c>
      <c r="D161" t="str">
        <f ca="1">IFERROR(__xludf.DUMMYFUNCTION("""COMPUTED_VALUE"""),"Coop U Enseigne Est")</f>
        <v>Coop U Enseigne Est</v>
      </c>
      <c r="E161">
        <f ca="1">IFERROR(__xludf.DUMMYFUNCTION("""COMPUTED_VALUE"""),88150)</f>
        <v>88150</v>
      </c>
      <c r="F161" t="str">
        <f ca="1">IFERROR(__xludf.DUMMYFUNCTION("""COMPUTED_VALUE"""),"196 RUE DE LORRAINE")</f>
        <v>196 RUE DE LORRAINE</v>
      </c>
      <c r="G161" t="str">
        <f ca="1">IFERROR(__xludf.DUMMYFUNCTION("""COMPUTED_VALUE"""),"03.29.39.03.40")</f>
        <v>03.29.39.03.40</v>
      </c>
      <c r="H161" t="str">
        <f ca="1">IFERROR(__xludf.DUMMYFUNCTION("""COMPUTED_VALUE"""),"LOEGEL Véronique")</f>
        <v>LOEGEL Véronique</v>
      </c>
      <c r="I161" t="str">
        <f ca="1">IFERROR(__xludf.DUMMYFUNCTION("""COMPUTED_VALUE"""),"veronique.loegel@systeme-u.fr")</f>
        <v>veronique.loegel@systeme-u.fr</v>
      </c>
      <c r="J161" t="str">
        <f ca="1">IFERROR(__xludf.DUMMYFUNCTION("""COMPUTED_VALUE"""),"M. LOEGEL")</f>
        <v>M. LOEGEL</v>
      </c>
      <c r="K161" t="str">
        <f ca="1">IFERROR(__xludf.DUMMYFUNCTION("""COMPUTED_VALUE"""),"")</f>
        <v/>
      </c>
      <c r="L161" t="str">
        <f ca="1">IFERROR(__xludf.DUMMYFUNCTION("""COMPUTED_VALUE"""),"")</f>
        <v/>
      </c>
      <c r="M161" t="str">
        <f ca="1">IFERROR(__xludf.DUMMYFUNCTION("""COMPUTED_VALUE"""),"99.Hors Périmetre")</f>
        <v>99.Hors Périmetre</v>
      </c>
      <c r="N161" t="str">
        <f ca="1">IFERROR(__xludf.DUMMYFUNCTION("""COMPUTED_VALUE"""),"")</f>
        <v/>
      </c>
      <c r="O161" t="str">
        <f ca="1">IFERROR(__xludf.DUMMYFUNCTION("""COMPUTED_VALUE"""),"")</f>
        <v/>
      </c>
      <c r="P161" t="str">
        <f ca="1">IFERROR(__xludf.DUMMYFUNCTION("""COMPUTED_VALUE"""),"")</f>
        <v/>
      </c>
      <c r="Q161" s="5" t="str">
        <f ca="1">IFERROR(__xludf.DUMMYFUNCTION("""COMPUTED_VALUE"""),"")</f>
        <v/>
      </c>
      <c r="R161" s="6" t="str">
        <f ca="1">IFERROR(__xludf.DUMMYFUNCTION("""COMPUTED_VALUE"""),"")</f>
        <v/>
      </c>
      <c r="S161" t="str">
        <f ca="1">IFERROR(__xludf.DUMMYFUNCTION("""COMPUTED_VALUE"""),"")</f>
        <v/>
      </c>
      <c r="T161" t="str">
        <f ca="1">IFERROR(__xludf.DUMMYFUNCTION("""COMPUTED_VALUE"""),"")</f>
        <v/>
      </c>
      <c r="U161" t="str">
        <f ca="1">IFERROR(__xludf.DUMMYFUNCTION("""COMPUTED_VALUE"""),"")</f>
        <v/>
      </c>
      <c r="V161" t="str">
        <f ca="1">IFERROR(__xludf.DUMMYFUNCTION("""COMPUTED_VALUE"""),"")</f>
        <v/>
      </c>
      <c r="W161" t="str">
        <f ca="1">IFERROR(__xludf.DUMMYFUNCTION("""COMPUTED_VALUE"""),"")</f>
        <v/>
      </c>
      <c r="X161" t="str">
        <f ca="1">IFERROR(__xludf.DUMMYFUNCTION("""COMPUTED_VALUE"""),"")</f>
        <v/>
      </c>
      <c r="Y161" t="str">
        <f ca="1">IFERROR(__xludf.DUMMYFUNCTION("""COMPUTED_VALUE"""),"")</f>
        <v/>
      </c>
      <c r="Z161" t="str">
        <f ca="1">IFERROR(__xludf.DUMMYFUNCTION("""COMPUTED_VALUE"""),"")</f>
        <v/>
      </c>
      <c r="AA161" t="str">
        <f ca="1">IFERROR(__xludf.DUMMYFUNCTION("""COMPUTED_VALUE"""),"Pas de commande")</f>
        <v>Pas de commande</v>
      </c>
      <c r="AB161" s="8" t="str">
        <f ca="1">IFERROR(__xludf.DUMMYFUNCTION("""COMPUTED_VALUE"""),"")</f>
        <v/>
      </c>
      <c r="AC161" s="8" t="str">
        <f ca="1">IFERROR(__xludf.DUMMYFUNCTION("""COMPUTED_VALUE"""),"")</f>
        <v/>
      </c>
      <c r="AD161" s="11" t="str">
        <f ca="1">IFERROR(__xludf.DUMMYFUNCTION("""COMPUTED_VALUE"""),"")</f>
        <v/>
      </c>
      <c r="AE161" t="str">
        <f ca="1">IFERROR(__xludf.DUMMYFUNCTION("""COMPUTED_VALUE"""),"")</f>
        <v/>
      </c>
    </row>
    <row r="162" spans="1:31" ht="12.75" x14ac:dyDescent="0.2">
      <c r="A162">
        <f ca="1">IFERROR(__xludf.DUMMYFUNCTION("""COMPUTED_VALUE"""),37960)</f>
        <v>37960</v>
      </c>
      <c r="B162" t="str">
        <f ca="1">IFERROR(__xludf.DUMMYFUNCTION("""COMPUTED_VALUE"""),"CAPESTERRE LACAVE")</f>
        <v>CAPESTERRE LACAVE</v>
      </c>
      <c r="C162" t="str">
        <f ca="1">IFERROR(__xludf.DUMMYFUNCTION("""COMPUTED_VALUE"""),"U Express")</f>
        <v>U Express</v>
      </c>
      <c r="D162" t="str">
        <f ca="1">IFERROR(__xludf.DUMMYFUNCTION("""COMPUTED_VALUE"""),"Coop U Enseigne Ouest")</f>
        <v>Coop U Enseigne Ouest</v>
      </c>
      <c r="E162">
        <f ca="1">IFERROR(__xludf.DUMMYFUNCTION("""COMPUTED_VALUE"""),97130)</f>
        <v>97130</v>
      </c>
      <c r="F162" t="str">
        <f ca="1">IFERROR(__xludf.DUMMYFUNCTION("""COMPUTED_VALUE"""),"73, RUE PAUL LACAVÉ")</f>
        <v>73, RUE PAUL LACAVÉ</v>
      </c>
      <c r="G162" t="str">
        <f ca="1">IFERROR(__xludf.DUMMYFUNCTION("""COMPUTED_VALUE"""),"05.90.86.43.34")</f>
        <v>05.90.86.43.34</v>
      </c>
      <c r="H162" t="str">
        <f ca="1">IFERROR(__xludf.DUMMYFUNCTION("""COMPUTED_VALUE"""),"LUCE Raymond")</f>
        <v>LUCE Raymond</v>
      </c>
      <c r="I162" t="str">
        <f ca="1">IFERROR(__xludf.DUMMYFUNCTION("""COMPUTED_VALUE"""),"yohann.luce@systeme-u.fr")</f>
        <v>yohann.luce@systeme-u.fr</v>
      </c>
      <c r="J162" t="str">
        <f ca="1">IFERROR(__xludf.DUMMYFUNCTION("""COMPUTED_VALUE"""),"josé anthony")</f>
        <v>josé anthony</v>
      </c>
      <c r="K162" t="str">
        <f ca="1">IFERROR(__xludf.DUMMYFUNCTION("""COMPUTED_VALUE"""),"uexpress.capesterrelacave@systeme-u.fr,martine.crevecoeur@systeme-u.fr")</f>
        <v>uexpress.capesterrelacave@systeme-u.fr,martine.crevecoeur@systeme-u.fr</v>
      </c>
      <c r="L162" t="str">
        <f ca="1">IFERROR(__xludf.DUMMYFUNCTION("""COMPUTED_VALUE"""),"")</f>
        <v/>
      </c>
      <c r="M162" t="str">
        <f ca="1">IFERROR(__xludf.DUMMYFUNCTION("""COMPUTED_VALUE"""),"99.Hors Périmetre")</f>
        <v>99.Hors Périmetre</v>
      </c>
      <c r="N162" t="str">
        <f ca="1">IFERROR(__xludf.DUMMYFUNCTION("""COMPUTED_VALUE"""),"")</f>
        <v/>
      </c>
      <c r="O162" t="str">
        <f ca="1">IFERROR(__xludf.DUMMYFUNCTION("""COMPUTED_VALUE"""),"")</f>
        <v/>
      </c>
      <c r="P162" t="str">
        <f ca="1">IFERROR(__xludf.DUMMYFUNCTION("""COMPUTED_VALUE"""),"")</f>
        <v/>
      </c>
      <c r="Q162" s="5" t="str">
        <f ca="1">IFERROR(__xludf.DUMMYFUNCTION("""COMPUTED_VALUE"""),"")</f>
        <v/>
      </c>
      <c r="R162" s="6" t="str">
        <f ca="1">IFERROR(__xludf.DUMMYFUNCTION("""COMPUTED_VALUE"""),"")</f>
        <v/>
      </c>
      <c r="S162" t="str">
        <f ca="1">IFERROR(__xludf.DUMMYFUNCTION("""COMPUTED_VALUE"""),"")</f>
        <v/>
      </c>
      <c r="T162" t="str">
        <f ca="1">IFERROR(__xludf.DUMMYFUNCTION("""COMPUTED_VALUE"""),"")</f>
        <v/>
      </c>
      <c r="U162" t="str">
        <f ca="1">IFERROR(__xludf.DUMMYFUNCTION("""COMPUTED_VALUE"""),"")</f>
        <v/>
      </c>
      <c r="V162" t="str">
        <f ca="1">IFERROR(__xludf.DUMMYFUNCTION("""COMPUTED_VALUE"""),"")</f>
        <v/>
      </c>
      <c r="W162" t="str">
        <f ca="1">IFERROR(__xludf.DUMMYFUNCTION("""COMPUTED_VALUE"""),"")</f>
        <v/>
      </c>
      <c r="X162" t="str">
        <f ca="1">IFERROR(__xludf.DUMMYFUNCTION("""COMPUTED_VALUE"""),"")</f>
        <v/>
      </c>
      <c r="Y162" t="str">
        <f ca="1">IFERROR(__xludf.DUMMYFUNCTION("""COMPUTED_VALUE"""),"")</f>
        <v/>
      </c>
      <c r="Z162" t="str">
        <f ca="1">IFERROR(__xludf.DUMMYFUNCTION("""COMPUTED_VALUE"""),"")</f>
        <v/>
      </c>
      <c r="AA162" t="str">
        <f ca="1">IFERROR(__xludf.DUMMYFUNCTION("""COMPUTED_VALUE"""),"Pas de commande")</f>
        <v>Pas de commande</v>
      </c>
      <c r="AB162" s="8" t="str">
        <f ca="1">IFERROR(__xludf.DUMMYFUNCTION("""COMPUTED_VALUE"""),"")</f>
        <v/>
      </c>
      <c r="AC162" s="8" t="str">
        <f ca="1">IFERROR(__xludf.DUMMYFUNCTION("""COMPUTED_VALUE"""),"")</f>
        <v/>
      </c>
      <c r="AD162" s="11" t="str">
        <f ca="1">IFERROR(__xludf.DUMMYFUNCTION("""COMPUTED_VALUE"""),"")</f>
        <v/>
      </c>
      <c r="AE162" t="str">
        <f ca="1">IFERROR(__xludf.DUMMYFUNCTION("""COMPUTED_VALUE"""),"")</f>
        <v/>
      </c>
    </row>
    <row r="163" spans="1:31" ht="12.75" x14ac:dyDescent="0.2">
      <c r="A163">
        <f ca="1">IFERROR(__xludf.DUMMYFUNCTION("""COMPUTED_VALUE"""),32577)</f>
        <v>32577</v>
      </c>
      <c r="B163" t="str">
        <f ca="1">IFERROR(__xludf.DUMMYFUNCTION("""COMPUTED_VALUE"""),"CARENTOIR")</f>
        <v>CARENTOIR</v>
      </c>
      <c r="C163" t="str">
        <f ca="1">IFERROR(__xludf.DUMMYFUNCTION("""COMPUTED_VALUE"""),"Super U")</f>
        <v>Super U</v>
      </c>
      <c r="D163" t="str">
        <f ca="1">IFERROR(__xludf.DUMMYFUNCTION("""COMPUTED_VALUE"""),"Coop U Enseigne Ouest")</f>
        <v>Coop U Enseigne Ouest</v>
      </c>
      <c r="E163">
        <f ca="1">IFERROR(__xludf.DUMMYFUNCTION("""COMPUTED_VALUE"""),56910)</f>
        <v>56910</v>
      </c>
      <c r="F163" t="str">
        <f ca="1">IFERROR(__xludf.DUMMYFUNCTION("""COMPUTED_VALUE"""),"LE CHÊNE HELEUC")</f>
        <v>LE CHÊNE HELEUC</v>
      </c>
      <c r="G163" t="str">
        <f ca="1">IFERROR(__xludf.DUMMYFUNCTION("""COMPUTED_VALUE"""),"02.99.08.80.28")</f>
        <v>02.99.08.80.28</v>
      </c>
      <c r="H163" t="str">
        <f ca="1">IFERROR(__xludf.DUMMYFUNCTION("""COMPUTED_VALUE"""),"BERSAN Gwenael")</f>
        <v>BERSAN Gwenael</v>
      </c>
      <c r="I163" t="str">
        <f ca="1">IFERROR(__xludf.DUMMYFUNCTION("""COMPUTED_VALUE"""),"gwenael.bersan@systeme-u.fr")</f>
        <v>gwenael.bersan@systeme-u.fr</v>
      </c>
      <c r="J163" t="str">
        <f ca="1">IFERROR(__xludf.DUMMYFUNCTION("""COMPUTED_VALUE"""),"GUERIN TIMOTHE")</f>
        <v>GUERIN TIMOTHE</v>
      </c>
      <c r="K163" t="str">
        <f ca="1">IFERROR(__xludf.DUMMYFUNCTION("""COMPUTED_VALUE"""),"superu.carentoir.gestionco@gmail.com")</f>
        <v>superu.carentoir.gestionco@gmail.com</v>
      </c>
      <c r="L163" t="str">
        <f ca="1">IFERROR(__xludf.DUMMYFUNCTION("""COMPUTED_VALUE"""),"")</f>
        <v/>
      </c>
      <c r="M163" t="str">
        <f ca="1">IFERROR(__xludf.DUMMYFUNCTION("""COMPUTED_VALUE"""),"99.Hors Périmetre")</f>
        <v>99.Hors Périmetre</v>
      </c>
      <c r="N163" t="str">
        <f ca="1">IFERROR(__xludf.DUMMYFUNCTION("""COMPUTED_VALUE"""),"")</f>
        <v/>
      </c>
      <c r="O163" t="str">
        <f ca="1">IFERROR(__xludf.DUMMYFUNCTION("""COMPUTED_VALUE"""),"")</f>
        <v/>
      </c>
      <c r="P163" t="str">
        <f ca="1">IFERROR(__xludf.DUMMYFUNCTION("""COMPUTED_VALUE"""),"")</f>
        <v/>
      </c>
      <c r="Q163" s="5" t="str">
        <f ca="1">IFERROR(__xludf.DUMMYFUNCTION("""COMPUTED_VALUE"""),"")</f>
        <v/>
      </c>
      <c r="R163" s="6" t="str">
        <f ca="1">IFERROR(__xludf.DUMMYFUNCTION("""COMPUTED_VALUE"""),"")</f>
        <v/>
      </c>
      <c r="S163" t="str">
        <f ca="1">IFERROR(__xludf.DUMMYFUNCTION("""COMPUTED_VALUE"""),"")</f>
        <v/>
      </c>
      <c r="T163" t="str">
        <f ca="1">IFERROR(__xludf.DUMMYFUNCTION("""COMPUTED_VALUE"""),"")</f>
        <v/>
      </c>
      <c r="U163" t="str">
        <f ca="1">IFERROR(__xludf.DUMMYFUNCTION("""COMPUTED_VALUE"""),"")</f>
        <v/>
      </c>
      <c r="V163" t="str">
        <f ca="1">IFERROR(__xludf.DUMMYFUNCTION("""COMPUTED_VALUE"""),"")</f>
        <v/>
      </c>
      <c r="W163" t="str">
        <f ca="1">IFERROR(__xludf.DUMMYFUNCTION("""COMPUTED_VALUE"""),"")</f>
        <v/>
      </c>
      <c r="X163" t="str">
        <f ca="1">IFERROR(__xludf.DUMMYFUNCTION("""COMPUTED_VALUE"""),"")</f>
        <v/>
      </c>
      <c r="Y163" t="str">
        <f ca="1">IFERROR(__xludf.DUMMYFUNCTION("""COMPUTED_VALUE"""),"")</f>
        <v/>
      </c>
      <c r="Z163" t="str">
        <f ca="1">IFERROR(__xludf.DUMMYFUNCTION("""COMPUTED_VALUE"""),"")</f>
        <v/>
      </c>
      <c r="AA163" t="str">
        <f ca="1">IFERROR(__xludf.DUMMYFUNCTION("""COMPUTED_VALUE"""),"Pas de commande")</f>
        <v>Pas de commande</v>
      </c>
      <c r="AB163" s="8" t="str">
        <f ca="1">IFERROR(__xludf.DUMMYFUNCTION("""COMPUTED_VALUE"""),"")</f>
        <v/>
      </c>
      <c r="AC163" s="8" t="str">
        <f ca="1">IFERROR(__xludf.DUMMYFUNCTION("""COMPUTED_VALUE"""),"")</f>
        <v/>
      </c>
      <c r="AD163" s="11" t="str">
        <f ca="1">IFERROR(__xludf.DUMMYFUNCTION("""COMPUTED_VALUE"""),"")</f>
        <v/>
      </c>
      <c r="AE163" t="str">
        <f ca="1">IFERROR(__xludf.DUMMYFUNCTION("""COMPUTED_VALUE"""),"")</f>
        <v/>
      </c>
    </row>
    <row r="164" spans="1:31" ht="12.75" x14ac:dyDescent="0.2">
      <c r="A164">
        <f ca="1">IFERROR(__xludf.DUMMYFUNCTION("""COMPUTED_VALUE"""),35444)</f>
        <v>35444</v>
      </c>
      <c r="B164" t="str">
        <f ca="1">IFERROR(__xludf.DUMMYFUNCTION("""COMPUTED_VALUE"""),"CARNAC")</f>
        <v>CARNAC</v>
      </c>
      <c r="C164" t="str">
        <f ca="1">IFERROR(__xludf.DUMMYFUNCTION("""COMPUTED_VALUE"""),"Super U")</f>
        <v>Super U</v>
      </c>
      <c r="D164" t="str">
        <f ca="1">IFERROR(__xludf.DUMMYFUNCTION("""COMPUTED_VALUE"""),"Coop U Enseigne Ouest")</f>
        <v>Coop U Enseigne Ouest</v>
      </c>
      <c r="E164">
        <f ca="1">IFERROR(__xludf.DUMMYFUNCTION("""COMPUTED_VALUE"""),56340)</f>
        <v>56340</v>
      </c>
      <c r="F164" t="str">
        <f ca="1">IFERROR(__xludf.DUMMYFUNCTION("""COMPUTED_VALUE"""),"188 AVENUE DES DRUIDES")</f>
        <v>188 AVENUE DES DRUIDES</v>
      </c>
      <c r="G164" t="str">
        <f ca="1">IFERROR(__xludf.DUMMYFUNCTION("""COMPUTED_VALUE"""),"02.97.52.03.19")</f>
        <v>02.97.52.03.19</v>
      </c>
      <c r="H164" t="str">
        <f ca="1">IFERROR(__xludf.DUMMYFUNCTION("""COMPUTED_VALUE"""),"DORIEL RPT SARL SSD Stéphane")</f>
        <v>DORIEL RPT SARL SSD Stéphane</v>
      </c>
      <c r="I164" t="str">
        <f ca="1">IFERROR(__xludf.DUMMYFUNCTION("""COMPUTED_VALUE"""),"stephane.doriel@systeme-u.fr")</f>
        <v>stephane.doriel@systeme-u.fr</v>
      </c>
      <c r="J164" t="str">
        <f ca="1">IFERROR(__xludf.DUMMYFUNCTION("""COMPUTED_VALUE"""),"LE TALLEC Jean-Raymond")</f>
        <v>LE TALLEC Jean-Raymond</v>
      </c>
      <c r="K164" t="str">
        <f ca="1">IFERROR(__xludf.DUMMYFUNCTION("""COMPUTED_VALUE"""),"superu.carnac@systeme-u.fr")</f>
        <v>superu.carnac@systeme-u.fr</v>
      </c>
      <c r="L164" t="str">
        <f ca="1">IFERROR(__xludf.DUMMYFUNCTION("""COMPUTED_VALUE"""),"")</f>
        <v/>
      </c>
      <c r="M164" t="str">
        <f ca="1">IFERROR(__xludf.DUMMYFUNCTION("""COMPUTED_VALUE"""),"99.Hors Périmetre")</f>
        <v>99.Hors Périmetre</v>
      </c>
      <c r="N164" t="str">
        <f ca="1">IFERROR(__xludf.DUMMYFUNCTION("""COMPUTED_VALUE"""),"")</f>
        <v/>
      </c>
      <c r="O164" t="str">
        <f ca="1">IFERROR(__xludf.DUMMYFUNCTION("""COMPUTED_VALUE"""),"")</f>
        <v/>
      </c>
      <c r="P164" t="str">
        <f ca="1">IFERROR(__xludf.DUMMYFUNCTION("""COMPUTED_VALUE"""),"")</f>
        <v/>
      </c>
      <c r="Q164" s="5" t="str">
        <f ca="1">IFERROR(__xludf.DUMMYFUNCTION("""COMPUTED_VALUE"""),"")</f>
        <v/>
      </c>
      <c r="R164" s="6" t="str">
        <f ca="1">IFERROR(__xludf.DUMMYFUNCTION("""COMPUTED_VALUE"""),"")</f>
        <v/>
      </c>
      <c r="S164" t="str">
        <f ca="1">IFERROR(__xludf.DUMMYFUNCTION("""COMPUTED_VALUE"""),"")</f>
        <v/>
      </c>
      <c r="T164" t="str">
        <f ca="1">IFERROR(__xludf.DUMMYFUNCTION("""COMPUTED_VALUE"""),"")</f>
        <v/>
      </c>
      <c r="U164" t="str">
        <f ca="1">IFERROR(__xludf.DUMMYFUNCTION("""COMPUTED_VALUE"""),"")</f>
        <v/>
      </c>
      <c r="V164" t="str">
        <f ca="1">IFERROR(__xludf.DUMMYFUNCTION("""COMPUTED_VALUE"""),"")</f>
        <v/>
      </c>
      <c r="W164" t="str">
        <f ca="1">IFERROR(__xludf.DUMMYFUNCTION("""COMPUTED_VALUE"""),"")</f>
        <v/>
      </c>
      <c r="X164" t="str">
        <f ca="1">IFERROR(__xludf.DUMMYFUNCTION("""COMPUTED_VALUE"""),"")</f>
        <v/>
      </c>
      <c r="Y164" t="str">
        <f ca="1">IFERROR(__xludf.DUMMYFUNCTION("""COMPUTED_VALUE"""),"")</f>
        <v/>
      </c>
      <c r="Z164" t="str">
        <f ca="1">IFERROR(__xludf.DUMMYFUNCTION("""COMPUTED_VALUE"""),"")</f>
        <v/>
      </c>
      <c r="AA164" t="str">
        <f ca="1">IFERROR(__xludf.DUMMYFUNCTION("""COMPUTED_VALUE"""),"Pas de commande")</f>
        <v>Pas de commande</v>
      </c>
      <c r="AB164" s="8" t="str">
        <f ca="1">IFERROR(__xludf.DUMMYFUNCTION("""COMPUTED_VALUE"""),"")</f>
        <v/>
      </c>
      <c r="AC164" s="8" t="str">
        <f ca="1">IFERROR(__xludf.DUMMYFUNCTION("""COMPUTED_VALUE"""),"")</f>
        <v/>
      </c>
      <c r="AD164" s="11" t="str">
        <f ca="1">IFERROR(__xludf.DUMMYFUNCTION("""COMPUTED_VALUE"""),"")</f>
        <v/>
      </c>
      <c r="AE164" t="str">
        <f ca="1">IFERROR(__xludf.DUMMYFUNCTION("""COMPUTED_VALUE"""),"")</f>
        <v/>
      </c>
    </row>
    <row r="165" spans="1:31" ht="12.75" x14ac:dyDescent="0.2">
      <c r="A165">
        <f ca="1">IFERROR(__xludf.DUMMYFUNCTION("""COMPUTED_VALUE"""),90561)</f>
        <v>90561</v>
      </c>
      <c r="B165" t="str">
        <f ca="1">IFERROR(__xludf.DUMMYFUNCTION("""COMPUTED_VALUE"""),"CARPENTRAS")</f>
        <v>CARPENTRAS</v>
      </c>
      <c r="C165" t="str">
        <f ca="1">IFERROR(__xludf.DUMMYFUNCTION("""COMPUTED_VALUE"""),"Super U")</f>
        <v>Super U</v>
      </c>
      <c r="D165" t="str">
        <f ca="1">IFERROR(__xludf.DUMMYFUNCTION("""COMPUTED_VALUE"""),"Coop U Enseigne Sud")</f>
        <v>Coop U Enseigne Sud</v>
      </c>
      <c r="E165">
        <f ca="1">IFERROR(__xludf.DUMMYFUNCTION("""COMPUTED_VALUE"""),84200)</f>
        <v>84200</v>
      </c>
      <c r="F165" t="str">
        <f ca="1">IFERROR(__xludf.DUMMYFUNCTION("""COMPUTED_VALUE"""),"LE CASTELLAS OUEST")</f>
        <v>LE CASTELLAS OUEST</v>
      </c>
      <c r="G165" t="str">
        <f ca="1">IFERROR(__xludf.DUMMYFUNCTION("""COMPUTED_VALUE"""),"04.90.70.14.30")</f>
        <v>04.90.70.14.30</v>
      </c>
      <c r="H165" t="str">
        <f ca="1">IFERROR(__xludf.DUMMYFUNCTION("""COMPUTED_VALUE"""),"RENET Etienne")</f>
        <v>RENET Etienne</v>
      </c>
      <c r="I165" t="str">
        <f ca="1">IFERROR(__xludf.DUMMYFUNCTION("""COMPUTED_VALUE"""),"etienne.renet@systeme-u.fr")</f>
        <v>etienne.renet@systeme-u.fr</v>
      </c>
      <c r="J165" t="str">
        <f ca="1">IFERROR(__xludf.DUMMYFUNCTION("""COMPUTED_VALUE"""),"M. WALLENDORFF")</f>
        <v>M. WALLENDORFF</v>
      </c>
      <c r="K165" t="str">
        <f ca="1">IFERROR(__xludf.DUMMYFUNCTION("""COMPUTED_VALUE"""),"superu.carpentras.directeur@systeme-u.fr")</f>
        <v>superu.carpentras.directeur@systeme-u.fr</v>
      </c>
      <c r="L165" t="str">
        <f ca="1">IFERROR(__xludf.DUMMYFUNCTION("""COMPUTED_VALUE"""),"")</f>
        <v/>
      </c>
      <c r="M165" t="str">
        <f ca="1">IFERROR(__xludf.DUMMYFUNCTION("""COMPUTED_VALUE"""),"")</f>
        <v/>
      </c>
      <c r="N165" t="str">
        <f ca="1">IFERROR(__xludf.DUMMYFUNCTION("""COMPUTED_VALUE"""),"")</f>
        <v/>
      </c>
      <c r="O165" t="str">
        <f ca="1">IFERROR(__xludf.DUMMYFUNCTION("""COMPUTED_VALUE"""),"")</f>
        <v/>
      </c>
      <c r="P165" t="str">
        <f ca="1">IFERROR(__xludf.DUMMYFUNCTION("""COMPUTED_VALUE"""),"")</f>
        <v/>
      </c>
      <c r="Q165" s="5" t="str">
        <f ca="1">IFERROR(__xludf.DUMMYFUNCTION("""COMPUTED_VALUE"""),"")</f>
        <v/>
      </c>
      <c r="R165" s="6" t="str">
        <f ca="1">IFERROR(__xludf.DUMMYFUNCTION("""COMPUTED_VALUE"""),"")</f>
        <v/>
      </c>
      <c r="S165" t="str">
        <f ca="1">IFERROR(__xludf.DUMMYFUNCTION("""COMPUTED_VALUE"""),"")</f>
        <v/>
      </c>
      <c r="T165" t="str">
        <f ca="1">IFERROR(__xludf.DUMMYFUNCTION("""COMPUTED_VALUE"""),"")</f>
        <v/>
      </c>
      <c r="U165" t="str">
        <f ca="1">IFERROR(__xludf.DUMMYFUNCTION("""COMPUTED_VALUE"""),"")</f>
        <v/>
      </c>
      <c r="V165" t="str">
        <f ca="1">IFERROR(__xludf.DUMMYFUNCTION("""COMPUTED_VALUE"""),"")</f>
        <v/>
      </c>
      <c r="W165" t="str">
        <f ca="1">IFERROR(__xludf.DUMMYFUNCTION("""COMPUTED_VALUE"""),"")</f>
        <v/>
      </c>
      <c r="X165" t="str">
        <f ca="1">IFERROR(__xludf.DUMMYFUNCTION("""COMPUTED_VALUE"""),"")</f>
        <v/>
      </c>
      <c r="Y165" t="str">
        <f ca="1">IFERROR(__xludf.DUMMYFUNCTION("""COMPUTED_VALUE"""),"")</f>
        <v/>
      </c>
      <c r="Z165" t="str">
        <f ca="1">IFERROR(__xludf.DUMMYFUNCTION("""COMPUTED_VALUE"""),"")</f>
        <v/>
      </c>
      <c r="AA165" t="str">
        <f ca="1">IFERROR(__xludf.DUMMYFUNCTION("""COMPUTED_VALUE"""),"Pas de commande")</f>
        <v>Pas de commande</v>
      </c>
      <c r="AB165" s="8" t="str">
        <f ca="1">IFERROR(__xludf.DUMMYFUNCTION("""COMPUTED_VALUE"""),"")</f>
        <v/>
      </c>
      <c r="AC165" s="8" t="str">
        <f ca="1">IFERROR(__xludf.DUMMYFUNCTION("""COMPUTED_VALUE"""),"")</f>
        <v/>
      </c>
      <c r="AD165" s="11" t="str">
        <f ca="1">IFERROR(__xludf.DUMMYFUNCTION("""COMPUTED_VALUE"""),"")</f>
        <v/>
      </c>
      <c r="AE165" t="str">
        <f ca="1">IFERROR(__xludf.DUMMYFUNCTION("""COMPUTED_VALUE"""),"")</f>
        <v/>
      </c>
    </row>
    <row r="166" spans="1:31" ht="12.75" x14ac:dyDescent="0.2">
      <c r="A166">
        <f ca="1">IFERROR(__xludf.DUMMYFUNCTION("""COMPUTED_VALUE"""),91117)</f>
        <v>91117</v>
      </c>
      <c r="B166" t="str">
        <f ca="1">IFERROR(__xludf.DUMMYFUNCTION("""COMPUTED_VALUE"""),"CARPENTRAS")</f>
        <v>CARPENTRAS</v>
      </c>
      <c r="C166" t="str">
        <f ca="1">IFERROR(__xludf.DUMMYFUNCTION("""COMPUTED_VALUE"""),"U Express")</f>
        <v>U Express</v>
      </c>
      <c r="D166" t="str">
        <f ca="1">IFERROR(__xludf.DUMMYFUNCTION("""COMPUTED_VALUE"""),"Coop MISTRAL")</f>
        <v>Coop MISTRAL</v>
      </c>
      <c r="E166">
        <f ca="1">IFERROR(__xludf.DUMMYFUNCTION("""COMPUTED_VALUE"""),84200)</f>
        <v>84200</v>
      </c>
      <c r="F166" t="str">
        <f ca="1">IFERROR(__xludf.DUMMYFUNCTION("""COMPUTED_VALUE"""),"319 AV NOTRE DAME DE SANTE")</f>
        <v>319 AV NOTRE DAME DE SANTE</v>
      </c>
      <c r="G166" t="str">
        <f ca="1">IFERROR(__xludf.DUMMYFUNCTION("""COMPUTED_VALUE"""),"04.90.60.65.48")</f>
        <v>04.90.60.65.48</v>
      </c>
      <c r="H166" t="str">
        <f ca="1">IFERROR(__xludf.DUMMYFUNCTION("""COMPUTED_VALUE"""),"ROIGT Remi")</f>
        <v>ROIGT Remi</v>
      </c>
      <c r="I166" t="str">
        <f ca="1">IFERROR(__xludf.DUMMYFUNCTION("""COMPUTED_VALUE"""),"roigt.remi@gmail.com")</f>
        <v>roigt.remi@gmail.com</v>
      </c>
      <c r="J166" t="str">
        <f ca="1">IFERROR(__xludf.DUMMYFUNCTION("""COMPUTED_VALUE"""),"")</f>
        <v/>
      </c>
      <c r="K166" t="str">
        <f ca="1">IFERROR(__xludf.DUMMYFUNCTION("""COMPUTED_VALUE"""),"delphine.damian@lemistral.fr,helene.mina@lemistral.fr")</f>
        <v>delphine.damian@lemistral.fr,helene.mina@lemistral.fr</v>
      </c>
      <c r="L166" t="str">
        <f ca="1">IFERROR(__xludf.DUMMYFUNCTION("""COMPUTED_VALUE"""),"")</f>
        <v/>
      </c>
      <c r="M166" t="str">
        <f ca="1">IFERROR(__xludf.DUMMYFUNCTION("""COMPUTED_VALUE"""),"99.Hors Périmetre")</f>
        <v>99.Hors Périmetre</v>
      </c>
      <c r="N166" t="str">
        <f ca="1">IFERROR(__xludf.DUMMYFUNCTION("""COMPUTED_VALUE"""),"")</f>
        <v/>
      </c>
      <c r="O166" t="str">
        <f ca="1">IFERROR(__xludf.DUMMYFUNCTION("""COMPUTED_VALUE"""),"")</f>
        <v/>
      </c>
      <c r="P166" t="str">
        <f ca="1">IFERROR(__xludf.DUMMYFUNCTION("""COMPUTED_VALUE"""),"")</f>
        <v/>
      </c>
      <c r="Q166" s="5" t="str">
        <f ca="1">IFERROR(__xludf.DUMMYFUNCTION("""COMPUTED_VALUE"""),"")</f>
        <v/>
      </c>
      <c r="R166" s="6" t="str">
        <f ca="1">IFERROR(__xludf.DUMMYFUNCTION("""COMPUTED_VALUE"""),"")</f>
        <v/>
      </c>
      <c r="S166" t="str">
        <f ca="1">IFERROR(__xludf.DUMMYFUNCTION("""COMPUTED_VALUE"""),"")</f>
        <v/>
      </c>
      <c r="T166" t="str">
        <f ca="1">IFERROR(__xludf.DUMMYFUNCTION("""COMPUTED_VALUE"""),"")</f>
        <v/>
      </c>
      <c r="U166" t="str">
        <f ca="1">IFERROR(__xludf.DUMMYFUNCTION("""COMPUTED_VALUE"""),"")</f>
        <v/>
      </c>
      <c r="V166" t="str">
        <f ca="1">IFERROR(__xludf.DUMMYFUNCTION("""COMPUTED_VALUE"""),"")</f>
        <v/>
      </c>
      <c r="W166" t="str">
        <f ca="1">IFERROR(__xludf.DUMMYFUNCTION("""COMPUTED_VALUE"""),"R5")</f>
        <v>R5</v>
      </c>
      <c r="X166" t="str">
        <f ca="1">IFERROR(__xludf.DUMMYFUNCTION("""COMPUTED_VALUE"""),"Pricer")</f>
        <v>Pricer</v>
      </c>
      <c r="Y166" t="str">
        <f ca="1">IFERROR(__xludf.DUMMYFUNCTION("""COMPUTED_VALUE"""),"")</f>
        <v/>
      </c>
      <c r="Z166" t="str">
        <f ca="1">IFERROR(__xludf.DUMMYFUNCTION("""COMPUTED_VALUE"""),"")</f>
        <v/>
      </c>
      <c r="AA166" t="str">
        <f ca="1">IFERROR(__xludf.DUMMYFUNCTION("""COMPUTED_VALUE"""),"Pas de commande")</f>
        <v>Pas de commande</v>
      </c>
      <c r="AB166" s="8" t="str">
        <f ca="1">IFERROR(__xludf.DUMMYFUNCTION("""COMPUTED_VALUE"""),"")</f>
        <v/>
      </c>
      <c r="AC166" s="8" t="str">
        <f ca="1">IFERROR(__xludf.DUMMYFUNCTION("""COMPUTED_VALUE"""),"")</f>
        <v/>
      </c>
      <c r="AD166" s="11" t="str">
        <f ca="1">IFERROR(__xludf.DUMMYFUNCTION("""COMPUTED_VALUE"""),"")</f>
        <v/>
      </c>
      <c r="AE166" t="str">
        <f ca="1">IFERROR(__xludf.DUMMYFUNCTION("""COMPUTED_VALUE"""),"")</f>
        <v/>
      </c>
    </row>
    <row r="167" spans="1:31" ht="12.75" x14ac:dyDescent="0.2">
      <c r="A167">
        <f ca="1">IFERROR(__xludf.DUMMYFUNCTION("""COMPUTED_VALUE"""),30914)</f>
        <v>30914</v>
      </c>
      <c r="B167" t="str">
        <f ca="1">IFERROR(__xludf.DUMMYFUNCTION("""COMPUTED_VALUE"""),"CARQUEFOU")</f>
        <v>CARQUEFOU</v>
      </c>
      <c r="C167" t="str">
        <f ca="1">IFERROR(__xludf.DUMMYFUNCTION("""COMPUTED_VALUE"""),"Super U")</f>
        <v>Super U</v>
      </c>
      <c r="D167" t="str">
        <f ca="1">IFERROR(__xludf.DUMMYFUNCTION("""COMPUTED_VALUE"""),"Coop U Enseigne Ouest")</f>
        <v>Coop U Enseigne Ouest</v>
      </c>
      <c r="E167">
        <f ca="1">IFERROR(__xludf.DUMMYFUNCTION("""COMPUTED_VALUE"""),44470)</f>
        <v>44470</v>
      </c>
      <c r="F167" t="str">
        <f ca="1">IFERROR(__xludf.DUMMYFUNCTION("""COMPUTED_VALUE"""),"ROUTE DE SUCÉ SUR ERDRE")</f>
        <v>ROUTE DE SUCÉ SUR ERDRE</v>
      </c>
      <c r="G167" t="str">
        <f ca="1">IFERROR(__xludf.DUMMYFUNCTION("""COMPUTED_VALUE"""),"02.40.68.86.50")</f>
        <v>02.40.68.86.50</v>
      </c>
      <c r="H167" t="str">
        <f ca="1">IFERROR(__xludf.DUMMYFUNCTION("""COMPUTED_VALUE"""),"CLARET Pascal")</f>
        <v>CLARET Pascal</v>
      </c>
      <c r="I167" t="str">
        <f ca="1">IFERROR(__xludf.DUMMYFUNCTION("""COMPUTED_VALUE"""),"pascal.claret@systeme-u.fr")</f>
        <v>pascal.claret@systeme-u.fr</v>
      </c>
      <c r="J167" t="str">
        <f ca="1">IFERROR(__xludf.DUMMYFUNCTION("""COMPUTED_VALUE"""),"")</f>
        <v/>
      </c>
      <c r="K167" t="str">
        <f ca="1">IFERROR(__xludf.DUMMYFUNCTION("""COMPUTED_VALUE"""),"")</f>
        <v/>
      </c>
      <c r="L167" t="str">
        <f ca="1">IFERROR(__xludf.DUMMYFUNCTION("""COMPUTED_VALUE"""),"")</f>
        <v/>
      </c>
      <c r="M167" t="str">
        <f ca="1">IFERROR(__xludf.DUMMYFUNCTION("""COMPUTED_VALUE"""),"99.Hors Périmetre")</f>
        <v>99.Hors Périmetre</v>
      </c>
      <c r="N167" t="str">
        <f ca="1">IFERROR(__xludf.DUMMYFUNCTION("""COMPUTED_VALUE"""),"")</f>
        <v/>
      </c>
      <c r="O167" t="str">
        <f ca="1">IFERROR(__xludf.DUMMYFUNCTION("""COMPUTED_VALUE"""),"")</f>
        <v/>
      </c>
      <c r="P167" t="str">
        <f ca="1">IFERROR(__xludf.DUMMYFUNCTION("""COMPUTED_VALUE"""),"")</f>
        <v/>
      </c>
      <c r="Q167" s="5" t="str">
        <f ca="1">IFERROR(__xludf.DUMMYFUNCTION("""COMPUTED_VALUE"""),"")</f>
        <v/>
      </c>
      <c r="R167" s="6" t="str">
        <f ca="1">IFERROR(__xludf.DUMMYFUNCTION("""COMPUTED_VALUE"""),"")</f>
        <v/>
      </c>
      <c r="S167" t="str">
        <f ca="1">IFERROR(__xludf.DUMMYFUNCTION("""COMPUTED_VALUE"""),"")</f>
        <v/>
      </c>
      <c r="T167" t="str">
        <f ca="1">IFERROR(__xludf.DUMMYFUNCTION("""COMPUTED_VALUE"""),"")</f>
        <v/>
      </c>
      <c r="U167" t="str">
        <f ca="1">IFERROR(__xludf.DUMMYFUNCTION("""COMPUTED_VALUE"""),"")</f>
        <v/>
      </c>
      <c r="V167" t="str">
        <f ca="1">IFERROR(__xludf.DUMMYFUNCTION("""COMPUTED_VALUE"""),"")</f>
        <v/>
      </c>
      <c r="W167" t="str">
        <f ca="1">IFERROR(__xludf.DUMMYFUNCTION("""COMPUTED_VALUE"""),"")</f>
        <v/>
      </c>
      <c r="X167" t="str">
        <f ca="1">IFERROR(__xludf.DUMMYFUNCTION("""COMPUTED_VALUE"""),"")</f>
        <v/>
      </c>
      <c r="Y167" t="str">
        <f ca="1">IFERROR(__xludf.DUMMYFUNCTION("""COMPUTED_VALUE"""),"")</f>
        <v/>
      </c>
      <c r="Z167" t="str">
        <f ca="1">IFERROR(__xludf.DUMMYFUNCTION("""COMPUTED_VALUE"""),"")</f>
        <v/>
      </c>
      <c r="AA167" t="str">
        <f ca="1">IFERROR(__xludf.DUMMYFUNCTION("""COMPUTED_VALUE"""),"Pas de commande")</f>
        <v>Pas de commande</v>
      </c>
      <c r="AB167" s="8" t="str">
        <f ca="1">IFERROR(__xludf.DUMMYFUNCTION("""COMPUTED_VALUE"""),"")</f>
        <v/>
      </c>
      <c r="AC167" s="8" t="str">
        <f ca="1">IFERROR(__xludf.DUMMYFUNCTION("""COMPUTED_VALUE"""),"")</f>
        <v/>
      </c>
      <c r="AD167" s="11" t="str">
        <f ca="1">IFERROR(__xludf.DUMMYFUNCTION("""COMPUTED_VALUE"""),"")</f>
        <v/>
      </c>
      <c r="AE167" t="str">
        <f ca="1">IFERROR(__xludf.DUMMYFUNCTION("""COMPUTED_VALUE"""),"")</f>
        <v/>
      </c>
    </row>
    <row r="168" spans="1:31" ht="12.75" x14ac:dyDescent="0.2">
      <c r="A168">
        <f ca="1">IFERROR(__xludf.DUMMYFUNCTION("""COMPUTED_VALUE"""),90167)</f>
        <v>90167</v>
      </c>
      <c r="B168" t="str">
        <f ca="1">IFERROR(__xludf.DUMMYFUNCTION("""COMPUTED_VALUE"""),"CASSIS VIGUERIE")</f>
        <v>CASSIS VIGUERIE</v>
      </c>
      <c r="C168" t="str">
        <f ca="1">IFERROR(__xludf.DUMMYFUNCTION("""COMPUTED_VALUE"""),"U Express")</f>
        <v>U Express</v>
      </c>
      <c r="D168" t="str">
        <f ca="1">IFERROR(__xludf.DUMMYFUNCTION("""COMPUTED_VALUE"""),"Coop U Enseigne Sud")</f>
        <v>Coop U Enseigne Sud</v>
      </c>
      <c r="E168">
        <f ca="1">IFERROR(__xludf.DUMMYFUNCTION("""COMPUTED_VALUE"""),13260)</f>
        <v>13260</v>
      </c>
      <c r="F168" t="str">
        <f ca="1">IFERROR(__xludf.DUMMYFUNCTION("""COMPUTED_VALUE"""),"31 AVENUE DE LA VIGUERIE")</f>
        <v>31 AVENUE DE LA VIGUERIE</v>
      </c>
      <c r="G168" t="str">
        <f ca="1">IFERROR(__xludf.DUMMYFUNCTION("""COMPUTED_VALUE"""),"04.42.01.11.11")</f>
        <v>04.42.01.11.11</v>
      </c>
      <c r="H168" t="str">
        <f ca="1">IFERROR(__xludf.DUMMYFUNCTION("""COMPUTED_VALUE"""),"HOVAGUIMIAN Rene")</f>
        <v>HOVAGUIMIAN Rene</v>
      </c>
      <c r="I168" t="str">
        <f ca="1">IFERROR(__xludf.DUMMYFUNCTION("""COMPUTED_VALUE"""),"rene.hovaguimian@systeme-u.fr")</f>
        <v>rene.hovaguimian@systeme-u.fr</v>
      </c>
      <c r="J168" t="str">
        <f ca="1">IFERROR(__xludf.DUMMYFUNCTION("""COMPUTED_VALUE"""),"M. JOURDAIN")</f>
        <v>M. JOURDAIN</v>
      </c>
      <c r="K168" t="str">
        <f ca="1">IFERROR(__xludf.DUMMYFUNCTION("""COMPUTED_VALUE"""),"nathalie.hovaguimian@systeme-u.fr,marcheu.cassis@systeme-u.fr")</f>
        <v>nathalie.hovaguimian@systeme-u.fr,marcheu.cassis@systeme-u.fr</v>
      </c>
      <c r="L168" t="str">
        <f ca="1">IFERROR(__xludf.DUMMYFUNCTION("""COMPUTED_VALUE"""),"")</f>
        <v/>
      </c>
      <c r="M168" t="str">
        <f ca="1">IFERROR(__xludf.DUMMYFUNCTION("""COMPUTED_VALUE"""),"99.Hors Périmetre")</f>
        <v>99.Hors Périmetre</v>
      </c>
      <c r="N168" t="str">
        <f ca="1">IFERROR(__xludf.DUMMYFUNCTION("""COMPUTED_VALUE"""),"")</f>
        <v/>
      </c>
      <c r="O168" t="str">
        <f ca="1">IFERROR(__xludf.DUMMYFUNCTION("""COMPUTED_VALUE"""),"")</f>
        <v/>
      </c>
      <c r="P168" t="str">
        <f ca="1">IFERROR(__xludf.DUMMYFUNCTION("""COMPUTED_VALUE"""),"")</f>
        <v/>
      </c>
      <c r="Q168" s="5" t="str">
        <f ca="1">IFERROR(__xludf.DUMMYFUNCTION("""COMPUTED_VALUE"""),"")</f>
        <v/>
      </c>
      <c r="R168" s="6" t="str">
        <f ca="1">IFERROR(__xludf.DUMMYFUNCTION("""COMPUTED_VALUE"""),"")</f>
        <v/>
      </c>
      <c r="S168" t="str">
        <f ca="1">IFERROR(__xludf.DUMMYFUNCTION("""COMPUTED_VALUE"""),"")</f>
        <v/>
      </c>
      <c r="T168" t="str">
        <f ca="1">IFERROR(__xludf.DUMMYFUNCTION("""COMPUTED_VALUE"""),"")</f>
        <v/>
      </c>
      <c r="U168" t="str">
        <f ca="1">IFERROR(__xludf.DUMMYFUNCTION("""COMPUTED_VALUE"""),"")</f>
        <v/>
      </c>
      <c r="V168" t="str">
        <f ca="1">IFERROR(__xludf.DUMMYFUNCTION("""COMPUTED_VALUE"""),"")</f>
        <v/>
      </c>
      <c r="W168" t="str">
        <f ca="1">IFERROR(__xludf.DUMMYFUNCTION("""COMPUTED_VALUE"""),"")</f>
        <v/>
      </c>
      <c r="X168" t="str">
        <f ca="1">IFERROR(__xludf.DUMMYFUNCTION("""COMPUTED_VALUE"""),"")</f>
        <v/>
      </c>
      <c r="Y168" t="str">
        <f ca="1">IFERROR(__xludf.DUMMYFUNCTION("""COMPUTED_VALUE"""),"")</f>
        <v/>
      </c>
      <c r="Z168" t="str">
        <f ca="1">IFERROR(__xludf.DUMMYFUNCTION("""COMPUTED_VALUE"""),"")</f>
        <v/>
      </c>
      <c r="AA168" t="str">
        <f ca="1">IFERROR(__xludf.DUMMYFUNCTION("""COMPUTED_VALUE"""),"Pas de commande")</f>
        <v>Pas de commande</v>
      </c>
      <c r="AB168" s="8" t="str">
        <f ca="1">IFERROR(__xludf.DUMMYFUNCTION("""COMPUTED_VALUE"""),"")</f>
        <v/>
      </c>
      <c r="AC168" s="8" t="str">
        <f ca="1">IFERROR(__xludf.DUMMYFUNCTION("""COMPUTED_VALUE"""),"")</f>
        <v/>
      </c>
      <c r="AD168" s="11" t="str">
        <f ca="1">IFERROR(__xludf.DUMMYFUNCTION("""COMPUTED_VALUE"""),"")</f>
        <v/>
      </c>
      <c r="AE168" t="str">
        <f ca="1">IFERROR(__xludf.DUMMYFUNCTION("""COMPUTED_VALUE"""),"")</f>
        <v/>
      </c>
    </row>
    <row r="169" spans="1:31" ht="12.75" x14ac:dyDescent="0.2">
      <c r="A169">
        <f ca="1">IFERROR(__xludf.DUMMYFUNCTION("""COMPUTED_VALUE"""),95471)</f>
        <v>95471</v>
      </c>
      <c r="B169" t="str">
        <f ca="1">IFERROR(__xludf.DUMMYFUNCTION("""COMPUTED_VALUE"""),"CASTELGINEST")</f>
        <v>CASTELGINEST</v>
      </c>
      <c r="C169" t="str">
        <f ca="1">IFERROR(__xludf.DUMMYFUNCTION("""COMPUTED_VALUE"""),"U Express")</f>
        <v>U Express</v>
      </c>
      <c r="D169" t="str">
        <f ca="1">IFERROR(__xludf.DUMMYFUNCTION("""COMPUTED_VALUE"""),"Coop UPSO")</f>
        <v>Coop UPSO</v>
      </c>
      <c r="E169">
        <f ca="1">IFERROR(__xludf.DUMMYFUNCTION("""COMPUTED_VALUE"""),31780)</f>
        <v>31780</v>
      </c>
      <c r="F169" t="str">
        <f ca="1">IFERROR(__xludf.DUMMYFUNCTION("""COMPUTED_VALUE"""),"1 RUE DES VIGNES")</f>
        <v>1 RUE DES VIGNES</v>
      </c>
      <c r="G169" t="str">
        <f ca="1">IFERROR(__xludf.DUMMYFUNCTION("""COMPUTED_VALUE"""),"05.65.65.25.20")</f>
        <v>05.65.65.25.20</v>
      </c>
      <c r="H169" t="str">
        <f ca="1">IFERROR(__xludf.DUMMYFUNCTION("""COMPUTED_VALUE"""),"FORET Sabrina")</f>
        <v>FORET Sabrina</v>
      </c>
      <c r="I169" t="str">
        <f ca="1">IFERROR(__xludf.DUMMYFUNCTION("""COMPUTED_VALUE"""),"sabrina.foret@systeme-u.fr")</f>
        <v>sabrina.foret@systeme-u.fr</v>
      </c>
      <c r="J169" t="str">
        <f ca="1">IFERROR(__xludf.DUMMYFUNCTION("""COMPUTED_VALUE"""),"")</f>
        <v/>
      </c>
      <c r="K169" t="str">
        <f ca="1">IFERROR(__xludf.DUMMYFUNCTION("""COMPUTED_VALUE"""),"")</f>
        <v/>
      </c>
      <c r="L169" t="str">
        <f ca="1">IFERROR(__xludf.DUMMYFUNCTION("""COMPUTED_VALUE"""),"")</f>
        <v/>
      </c>
      <c r="M169" t="str">
        <f ca="1">IFERROR(__xludf.DUMMYFUNCTION("""COMPUTED_VALUE"""),"99.Hors Périmetre")</f>
        <v>99.Hors Périmetre</v>
      </c>
      <c r="N169" t="str">
        <f ca="1">IFERROR(__xludf.DUMMYFUNCTION("""COMPUTED_VALUE"""),"")</f>
        <v/>
      </c>
      <c r="O169" t="str">
        <f ca="1">IFERROR(__xludf.DUMMYFUNCTION("""COMPUTED_VALUE"""),"")</f>
        <v/>
      </c>
      <c r="P169" t="str">
        <f ca="1">IFERROR(__xludf.DUMMYFUNCTION("""COMPUTED_VALUE"""),"")</f>
        <v/>
      </c>
      <c r="Q169" s="5" t="str">
        <f ca="1">IFERROR(__xludf.DUMMYFUNCTION("""COMPUTED_VALUE"""),"")</f>
        <v/>
      </c>
      <c r="R169" s="6" t="str">
        <f ca="1">IFERROR(__xludf.DUMMYFUNCTION("""COMPUTED_VALUE"""),"")</f>
        <v/>
      </c>
      <c r="S169" t="str">
        <f ca="1">IFERROR(__xludf.DUMMYFUNCTION("""COMPUTED_VALUE"""),"")</f>
        <v/>
      </c>
      <c r="T169" t="str">
        <f ca="1">IFERROR(__xludf.DUMMYFUNCTION("""COMPUTED_VALUE"""),"")</f>
        <v/>
      </c>
      <c r="U169" t="str">
        <f ca="1">IFERROR(__xludf.DUMMYFUNCTION("""COMPUTED_VALUE"""),"")</f>
        <v/>
      </c>
      <c r="V169" t="str">
        <f ca="1">IFERROR(__xludf.DUMMYFUNCTION("""COMPUTED_VALUE"""),"")</f>
        <v/>
      </c>
      <c r="W169" t="str">
        <f ca="1">IFERROR(__xludf.DUMMYFUNCTION("""COMPUTED_VALUE"""),"")</f>
        <v/>
      </c>
      <c r="X169" t="str">
        <f ca="1">IFERROR(__xludf.DUMMYFUNCTION("""COMPUTED_VALUE"""),"")</f>
        <v/>
      </c>
      <c r="Y169" t="str">
        <f ca="1">IFERROR(__xludf.DUMMYFUNCTION("""COMPUTED_VALUE"""),"")</f>
        <v/>
      </c>
      <c r="Z169" t="str">
        <f ca="1">IFERROR(__xludf.DUMMYFUNCTION("""COMPUTED_VALUE"""),"")</f>
        <v/>
      </c>
      <c r="AA169" t="str">
        <f ca="1">IFERROR(__xludf.DUMMYFUNCTION("""COMPUTED_VALUE"""),"Pas de commande")</f>
        <v>Pas de commande</v>
      </c>
      <c r="AB169" s="8" t="str">
        <f ca="1">IFERROR(__xludf.DUMMYFUNCTION("""COMPUTED_VALUE"""),"")</f>
        <v/>
      </c>
      <c r="AC169" s="8" t="str">
        <f ca="1">IFERROR(__xludf.DUMMYFUNCTION("""COMPUTED_VALUE"""),"")</f>
        <v/>
      </c>
      <c r="AD169" s="11" t="str">
        <f ca="1">IFERROR(__xludf.DUMMYFUNCTION("""COMPUTED_VALUE"""),"")</f>
        <v/>
      </c>
      <c r="AE169" t="str">
        <f ca="1">IFERROR(__xludf.DUMMYFUNCTION("""COMPUTED_VALUE"""),"")</f>
        <v/>
      </c>
    </row>
    <row r="170" spans="1:31" ht="12.75" x14ac:dyDescent="0.2">
      <c r="A170">
        <f ca="1">IFERROR(__xludf.DUMMYFUNCTION("""COMPUTED_VALUE"""),90429)</f>
        <v>90429</v>
      </c>
      <c r="B170" t="str">
        <f ca="1">IFERROR(__xludf.DUMMYFUNCTION("""COMPUTED_VALUE"""),"CASTELNAU LE LEZ")</f>
        <v>CASTELNAU LE LEZ</v>
      </c>
      <c r="C170" t="str">
        <f ca="1">IFERROR(__xludf.DUMMYFUNCTION("""COMPUTED_VALUE"""),"Super U")</f>
        <v>Super U</v>
      </c>
      <c r="D170" t="str">
        <f ca="1">IFERROR(__xludf.DUMMYFUNCTION("""COMPUTED_VALUE"""),"Coop U Enseigne Sud")</f>
        <v>Coop U Enseigne Sud</v>
      </c>
      <c r="E170">
        <f ca="1">IFERROR(__xludf.DUMMYFUNCTION("""COMPUTED_VALUE"""),34170)</f>
        <v>34170</v>
      </c>
      <c r="F170" t="str">
        <f ca="1">IFERROR(__xludf.DUMMYFUNCTION("""COMPUTED_VALUE"""),"753 AVENUE LA POMPIGNANE")</f>
        <v>753 AVENUE LA POMPIGNANE</v>
      </c>
      <c r="G170" t="str">
        <f ca="1">IFERROR(__xludf.DUMMYFUNCTION("""COMPUTED_VALUE"""),"04.67.79.83.19")</f>
        <v>04.67.79.83.19</v>
      </c>
      <c r="H170" t="str">
        <f ca="1">IFERROR(__xludf.DUMMYFUNCTION("""COMPUTED_VALUE"""),"LEBREC Charles")</f>
        <v>LEBREC Charles</v>
      </c>
      <c r="I170" t="str">
        <f ca="1">IFERROR(__xludf.DUMMYFUNCTION("""COMPUTED_VALUE"""),"charles.lebrec@systeme-u.fr")</f>
        <v>charles.lebrec@systeme-u.fr</v>
      </c>
      <c r="J170" t="str">
        <f ca="1">IFERROR(__xludf.DUMMYFUNCTION("""COMPUTED_VALUE"""),"LEBREC Sophie")</f>
        <v>LEBREC Sophie</v>
      </c>
      <c r="K170" t="str">
        <f ca="1">IFERROR(__xludf.DUMMYFUNCTION("""COMPUTED_VALUE"""),"sophie.lebrec@systeme-u.fr")</f>
        <v>sophie.lebrec@systeme-u.fr</v>
      </c>
      <c r="L170" t="str">
        <f ca="1">IFERROR(__xludf.DUMMYFUNCTION("""COMPUTED_VALUE"""),"")</f>
        <v/>
      </c>
      <c r="M170" t="str">
        <f ca="1">IFERROR(__xludf.DUMMYFUNCTION("""COMPUTED_VALUE"""),"99.Hors Périmetre")</f>
        <v>99.Hors Périmetre</v>
      </c>
      <c r="N170" t="str">
        <f ca="1">IFERROR(__xludf.DUMMYFUNCTION("""COMPUTED_VALUE"""),"")</f>
        <v/>
      </c>
      <c r="O170" t="str">
        <f ca="1">IFERROR(__xludf.DUMMYFUNCTION("""COMPUTED_VALUE"""),"")</f>
        <v/>
      </c>
      <c r="P170" t="str">
        <f ca="1">IFERROR(__xludf.DUMMYFUNCTION("""COMPUTED_VALUE"""),"")</f>
        <v/>
      </c>
      <c r="Q170" s="5" t="str">
        <f ca="1">IFERROR(__xludf.DUMMYFUNCTION("""COMPUTED_VALUE"""),"")</f>
        <v/>
      </c>
      <c r="R170" s="6" t="str">
        <f ca="1">IFERROR(__xludf.DUMMYFUNCTION("""COMPUTED_VALUE"""),"")</f>
        <v/>
      </c>
      <c r="S170" t="str">
        <f ca="1">IFERROR(__xludf.DUMMYFUNCTION("""COMPUTED_VALUE"""),"")</f>
        <v/>
      </c>
      <c r="T170" t="str">
        <f ca="1">IFERROR(__xludf.DUMMYFUNCTION("""COMPUTED_VALUE"""),"")</f>
        <v/>
      </c>
      <c r="U170" t="str">
        <f ca="1">IFERROR(__xludf.DUMMYFUNCTION("""COMPUTED_VALUE"""),"")</f>
        <v/>
      </c>
      <c r="V170" t="str">
        <f ca="1">IFERROR(__xludf.DUMMYFUNCTION("""COMPUTED_VALUE"""),"")</f>
        <v/>
      </c>
      <c r="W170" t="str">
        <f ca="1">IFERROR(__xludf.DUMMYFUNCTION("""COMPUTED_VALUE"""),"")</f>
        <v/>
      </c>
      <c r="X170" t="str">
        <f ca="1">IFERROR(__xludf.DUMMYFUNCTION("""COMPUTED_VALUE"""),"")</f>
        <v/>
      </c>
      <c r="Y170" t="str">
        <f ca="1">IFERROR(__xludf.DUMMYFUNCTION("""COMPUTED_VALUE"""),"")</f>
        <v/>
      </c>
      <c r="Z170" t="str">
        <f ca="1">IFERROR(__xludf.DUMMYFUNCTION("""COMPUTED_VALUE"""),"")</f>
        <v/>
      </c>
      <c r="AA170" t="str">
        <f ca="1">IFERROR(__xludf.DUMMYFUNCTION("""COMPUTED_VALUE"""),"Pas de commande")</f>
        <v>Pas de commande</v>
      </c>
      <c r="AB170" s="8" t="str">
        <f ca="1">IFERROR(__xludf.DUMMYFUNCTION("""COMPUTED_VALUE"""),"")</f>
        <v/>
      </c>
      <c r="AC170" s="8" t="str">
        <f ca="1">IFERROR(__xludf.DUMMYFUNCTION("""COMPUTED_VALUE"""),"")</f>
        <v/>
      </c>
      <c r="AD170" s="11" t="str">
        <f ca="1">IFERROR(__xludf.DUMMYFUNCTION("""COMPUTED_VALUE"""),"")</f>
        <v/>
      </c>
      <c r="AE170" t="str">
        <f ca="1">IFERROR(__xludf.DUMMYFUNCTION("""COMPUTED_VALUE"""),"")</f>
        <v/>
      </c>
    </row>
    <row r="171" spans="1:31" ht="12.75" x14ac:dyDescent="0.2">
      <c r="A171">
        <f ca="1">IFERROR(__xludf.DUMMYFUNCTION("""COMPUTED_VALUE"""),90065)</f>
        <v>90065</v>
      </c>
      <c r="B171" t="str">
        <f ca="1">IFERROR(__xludf.DUMMYFUNCTION("""COMPUTED_VALUE"""),"CASTRES")</f>
        <v>CASTRES</v>
      </c>
      <c r="C171" t="str">
        <f ca="1">IFERROR(__xludf.DUMMYFUNCTION("""COMPUTED_VALUE"""),"Super U")</f>
        <v>Super U</v>
      </c>
      <c r="D171" t="str">
        <f ca="1">IFERROR(__xludf.DUMMYFUNCTION("""COMPUTED_VALUE"""),"Coop U Enseigne Sud")</f>
        <v>Coop U Enseigne Sud</v>
      </c>
      <c r="E171">
        <f ca="1">IFERROR(__xludf.DUMMYFUNCTION("""COMPUTED_VALUE"""),81100)</f>
        <v>81100</v>
      </c>
      <c r="F171" t="str">
        <f ca="1">IFERROR(__xludf.DUMMYFUNCTION("""COMPUTED_VALUE"""),"1 AVENUE GEORGES POMPIDOU")</f>
        <v>1 AVENUE GEORGES POMPIDOU</v>
      </c>
      <c r="G171" t="str">
        <f ca="1">IFERROR(__xludf.DUMMYFUNCTION("""COMPUTED_VALUE"""),"05.63.35.33.52")</f>
        <v>05.63.35.33.52</v>
      </c>
      <c r="H171" t="str">
        <f ca="1">IFERROR(__xludf.DUMMYFUNCTION("""COMPUTED_VALUE"""),"BRINGER Xavier")</f>
        <v>BRINGER Xavier</v>
      </c>
      <c r="I171" t="str">
        <f ca="1">IFERROR(__xludf.DUMMYFUNCTION("""COMPUTED_VALUE"""),"xavier.bringer@systeme-u.fr")</f>
        <v>xavier.bringer@systeme-u.fr</v>
      </c>
      <c r="J171" t="str">
        <f ca="1">IFERROR(__xludf.DUMMYFUNCTION("""COMPUTED_VALUE"""),"ROUTELOUS Marielle")</f>
        <v>ROUTELOUS Marielle</v>
      </c>
      <c r="K171" t="str">
        <f ca="1">IFERROR(__xludf.DUMMYFUNCTION("""COMPUTED_VALUE"""),"superu.castres.informatique@systeme-u.fr")</f>
        <v>superu.castres.informatique@systeme-u.fr</v>
      </c>
      <c r="L171" t="str">
        <f ca="1">IFERROR(__xludf.DUMMYFUNCTION("""COMPUTED_VALUE"""),"")</f>
        <v/>
      </c>
      <c r="M171" t="str">
        <f ca="1">IFERROR(__xludf.DUMMYFUNCTION("""COMPUTED_VALUE"""),"99.Hors Périmetre")</f>
        <v>99.Hors Périmetre</v>
      </c>
      <c r="N171" t="str">
        <f ca="1">IFERROR(__xludf.DUMMYFUNCTION("""COMPUTED_VALUE"""),"")</f>
        <v/>
      </c>
      <c r="O171" t="str">
        <f ca="1">IFERROR(__xludf.DUMMYFUNCTION("""COMPUTED_VALUE"""),"")</f>
        <v/>
      </c>
      <c r="P171" t="str">
        <f ca="1">IFERROR(__xludf.DUMMYFUNCTION("""COMPUTED_VALUE"""),"")</f>
        <v/>
      </c>
      <c r="Q171" s="5" t="str">
        <f ca="1">IFERROR(__xludf.DUMMYFUNCTION("""COMPUTED_VALUE"""),"")</f>
        <v/>
      </c>
      <c r="R171" s="6" t="str">
        <f ca="1">IFERROR(__xludf.DUMMYFUNCTION("""COMPUTED_VALUE"""),"")</f>
        <v/>
      </c>
      <c r="S171" t="str">
        <f ca="1">IFERROR(__xludf.DUMMYFUNCTION("""COMPUTED_VALUE"""),"")</f>
        <v/>
      </c>
      <c r="T171" t="str">
        <f ca="1">IFERROR(__xludf.DUMMYFUNCTION("""COMPUTED_VALUE"""),"")</f>
        <v/>
      </c>
      <c r="U171" t="str">
        <f ca="1">IFERROR(__xludf.DUMMYFUNCTION("""COMPUTED_VALUE"""),"")</f>
        <v/>
      </c>
      <c r="V171" t="str">
        <f ca="1">IFERROR(__xludf.DUMMYFUNCTION("""COMPUTED_VALUE"""),"")</f>
        <v/>
      </c>
      <c r="W171" t="str">
        <f ca="1">IFERROR(__xludf.DUMMYFUNCTION("""COMPUTED_VALUE"""),"")</f>
        <v/>
      </c>
      <c r="X171" t="str">
        <f ca="1">IFERROR(__xludf.DUMMYFUNCTION("""COMPUTED_VALUE"""),"")</f>
        <v/>
      </c>
      <c r="Y171" t="str">
        <f ca="1">IFERROR(__xludf.DUMMYFUNCTION("""COMPUTED_VALUE"""),"")</f>
        <v/>
      </c>
      <c r="Z171" t="str">
        <f ca="1">IFERROR(__xludf.DUMMYFUNCTION("""COMPUTED_VALUE"""),"")</f>
        <v/>
      </c>
      <c r="AA171" t="str">
        <f ca="1">IFERROR(__xludf.DUMMYFUNCTION("""COMPUTED_VALUE"""),"Pas de commande")</f>
        <v>Pas de commande</v>
      </c>
      <c r="AB171" s="8" t="str">
        <f ca="1">IFERROR(__xludf.DUMMYFUNCTION("""COMPUTED_VALUE"""),"")</f>
        <v/>
      </c>
      <c r="AC171" s="8" t="str">
        <f ca="1">IFERROR(__xludf.DUMMYFUNCTION("""COMPUTED_VALUE"""),"")</f>
        <v/>
      </c>
      <c r="AD171" s="11" t="str">
        <f ca="1">IFERROR(__xludf.DUMMYFUNCTION("""COMPUTED_VALUE"""),"")</f>
        <v/>
      </c>
      <c r="AE171" t="str">
        <f ca="1">IFERROR(__xludf.DUMMYFUNCTION("""COMPUTED_VALUE"""),"")</f>
        <v/>
      </c>
    </row>
    <row r="172" spans="1:31" ht="12.75" x14ac:dyDescent="0.2">
      <c r="A172">
        <f ca="1">IFERROR(__xludf.DUMMYFUNCTION("""COMPUTED_VALUE"""),91119)</f>
        <v>91119</v>
      </c>
      <c r="B172" t="str">
        <f ca="1">IFERROR(__xludf.DUMMYFUNCTION("""COMPUTED_VALUE"""),"CAUMONT S/DURANCE CADAGNE")</f>
        <v>CAUMONT S/DURANCE CADAGNE</v>
      </c>
      <c r="C172" t="str">
        <f ca="1">IFERROR(__xludf.DUMMYFUNCTION("""COMPUTED_VALUE"""),"U Express")</f>
        <v>U Express</v>
      </c>
      <c r="D172" t="str">
        <f ca="1">IFERROR(__xludf.DUMMYFUNCTION("""COMPUTED_VALUE"""),"Coop MISTRAL")</f>
        <v>Coop MISTRAL</v>
      </c>
      <c r="E172">
        <f ca="1">IFERROR(__xludf.DUMMYFUNCTION("""COMPUTED_VALUE"""),84510)</f>
        <v>84510</v>
      </c>
      <c r="F172" t="str">
        <f ca="1">IFERROR(__xludf.DUMMYFUNCTION("""COMPUTED_VALUE"""),"ROUTE DE GADAGNE")</f>
        <v>ROUTE DE GADAGNE</v>
      </c>
      <c r="G172" t="str">
        <f ca="1">IFERROR(__xludf.DUMMYFUNCTION("""COMPUTED_VALUE"""),"04.90.33.97.49")</f>
        <v>04.90.33.97.49</v>
      </c>
      <c r="H172" t="str">
        <f ca="1">IFERROR(__xludf.DUMMYFUNCTION("""COMPUTED_VALUE"""),"GAUDIN Fabrice")</f>
        <v>GAUDIN Fabrice</v>
      </c>
      <c r="I172" t="str">
        <f ca="1">IFERROR(__xludf.DUMMYFUNCTION("""COMPUTED_VALUE"""),"administratif.gaudin84@orange.fr")</f>
        <v>administratif.gaudin84@orange.fr</v>
      </c>
      <c r="J172" t="str">
        <f ca="1">IFERROR(__xludf.DUMMYFUNCTION("""COMPUTED_VALUE"""),"")</f>
        <v/>
      </c>
      <c r="K172" t="str">
        <f ca="1">IFERROR(__xludf.DUMMYFUNCTION("""COMPUTED_VALUE"""),"delphine.damian@lemistral.fr,helene.mina@lemistral.fr")</f>
        <v>delphine.damian@lemistral.fr,helene.mina@lemistral.fr</v>
      </c>
      <c r="L172" t="str">
        <f ca="1">IFERROR(__xludf.DUMMYFUNCTION("""COMPUTED_VALUE"""),"")</f>
        <v/>
      </c>
      <c r="M172" t="str">
        <f ca="1">IFERROR(__xludf.DUMMYFUNCTION("""COMPUTED_VALUE"""),"99.Hors Périmetre")</f>
        <v>99.Hors Périmetre</v>
      </c>
      <c r="N172" t="str">
        <f ca="1">IFERROR(__xludf.DUMMYFUNCTION("""COMPUTED_VALUE"""),"")</f>
        <v/>
      </c>
      <c r="O172" t="str">
        <f ca="1">IFERROR(__xludf.DUMMYFUNCTION("""COMPUTED_VALUE"""),"")</f>
        <v/>
      </c>
      <c r="P172" t="str">
        <f ca="1">IFERROR(__xludf.DUMMYFUNCTION("""COMPUTED_VALUE"""),"")</f>
        <v/>
      </c>
      <c r="Q172" s="5" t="str">
        <f ca="1">IFERROR(__xludf.DUMMYFUNCTION("""COMPUTED_VALUE"""),"")</f>
        <v/>
      </c>
      <c r="R172" s="6" t="str">
        <f ca="1">IFERROR(__xludf.DUMMYFUNCTION("""COMPUTED_VALUE"""),"")</f>
        <v/>
      </c>
      <c r="S172" t="str">
        <f ca="1">IFERROR(__xludf.DUMMYFUNCTION("""COMPUTED_VALUE"""),"")</f>
        <v/>
      </c>
      <c r="T172" t="str">
        <f ca="1">IFERROR(__xludf.DUMMYFUNCTION("""COMPUTED_VALUE"""),"")</f>
        <v/>
      </c>
      <c r="U172" t="str">
        <f ca="1">IFERROR(__xludf.DUMMYFUNCTION("""COMPUTED_VALUE"""),"")</f>
        <v/>
      </c>
      <c r="V172" t="str">
        <f ca="1">IFERROR(__xludf.DUMMYFUNCTION("""COMPUTED_VALUE"""),"")</f>
        <v/>
      </c>
      <c r="W172" t="str">
        <f ca="1">IFERROR(__xludf.DUMMYFUNCTION("""COMPUTED_VALUE"""),"")</f>
        <v/>
      </c>
      <c r="X172" t="str">
        <f ca="1">IFERROR(__xludf.DUMMYFUNCTION("""COMPUTED_VALUE"""),"")</f>
        <v/>
      </c>
      <c r="Y172" t="str">
        <f ca="1">IFERROR(__xludf.DUMMYFUNCTION("""COMPUTED_VALUE"""),"")</f>
        <v/>
      </c>
      <c r="Z172" t="str">
        <f ca="1">IFERROR(__xludf.DUMMYFUNCTION("""COMPUTED_VALUE"""),"")</f>
        <v/>
      </c>
      <c r="AA172" t="str">
        <f ca="1">IFERROR(__xludf.DUMMYFUNCTION("""COMPUTED_VALUE"""),"Pas de commande")</f>
        <v>Pas de commande</v>
      </c>
      <c r="AB172" s="8" t="str">
        <f ca="1">IFERROR(__xludf.DUMMYFUNCTION("""COMPUTED_VALUE"""),"")</f>
        <v/>
      </c>
      <c r="AC172" s="8" t="str">
        <f ca="1">IFERROR(__xludf.DUMMYFUNCTION("""COMPUTED_VALUE"""),"")</f>
        <v/>
      </c>
      <c r="AD172" s="11" t="str">
        <f ca="1">IFERROR(__xludf.DUMMYFUNCTION("""COMPUTED_VALUE"""),"")</f>
        <v/>
      </c>
      <c r="AE172" t="str">
        <f ca="1">IFERROR(__xludf.DUMMYFUNCTION("""COMPUTED_VALUE"""),"")</f>
        <v/>
      </c>
    </row>
    <row r="173" spans="1:31" ht="12.75" x14ac:dyDescent="0.2">
      <c r="A173">
        <f ca="1">IFERROR(__xludf.DUMMYFUNCTION("""COMPUTED_VALUE"""),95146)</f>
        <v>95146</v>
      </c>
      <c r="B173" t="str">
        <f ca="1">IFERROR(__xludf.DUMMYFUNCTION("""COMPUTED_VALUE"""),"CAUSSADE")</f>
        <v>CAUSSADE</v>
      </c>
      <c r="C173" t="str">
        <f ca="1">IFERROR(__xludf.DUMMYFUNCTION("""COMPUTED_VALUE"""),"Super U")</f>
        <v>Super U</v>
      </c>
      <c r="D173" t="str">
        <f ca="1">IFERROR(__xludf.DUMMYFUNCTION("""COMPUTED_VALUE"""),"Coop U Enseigne Sud")</f>
        <v>Coop U Enseigne Sud</v>
      </c>
      <c r="E173">
        <f ca="1">IFERROR(__xludf.DUMMYFUNCTION("""COMPUTED_VALUE"""),82302)</f>
        <v>82302</v>
      </c>
      <c r="F173" t="str">
        <f ca="1">IFERROR(__xludf.DUMMYFUNCTION("""COMPUTED_VALUE"""),"ZI DE MEAUX BP 119")</f>
        <v>ZI DE MEAUX BP 119</v>
      </c>
      <c r="G173" t="str">
        <f ca="1">IFERROR(__xludf.DUMMYFUNCTION("""COMPUTED_VALUE"""),"05.63.23.26.60")</f>
        <v>05.63.23.26.60</v>
      </c>
      <c r="H173" t="str">
        <f ca="1">IFERROR(__xludf.DUMMYFUNCTION("""COMPUTED_VALUE"""),"TARDIEU Christophe et Jeremy")</f>
        <v>TARDIEU Christophe et Jeremy</v>
      </c>
      <c r="I173" t="str">
        <f ca="1">IFERROR(__xludf.DUMMYFUNCTION("""COMPUTED_VALUE"""),"christophe.tardieu@systeme-u.fr")</f>
        <v>christophe.tardieu@systeme-u.fr</v>
      </c>
      <c r="J173" t="str">
        <f ca="1">IFERROR(__xludf.DUMMYFUNCTION("""COMPUTED_VALUE"""),"Jeremy Tardieu
Mr Vaquié (comptable = pilote)")</f>
        <v>Jeremy Tardieu
Mr Vaquié (comptable = pilote)</v>
      </c>
      <c r="K173" t="str">
        <f ca="1">IFERROR(__xludf.DUMMYFUNCTION("""COMPUTED_VALUE"""),"jeremy.tardieu@systeme-u.fr, superu.caussade.compta@systeme-u.fr")</f>
        <v>jeremy.tardieu@systeme-u.fr, superu.caussade.compta@systeme-u.fr</v>
      </c>
      <c r="L173" t="str">
        <f ca="1">IFERROR(__xludf.DUMMYFUNCTION("""COMPUTED_VALUE"""),"")</f>
        <v/>
      </c>
      <c r="M173" t="str">
        <f ca="1">IFERROR(__xludf.DUMMYFUNCTION("""COMPUTED_VALUE"""),"99.Hors Périmetre")</f>
        <v>99.Hors Périmetre</v>
      </c>
      <c r="N173" t="str">
        <f ca="1">IFERROR(__xludf.DUMMYFUNCTION("""COMPUTED_VALUE"""),"")</f>
        <v/>
      </c>
      <c r="O173" t="str">
        <f ca="1">IFERROR(__xludf.DUMMYFUNCTION("""COMPUTED_VALUE"""),"")</f>
        <v/>
      </c>
      <c r="P173" t="str">
        <f ca="1">IFERROR(__xludf.DUMMYFUNCTION("""COMPUTED_VALUE"""),"")</f>
        <v/>
      </c>
      <c r="Q173" s="5" t="str">
        <f ca="1">IFERROR(__xludf.DUMMYFUNCTION("""COMPUTED_VALUE"""),"")</f>
        <v/>
      </c>
      <c r="R173" s="6" t="str">
        <f ca="1">IFERROR(__xludf.DUMMYFUNCTION("""COMPUTED_VALUE"""),"")</f>
        <v/>
      </c>
      <c r="S173" t="str">
        <f ca="1">IFERROR(__xludf.DUMMYFUNCTION("""COMPUTED_VALUE"""),"")</f>
        <v/>
      </c>
      <c r="T173" t="str">
        <f ca="1">IFERROR(__xludf.DUMMYFUNCTION("""COMPUTED_VALUE"""),"")</f>
        <v/>
      </c>
      <c r="U173" t="str">
        <f ca="1">IFERROR(__xludf.DUMMYFUNCTION("""COMPUTED_VALUE"""),"")</f>
        <v/>
      </c>
      <c r="V173" t="str">
        <f ca="1">IFERROR(__xludf.DUMMYFUNCTION("""COMPUTED_VALUE"""),"")</f>
        <v/>
      </c>
      <c r="W173" t="str">
        <f ca="1">IFERROR(__xludf.DUMMYFUNCTION("""COMPUTED_VALUE"""),"")</f>
        <v/>
      </c>
      <c r="X173" t="str">
        <f ca="1">IFERROR(__xludf.DUMMYFUNCTION("""COMPUTED_VALUE"""),"")</f>
        <v/>
      </c>
      <c r="Y173" t="str">
        <f ca="1">IFERROR(__xludf.DUMMYFUNCTION("""COMPUTED_VALUE"""),"")</f>
        <v/>
      </c>
      <c r="Z173" t="str">
        <f ca="1">IFERROR(__xludf.DUMMYFUNCTION("""COMPUTED_VALUE"""),"")</f>
        <v/>
      </c>
      <c r="AA173" t="str">
        <f ca="1">IFERROR(__xludf.DUMMYFUNCTION("""COMPUTED_VALUE"""),"Pas de commande")</f>
        <v>Pas de commande</v>
      </c>
      <c r="AB173" s="8" t="str">
        <f ca="1">IFERROR(__xludf.DUMMYFUNCTION("""COMPUTED_VALUE"""),"")</f>
        <v/>
      </c>
      <c r="AC173" s="8" t="str">
        <f ca="1">IFERROR(__xludf.DUMMYFUNCTION("""COMPUTED_VALUE"""),"")</f>
        <v/>
      </c>
      <c r="AD173" s="11" t="str">
        <f ca="1">IFERROR(__xludf.DUMMYFUNCTION("""COMPUTED_VALUE"""),"")</f>
        <v/>
      </c>
      <c r="AE173" t="str">
        <f ca="1">IFERROR(__xludf.DUMMYFUNCTION("""COMPUTED_VALUE"""),"")</f>
        <v/>
      </c>
    </row>
    <row r="174" spans="1:31" ht="12.75" x14ac:dyDescent="0.2">
      <c r="A174">
        <f ca="1">IFERROR(__xludf.DUMMYFUNCTION("""COMPUTED_VALUE"""),90425)</f>
        <v>90425</v>
      </c>
      <c r="B174" t="str">
        <f ca="1">IFERROR(__xludf.DUMMYFUNCTION("""COMPUTED_VALUE"""),"CAVAILLON COTY")</f>
        <v>CAVAILLON COTY</v>
      </c>
      <c r="C174" t="str">
        <f ca="1">IFERROR(__xludf.DUMMYFUNCTION("""COMPUTED_VALUE"""),"Super U")</f>
        <v>Super U</v>
      </c>
      <c r="D174" t="str">
        <f ca="1">IFERROR(__xludf.DUMMYFUNCTION("""COMPUTED_VALUE"""),"Coop U Enseigne Sud")</f>
        <v>Coop U Enseigne Sud</v>
      </c>
      <c r="E174">
        <f ca="1">IFERROR(__xludf.DUMMYFUNCTION("""COMPUTED_VALUE"""),84300)</f>
        <v>84300</v>
      </c>
      <c r="F174" t="str">
        <f ca="1">IFERROR(__xludf.DUMMYFUNCTION("""COMPUTED_VALUE"""),"6 AVENUE RENE COTY")</f>
        <v>6 AVENUE RENE COTY</v>
      </c>
      <c r="G174" t="str">
        <f ca="1">IFERROR(__xludf.DUMMYFUNCTION("""COMPUTED_VALUE"""),"04.90.71.12.05")</f>
        <v>04.90.71.12.05</v>
      </c>
      <c r="H174" t="str">
        <f ca="1">IFERROR(__xludf.DUMMYFUNCTION("""COMPUTED_VALUE"""),"LE DOUJET Daniel")</f>
        <v>LE DOUJET Daniel</v>
      </c>
      <c r="I174" t="str">
        <f ca="1">IFERROR(__xludf.DUMMYFUNCTION("""COMPUTED_VALUE"""),"francois.garcia@systeme-u.fr")</f>
        <v>francois.garcia@systeme-u.fr</v>
      </c>
      <c r="J174" t="str">
        <f ca="1">IFERROR(__xludf.DUMMYFUNCTION("""COMPUTED_VALUE"""),"DUSSABLE JEAN MARC")</f>
        <v>DUSSABLE JEAN MARC</v>
      </c>
      <c r="K174" t="str">
        <f ca="1">IFERROR(__xludf.DUMMYFUNCTION("""COMPUTED_VALUE"""),"superu.cavaillon@systeme-u.fr,superu.cavaillon.direction@systeme-u.fr")</f>
        <v>superu.cavaillon@systeme-u.fr,superu.cavaillon.direction@systeme-u.fr</v>
      </c>
      <c r="L174" t="str">
        <f ca="1">IFERROR(__xludf.DUMMYFUNCTION("""COMPUTED_VALUE"""),"")</f>
        <v/>
      </c>
      <c r="M174" t="str">
        <f ca="1">IFERROR(__xludf.DUMMYFUNCTION("""COMPUTED_VALUE"""),"99.Hors Périmetre")</f>
        <v>99.Hors Périmetre</v>
      </c>
      <c r="N174" t="str">
        <f ca="1">IFERROR(__xludf.DUMMYFUNCTION("""COMPUTED_VALUE"""),"")</f>
        <v/>
      </c>
      <c r="O174" t="str">
        <f ca="1">IFERROR(__xludf.DUMMYFUNCTION("""COMPUTED_VALUE"""),"")</f>
        <v/>
      </c>
      <c r="P174" t="str">
        <f ca="1">IFERROR(__xludf.DUMMYFUNCTION("""COMPUTED_VALUE"""),"")</f>
        <v/>
      </c>
      <c r="Q174" s="5" t="str">
        <f ca="1">IFERROR(__xludf.DUMMYFUNCTION("""COMPUTED_VALUE"""),"")</f>
        <v/>
      </c>
      <c r="R174" s="6" t="str">
        <f ca="1">IFERROR(__xludf.DUMMYFUNCTION("""COMPUTED_VALUE"""),"")</f>
        <v/>
      </c>
      <c r="S174" t="str">
        <f ca="1">IFERROR(__xludf.DUMMYFUNCTION("""COMPUTED_VALUE"""),"")</f>
        <v/>
      </c>
      <c r="T174" t="str">
        <f ca="1">IFERROR(__xludf.DUMMYFUNCTION("""COMPUTED_VALUE"""),"")</f>
        <v/>
      </c>
      <c r="U174" t="str">
        <f ca="1">IFERROR(__xludf.DUMMYFUNCTION("""COMPUTED_VALUE"""),"")</f>
        <v/>
      </c>
      <c r="V174" t="str">
        <f ca="1">IFERROR(__xludf.DUMMYFUNCTION("""COMPUTED_VALUE"""),"")</f>
        <v/>
      </c>
      <c r="W174" t="str">
        <f ca="1">IFERROR(__xludf.DUMMYFUNCTION("""COMPUTED_VALUE"""),"")</f>
        <v/>
      </c>
      <c r="X174" t="str">
        <f ca="1">IFERROR(__xludf.DUMMYFUNCTION("""COMPUTED_VALUE"""),"")</f>
        <v/>
      </c>
      <c r="Y174" t="str">
        <f ca="1">IFERROR(__xludf.DUMMYFUNCTION("""COMPUTED_VALUE"""),"")</f>
        <v/>
      </c>
      <c r="Z174" t="str">
        <f ca="1">IFERROR(__xludf.DUMMYFUNCTION("""COMPUTED_VALUE"""),"")</f>
        <v/>
      </c>
      <c r="AA174" t="str">
        <f ca="1">IFERROR(__xludf.DUMMYFUNCTION("""COMPUTED_VALUE"""),"Pas de commande")</f>
        <v>Pas de commande</v>
      </c>
      <c r="AB174" s="8" t="str">
        <f ca="1">IFERROR(__xludf.DUMMYFUNCTION("""COMPUTED_VALUE"""),"")</f>
        <v/>
      </c>
      <c r="AC174" s="8" t="str">
        <f ca="1">IFERROR(__xludf.DUMMYFUNCTION("""COMPUTED_VALUE"""),"")</f>
        <v/>
      </c>
      <c r="AD174" s="11" t="str">
        <f ca="1">IFERROR(__xludf.DUMMYFUNCTION("""COMPUTED_VALUE"""),"")</f>
        <v/>
      </c>
      <c r="AE174" t="str">
        <f ca="1">IFERROR(__xludf.DUMMYFUNCTION("""COMPUTED_VALUE"""),"")</f>
        <v/>
      </c>
    </row>
    <row r="175" spans="1:31" ht="12.75" x14ac:dyDescent="0.2">
      <c r="A175">
        <f ca="1">IFERROR(__xludf.DUMMYFUNCTION("""COMPUTED_VALUE"""),95373)</f>
        <v>95373</v>
      </c>
      <c r="B175" t="str">
        <f ca="1">IFERROR(__xludf.DUMMYFUNCTION("""COMPUTED_VALUE"""),"CAVIGNAC")</f>
        <v>CAVIGNAC</v>
      </c>
      <c r="C175" t="str">
        <f ca="1">IFERROR(__xludf.DUMMYFUNCTION("""COMPUTED_VALUE"""),"Super U")</f>
        <v>Super U</v>
      </c>
      <c r="D175" t="str">
        <f ca="1">IFERROR(__xludf.DUMMYFUNCTION("""COMPUTED_VALUE"""),"Coop U Enseigne Sud")</f>
        <v>Coop U Enseigne Sud</v>
      </c>
      <c r="E175">
        <f ca="1">IFERROR(__xludf.DUMMYFUNCTION("""COMPUTED_VALUE"""),33620)</f>
        <v>33620</v>
      </c>
      <c r="F175" t="str">
        <f ca="1">IFERROR(__xludf.DUMMYFUNCTION("""COMPUTED_VALUE"""),"LE BOURG")</f>
        <v>LE BOURG</v>
      </c>
      <c r="G175" t="str">
        <f ca="1">IFERROR(__xludf.DUMMYFUNCTION("""COMPUTED_VALUE"""),"05.57.68.11.20")</f>
        <v>05.57.68.11.20</v>
      </c>
      <c r="H175" t="str">
        <f ca="1">IFERROR(__xludf.DUMMYFUNCTION("""COMPUTED_VALUE"""),"ET LEGUET FRANCIS ROGER BEAUX")</f>
        <v>ET LEGUET FRANCIS ROGER BEAUX</v>
      </c>
      <c r="I175" t="str">
        <f ca="1">IFERROR(__xludf.DUMMYFUNCTION("""COMPUTED_VALUE"""),"roger.beaux@systeme-u.fr")</f>
        <v>roger.beaux@systeme-u.fr</v>
      </c>
      <c r="J175" t="str">
        <f ca="1">IFERROR(__xludf.DUMMYFUNCTION("""COMPUTED_VALUE"""),"Laetitia Auvinet")</f>
        <v>Laetitia Auvinet</v>
      </c>
      <c r="K175" t="str">
        <f ca="1">IFERROR(__xludf.DUMMYFUNCTION("""COMPUTED_VALUE"""),"superu.cavignac@systeme-u.fr")</f>
        <v>superu.cavignac@systeme-u.fr</v>
      </c>
      <c r="L175" t="str">
        <f ca="1">IFERROR(__xludf.DUMMYFUNCTION("""COMPUTED_VALUE"""),"")</f>
        <v/>
      </c>
      <c r="M175" t="str">
        <f ca="1">IFERROR(__xludf.DUMMYFUNCTION("""COMPUTED_VALUE"""),"99.Hors Périmetre")</f>
        <v>99.Hors Périmetre</v>
      </c>
      <c r="N175" t="str">
        <f ca="1">IFERROR(__xludf.DUMMYFUNCTION("""COMPUTED_VALUE"""),"")</f>
        <v/>
      </c>
      <c r="O175" t="str">
        <f ca="1">IFERROR(__xludf.DUMMYFUNCTION("""COMPUTED_VALUE"""),"")</f>
        <v/>
      </c>
      <c r="P175" t="str">
        <f ca="1">IFERROR(__xludf.DUMMYFUNCTION("""COMPUTED_VALUE"""),"")</f>
        <v/>
      </c>
      <c r="Q175" s="5" t="str">
        <f ca="1">IFERROR(__xludf.DUMMYFUNCTION("""COMPUTED_VALUE"""),"")</f>
        <v/>
      </c>
      <c r="R175" s="6" t="str">
        <f ca="1">IFERROR(__xludf.DUMMYFUNCTION("""COMPUTED_VALUE"""),"")</f>
        <v/>
      </c>
      <c r="S175" t="str">
        <f ca="1">IFERROR(__xludf.DUMMYFUNCTION("""COMPUTED_VALUE"""),"")</f>
        <v/>
      </c>
      <c r="T175" t="str">
        <f ca="1">IFERROR(__xludf.DUMMYFUNCTION("""COMPUTED_VALUE"""),"")</f>
        <v/>
      </c>
      <c r="U175" t="str">
        <f ca="1">IFERROR(__xludf.DUMMYFUNCTION("""COMPUTED_VALUE"""),"")</f>
        <v/>
      </c>
      <c r="V175" t="str">
        <f ca="1">IFERROR(__xludf.DUMMYFUNCTION("""COMPUTED_VALUE"""),"")</f>
        <v/>
      </c>
      <c r="W175" t="str">
        <f ca="1">IFERROR(__xludf.DUMMYFUNCTION("""COMPUTED_VALUE"""),"")</f>
        <v/>
      </c>
      <c r="X175" t="str">
        <f ca="1">IFERROR(__xludf.DUMMYFUNCTION("""COMPUTED_VALUE"""),"")</f>
        <v/>
      </c>
      <c r="Y175" t="str">
        <f ca="1">IFERROR(__xludf.DUMMYFUNCTION("""COMPUTED_VALUE"""),"")</f>
        <v/>
      </c>
      <c r="Z175" t="str">
        <f ca="1">IFERROR(__xludf.DUMMYFUNCTION("""COMPUTED_VALUE"""),"")</f>
        <v/>
      </c>
      <c r="AA175" t="str">
        <f ca="1">IFERROR(__xludf.DUMMYFUNCTION("""COMPUTED_VALUE"""),"Pas de commande")</f>
        <v>Pas de commande</v>
      </c>
      <c r="AB175" s="8" t="str">
        <f ca="1">IFERROR(__xludf.DUMMYFUNCTION("""COMPUTED_VALUE"""),"")</f>
        <v/>
      </c>
      <c r="AC175" s="8" t="str">
        <f ca="1">IFERROR(__xludf.DUMMYFUNCTION("""COMPUTED_VALUE"""),"")</f>
        <v/>
      </c>
      <c r="AD175" s="11" t="str">
        <f ca="1">IFERROR(__xludf.DUMMYFUNCTION("""COMPUTED_VALUE"""),"")</f>
        <v/>
      </c>
      <c r="AE175" t="str">
        <f ca="1">IFERROR(__xludf.DUMMYFUNCTION("""COMPUTED_VALUE"""),"")</f>
        <v/>
      </c>
    </row>
    <row r="176" spans="1:31" ht="12.75" x14ac:dyDescent="0.2">
      <c r="A176">
        <f ca="1">IFERROR(__xludf.DUMMYFUNCTION("""COMPUTED_VALUE"""),39628)</f>
        <v>39628</v>
      </c>
      <c r="B176" t="str">
        <f ca="1">IFERROR(__xludf.DUMMYFUNCTION("""COMPUTED_VALUE"""),"CAYENNE")</f>
        <v>CAYENNE</v>
      </c>
      <c r="C176" t="str">
        <f ca="1">IFERROR(__xludf.DUMMYFUNCTION("""COMPUTED_VALUE"""),"Sans enseigne")</f>
        <v>Sans enseigne</v>
      </c>
      <c r="D176" t="str">
        <f ca="1">IFERROR(__xludf.DUMMYFUNCTION("""COMPUTED_VALUE"""),"Coop U Enseigne Ouest")</f>
        <v>Coop U Enseigne Ouest</v>
      </c>
      <c r="E176">
        <f ca="1">IFERROR(__xludf.DUMMYFUNCTION("""COMPUTED_VALUE"""),97324)</f>
        <v>97324</v>
      </c>
      <c r="F176" t="str">
        <f ca="1">IFERROR(__xludf.DUMMYFUNCTION("""COMPUTED_VALUE"""),"ENTRE RD MADELEINE ET LEBLOND")</f>
        <v>ENTRE RD MADELEINE ET LEBLOND</v>
      </c>
      <c r="G176" t="str">
        <f ca="1">IFERROR(__xludf.DUMMYFUNCTION("""COMPUTED_VALUE"""),"05.94.30.19.80")</f>
        <v>05.94.30.19.80</v>
      </c>
      <c r="H176" t="str">
        <f ca="1">IFERROR(__xludf.DUMMYFUNCTION("""COMPUTED_VALUE"""),"NG KON TIA Bernard")</f>
        <v>NG KON TIA Bernard</v>
      </c>
      <c r="I176" t="str">
        <f ca="1">IFERROR(__xludf.DUMMYFUNCTION("""COMPUTED_VALUE"""),"")</f>
        <v/>
      </c>
      <c r="J176" t="str">
        <f ca="1">IFERROR(__xludf.DUMMYFUNCTION("""COMPUTED_VALUE"""),"")</f>
        <v/>
      </c>
      <c r="K176" t="str">
        <f ca="1">IFERROR(__xludf.DUMMYFUNCTION("""COMPUTED_VALUE"""),"geoffray.gauthier@systeme-u.fr")</f>
        <v>geoffray.gauthier@systeme-u.fr</v>
      </c>
      <c r="L176" t="str">
        <f ca="1">IFERROR(__xludf.DUMMYFUNCTION("""COMPUTED_VALUE"""),"")</f>
        <v/>
      </c>
      <c r="M176" t="str">
        <f ca="1">IFERROR(__xludf.DUMMYFUNCTION("""COMPUTED_VALUE"""),"99.Hors Périmetre")</f>
        <v>99.Hors Périmetre</v>
      </c>
      <c r="N176" t="str">
        <f ca="1">IFERROR(__xludf.DUMMYFUNCTION("""COMPUTED_VALUE"""),"")</f>
        <v/>
      </c>
      <c r="O176" t="str">
        <f ca="1">IFERROR(__xludf.DUMMYFUNCTION("""COMPUTED_VALUE"""),"")</f>
        <v/>
      </c>
      <c r="P176" t="str">
        <f ca="1">IFERROR(__xludf.DUMMYFUNCTION("""COMPUTED_VALUE"""),"")</f>
        <v/>
      </c>
      <c r="Q176" s="5" t="str">
        <f ca="1">IFERROR(__xludf.DUMMYFUNCTION("""COMPUTED_VALUE"""),"")</f>
        <v/>
      </c>
      <c r="R176" s="6" t="str">
        <f ca="1">IFERROR(__xludf.DUMMYFUNCTION("""COMPUTED_VALUE"""),"")</f>
        <v/>
      </c>
      <c r="S176" t="str">
        <f ca="1">IFERROR(__xludf.DUMMYFUNCTION("""COMPUTED_VALUE"""),"")</f>
        <v/>
      </c>
      <c r="T176" t="str">
        <f ca="1">IFERROR(__xludf.DUMMYFUNCTION("""COMPUTED_VALUE"""),"")</f>
        <v/>
      </c>
      <c r="U176" t="str">
        <f ca="1">IFERROR(__xludf.DUMMYFUNCTION("""COMPUTED_VALUE"""),"")</f>
        <v/>
      </c>
      <c r="V176" t="str">
        <f ca="1">IFERROR(__xludf.DUMMYFUNCTION("""COMPUTED_VALUE"""),"")</f>
        <v/>
      </c>
      <c r="W176" t="str">
        <f ca="1">IFERROR(__xludf.DUMMYFUNCTION("""COMPUTED_VALUE"""),"")</f>
        <v/>
      </c>
      <c r="X176" t="str">
        <f ca="1">IFERROR(__xludf.DUMMYFUNCTION("""COMPUTED_VALUE"""),"")</f>
        <v/>
      </c>
      <c r="Y176" t="str">
        <f ca="1">IFERROR(__xludf.DUMMYFUNCTION("""COMPUTED_VALUE"""),"")</f>
        <v/>
      </c>
      <c r="Z176" t="str">
        <f ca="1">IFERROR(__xludf.DUMMYFUNCTION("""COMPUTED_VALUE"""),"")</f>
        <v/>
      </c>
      <c r="AA176" t="str">
        <f ca="1">IFERROR(__xludf.DUMMYFUNCTION("""COMPUTED_VALUE"""),"Pas de commande")</f>
        <v>Pas de commande</v>
      </c>
      <c r="AB176" s="8" t="str">
        <f ca="1">IFERROR(__xludf.DUMMYFUNCTION("""COMPUTED_VALUE"""),"")</f>
        <v/>
      </c>
      <c r="AC176" s="8" t="str">
        <f ca="1">IFERROR(__xludf.DUMMYFUNCTION("""COMPUTED_VALUE"""),"")</f>
        <v/>
      </c>
      <c r="AD176" s="11" t="str">
        <f ca="1">IFERROR(__xludf.DUMMYFUNCTION("""COMPUTED_VALUE"""),"")</f>
        <v/>
      </c>
      <c r="AE176" t="str">
        <f ca="1">IFERROR(__xludf.DUMMYFUNCTION("""COMPUTED_VALUE"""),"")</f>
        <v/>
      </c>
    </row>
    <row r="177" spans="1:31" ht="12.75" x14ac:dyDescent="0.2">
      <c r="A177">
        <f ca="1">IFERROR(__xludf.DUMMYFUNCTION("""COMPUTED_VALUE"""),32402)</f>
        <v>32402</v>
      </c>
      <c r="B177" t="str">
        <f ca="1">IFERROR(__xludf.DUMMYFUNCTION("""COMPUTED_VALUE"""),"CERIZAY")</f>
        <v>CERIZAY</v>
      </c>
      <c r="C177" t="str">
        <f ca="1">IFERROR(__xludf.DUMMYFUNCTION("""COMPUTED_VALUE"""),"Super U")</f>
        <v>Super U</v>
      </c>
      <c r="D177" t="str">
        <f ca="1">IFERROR(__xludf.DUMMYFUNCTION("""COMPUTED_VALUE"""),"Coop U Enseigne Ouest")</f>
        <v>Coop U Enseigne Ouest</v>
      </c>
      <c r="E177">
        <f ca="1">IFERROR(__xludf.DUMMYFUNCTION("""COMPUTED_VALUE"""),79140)</f>
        <v>79140</v>
      </c>
      <c r="F177" t="str">
        <f ca="1">IFERROR(__xludf.DUMMYFUNCTION("""COMPUTED_VALUE"""),"BOULEVARD GEORGES POMPIDOU")</f>
        <v>BOULEVARD GEORGES POMPIDOU</v>
      </c>
      <c r="G177" t="str">
        <f ca="1">IFERROR(__xludf.DUMMYFUNCTION("""COMPUTED_VALUE"""),"05.49.80.51.42")</f>
        <v>05.49.80.51.42</v>
      </c>
      <c r="H177" t="str">
        <f ca="1">IFERROR(__xludf.DUMMYFUNCTION("""COMPUTED_VALUE"""),"BAUMARD Anne")</f>
        <v>BAUMARD Anne</v>
      </c>
      <c r="I177" t="str">
        <f ca="1">IFERROR(__xludf.DUMMYFUNCTION("""COMPUTED_VALUE"""),"anne.barriet@systeme-u.fr")</f>
        <v>anne.barriet@systeme-u.fr</v>
      </c>
      <c r="J177" t="str">
        <f ca="1">IFERROR(__xludf.DUMMYFUNCTION("""COMPUTED_VALUE"""),"")</f>
        <v/>
      </c>
      <c r="K177" t="str">
        <f ca="1">IFERROR(__xludf.DUMMYFUNCTION("""COMPUTED_VALUE"""),"")</f>
        <v/>
      </c>
      <c r="L177" t="str">
        <f ca="1">IFERROR(__xludf.DUMMYFUNCTION("""COMPUTED_VALUE"""),"")</f>
        <v/>
      </c>
      <c r="M177" t="str">
        <f ca="1">IFERROR(__xludf.DUMMYFUNCTION("""COMPUTED_VALUE"""),"99.Hors Périmetre")</f>
        <v>99.Hors Périmetre</v>
      </c>
      <c r="N177" t="str">
        <f ca="1">IFERROR(__xludf.DUMMYFUNCTION("""COMPUTED_VALUE"""),"")</f>
        <v/>
      </c>
      <c r="O177" t="str">
        <f ca="1">IFERROR(__xludf.DUMMYFUNCTION("""COMPUTED_VALUE"""),"")</f>
        <v/>
      </c>
      <c r="P177" t="str">
        <f ca="1">IFERROR(__xludf.DUMMYFUNCTION("""COMPUTED_VALUE"""),"")</f>
        <v/>
      </c>
      <c r="Q177" s="5" t="str">
        <f ca="1">IFERROR(__xludf.DUMMYFUNCTION("""COMPUTED_VALUE"""),"")</f>
        <v/>
      </c>
      <c r="R177" s="6" t="str">
        <f ca="1">IFERROR(__xludf.DUMMYFUNCTION("""COMPUTED_VALUE"""),"")</f>
        <v/>
      </c>
      <c r="S177" t="str">
        <f ca="1">IFERROR(__xludf.DUMMYFUNCTION("""COMPUTED_VALUE"""),"")</f>
        <v/>
      </c>
      <c r="T177" t="str">
        <f ca="1">IFERROR(__xludf.DUMMYFUNCTION("""COMPUTED_VALUE"""),"")</f>
        <v/>
      </c>
      <c r="U177" t="str">
        <f ca="1">IFERROR(__xludf.DUMMYFUNCTION("""COMPUTED_VALUE"""),"")</f>
        <v/>
      </c>
      <c r="V177" t="str">
        <f ca="1">IFERROR(__xludf.DUMMYFUNCTION("""COMPUTED_VALUE"""),"")</f>
        <v/>
      </c>
      <c r="W177" t="str">
        <f ca="1">IFERROR(__xludf.DUMMYFUNCTION("""COMPUTED_VALUE"""),"")</f>
        <v/>
      </c>
      <c r="X177" t="str">
        <f ca="1">IFERROR(__xludf.DUMMYFUNCTION("""COMPUTED_VALUE"""),"")</f>
        <v/>
      </c>
      <c r="Y177" t="str">
        <f ca="1">IFERROR(__xludf.DUMMYFUNCTION("""COMPUTED_VALUE"""),"")</f>
        <v/>
      </c>
      <c r="Z177" t="str">
        <f ca="1">IFERROR(__xludf.DUMMYFUNCTION("""COMPUTED_VALUE"""),"")</f>
        <v/>
      </c>
      <c r="AA177" t="str">
        <f ca="1">IFERROR(__xludf.DUMMYFUNCTION("""COMPUTED_VALUE"""),"Pas de commande")</f>
        <v>Pas de commande</v>
      </c>
      <c r="AB177" s="8" t="str">
        <f ca="1">IFERROR(__xludf.DUMMYFUNCTION("""COMPUTED_VALUE"""),"")</f>
        <v/>
      </c>
      <c r="AC177" s="8" t="str">
        <f ca="1">IFERROR(__xludf.DUMMYFUNCTION("""COMPUTED_VALUE"""),"")</f>
        <v/>
      </c>
      <c r="AD177" s="11" t="str">
        <f ca="1">IFERROR(__xludf.DUMMYFUNCTION("""COMPUTED_VALUE"""),"")</f>
        <v/>
      </c>
      <c r="AE177" t="str">
        <f ca="1">IFERROR(__xludf.DUMMYFUNCTION("""COMPUTED_VALUE"""),"")</f>
        <v/>
      </c>
    </row>
    <row r="178" spans="1:31" ht="12.75" x14ac:dyDescent="0.2">
      <c r="A178">
        <f ca="1">IFERROR(__xludf.DUMMYFUNCTION("""COMPUTED_VALUE"""),33093)</f>
        <v>33093</v>
      </c>
      <c r="B178" t="str">
        <f ca="1">IFERROR(__xludf.DUMMYFUNCTION("""COMPUTED_VALUE"""),"CESSON-ST-BRIEUC")</f>
        <v>CESSON-ST-BRIEUC</v>
      </c>
      <c r="C178" t="str">
        <f ca="1">IFERROR(__xludf.DUMMYFUNCTION("""COMPUTED_VALUE"""),"U Express")</f>
        <v>U Express</v>
      </c>
      <c r="D178" t="str">
        <f ca="1">IFERROR(__xludf.DUMMYFUNCTION("""COMPUTED_VALUE"""),"Coop U Enseigne Ouest")</f>
        <v>Coop U Enseigne Ouest</v>
      </c>
      <c r="E178">
        <f ca="1">IFERROR(__xludf.DUMMYFUNCTION("""COMPUTED_VALUE"""),22000)</f>
        <v>22000</v>
      </c>
      <c r="F178" t="str">
        <f ca="1">IFERROR(__xludf.DUMMYFUNCTION("""COMPUTED_VALUE"""),"3, RUE CHAMPLAIN")</f>
        <v>3, RUE CHAMPLAIN</v>
      </c>
      <c r="G178" t="str">
        <f ca="1">IFERROR(__xludf.DUMMYFUNCTION("""COMPUTED_VALUE"""),"02.96.68.12.00")</f>
        <v>02.96.68.12.00</v>
      </c>
      <c r="H178" t="str">
        <f ca="1">IFERROR(__xludf.DUMMYFUNCTION("""COMPUTED_VALUE"""),"ROCHAIS Thierry")</f>
        <v>ROCHAIS Thierry</v>
      </c>
      <c r="I178" t="str">
        <f ca="1">IFERROR(__xludf.DUMMYFUNCTION("""COMPUTED_VALUE"""),"thierry.rochais@systeme-u.fr")</f>
        <v>thierry.rochais@systeme-u.fr</v>
      </c>
      <c r="J178" t="str">
        <f ca="1">IFERROR(__xludf.DUMMYFUNCTION("""COMPUTED_VALUE"""),"Sarah (UPLV)")</f>
        <v>Sarah (UPLV)</v>
      </c>
      <c r="K178" t="str">
        <f ca="1">IFERROR(__xludf.DUMMYFUNCTION("""COMPUTED_VALUE"""),"uexpress.cesson.gescom@systeme-u.fr")</f>
        <v>uexpress.cesson.gescom@systeme-u.fr</v>
      </c>
      <c r="L178" t="str">
        <f ca="1">IFERROR(__xludf.DUMMYFUNCTION("""COMPUTED_VALUE"""),"")</f>
        <v/>
      </c>
      <c r="M178" t="str">
        <f ca="1">IFERROR(__xludf.DUMMYFUNCTION("""COMPUTED_VALUE"""),"99.Hors Périmetre")</f>
        <v>99.Hors Périmetre</v>
      </c>
      <c r="N178" t="str">
        <f ca="1">IFERROR(__xludf.DUMMYFUNCTION("""COMPUTED_VALUE"""),"")</f>
        <v/>
      </c>
      <c r="O178" t="str">
        <f ca="1">IFERROR(__xludf.DUMMYFUNCTION("""COMPUTED_VALUE"""),"")</f>
        <v/>
      </c>
      <c r="P178" t="str">
        <f ca="1">IFERROR(__xludf.DUMMYFUNCTION("""COMPUTED_VALUE"""),"")</f>
        <v/>
      </c>
      <c r="Q178" s="5" t="str">
        <f ca="1">IFERROR(__xludf.DUMMYFUNCTION("""COMPUTED_VALUE"""),"")</f>
        <v/>
      </c>
      <c r="R178" s="6" t="str">
        <f ca="1">IFERROR(__xludf.DUMMYFUNCTION("""COMPUTED_VALUE"""),"")</f>
        <v/>
      </c>
      <c r="S178" t="str">
        <f ca="1">IFERROR(__xludf.DUMMYFUNCTION("""COMPUTED_VALUE"""),"")</f>
        <v/>
      </c>
      <c r="T178" t="str">
        <f ca="1">IFERROR(__xludf.DUMMYFUNCTION("""COMPUTED_VALUE"""),"")</f>
        <v/>
      </c>
      <c r="U178" t="str">
        <f ca="1">IFERROR(__xludf.DUMMYFUNCTION("""COMPUTED_VALUE"""),"")</f>
        <v/>
      </c>
      <c r="V178" t="str">
        <f ca="1">IFERROR(__xludf.DUMMYFUNCTION("""COMPUTED_VALUE"""),"")</f>
        <v/>
      </c>
      <c r="W178" t="str">
        <f ca="1">IFERROR(__xludf.DUMMYFUNCTION("""COMPUTED_VALUE"""),"")</f>
        <v/>
      </c>
      <c r="X178" t="str">
        <f ca="1">IFERROR(__xludf.DUMMYFUNCTION("""COMPUTED_VALUE"""),"")</f>
        <v/>
      </c>
      <c r="Y178" t="str">
        <f ca="1">IFERROR(__xludf.DUMMYFUNCTION("""COMPUTED_VALUE"""),"")</f>
        <v/>
      </c>
      <c r="Z178" t="str">
        <f ca="1">IFERROR(__xludf.DUMMYFUNCTION("""COMPUTED_VALUE"""),"")</f>
        <v/>
      </c>
      <c r="AA178" t="str">
        <f ca="1">IFERROR(__xludf.DUMMYFUNCTION("""COMPUTED_VALUE"""),"Pas de commande")</f>
        <v>Pas de commande</v>
      </c>
      <c r="AB178" s="8" t="str">
        <f ca="1">IFERROR(__xludf.DUMMYFUNCTION("""COMPUTED_VALUE"""),"")</f>
        <v/>
      </c>
      <c r="AC178" s="8" t="str">
        <f ca="1">IFERROR(__xludf.DUMMYFUNCTION("""COMPUTED_VALUE"""),"")</f>
        <v/>
      </c>
      <c r="AD178" s="11" t="str">
        <f ca="1">IFERROR(__xludf.DUMMYFUNCTION("""COMPUTED_VALUE"""),"")</f>
        <v/>
      </c>
      <c r="AE178" t="str">
        <f ca="1">IFERROR(__xludf.DUMMYFUNCTION("""COMPUTED_VALUE"""),"")</f>
        <v/>
      </c>
    </row>
    <row r="179" spans="1:31" ht="12.75" x14ac:dyDescent="0.2">
      <c r="A179">
        <f ca="1">IFERROR(__xludf.DUMMYFUNCTION("""COMPUTED_VALUE"""),96245)</f>
        <v>96245</v>
      </c>
      <c r="B179" t="str">
        <f ca="1">IFERROR(__xludf.DUMMYFUNCTION("""COMPUTED_VALUE"""),"CESTAS")</f>
        <v>CESTAS</v>
      </c>
      <c r="C179" t="str">
        <f ca="1">IFERROR(__xludf.DUMMYFUNCTION("""COMPUTED_VALUE"""),"Super U")</f>
        <v>Super U</v>
      </c>
      <c r="D179" t="str">
        <f ca="1">IFERROR(__xludf.DUMMYFUNCTION("""COMPUTED_VALUE"""),"Coop U Enseigne Sud")</f>
        <v>Coop U Enseigne Sud</v>
      </c>
      <c r="E179">
        <f ca="1">IFERROR(__xludf.DUMMYFUNCTION("""COMPUTED_VALUE"""),33611)</f>
        <v>33611</v>
      </c>
      <c r="F179" t="str">
        <f ca="1">IFERROR(__xludf.DUMMYFUNCTION("""COMPUTED_VALUE"""),"BP19 C/C LE BOURG")</f>
        <v>BP19 C/C LE BOURG</v>
      </c>
      <c r="G179" t="str">
        <f ca="1">IFERROR(__xludf.DUMMYFUNCTION("""COMPUTED_VALUE"""),"05.56.78.12.60")</f>
        <v>05.56.78.12.60</v>
      </c>
      <c r="H179" t="str">
        <f ca="1">IFERROR(__xludf.DUMMYFUNCTION("""COMPUTED_VALUE"""),"ET THOMAS BOUQUET NADAUD LAURENT CAFFY")</f>
        <v>ET THOMAS BOUQUET NADAUD LAURENT CAFFY</v>
      </c>
      <c r="I179" t="str">
        <f ca="1">IFERROR(__xludf.DUMMYFUNCTION("""COMPUTED_VALUE"""),"thomas.bouquet-nadaud@systeme-u.fr")</f>
        <v>thomas.bouquet-nadaud@systeme-u.fr</v>
      </c>
      <c r="J179" t="str">
        <f ca="1">IFERROR(__xludf.DUMMYFUNCTION("""COMPUTED_VALUE"""),"M. Bitter
Marylise Seguin (Pilote)")</f>
        <v>M. Bitter
Marylise Seguin (Pilote)</v>
      </c>
      <c r="K179" t="str">
        <f ca="1">IFERROR(__xludf.DUMMYFUNCTION("""COMPUTED_VALUE"""),"Superu.cestas.direction@systeme-u.fr")</f>
        <v>Superu.cestas.direction@systeme-u.fr</v>
      </c>
      <c r="L179" t="str">
        <f ca="1">IFERROR(__xludf.DUMMYFUNCTION("""COMPUTED_VALUE"""),"")</f>
        <v/>
      </c>
      <c r="M179" t="str">
        <f ca="1">IFERROR(__xludf.DUMMYFUNCTION("""COMPUTED_VALUE"""),"99.Hors Périmetre")</f>
        <v>99.Hors Périmetre</v>
      </c>
      <c r="N179" t="str">
        <f ca="1">IFERROR(__xludf.DUMMYFUNCTION("""COMPUTED_VALUE"""),"")</f>
        <v/>
      </c>
      <c r="O179" t="str">
        <f ca="1">IFERROR(__xludf.DUMMYFUNCTION("""COMPUTED_VALUE"""),"")</f>
        <v/>
      </c>
      <c r="P179" t="str">
        <f ca="1">IFERROR(__xludf.DUMMYFUNCTION("""COMPUTED_VALUE"""),"")</f>
        <v/>
      </c>
      <c r="Q179" s="5" t="str">
        <f ca="1">IFERROR(__xludf.DUMMYFUNCTION("""COMPUTED_VALUE"""),"")</f>
        <v/>
      </c>
      <c r="R179" s="6" t="str">
        <f ca="1">IFERROR(__xludf.DUMMYFUNCTION("""COMPUTED_VALUE"""),"")</f>
        <v/>
      </c>
      <c r="S179" t="str">
        <f ca="1">IFERROR(__xludf.DUMMYFUNCTION("""COMPUTED_VALUE"""),"")</f>
        <v/>
      </c>
      <c r="T179" t="str">
        <f ca="1">IFERROR(__xludf.DUMMYFUNCTION("""COMPUTED_VALUE"""),"")</f>
        <v/>
      </c>
      <c r="U179" t="str">
        <f ca="1">IFERROR(__xludf.DUMMYFUNCTION("""COMPUTED_VALUE"""),"")</f>
        <v/>
      </c>
      <c r="V179" t="str">
        <f ca="1">IFERROR(__xludf.DUMMYFUNCTION("""COMPUTED_VALUE"""),"")</f>
        <v/>
      </c>
      <c r="W179" t="str">
        <f ca="1">IFERROR(__xludf.DUMMYFUNCTION("""COMPUTED_VALUE"""),"")</f>
        <v/>
      </c>
      <c r="X179" t="str">
        <f ca="1">IFERROR(__xludf.DUMMYFUNCTION("""COMPUTED_VALUE"""),"")</f>
        <v/>
      </c>
      <c r="Y179" t="str">
        <f ca="1">IFERROR(__xludf.DUMMYFUNCTION("""COMPUTED_VALUE"""),"")</f>
        <v/>
      </c>
      <c r="Z179" t="str">
        <f ca="1">IFERROR(__xludf.DUMMYFUNCTION("""COMPUTED_VALUE"""),"")</f>
        <v/>
      </c>
      <c r="AA179" t="str">
        <f ca="1">IFERROR(__xludf.DUMMYFUNCTION("""COMPUTED_VALUE"""),"Pas de commande")</f>
        <v>Pas de commande</v>
      </c>
      <c r="AB179" s="8" t="str">
        <f ca="1">IFERROR(__xludf.DUMMYFUNCTION("""COMPUTED_VALUE"""),"")</f>
        <v/>
      </c>
      <c r="AC179" s="8" t="str">
        <f ca="1">IFERROR(__xludf.DUMMYFUNCTION("""COMPUTED_VALUE"""),"")</f>
        <v/>
      </c>
      <c r="AD179" s="11" t="str">
        <f ca="1">IFERROR(__xludf.DUMMYFUNCTION("""COMPUTED_VALUE"""),"")</f>
        <v/>
      </c>
      <c r="AE179" t="str">
        <f ca="1">IFERROR(__xludf.DUMMYFUNCTION("""COMPUTED_VALUE"""),"")</f>
        <v/>
      </c>
    </row>
    <row r="180" spans="1:31" ht="12.75" x14ac:dyDescent="0.2">
      <c r="A180">
        <f ca="1">IFERROR(__xludf.DUMMYFUNCTION("""COMPUTED_VALUE"""),35886)</f>
        <v>35886</v>
      </c>
      <c r="B180" t="str">
        <f ca="1">IFERROR(__xludf.DUMMYFUNCTION("""COMPUTED_VALUE"""),"CHABANAIS")</f>
        <v>CHABANAIS</v>
      </c>
      <c r="C180" t="str">
        <f ca="1">IFERROR(__xludf.DUMMYFUNCTION("""COMPUTED_VALUE"""),"Super U")</f>
        <v>Super U</v>
      </c>
      <c r="D180" t="str">
        <f ca="1">IFERROR(__xludf.DUMMYFUNCTION("""COMPUTED_VALUE"""),"Coop U Enseigne Ouest")</f>
        <v>Coop U Enseigne Ouest</v>
      </c>
      <c r="E180">
        <f ca="1">IFERROR(__xludf.DUMMYFUNCTION("""COMPUTED_VALUE"""),16150)</f>
        <v>16150</v>
      </c>
      <c r="F180" t="str">
        <f ca="1">IFERROR(__xludf.DUMMYFUNCTION("""COMPUTED_VALUE"""),"LE MOULIN DU BOUCHAUD")</f>
        <v>LE MOULIN DU BOUCHAUD</v>
      </c>
      <c r="G180" t="str">
        <f ca="1">IFERROR(__xludf.DUMMYFUNCTION("""COMPUTED_VALUE"""),"05.45.30.73.00")</f>
        <v>05.45.30.73.00</v>
      </c>
      <c r="H180" t="str">
        <f ca="1">IFERROR(__xludf.DUMMYFUNCTION("""COMPUTED_VALUE"""),"PERRIN RPT SARL SOCHAFI Emmanuelle")</f>
        <v>PERRIN RPT SARL SOCHAFI Emmanuelle</v>
      </c>
      <c r="I180" t="str">
        <f ca="1">IFERROR(__xludf.DUMMYFUNCTION("""COMPUTED_VALUE"""),"emmanuelle.perrin@systeme-u.fr")</f>
        <v>emmanuelle.perrin@systeme-u.fr</v>
      </c>
      <c r="J180" t="str">
        <f ca="1">IFERROR(__xludf.DUMMYFUNCTION("""COMPUTED_VALUE"""),"M RAMAT Lilian")</f>
        <v>M RAMAT Lilian</v>
      </c>
      <c r="K180" t="str">
        <f ca="1">IFERROR(__xludf.DUMMYFUNCTION("""COMPUTED_VALUE"""),"lilian.ramat@systeme-u.fr")</f>
        <v>lilian.ramat@systeme-u.fr</v>
      </c>
      <c r="L180" t="str">
        <f ca="1">IFERROR(__xludf.DUMMYFUNCTION("""COMPUTED_VALUE"""),"Standard")</f>
        <v>Standard</v>
      </c>
      <c r="M180" t="str">
        <f ca="1">IFERROR(__xludf.DUMMYFUNCTION("""COMPUTED_VALUE"""),"0. Non démarré")</f>
        <v>0. Non démarré</v>
      </c>
      <c r="N180" t="str">
        <f ca="1">IFERROR(__xludf.DUMMYFUNCTION("""COMPUTED_VALUE"""),"")</f>
        <v/>
      </c>
      <c r="O180" t="str">
        <f ca="1">IFERROR(__xludf.DUMMYFUNCTION("""COMPUTED_VALUE"""),"")</f>
        <v/>
      </c>
      <c r="P180" t="str">
        <f ca="1">IFERROR(__xludf.DUMMYFUNCTION("""COMPUTED_VALUE"""),"")</f>
        <v/>
      </c>
      <c r="Q180" s="5" t="str">
        <f ca="1">IFERROR(__xludf.DUMMYFUNCTION("""COMPUTED_VALUE"""),"")</f>
        <v/>
      </c>
      <c r="R180" s="6" t="str">
        <f ca="1">IFERROR(__xludf.DUMMYFUNCTION("""COMPUTED_VALUE"""),"")</f>
        <v/>
      </c>
      <c r="S180" t="str">
        <f ca="1">IFERROR(__xludf.DUMMYFUNCTION("""COMPUTED_VALUE"""),"")</f>
        <v/>
      </c>
      <c r="T180" t="str">
        <f ca="1">IFERROR(__xludf.DUMMYFUNCTION("""COMPUTED_VALUE"""),"")</f>
        <v/>
      </c>
      <c r="U180" t="str">
        <f ca="1">IFERROR(__xludf.DUMMYFUNCTION("""COMPUTED_VALUE"""),"")</f>
        <v/>
      </c>
      <c r="V180" t="str">
        <f ca="1">IFERROR(__xludf.DUMMYFUNCTION("""COMPUTED_VALUE"""),"")</f>
        <v/>
      </c>
      <c r="W180" t="str">
        <f ca="1">IFERROR(__xludf.DUMMYFUNCTION("""COMPUTED_VALUE"""),"R5")</f>
        <v>R5</v>
      </c>
      <c r="X180" t="str">
        <f ca="1">IFERROR(__xludf.DUMMYFUNCTION("""COMPUTED_VALUE"""),"Pricer")</f>
        <v>Pricer</v>
      </c>
      <c r="Y180" t="str">
        <f ca="1">IFERROR(__xludf.DUMMYFUNCTION("""COMPUTED_VALUE"""),"")</f>
        <v/>
      </c>
      <c r="Z180" t="str">
        <f ca="1">IFERROR(__xludf.DUMMYFUNCTION("""COMPUTED_VALUE"""),"")</f>
        <v/>
      </c>
      <c r="AA180" t="str">
        <f ca="1">IFERROR(__xludf.DUMMYFUNCTION("""COMPUTED_VALUE"""),"Pas de commande")</f>
        <v>Pas de commande</v>
      </c>
      <c r="AB180" s="8" t="str">
        <f ca="1">IFERROR(__xludf.DUMMYFUNCTION("""COMPUTED_VALUE"""),"")</f>
        <v/>
      </c>
      <c r="AC180" s="8" t="str">
        <f ca="1">IFERROR(__xludf.DUMMYFUNCTION("""COMPUTED_VALUE"""),"")</f>
        <v/>
      </c>
      <c r="AD180" s="11" t="str">
        <f ca="1">IFERROR(__xludf.DUMMYFUNCTION("""COMPUTED_VALUE"""),"")</f>
        <v/>
      </c>
      <c r="AE180" t="str">
        <f ca="1">IFERROR(__xludf.DUMMYFUNCTION("""COMPUTED_VALUE"""),"")</f>
        <v/>
      </c>
    </row>
    <row r="181" spans="1:31" ht="12.75" x14ac:dyDescent="0.2">
      <c r="A181">
        <f ca="1">IFERROR(__xludf.DUMMYFUNCTION("""COMPUTED_VALUE"""),35029)</f>
        <v>35029</v>
      </c>
      <c r="B181" t="str">
        <f ca="1">IFERROR(__xludf.DUMMYFUNCTION("""COMPUTED_VALUE"""),"CHABRIS")</f>
        <v>CHABRIS</v>
      </c>
      <c r="C181" t="str">
        <f ca="1">IFERROR(__xludf.DUMMYFUNCTION("""COMPUTED_VALUE"""),"Super U")</f>
        <v>Super U</v>
      </c>
      <c r="D181" t="str">
        <f ca="1">IFERROR(__xludf.DUMMYFUNCTION("""COMPUTED_VALUE"""),"Coop U Enseigne Ouest")</f>
        <v>Coop U Enseigne Ouest</v>
      </c>
      <c r="E181">
        <f ca="1">IFERROR(__xludf.DUMMYFUNCTION("""COMPUTED_VALUE"""),36210)</f>
        <v>36210</v>
      </c>
      <c r="F181" t="str">
        <f ca="1">IFERROR(__xludf.DUMMYFUNCTION("""COMPUTED_VALUE"""),"ROUTE DE VALENCAY")</f>
        <v>ROUTE DE VALENCAY</v>
      </c>
      <c r="G181" t="str">
        <f ca="1">IFERROR(__xludf.DUMMYFUNCTION("""COMPUTED_VALUE"""),"02.54.00.33.99")</f>
        <v>02.54.00.33.99</v>
      </c>
      <c r="H181" t="str">
        <f ca="1">IFERROR(__xludf.DUMMYFUNCTION("""COMPUTED_VALUE"""),"LANGOUET RPT SAS 2 MJA Marc")</f>
        <v>LANGOUET RPT SAS 2 MJA Marc</v>
      </c>
      <c r="I181" t="str">
        <f ca="1">IFERROR(__xludf.DUMMYFUNCTION("""COMPUTED_VALUE"""),"marc.langouet@systeme-u.fr")</f>
        <v>marc.langouet@systeme-u.fr</v>
      </c>
      <c r="J181" t="str">
        <f ca="1">IFERROR(__xludf.DUMMYFUNCTION("""COMPUTED_VALUE"""),"M. BASIN
Mme SERVOIN")</f>
        <v>M. BASIN
Mme SERVOIN</v>
      </c>
      <c r="K181" t="str">
        <f ca="1">IFERROR(__xludf.DUMMYFUNCTION("""COMPUTED_VALUE"""),"stephane.basin@systeme-u.fr,superu.chabris@systeme-u.fr")</f>
        <v>stephane.basin@systeme-u.fr,superu.chabris@systeme-u.fr</v>
      </c>
      <c r="L181" t="str">
        <f ca="1">IFERROR(__xludf.DUMMYFUNCTION("""COMPUTED_VALUE"""),"")</f>
        <v/>
      </c>
      <c r="M181" t="str">
        <f ca="1">IFERROR(__xludf.DUMMYFUNCTION("""COMPUTED_VALUE"""),"99.Hors Périmetre")</f>
        <v>99.Hors Périmetre</v>
      </c>
      <c r="N181" t="str">
        <f ca="1">IFERROR(__xludf.DUMMYFUNCTION("""COMPUTED_VALUE"""),"")</f>
        <v/>
      </c>
      <c r="O181" t="str">
        <f ca="1">IFERROR(__xludf.DUMMYFUNCTION("""COMPUTED_VALUE"""),"")</f>
        <v/>
      </c>
      <c r="P181" t="str">
        <f ca="1">IFERROR(__xludf.DUMMYFUNCTION("""COMPUTED_VALUE"""),"")</f>
        <v/>
      </c>
      <c r="Q181" s="5" t="str">
        <f ca="1">IFERROR(__xludf.DUMMYFUNCTION("""COMPUTED_VALUE"""),"")</f>
        <v/>
      </c>
      <c r="R181" s="6" t="str">
        <f ca="1">IFERROR(__xludf.DUMMYFUNCTION("""COMPUTED_VALUE"""),"")</f>
        <v/>
      </c>
      <c r="S181" t="str">
        <f ca="1">IFERROR(__xludf.DUMMYFUNCTION("""COMPUTED_VALUE"""),"")</f>
        <v/>
      </c>
      <c r="T181" t="str">
        <f ca="1">IFERROR(__xludf.DUMMYFUNCTION("""COMPUTED_VALUE"""),"")</f>
        <v/>
      </c>
      <c r="U181" t="str">
        <f ca="1">IFERROR(__xludf.DUMMYFUNCTION("""COMPUTED_VALUE"""),"")</f>
        <v/>
      </c>
      <c r="V181" t="str">
        <f ca="1">IFERROR(__xludf.DUMMYFUNCTION("""COMPUTED_VALUE"""),"")</f>
        <v/>
      </c>
      <c r="W181" t="str">
        <f ca="1">IFERROR(__xludf.DUMMYFUNCTION("""COMPUTED_VALUE"""),"")</f>
        <v/>
      </c>
      <c r="X181" t="str">
        <f ca="1">IFERROR(__xludf.DUMMYFUNCTION("""COMPUTED_VALUE"""),"")</f>
        <v/>
      </c>
      <c r="Y181" t="str">
        <f ca="1">IFERROR(__xludf.DUMMYFUNCTION("""COMPUTED_VALUE"""),"")</f>
        <v/>
      </c>
      <c r="Z181" t="str">
        <f ca="1">IFERROR(__xludf.DUMMYFUNCTION("""COMPUTED_VALUE"""),"")</f>
        <v/>
      </c>
      <c r="AA181" t="str">
        <f ca="1">IFERROR(__xludf.DUMMYFUNCTION("""COMPUTED_VALUE"""),"Pas de commande")</f>
        <v>Pas de commande</v>
      </c>
      <c r="AB181" s="8" t="str">
        <f ca="1">IFERROR(__xludf.DUMMYFUNCTION("""COMPUTED_VALUE"""),"")</f>
        <v/>
      </c>
      <c r="AC181" s="8" t="str">
        <f ca="1">IFERROR(__xludf.DUMMYFUNCTION("""COMPUTED_VALUE"""),"")</f>
        <v/>
      </c>
      <c r="AD181" s="11" t="str">
        <f ca="1">IFERROR(__xludf.DUMMYFUNCTION("""COMPUTED_VALUE"""),"")</f>
        <v/>
      </c>
      <c r="AE181" t="str">
        <f ca="1">IFERROR(__xludf.DUMMYFUNCTION("""COMPUTED_VALUE"""),"")</f>
        <v/>
      </c>
    </row>
    <row r="182" spans="1:31" ht="12.75" x14ac:dyDescent="0.2">
      <c r="A182">
        <f ca="1">IFERROR(__xludf.DUMMYFUNCTION("""COMPUTED_VALUE"""),30388)</f>
        <v>30388</v>
      </c>
      <c r="B182" t="str">
        <f ca="1">IFERROR(__xludf.DUMMYFUNCTION("""COMPUTED_VALUE"""),"CHALETTE-SUR-LOING")</f>
        <v>CHALETTE-SUR-LOING</v>
      </c>
      <c r="C182" t="str">
        <f ca="1">IFERROR(__xludf.DUMMYFUNCTION("""COMPUTED_VALUE"""),"Super U")</f>
        <v>Super U</v>
      </c>
      <c r="D182" t="str">
        <f ca="1">IFERROR(__xludf.DUMMYFUNCTION("""COMPUTED_VALUE"""),"Coop U Enseigne Ouest")</f>
        <v>Coop U Enseigne Ouest</v>
      </c>
      <c r="E182">
        <f ca="1">IFERROR(__xludf.DUMMYFUNCTION("""COMPUTED_VALUE"""),45120)</f>
        <v>45120</v>
      </c>
      <c r="F182" t="str">
        <f ca="1">IFERROR(__xludf.DUMMYFUNCTION("""COMPUTED_VALUE"""),"RUE DU 23 AOÛT 1944")</f>
        <v>RUE DU 23 AOÛT 1944</v>
      </c>
      <c r="G182" t="str">
        <f ca="1">IFERROR(__xludf.DUMMYFUNCTION("""COMPUTED_VALUE"""),"02.38.28.37.37")</f>
        <v>02.38.28.37.37</v>
      </c>
      <c r="H182" t="str">
        <f ca="1">IFERROR(__xludf.DUMMYFUNCTION("""COMPUTED_VALUE"""),"BOSCA Armand")</f>
        <v>BOSCA Armand</v>
      </c>
      <c r="I182" t="str">
        <f ca="1">IFERROR(__xludf.DUMMYFUNCTION("""COMPUTED_VALUE"""),"armand.bosca@systeme-u.fr")</f>
        <v>armand.bosca@systeme-u.fr</v>
      </c>
      <c r="J182" t="str">
        <f ca="1">IFERROR(__xludf.DUMMYFUNCTION("""COMPUTED_VALUE"""),"Mme Gasparoux")</f>
        <v>Mme Gasparoux</v>
      </c>
      <c r="K182" t="str">
        <f ca="1">IFERROR(__xludf.DUMMYFUNCTION("""COMPUTED_VALUE"""),"superu.chalettesurloing@systeme-u.fr")</f>
        <v>superu.chalettesurloing@systeme-u.fr</v>
      </c>
      <c r="L182" t="str">
        <f ca="1">IFERROR(__xludf.DUMMYFUNCTION("""COMPUTED_VALUE"""),"")</f>
        <v/>
      </c>
      <c r="M182" t="str">
        <f ca="1">IFERROR(__xludf.DUMMYFUNCTION("""COMPUTED_VALUE"""),"99.Hors Périmetre")</f>
        <v>99.Hors Périmetre</v>
      </c>
      <c r="N182" t="str">
        <f ca="1">IFERROR(__xludf.DUMMYFUNCTION("""COMPUTED_VALUE"""),"")</f>
        <v/>
      </c>
      <c r="O182" t="str">
        <f ca="1">IFERROR(__xludf.DUMMYFUNCTION("""COMPUTED_VALUE"""),"")</f>
        <v/>
      </c>
      <c r="P182" t="str">
        <f ca="1">IFERROR(__xludf.DUMMYFUNCTION("""COMPUTED_VALUE"""),"")</f>
        <v/>
      </c>
      <c r="Q182" s="5" t="str">
        <f ca="1">IFERROR(__xludf.DUMMYFUNCTION("""COMPUTED_VALUE"""),"")</f>
        <v/>
      </c>
      <c r="R182" s="6" t="str">
        <f ca="1">IFERROR(__xludf.DUMMYFUNCTION("""COMPUTED_VALUE"""),"")</f>
        <v/>
      </c>
      <c r="S182" t="str">
        <f ca="1">IFERROR(__xludf.DUMMYFUNCTION("""COMPUTED_VALUE"""),"")</f>
        <v/>
      </c>
      <c r="T182" t="str">
        <f ca="1">IFERROR(__xludf.DUMMYFUNCTION("""COMPUTED_VALUE"""),"")</f>
        <v/>
      </c>
      <c r="U182" t="str">
        <f ca="1">IFERROR(__xludf.DUMMYFUNCTION("""COMPUTED_VALUE"""),"")</f>
        <v/>
      </c>
      <c r="V182" t="str">
        <f ca="1">IFERROR(__xludf.DUMMYFUNCTION("""COMPUTED_VALUE"""),"")</f>
        <v/>
      </c>
      <c r="W182" t="str">
        <f ca="1">IFERROR(__xludf.DUMMYFUNCTION("""COMPUTED_VALUE"""),"")</f>
        <v/>
      </c>
      <c r="X182" t="str">
        <f ca="1">IFERROR(__xludf.DUMMYFUNCTION("""COMPUTED_VALUE"""),"")</f>
        <v/>
      </c>
      <c r="Y182" t="str">
        <f ca="1">IFERROR(__xludf.DUMMYFUNCTION("""COMPUTED_VALUE"""),"")</f>
        <v/>
      </c>
      <c r="Z182" t="str">
        <f ca="1">IFERROR(__xludf.DUMMYFUNCTION("""COMPUTED_VALUE"""),"")</f>
        <v/>
      </c>
      <c r="AA182" t="str">
        <f ca="1">IFERROR(__xludf.DUMMYFUNCTION("""COMPUTED_VALUE"""),"Pas de commande")</f>
        <v>Pas de commande</v>
      </c>
      <c r="AB182" s="8" t="str">
        <f ca="1">IFERROR(__xludf.DUMMYFUNCTION("""COMPUTED_VALUE"""),"")</f>
        <v/>
      </c>
      <c r="AC182" s="8" t="str">
        <f ca="1">IFERROR(__xludf.DUMMYFUNCTION("""COMPUTED_VALUE"""),"")</f>
        <v/>
      </c>
      <c r="AD182" s="11" t="str">
        <f ca="1">IFERROR(__xludf.DUMMYFUNCTION("""COMPUTED_VALUE"""),"")</f>
        <v/>
      </c>
      <c r="AE182" t="str">
        <f ca="1">IFERROR(__xludf.DUMMYFUNCTION("""COMPUTED_VALUE"""),"")</f>
        <v/>
      </c>
    </row>
    <row r="183" spans="1:31" ht="12.75" x14ac:dyDescent="0.2">
      <c r="A183">
        <f ca="1">IFERROR(__xludf.DUMMYFUNCTION("""COMPUTED_VALUE"""),35878)</f>
        <v>35878</v>
      </c>
      <c r="B183" t="str">
        <f ca="1">IFERROR(__xludf.DUMMYFUNCTION("""COMPUTED_VALUE"""),"CHALLANS")</f>
        <v>CHALLANS</v>
      </c>
      <c r="C183" t="str">
        <f ca="1">IFERROR(__xludf.DUMMYFUNCTION("""COMPUTED_VALUE"""),"Hyper U")</f>
        <v>Hyper U</v>
      </c>
      <c r="D183" t="str">
        <f ca="1">IFERROR(__xludf.DUMMYFUNCTION("""COMPUTED_VALUE"""),"Coop U Enseigne Ouest")</f>
        <v>Coop U Enseigne Ouest</v>
      </c>
      <c r="E183">
        <f ca="1">IFERROR(__xludf.DUMMYFUNCTION("""COMPUTED_VALUE"""),85306)</f>
        <v>85306</v>
      </c>
      <c r="F183" t="str">
        <f ca="1">IFERROR(__xludf.DUMMYFUNCTION("""COMPUTED_VALUE"""),"BOULEVARD JEAN XXIII")</f>
        <v>BOULEVARD JEAN XXIII</v>
      </c>
      <c r="G183" t="str">
        <f ca="1">IFERROR(__xludf.DUMMYFUNCTION("""COMPUTED_VALUE"""),"02.51.68.85.10")</f>
        <v>02.51.68.85.10</v>
      </c>
      <c r="H183" t="str">
        <f ca="1">IFERROR(__xludf.DUMMYFUNCTION("""COMPUTED_VALUE"""),"THOUZEAU RPT SAS SO LI FIT Lionel")</f>
        <v>THOUZEAU RPT SAS SO LI FIT Lionel</v>
      </c>
      <c r="I183" t="str">
        <f ca="1">IFERROR(__xludf.DUMMYFUNCTION("""COMPUTED_VALUE"""),"lionel.thouzeau@systeme-u.fr")</f>
        <v>lionel.thouzeau@systeme-u.fr</v>
      </c>
      <c r="J183" t="str">
        <f ca="1">IFERROR(__xludf.DUMMYFUNCTION("""COMPUTED_VALUE"""),"GRONDIN Christophe")</f>
        <v>GRONDIN Christophe</v>
      </c>
      <c r="K183" t="str">
        <f ca="1">IFERROR(__xludf.DUMMYFUNCTION("""COMPUTED_VALUE"""),"hyperu.challans.informatique@systeme-u.fr")</f>
        <v>hyperu.challans.informatique@systeme-u.fr</v>
      </c>
      <c r="L183" t="str">
        <f ca="1">IFERROR(__xludf.DUMMYFUNCTION("""COMPUTED_VALUE"""),"")</f>
        <v/>
      </c>
      <c r="M183" t="str">
        <f ca="1">IFERROR(__xludf.DUMMYFUNCTION("""COMPUTED_VALUE"""),"99.Hors Périmetre")</f>
        <v>99.Hors Périmetre</v>
      </c>
      <c r="N183" t="str">
        <f ca="1">IFERROR(__xludf.DUMMYFUNCTION("""COMPUTED_VALUE"""),"")</f>
        <v/>
      </c>
      <c r="O183" t="str">
        <f ca="1">IFERROR(__xludf.DUMMYFUNCTION("""COMPUTED_VALUE"""),"")</f>
        <v/>
      </c>
      <c r="P183" t="str">
        <f ca="1">IFERROR(__xludf.DUMMYFUNCTION("""COMPUTED_VALUE"""),"")</f>
        <v/>
      </c>
      <c r="Q183" s="5" t="str">
        <f ca="1">IFERROR(__xludf.DUMMYFUNCTION("""COMPUTED_VALUE"""),"")</f>
        <v/>
      </c>
      <c r="R183" s="6" t="str">
        <f ca="1">IFERROR(__xludf.DUMMYFUNCTION("""COMPUTED_VALUE"""),"")</f>
        <v/>
      </c>
      <c r="S183" t="str">
        <f ca="1">IFERROR(__xludf.DUMMYFUNCTION("""COMPUTED_VALUE"""),"")</f>
        <v/>
      </c>
      <c r="T183" t="str">
        <f ca="1">IFERROR(__xludf.DUMMYFUNCTION("""COMPUTED_VALUE"""),"")</f>
        <v/>
      </c>
      <c r="U183" t="str">
        <f ca="1">IFERROR(__xludf.DUMMYFUNCTION("""COMPUTED_VALUE"""),"")</f>
        <v/>
      </c>
      <c r="V183" t="str">
        <f ca="1">IFERROR(__xludf.DUMMYFUNCTION("""COMPUTED_VALUE"""),"")</f>
        <v/>
      </c>
      <c r="W183" t="str">
        <f ca="1">IFERROR(__xludf.DUMMYFUNCTION("""COMPUTED_VALUE"""),"")</f>
        <v/>
      </c>
      <c r="X183" t="str">
        <f ca="1">IFERROR(__xludf.DUMMYFUNCTION("""COMPUTED_VALUE"""),"")</f>
        <v/>
      </c>
      <c r="Y183" t="str">
        <f ca="1">IFERROR(__xludf.DUMMYFUNCTION("""COMPUTED_VALUE"""),"")</f>
        <v/>
      </c>
      <c r="Z183" t="str">
        <f ca="1">IFERROR(__xludf.DUMMYFUNCTION("""COMPUTED_VALUE"""),"")</f>
        <v/>
      </c>
      <c r="AA183" t="str">
        <f ca="1">IFERROR(__xludf.DUMMYFUNCTION("""COMPUTED_VALUE"""),"Pas de commande")</f>
        <v>Pas de commande</v>
      </c>
      <c r="AB183" s="8" t="str">
        <f ca="1">IFERROR(__xludf.DUMMYFUNCTION("""COMPUTED_VALUE"""),"")</f>
        <v/>
      </c>
      <c r="AC183" s="8" t="str">
        <f ca="1">IFERROR(__xludf.DUMMYFUNCTION("""COMPUTED_VALUE"""),"")</f>
        <v/>
      </c>
      <c r="AD183" s="11" t="str">
        <f ca="1">IFERROR(__xludf.DUMMYFUNCTION("""COMPUTED_VALUE"""),"")</f>
        <v/>
      </c>
      <c r="AE183" t="str">
        <f ca="1">IFERROR(__xludf.DUMMYFUNCTION("""COMPUTED_VALUE"""),"")</f>
        <v/>
      </c>
    </row>
    <row r="184" spans="1:31" ht="12.75" x14ac:dyDescent="0.2">
      <c r="A184">
        <f ca="1">IFERROR(__xludf.DUMMYFUNCTION("""COMPUTED_VALUE"""),38680)</f>
        <v>38680</v>
      </c>
      <c r="B184" t="str">
        <f ca="1">IFERROR(__xludf.DUMMYFUNCTION("""COMPUTED_VALUE"""),"CHALONNES-SUR-LOIRE")</f>
        <v>CHALONNES-SUR-LOIRE</v>
      </c>
      <c r="C184" t="str">
        <f ca="1">IFERROR(__xludf.DUMMYFUNCTION("""COMPUTED_VALUE"""),"Super U")</f>
        <v>Super U</v>
      </c>
      <c r="D184" t="str">
        <f ca="1">IFERROR(__xludf.DUMMYFUNCTION("""COMPUTED_VALUE"""),"Coop U Enseigne Ouest")</f>
        <v>Coop U Enseigne Ouest</v>
      </c>
      <c r="E184">
        <f ca="1">IFERROR(__xludf.DUMMYFUNCTION("""COMPUTED_VALUE"""),49290)</f>
        <v>49290</v>
      </c>
      <c r="F184" t="str">
        <f ca="1">IFERROR(__xludf.DUMMYFUNCTION("""COMPUTED_VALUE"""),"PLACE DU LAYON")</f>
        <v>PLACE DU LAYON</v>
      </c>
      <c r="G184" t="str">
        <f ca="1">IFERROR(__xludf.DUMMYFUNCTION("""COMPUTED_VALUE"""),"02.41.74.19.41")</f>
        <v>02.41.74.19.41</v>
      </c>
      <c r="H184" t="str">
        <f ca="1">IFERROR(__xludf.DUMMYFUNCTION("""COMPUTED_VALUE"""),"BIRON RPT SAS BIMOFI Evelyne")</f>
        <v>BIRON RPT SAS BIMOFI Evelyne</v>
      </c>
      <c r="I184" t="str">
        <f ca="1">IFERROR(__xludf.DUMMYFUNCTION("""COMPUTED_VALUE"""),"dominique.biron@systeme-u.fr")</f>
        <v>dominique.biron@systeme-u.fr</v>
      </c>
      <c r="J184" t="str">
        <f ca="1">IFERROR(__xludf.DUMMYFUNCTION("""COMPUTED_VALUE"""),"Godineau Isabelle ")</f>
        <v xml:space="preserve">Godineau Isabelle </v>
      </c>
      <c r="K184" t="str">
        <f ca="1">IFERROR(__xludf.DUMMYFUNCTION("""COMPUTED_VALUE"""),"isabelle.godineau@systeme-u.fr ")</f>
        <v xml:space="preserve">isabelle.godineau@systeme-u.fr </v>
      </c>
      <c r="L184" t="str">
        <f ca="1">IFERROR(__xludf.DUMMYFUNCTION("""COMPUTED_VALUE"""),"")</f>
        <v/>
      </c>
      <c r="M184" t="str">
        <f ca="1">IFERROR(__xludf.DUMMYFUNCTION("""COMPUTED_VALUE"""),"99.Hors Périmetre")</f>
        <v>99.Hors Périmetre</v>
      </c>
      <c r="N184" t="str">
        <f ca="1">IFERROR(__xludf.DUMMYFUNCTION("""COMPUTED_VALUE"""),"")</f>
        <v/>
      </c>
      <c r="O184" t="str">
        <f ca="1">IFERROR(__xludf.DUMMYFUNCTION("""COMPUTED_VALUE"""),"")</f>
        <v/>
      </c>
      <c r="P184" t="str">
        <f ca="1">IFERROR(__xludf.DUMMYFUNCTION("""COMPUTED_VALUE"""),"")</f>
        <v/>
      </c>
      <c r="Q184" s="5" t="str">
        <f ca="1">IFERROR(__xludf.DUMMYFUNCTION("""COMPUTED_VALUE"""),"")</f>
        <v/>
      </c>
      <c r="R184" s="6" t="str">
        <f ca="1">IFERROR(__xludf.DUMMYFUNCTION("""COMPUTED_VALUE"""),"")</f>
        <v/>
      </c>
      <c r="S184" t="str">
        <f ca="1">IFERROR(__xludf.DUMMYFUNCTION("""COMPUTED_VALUE"""),"")</f>
        <v/>
      </c>
      <c r="T184" t="str">
        <f ca="1">IFERROR(__xludf.DUMMYFUNCTION("""COMPUTED_VALUE"""),"")</f>
        <v/>
      </c>
      <c r="U184" t="str">
        <f ca="1">IFERROR(__xludf.DUMMYFUNCTION("""COMPUTED_VALUE"""),"")</f>
        <v/>
      </c>
      <c r="V184" t="str">
        <f ca="1">IFERROR(__xludf.DUMMYFUNCTION("""COMPUTED_VALUE"""),"")</f>
        <v/>
      </c>
      <c r="W184" t="str">
        <f ca="1">IFERROR(__xludf.DUMMYFUNCTION("""COMPUTED_VALUE"""),"")</f>
        <v/>
      </c>
      <c r="X184" t="str">
        <f ca="1">IFERROR(__xludf.DUMMYFUNCTION("""COMPUTED_VALUE"""),"")</f>
        <v/>
      </c>
      <c r="Y184" t="str">
        <f ca="1">IFERROR(__xludf.DUMMYFUNCTION("""COMPUTED_VALUE"""),"")</f>
        <v/>
      </c>
      <c r="Z184" t="str">
        <f ca="1">IFERROR(__xludf.DUMMYFUNCTION("""COMPUTED_VALUE"""),"")</f>
        <v/>
      </c>
      <c r="AA184" t="str">
        <f ca="1">IFERROR(__xludf.DUMMYFUNCTION("""COMPUTED_VALUE"""),"Pas de commande")</f>
        <v>Pas de commande</v>
      </c>
      <c r="AB184" s="8" t="str">
        <f ca="1">IFERROR(__xludf.DUMMYFUNCTION("""COMPUTED_VALUE"""),"")</f>
        <v/>
      </c>
      <c r="AC184" s="8" t="str">
        <f ca="1">IFERROR(__xludf.DUMMYFUNCTION("""COMPUTED_VALUE"""),"")</f>
        <v/>
      </c>
      <c r="AD184" s="11" t="str">
        <f ca="1">IFERROR(__xludf.DUMMYFUNCTION("""COMPUTED_VALUE"""),"")</f>
        <v/>
      </c>
      <c r="AE184" t="str">
        <f ca="1">IFERROR(__xludf.DUMMYFUNCTION("""COMPUTED_VALUE"""),"")</f>
        <v/>
      </c>
    </row>
    <row r="185" spans="1:31" ht="12.75" x14ac:dyDescent="0.2">
      <c r="A185">
        <f ca="1">IFERROR(__xludf.DUMMYFUNCTION("""COMPUTED_VALUE"""),66172)</f>
        <v>66172</v>
      </c>
      <c r="B185" t="str">
        <f ca="1">IFERROR(__xludf.DUMMYFUNCTION("""COMPUTED_VALUE"""),"CHAMBERY LE HAUT")</f>
        <v>CHAMBERY LE HAUT</v>
      </c>
      <c r="C185" t="str">
        <f ca="1">IFERROR(__xludf.DUMMYFUNCTION("""COMPUTED_VALUE"""),"Super U")</f>
        <v>Super U</v>
      </c>
      <c r="D185" t="str">
        <f ca="1">IFERROR(__xludf.DUMMYFUNCTION("""COMPUTED_VALUE"""),"Coop U Enseigne Est")</f>
        <v>Coop U Enseigne Est</v>
      </c>
      <c r="E185">
        <f ca="1">IFERROR(__xludf.DUMMYFUNCTION("""COMPUTED_VALUE"""),73000)</f>
        <v>73000</v>
      </c>
      <c r="F185" t="str">
        <f ca="1">IFERROR(__xludf.DUMMYFUNCTION("""COMPUTED_VALUE"""),"42 AVENUE D'ANNECY")</f>
        <v>42 AVENUE D'ANNECY</v>
      </c>
      <c r="G185" t="str">
        <f ca="1">IFERROR(__xludf.DUMMYFUNCTION("""COMPUTED_VALUE"""),"04.79.60.72.30")</f>
        <v>04.79.60.72.30</v>
      </c>
      <c r="H185" t="str">
        <f ca="1">IFERROR(__xludf.DUMMYFUNCTION("""COMPUTED_VALUE"""),"HERRERA Philippe")</f>
        <v>HERRERA Philippe</v>
      </c>
      <c r="I185" t="str">
        <f ca="1">IFERROR(__xludf.DUMMYFUNCTION("""COMPUTED_VALUE"""),"philippe.herrera@systeme-u.fr")</f>
        <v>philippe.herrera@systeme-u.fr</v>
      </c>
      <c r="J185" t="str">
        <f ca="1">IFERROR(__xludf.DUMMYFUNCTION("""COMPUTED_VALUE"""),"")</f>
        <v/>
      </c>
      <c r="K185" t="str">
        <f ca="1">IFERROR(__xludf.DUMMYFUNCTION("""COMPUTED_VALUE"""),"superu.chamberylehaut.direction@systeme-u.fr, jennifer.herrera@systeme-u.fr")</f>
        <v>superu.chamberylehaut.direction@systeme-u.fr, jennifer.herrera@systeme-u.fr</v>
      </c>
      <c r="L185" t="str">
        <f ca="1">IFERROR(__xludf.DUMMYFUNCTION("""COMPUTED_VALUE"""),"")</f>
        <v/>
      </c>
      <c r="M185" t="str">
        <f ca="1">IFERROR(__xludf.DUMMYFUNCTION("""COMPUTED_VALUE"""),"99.Hors Périmetre")</f>
        <v>99.Hors Périmetre</v>
      </c>
      <c r="N185" t="str">
        <f ca="1">IFERROR(__xludf.DUMMYFUNCTION("""COMPUTED_VALUE"""),"")</f>
        <v/>
      </c>
      <c r="O185" t="str">
        <f ca="1">IFERROR(__xludf.DUMMYFUNCTION("""COMPUTED_VALUE"""),"")</f>
        <v/>
      </c>
      <c r="P185" t="str">
        <f ca="1">IFERROR(__xludf.DUMMYFUNCTION("""COMPUTED_VALUE"""),"")</f>
        <v/>
      </c>
      <c r="Q185" s="5" t="str">
        <f ca="1">IFERROR(__xludf.DUMMYFUNCTION("""COMPUTED_VALUE"""),"")</f>
        <v/>
      </c>
      <c r="R185" s="6" t="str">
        <f ca="1">IFERROR(__xludf.DUMMYFUNCTION("""COMPUTED_VALUE"""),"")</f>
        <v/>
      </c>
      <c r="S185" t="str">
        <f ca="1">IFERROR(__xludf.DUMMYFUNCTION("""COMPUTED_VALUE"""),"")</f>
        <v/>
      </c>
      <c r="T185" t="str">
        <f ca="1">IFERROR(__xludf.DUMMYFUNCTION("""COMPUTED_VALUE"""),"")</f>
        <v/>
      </c>
      <c r="U185" t="str">
        <f ca="1">IFERROR(__xludf.DUMMYFUNCTION("""COMPUTED_VALUE"""),"")</f>
        <v/>
      </c>
      <c r="V185" t="str">
        <f ca="1">IFERROR(__xludf.DUMMYFUNCTION("""COMPUTED_VALUE"""),"")</f>
        <v/>
      </c>
      <c r="W185" t="str">
        <f ca="1">IFERROR(__xludf.DUMMYFUNCTION("""COMPUTED_VALUE"""),"")</f>
        <v/>
      </c>
      <c r="X185" t="str">
        <f ca="1">IFERROR(__xludf.DUMMYFUNCTION("""COMPUTED_VALUE"""),"")</f>
        <v/>
      </c>
      <c r="Y185" t="str">
        <f ca="1">IFERROR(__xludf.DUMMYFUNCTION("""COMPUTED_VALUE"""),"")</f>
        <v/>
      </c>
      <c r="Z185" t="str">
        <f ca="1">IFERROR(__xludf.DUMMYFUNCTION("""COMPUTED_VALUE"""),"")</f>
        <v/>
      </c>
      <c r="AA185" t="str">
        <f ca="1">IFERROR(__xludf.DUMMYFUNCTION("""COMPUTED_VALUE"""),"Pas de commande")</f>
        <v>Pas de commande</v>
      </c>
      <c r="AB185" s="8" t="str">
        <f ca="1">IFERROR(__xludf.DUMMYFUNCTION("""COMPUTED_VALUE"""),"")</f>
        <v/>
      </c>
      <c r="AC185" s="8" t="str">
        <f ca="1">IFERROR(__xludf.DUMMYFUNCTION("""COMPUTED_VALUE"""),"")</f>
        <v/>
      </c>
      <c r="AD185" s="11" t="str">
        <f ca="1">IFERROR(__xludf.DUMMYFUNCTION("""COMPUTED_VALUE"""),"")</f>
        <v/>
      </c>
      <c r="AE185" t="str">
        <f ca="1">IFERROR(__xludf.DUMMYFUNCTION("""COMPUTED_VALUE"""),"")</f>
        <v/>
      </c>
    </row>
    <row r="186" spans="1:31" ht="12.75" x14ac:dyDescent="0.2">
      <c r="A186">
        <f ca="1">IFERROR(__xludf.DUMMYFUNCTION("""COMPUTED_VALUE"""),66124)</f>
        <v>66124</v>
      </c>
      <c r="B186" t="str">
        <f ca="1">IFERROR(__xludf.DUMMYFUNCTION("""COMPUTED_VALUE"""),"CHAMONIX ARGENTIERE")</f>
        <v>CHAMONIX ARGENTIERE</v>
      </c>
      <c r="C186" t="str">
        <f ca="1">IFERROR(__xludf.DUMMYFUNCTION("""COMPUTED_VALUE"""),"Marché U")</f>
        <v>Marché U</v>
      </c>
      <c r="D186" t="str">
        <f ca="1">IFERROR(__xludf.DUMMYFUNCTION("""COMPUTED_VALUE"""),"Coop U Enseigne Est")</f>
        <v>Coop U Enseigne Est</v>
      </c>
      <c r="E186">
        <f ca="1">IFERROR(__xludf.DUMMYFUNCTION("""COMPUTED_VALUE"""),74400)</f>
        <v>74400</v>
      </c>
      <c r="F186" t="str">
        <f ca="1">IFERROR(__xludf.DUMMYFUNCTION("""COMPUTED_VALUE"""),"RUE CHARLET STRATTON")</f>
        <v>RUE CHARLET STRATTON</v>
      </c>
      <c r="G186" t="str">
        <f ca="1">IFERROR(__xludf.DUMMYFUNCTION("""COMPUTED_VALUE"""),"04.50.54.05.97")</f>
        <v>04.50.54.05.97</v>
      </c>
      <c r="H186" t="str">
        <f ca="1">IFERROR(__xludf.DUMMYFUNCTION("""COMPUTED_VALUE"""),"PAYOT PERTIN Henri")</f>
        <v>PAYOT PERTIN Henri</v>
      </c>
      <c r="I186" t="str">
        <f ca="1">IFERROR(__xludf.DUMMYFUNCTION("""COMPUTED_VALUE"""),"henri.payot-pertin@systeme-u.fr")</f>
        <v>henri.payot-pertin@systeme-u.fr</v>
      </c>
      <c r="J186" t="str">
        <f ca="1">IFERROR(__xludf.DUMMYFUNCTION("""COMPUTED_VALUE"""),"M. BAZ")</f>
        <v>M. BAZ</v>
      </c>
      <c r="K186" t="str">
        <f ca="1">IFERROR(__xludf.DUMMYFUNCTION("""COMPUTED_VALUE"""),"gaetanbaz.u@gmail.com")</f>
        <v>gaetanbaz.u@gmail.com</v>
      </c>
      <c r="L186" t="str">
        <f ca="1">IFERROR(__xludf.DUMMYFUNCTION("""COMPUTED_VALUE"""),"")</f>
        <v/>
      </c>
      <c r="M186" t="str">
        <f ca="1">IFERROR(__xludf.DUMMYFUNCTION("""COMPUTED_VALUE"""),"99.Hors Périmetre")</f>
        <v>99.Hors Périmetre</v>
      </c>
      <c r="N186" t="str">
        <f ca="1">IFERROR(__xludf.DUMMYFUNCTION("""COMPUTED_VALUE"""),"")</f>
        <v/>
      </c>
      <c r="O186" t="str">
        <f ca="1">IFERROR(__xludf.DUMMYFUNCTION("""COMPUTED_VALUE"""),"")</f>
        <v/>
      </c>
      <c r="P186" t="str">
        <f ca="1">IFERROR(__xludf.DUMMYFUNCTION("""COMPUTED_VALUE"""),"")</f>
        <v/>
      </c>
      <c r="Q186" s="5" t="str">
        <f ca="1">IFERROR(__xludf.DUMMYFUNCTION("""COMPUTED_VALUE"""),"")</f>
        <v/>
      </c>
      <c r="R186" s="6" t="str">
        <f ca="1">IFERROR(__xludf.DUMMYFUNCTION("""COMPUTED_VALUE"""),"")</f>
        <v/>
      </c>
      <c r="S186" t="str">
        <f ca="1">IFERROR(__xludf.DUMMYFUNCTION("""COMPUTED_VALUE"""),"")</f>
        <v/>
      </c>
      <c r="T186" t="str">
        <f ca="1">IFERROR(__xludf.DUMMYFUNCTION("""COMPUTED_VALUE"""),"")</f>
        <v/>
      </c>
      <c r="U186" t="str">
        <f ca="1">IFERROR(__xludf.DUMMYFUNCTION("""COMPUTED_VALUE"""),"")</f>
        <v/>
      </c>
      <c r="V186" t="str">
        <f ca="1">IFERROR(__xludf.DUMMYFUNCTION("""COMPUTED_VALUE"""),"")</f>
        <v/>
      </c>
      <c r="W186" t="str">
        <f ca="1">IFERROR(__xludf.DUMMYFUNCTION("""COMPUTED_VALUE"""),"")</f>
        <v/>
      </c>
      <c r="X186" t="str">
        <f ca="1">IFERROR(__xludf.DUMMYFUNCTION("""COMPUTED_VALUE"""),"")</f>
        <v/>
      </c>
      <c r="Y186" t="str">
        <f ca="1">IFERROR(__xludf.DUMMYFUNCTION("""COMPUTED_VALUE"""),"")</f>
        <v/>
      </c>
      <c r="Z186" t="str">
        <f ca="1">IFERROR(__xludf.DUMMYFUNCTION("""COMPUTED_VALUE"""),"")</f>
        <v/>
      </c>
      <c r="AA186" t="str">
        <f ca="1">IFERROR(__xludf.DUMMYFUNCTION("""COMPUTED_VALUE"""),"Pas de commande")</f>
        <v>Pas de commande</v>
      </c>
      <c r="AB186" s="8" t="str">
        <f ca="1">IFERROR(__xludf.DUMMYFUNCTION("""COMPUTED_VALUE"""),"")</f>
        <v/>
      </c>
      <c r="AC186" s="8" t="str">
        <f ca="1">IFERROR(__xludf.DUMMYFUNCTION("""COMPUTED_VALUE"""),"")</f>
        <v/>
      </c>
      <c r="AD186" s="11" t="str">
        <f ca="1">IFERROR(__xludf.DUMMYFUNCTION("""COMPUTED_VALUE"""),"")</f>
        <v/>
      </c>
      <c r="AE186" t="str">
        <f ca="1">IFERROR(__xludf.DUMMYFUNCTION("""COMPUTED_VALUE"""),"")</f>
        <v/>
      </c>
    </row>
    <row r="187" spans="1:31" ht="12.75" x14ac:dyDescent="0.2">
      <c r="A187">
        <f ca="1">IFERROR(__xludf.DUMMYFUNCTION("""COMPUTED_VALUE"""),66122)</f>
        <v>66122</v>
      </c>
      <c r="B187" t="str">
        <f ca="1">IFERROR(__xludf.DUMMYFUNCTION("""COMPUTED_VALUE"""),"CHAMONIX PELERINS")</f>
        <v>CHAMONIX PELERINS</v>
      </c>
      <c r="C187" t="str">
        <f ca="1">IFERROR(__xludf.DUMMYFUNCTION("""COMPUTED_VALUE"""),"U Express")</f>
        <v>U Express</v>
      </c>
      <c r="D187" t="str">
        <f ca="1">IFERROR(__xludf.DUMMYFUNCTION("""COMPUTED_VALUE"""),"Coop U Enseigne Est")</f>
        <v>Coop U Enseigne Est</v>
      </c>
      <c r="E187">
        <f ca="1">IFERROR(__xludf.DUMMYFUNCTION("""COMPUTED_VALUE"""),74400)</f>
        <v>74400</v>
      </c>
      <c r="F187" t="str">
        <f ca="1">IFERROR(__xludf.DUMMYFUNCTION("""COMPUTED_VALUE"""),"C.C.LES PÈLERINS")</f>
        <v>C.C.LES PÈLERINS</v>
      </c>
      <c r="G187" t="str">
        <f ca="1">IFERROR(__xludf.DUMMYFUNCTION("""COMPUTED_VALUE"""),"04.50.53.01.58")</f>
        <v>04.50.53.01.58</v>
      </c>
      <c r="H187" t="str">
        <f ca="1">IFERROR(__xludf.DUMMYFUNCTION("""COMPUTED_VALUE"""),"PAYOT PERTIN Henri")</f>
        <v>PAYOT PERTIN Henri</v>
      </c>
      <c r="I187" t="str">
        <f ca="1">IFERROR(__xludf.DUMMYFUNCTION("""COMPUTED_VALUE"""),"henri.payot-pertin@systeme-u.fr")</f>
        <v>henri.payot-pertin@systeme-u.fr</v>
      </c>
      <c r="J187" t="str">
        <f ca="1">IFERROR(__xludf.DUMMYFUNCTION("""COMPUTED_VALUE"""),"")</f>
        <v/>
      </c>
      <c r="K187" t="str">
        <f ca="1">IFERROR(__xludf.DUMMYFUNCTION("""COMPUTED_VALUE"""),"")</f>
        <v/>
      </c>
      <c r="L187" t="str">
        <f ca="1">IFERROR(__xludf.DUMMYFUNCTION("""COMPUTED_VALUE"""),"")</f>
        <v/>
      </c>
      <c r="M187" t="str">
        <f ca="1">IFERROR(__xludf.DUMMYFUNCTION("""COMPUTED_VALUE"""),"99.Hors Périmetre")</f>
        <v>99.Hors Périmetre</v>
      </c>
      <c r="N187" t="str">
        <f ca="1">IFERROR(__xludf.DUMMYFUNCTION("""COMPUTED_VALUE"""),"")</f>
        <v/>
      </c>
      <c r="O187" t="str">
        <f ca="1">IFERROR(__xludf.DUMMYFUNCTION("""COMPUTED_VALUE"""),"")</f>
        <v/>
      </c>
      <c r="P187" t="str">
        <f ca="1">IFERROR(__xludf.DUMMYFUNCTION("""COMPUTED_VALUE"""),"")</f>
        <v/>
      </c>
      <c r="Q187" s="5" t="str">
        <f ca="1">IFERROR(__xludf.DUMMYFUNCTION("""COMPUTED_VALUE"""),"")</f>
        <v/>
      </c>
      <c r="R187" s="6" t="str">
        <f ca="1">IFERROR(__xludf.DUMMYFUNCTION("""COMPUTED_VALUE"""),"")</f>
        <v/>
      </c>
      <c r="S187" t="str">
        <f ca="1">IFERROR(__xludf.DUMMYFUNCTION("""COMPUTED_VALUE"""),"")</f>
        <v/>
      </c>
      <c r="T187" t="str">
        <f ca="1">IFERROR(__xludf.DUMMYFUNCTION("""COMPUTED_VALUE"""),"")</f>
        <v/>
      </c>
      <c r="U187" t="str">
        <f ca="1">IFERROR(__xludf.DUMMYFUNCTION("""COMPUTED_VALUE"""),"")</f>
        <v/>
      </c>
      <c r="V187" t="str">
        <f ca="1">IFERROR(__xludf.DUMMYFUNCTION("""COMPUTED_VALUE"""),"")</f>
        <v/>
      </c>
      <c r="W187" t="str">
        <f ca="1">IFERROR(__xludf.DUMMYFUNCTION("""COMPUTED_VALUE"""),"")</f>
        <v/>
      </c>
      <c r="X187" t="str">
        <f ca="1">IFERROR(__xludf.DUMMYFUNCTION("""COMPUTED_VALUE"""),"")</f>
        <v/>
      </c>
      <c r="Y187" t="str">
        <f ca="1">IFERROR(__xludf.DUMMYFUNCTION("""COMPUTED_VALUE"""),"")</f>
        <v/>
      </c>
      <c r="Z187" t="str">
        <f ca="1">IFERROR(__xludf.DUMMYFUNCTION("""COMPUTED_VALUE"""),"")</f>
        <v/>
      </c>
      <c r="AA187" t="str">
        <f ca="1">IFERROR(__xludf.DUMMYFUNCTION("""COMPUTED_VALUE"""),"Pas de commande")</f>
        <v>Pas de commande</v>
      </c>
      <c r="AB187" s="8" t="str">
        <f ca="1">IFERROR(__xludf.DUMMYFUNCTION("""COMPUTED_VALUE"""),"")</f>
        <v/>
      </c>
      <c r="AC187" s="8" t="str">
        <f ca="1">IFERROR(__xludf.DUMMYFUNCTION("""COMPUTED_VALUE"""),"")</f>
        <v/>
      </c>
      <c r="AD187" s="11" t="str">
        <f ca="1">IFERROR(__xludf.DUMMYFUNCTION("""COMPUTED_VALUE"""),"")</f>
        <v/>
      </c>
      <c r="AE187" t="str">
        <f ca="1">IFERROR(__xludf.DUMMYFUNCTION("""COMPUTED_VALUE"""),"")</f>
        <v/>
      </c>
    </row>
    <row r="188" spans="1:31" ht="12.75" x14ac:dyDescent="0.2">
      <c r="A188">
        <f ca="1">IFERROR(__xludf.DUMMYFUNCTION("""COMPUTED_VALUE"""),66123)</f>
        <v>66123</v>
      </c>
      <c r="B188" t="str">
        <f ca="1">IFERROR(__xludf.DUMMYFUNCTION("""COMPUTED_VALUE"""),"CHAMONIX VALLOT")</f>
        <v>CHAMONIX VALLOT</v>
      </c>
      <c r="C188" t="str">
        <f ca="1">IFERROR(__xludf.DUMMYFUNCTION("""COMPUTED_VALUE"""),"Super U")</f>
        <v>Super U</v>
      </c>
      <c r="D188" t="str">
        <f ca="1">IFERROR(__xludf.DUMMYFUNCTION("""COMPUTED_VALUE"""),"Coop U Enseigne Est")</f>
        <v>Coop U Enseigne Est</v>
      </c>
      <c r="E188">
        <f ca="1">IFERROR(__xludf.DUMMYFUNCTION("""COMPUTED_VALUE"""),74400)</f>
        <v>74400</v>
      </c>
      <c r="F188" t="str">
        <f ca="1">IFERROR(__xludf.DUMMYFUNCTION("""COMPUTED_VALUE"""),"117 rue Joseph Vallot")</f>
        <v>117 rue Joseph Vallot</v>
      </c>
      <c r="G188" t="str">
        <f ca="1">IFERROR(__xludf.DUMMYFUNCTION("""COMPUTED_VALUE"""),"04.50.53.12.50")</f>
        <v>04.50.53.12.50</v>
      </c>
      <c r="H188" t="str">
        <f ca="1">IFERROR(__xludf.DUMMYFUNCTION("""COMPUTED_VALUE"""),"PAYOT PERTIN Henri")</f>
        <v>PAYOT PERTIN Henri</v>
      </c>
      <c r="I188" t="str">
        <f ca="1">IFERROR(__xludf.DUMMYFUNCTION("""COMPUTED_VALUE"""),"henri.payot-pertin@systeme-u.fr")</f>
        <v>henri.payot-pertin@systeme-u.fr</v>
      </c>
      <c r="J188" t="str">
        <f ca="1">IFERROR(__xludf.DUMMYFUNCTION("""COMPUTED_VALUE"""),"Mme COLLET")</f>
        <v>Mme COLLET</v>
      </c>
      <c r="K188" t="str">
        <f ca="1">IFERROR(__xludf.DUMMYFUNCTION("""COMPUTED_VALUE"""),"superu.chamonix@systeme-u.fr")</f>
        <v>superu.chamonix@systeme-u.fr</v>
      </c>
      <c r="L188" t="str">
        <f ca="1">IFERROR(__xludf.DUMMYFUNCTION("""COMPUTED_VALUE"""),"")</f>
        <v/>
      </c>
      <c r="M188" t="str">
        <f ca="1">IFERROR(__xludf.DUMMYFUNCTION("""COMPUTED_VALUE"""),"99.Hors Périmetre")</f>
        <v>99.Hors Périmetre</v>
      </c>
      <c r="N188" t="str">
        <f ca="1">IFERROR(__xludf.DUMMYFUNCTION("""COMPUTED_VALUE"""),"")</f>
        <v/>
      </c>
      <c r="O188" t="str">
        <f ca="1">IFERROR(__xludf.DUMMYFUNCTION("""COMPUTED_VALUE"""),"")</f>
        <v/>
      </c>
      <c r="P188" t="str">
        <f ca="1">IFERROR(__xludf.DUMMYFUNCTION("""COMPUTED_VALUE"""),"")</f>
        <v/>
      </c>
      <c r="Q188" s="5" t="str">
        <f ca="1">IFERROR(__xludf.DUMMYFUNCTION("""COMPUTED_VALUE"""),"")</f>
        <v/>
      </c>
      <c r="R188" s="6" t="str">
        <f ca="1">IFERROR(__xludf.DUMMYFUNCTION("""COMPUTED_VALUE"""),"")</f>
        <v/>
      </c>
      <c r="S188" t="str">
        <f ca="1">IFERROR(__xludf.DUMMYFUNCTION("""COMPUTED_VALUE"""),"")</f>
        <v/>
      </c>
      <c r="T188" t="str">
        <f ca="1">IFERROR(__xludf.DUMMYFUNCTION("""COMPUTED_VALUE"""),"")</f>
        <v/>
      </c>
      <c r="U188" t="str">
        <f ca="1">IFERROR(__xludf.DUMMYFUNCTION("""COMPUTED_VALUE"""),"")</f>
        <v/>
      </c>
      <c r="V188" t="str">
        <f ca="1">IFERROR(__xludf.DUMMYFUNCTION("""COMPUTED_VALUE"""),"")</f>
        <v/>
      </c>
      <c r="W188" t="str">
        <f ca="1">IFERROR(__xludf.DUMMYFUNCTION("""COMPUTED_VALUE"""),"")</f>
        <v/>
      </c>
      <c r="X188" t="str">
        <f ca="1">IFERROR(__xludf.DUMMYFUNCTION("""COMPUTED_VALUE"""),"")</f>
        <v/>
      </c>
      <c r="Y188" t="str">
        <f ca="1">IFERROR(__xludf.DUMMYFUNCTION("""COMPUTED_VALUE"""),"")</f>
        <v/>
      </c>
      <c r="Z188" t="str">
        <f ca="1">IFERROR(__xludf.DUMMYFUNCTION("""COMPUTED_VALUE"""),"")</f>
        <v/>
      </c>
      <c r="AA188" t="str">
        <f ca="1">IFERROR(__xludf.DUMMYFUNCTION("""COMPUTED_VALUE"""),"Pas de commande")</f>
        <v>Pas de commande</v>
      </c>
      <c r="AB188" s="8" t="str">
        <f ca="1">IFERROR(__xludf.DUMMYFUNCTION("""COMPUTED_VALUE"""),"")</f>
        <v/>
      </c>
      <c r="AC188" s="8" t="str">
        <f ca="1">IFERROR(__xludf.DUMMYFUNCTION("""COMPUTED_VALUE"""),"")</f>
        <v/>
      </c>
      <c r="AD188" s="11" t="str">
        <f ca="1">IFERROR(__xludf.DUMMYFUNCTION("""COMPUTED_VALUE"""),"")</f>
        <v/>
      </c>
      <c r="AE188" t="str">
        <f ca="1">IFERROR(__xludf.DUMMYFUNCTION("""COMPUTED_VALUE"""),"")</f>
        <v/>
      </c>
    </row>
    <row r="189" spans="1:31" ht="12.75" x14ac:dyDescent="0.2">
      <c r="A189">
        <f ca="1">IFERROR(__xludf.DUMMYFUNCTION("""COMPUTED_VALUE"""),62092)</f>
        <v>62092</v>
      </c>
      <c r="B189" t="str">
        <f ca="1">IFERROR(__xludf.DUMMYFUNCTION("""COMPUTED_VALUE"""),"CHAMPAGNOLE")</f>
        <v>CHAMPAGNOLE</v>
      </c>
      <c r="C189" t="str">
        <f ca="1">IFERROR(__xludf.DUMMYFUNCTION("""COMPUTED_VALUE"""),"Super U")</f>
        <v>Super U</v>
      </c>
      <c r="D189" t="str">
        <f ca="1">IFERROR(__xludf.DUMMYFUNCTION("""COMPUTED_VALUE"""),"Coop U Enseigne Est")</f>
        <v>Coop U Enseigne Est</v>
      </c>
      <c r="E189">
        <f ca="1">IFERROR(__xludf.DUMMYFUNCTION("""COMPUTED_VALUE"""),39300)</f>
        <v>39300</v>
      </c>
      <c r="F189" t="str">
        <f ca="1">IFERROR(__xludf.DUMMYFUNCTION("""COMPUTED_VALUE"""),"Rue du Village")</f>
        <v>Rue du Village</v>
      </c>
      <c r="G189" t="str">
        <f ca="1">IFERROR(__xludf.DUMMYFUNCTION("""COMPUTED_VALUE"""),"03.84.52.31.06")</f>
        <v>03.84.52.31.06</v>
      </c>
      <c r="H189" t="str">
        <f ca="1">IFERROR(__xludf.DUMMYFUNCTION("""COMPUTED_VALUE"""),"FUSARO Simone")</f>
        <v>FUSARO Simone</v>
      </c>
      <c r="I189" t="str">
        <f ca="1">IFERROR(__xludf.DUMMYFUNCTION("""COMPUTED_VALUE"""),"simone.fusaro@systeme-u.fr")</f>
        <v>simone.fusaro@systeme-u.fr</v>
      </c>
      <c r="J189" t="str">
        <f ca="1">IFERROR(__xludf.DUMMYFUNCTION("""COMPUTED_VALUE"""),"")</f>
        <v/>
      </c>
      <c r="K189" t="str">
        <f ca="1">IFERROR(__xludf.DUMMYFUNCTION("""COMPUTED_VALUE"""),"")</f>
        <v/>
      </c>
      <c r="L189" t="str">
        <f ca="1">IFERROR(__xludf.DUMMYFUNCTION("""COMPUTED_VALUE"""),"")</f>
        <v/>
      </c>
      <c r="M189" t="str">
        <f ca="1">IFERROR(__xludf.DUMMYFUNCTION("""COMPUTED_VALUE"""),"99.Hors Périmetre")</f>
        <v>99.Hors Périmetre</v>
      </c>
      <c r="N189" t="str">
        <f ca="1">IFERROR(__xludf.DUMMYFUNCTION("""COMPUTED_VALUE"""),"")</f>
        <v/>
      </c>
      <c r="O189" t="str">
        <f ca="1">IFERROR(__xludf.DUMMYFUNCTION("""COMPUTED_VALUE"""),"")</f>
        <v/>
      </c>
      <c r="P189" t="str">
        <f ca="1">IFERROR(__xludf.DUMMYFUNCTION("""COMPUTED_VALUE"""),"")</f>
        <v/>
      </c>
      <c r="Q189" s="5" t="str">
        <f ca="1">IFERROR(__xludf.DUMMYFUNCTION("""COMPUTED_VALUE"""),"")</f>
        <v/>
      </c>
      <c r="R189" s="6" t="str">
        <f ca="1">IFERROR(__xludf.DUMMYFUNCTION("""COMPUTED_VALUE"""),"")</f>
        <v/>
      </c>
      <c r="S189" t="str">
        <f ca="1">IFERROR(__xludf.DUMMYFUNCTION("""COMPUTED_VALUE"""),"")</f>
        <v/>
      </c>
      <c r="T189" t="str">
        <f ca="1">IFERROR(__xludf.DUMMYFUNCTION("""COMPUTED_VALUE"""),"")</f>
        <v/>
      </c>
      <c r="U189" t="str">
        <f ca="1">IFERROR(__xludf.DUMMYFUNCTION("""COMPUTED_VALUE"""),"")</f>
        <v/>
      </c>
      <c r="V189" t="str">
        <f ca="1">IFERROR(__xludf.DUMMYFUNCTION("""COMPUTED_VALUE"""),"")</f>
        <v/>
      </c>
      <c r="W189" t="str">
        <f ca="1">IFERROR(__xludf.DUMMYFUNCTION("""COMPUTED_VALUE"""),"")</f>
        <v/>
      </c>
      <c r="X189" t="str">
        <f ca="1">IFERROR(__xludf.DUMMYFUNCTION("""COMPUTED_VALUE"""),"")</f>
        <v/>
      </c>
      <c r="Y189" t="str">
        <f ca="1">IFERROR(__xludf.DUMMYFUNCTION("""COMPUTED_VALUE"""),"")</f>
        <v/>
      </c>
      <c r="Z189" t="str">
        <f ca="1">IFERROR(__xludf.DUMMYFUNCTION("""COMPUTED_VALUE"""),"")</f>
        <v/>
      </c>
      <c r="AA189" t="str">
        <f ca="1">IFERROR(__xludf.DUMMYFUNCTION("""COMPUTED_VALUE"""),"Pas de commande")</f>
        <v>Pas de commande</v>
      </c>
      <c r="AB189" s="8" t="str">
        <f ca="1">IFERROR(__xludf.DUMMYFUNCTION("""COMPUTED_VALUE"""),"")</f>
        <v/>
      </c>
      <c r="AC189" s="8" t="str">
        <f ca="1">IFERROR(__xludf.DUMMYFUNCTION("""COMPUTED_VALUE"""),"")</f>
        <v/>
      </c>
      <c r="AD189" s="11" t="str">
        <f ca="1">IFERROR(__xludf.DUMMYFUNCTION("""COMPUTED_VALUE"""),"")</f>
        <v/>
      </c>
      <c r="AE189" t="str">
        <f ca="1">IFERROR(__xludf.DUMMYFUNCTION("""COMPUTED_VALUE"""),"")</f>
        <v/>
      </c>
    </row>
    <row r="190" spans="1:31" ht="12.75" x14ac:dyDescent="0.2">
      <c r="A190">
        <f ca="1">IFERROR(__xludf.DUMMYFUNCTION("""COMPUTED_VALUE"""),33441)</f>
        <v>33441</v>
      </c>
      <c r="B190" t="str">
        <f ca="1">IFERROR(__xludf.DUMMYFUNCTION("""COMPUTED_VALUE"""),"CHAMPDENIERS")</f>
        <v>CHAMPDENIERS</v>
      </c>
      <c r="C190" t="str">
        <f ca="1">IFERROR(__xludf.DUMMYFUNCTION("""COMPUTED_VALUE"""),"Super U")</f>
        <v>Super U</v>
      </c>
      <c r="D190" t="str">
        <f ca="1">IFERROR(__xludf.DUMMYFUNCTION("""COMPUTED_VALUE"""),"Coop U Enseigne Ouest")</f>
        <v>Coop U Enseigne Ouest</v>
      </c>
      <c r="E190">
        <f ca="1">IFERROR(__xludf.DUMMYFUNCTION("""COMPUTED_VALUE"""),79220)</f>
        <v>79220</v>
      </c>
      <c r="F190" t="str">
        <f ca="1">IFERROR(__xludf.DUMMYFUNCTION("""COMPUTED_VALUE"""),"50, RUE DE LA GRANGE LUCAS")</f>
        <v>50, RUE DE LA GRANGE LUCAS</v>
      </c>
      <c r="G190" t="str">
        <f ca="1">IFERROR(__xludf.DUMMYFUNCTION("""COMPUTED_VALUE"""),"05.49.25.82.81")</f>
        <v>05.49.25.82.81</v>
      </c>
      <c r="H190" t="str">
        <f ca="1">IFERROR(__xludf.DUMMYFUNCTION("""COMPUTED_VALUE"""),"GAUTREAU RPT SAS ANGERA Raphaël")</f>
        <v>GAUTREAU RPT SAS ANGERA Raphaël</v>
      </c>
      <c r="I190" t="str">
        <f ca="1">IFERROR(__xludf.DUMMYFUNCTION("""COMPUTED_VALUE"""),"raphael.gautreau@systeme-u.fr")</f>
        <v>raphael.gautreau@systeme-u.fr</v>
      </c>
      <c r="J190" t="str">
        <f ca="1">IFERROR(__xludf.DUMMYFUNCTION("""COMPUTED_VALUE"""),"GIRARD Véronique")</f>
        <v>GIRARD Véronique</v>
      </c>
      <c r="K190" t="str">
        <f ca="1">IFERROR(__xludf.DUMMYFUNCTION("""COMPUTED_VALUE"""),"superu.champdeniers@systeme-u.fr")</f>
        <v>superu.champdeniers@systeme-u.fr</v>
      </c>
      <c r="L190" t="str">
        <f ca="1">IFERROR(__xludf.DUMMYFUNCTION("""COMPUTED_VALUE"""),"")</f>
        <v/>
      </c>
      <c r="M190" t="str">
        <f ca="1">IFERROR(__xludf.DUMMYFUNCTION("""COMPUTED_VALUE"""),"99.Hors Périmetre")</f>
        <v>99.Hors Périmetre</v>
      </c>
      <c r="N190" t="str">
        <f ca="1">IFERROR(__xludf.DUMMYFUNCTION("""COMPUTED_VALUE"""),"")</f>
        <v/>
      </c>
      <c r="O190" t="str">
        <f ca="1">IFERROR(__xludf.DUMMYFUNCTION("""COMPUTED_VALUE"""),"")</f>
        <v/>
      </c>
      <c r="P190" t="str">
        <f ca="1">IFERROR(__xludf.DUMMYFUNCTION("""COMPUTED_VALUE"""),"")</f>
        <v/>
      </c>
      <c r="Q190" s="5" t="str">
        <f ca="1">IFERROR(__xludf.DUMMYFUNCTION("""COMPUTED_VALUE"""),"")</f>
        <v/>
      </c>
      <c r="R190" s="6" t="str">
        <f ca="1">IFERROR(__xludf.DUMMYFUNCTION("""COMPUTED_VALUE"""),"")</f>
        <v/>
      </c>
      <c r="S190" t="str">
        <f ca="1">IFERROR(__xludf.DUMMYFUNCTION("""COMPUTED_VALUE"""),"")</f>
        <v/>
      </c>
      <c r="T190" t="str">
        <f ca="1">IFERROR(__xludf.DUMMYFUNCTION("""COMPUTED_VALUE"""),"")</f>
        <v/>
      </c>
      <c r="U190" t="str">
        <f ca="1">IFERROR(__xludf.DUMMYFUNCTION("""COMPUTED_VALUE"""),"")</f>
        <v/>
      </c>
      <c r="V190" t="str">
        <f ca="1">IFERROR(__xludf.DUMMYFUNCTION("""COMPUTED_VALUE"""),"")</f>
        <v/>
      </c>
      <c r="W190" t="str">
        <f ca="1">IFERROR(__xludf.DUMMYFUNCTION("""COMPUTED_VALUE"""),"")</f>
        <v/>
      </c>
      <c r="X190" t="str">
        <f ca="1">IFERROR(__xludf.DUMMYFUNCTION("""COMPUTED_VALUE"""),"")</f>
        <v/>
      </c>
      <c r="Y190" t="str">
        <f ca="1">IFERROR(__xludf.DUMMYFUNCTION("""COMPUTED_VALUE"""),"")</f>
        <v/>
      </c>
      <c r="Z190" t="str">
        <f ca="1">IFERROR(__xludf.DUMMYFUNCTION("""COMPUTED_VALUE"""),"")</f>
        <v/>
      </c>
      <c r="AA190" t="str">
        <f ca="1">IFERROR(__xludf.DUMMYFUNCTION("""COMPUTED_VALUE"""),"Pas de commande")</f>
        <v>Pas de commande</v>
      </c>
      <c r="AB190" s="8" t="str">
        <f ca="1">IFERROR(__xludf.DUMMYFUNCTION("""COMPUTED_VALUE"""),"")</f>
        <v/>
      </c>
      <c r="AC190" s="8" t="str">
        <f ca="1">IFERROR(__xludf.DUMMYFUNCTION("""COMPUTED_VALUE"""),"")</f>
        <v/>
      </c>
      <c r="AD190" s="11" t="str">
        <f ca="1">IFERROR(__xludf.DUMMYFUNCTION("""COMPUTED_VALUE"""),"")</f>
        <v/>
      </c>
      <c r="AE190" t="str">
        <f ca="1">IFERROR(__xludf.DUMMYFUNCTION("""COMPUTED_VALUE"""),"")</f>
        <v/>
      </c>
    </row>
    <row r="191" spans="1:31" ht="12.75" x14ac:dyDescent="0.2">
      <c r="A191">
        <f ca="1">IFERROR(__xludf.DUMMYFUNCTION("""COMPUTED_VALUE"""),37714)</f>
        <v>37714</v>
      </c>
      <c r="B191" t="str">
        <f ca="1">IFERROR(__xludf.DUMMYFUNCTION("""COMPUTED_VALUE"""),"CHAMPIGNE")</f>
        <v>CHAMPIGNE</v>
      </c>
      <c r="C191" t="str">
        <f ca="1">IFERROR(__xludf.DUMMYFUNCTION("""COMPUTED_VALUE"""),"U Express")</f>
        <v>U Express</v>
      </c>
      <c r="D191" t="str">
        <f ca="1">IFERROR(__xludf.DUMMYFUNCTION("""COMPUTED_VALUE"""),"Coop U Enseigne Ouest")</f>
        <v>Coop U Enseigne Ouest</v>
      </c>
      <c r="E191">
        <f ca="1">IFERROR(__xludf.DUMMYFUNCTION("""COMPUTED_VALUE"""),49330)</f>
        <v>49330</v>
      </c>
      <c r="F191" t="str">
        <f ca="1">IFERROR(__xludf.DUMMYFUNCTION("""COMPUTED_VALUE"""),"L'ARCHE DORÉE")</f>
        <v>L'ARCHE DORÉE</v>
      </c>
      <c r="G191" t="str">
        <f ca="1">IFERROR(__xludf.DUMMYFUNCTION("""COMPUTED_VALUE"""),"02.41.96.16.26")</f>
        <v>02.41.96.16.26</v>
      </c>
      <c r="H191" t="str">
        <f ca="1">IFERROR(__xludf.DUMMYFUNCTION("""COMPUTED_VALUE"""),"GRAZELIE RPT SARL PHILIOTENA Alban")</f>
        <v>GRAZELIE RPT SARL PHILIOTENA Alban</v>
      </c>
      <c r="I191" t="str">
        <f ca="1">IFERROR(__xludf.DUMMYFUNCTION("""COMPUTED_VALUE"""),"alban.grazelie@systeme-u.fr")</f>
        <v>alban.grazelie@systeme-u.fr</v>
      </c>
      <c r="J191" t="str">
        <f ca="1">IFERROR(__xludf.DUMMYFUNCTION("""COMPUTED_VALUE"""),"")</f>
        <v/>
      </c>
      <c r="K191" t="str">
        <f ca="1">IFERROR(__xludf.DUMMYFUNCTION("""COMPUTED_VALUE"""),"")</f>
        <v/>
      </c>
      <c r="L191" t="str">
        <f ca="1">IFERROR(__xludf.DUMMYFUNCTION("""COMPUTED_VALUE"""),"")</f>
        <v/>
      </c>
      <c r="M191" t="str">
        <f ca="1">IFERROR(__xludf.DUMMYFUNCTION("""COMPUTED_VALUE"""),"99.Hors Périmetre")</f>
        <v>99.Hors Périmetre</v>
      </c>
      <c r="N191" t="str">
        <f ca="1">IFERROR(__xludf.DUMMYFUNCTION("""COMPUTED_VALUE"""),"")</f>
        <v/>
      </c>
      <c r="O191" t="str">
        <f ca="1">IFERROR(__xludf.DUMMYFUNCTION("""COMPUTED_VALUE"""),"")</f>
        <v/>
      </c>
      <c r="P191" t="str">
        <f ca="1">IFERROR(__xludf.DUMMYFUNCTION("""COMPUTED_VALUE"""),"")</f>
        <v/>
      </c>
      <c r="Q191" s="5" t="str">
        <f ca="1">IFERROR(__xludf.DUMMYFUNCTION("""COMPUTED_VALUE"""),"")</f>
        <v/>
      </c>
      <c r="R191" s="6" t="str">
        <f ca="1">IFERROR(__xludf.DUMMYFUNCTION("""COMPUTED_VALUE"""),"")</f>
        <v/>
      </c>
      <c r="S191" t="str">
        <f ca="1">IFERROR(__xludf.DUMMYFUNCTION("""COMPUTED_VALUE"""),"")</f>
        <v/>
      </c>
      <c r="T191" t="str">
        <f ca="1">IFERROR(__xludf.DUMMYFUNCTION("""COMPUTED_VALUE"""),"")</f>
        <v/>
      </c>
      <c r="U191" t="str">
        <f ca="1">IFERROR(__xludf.DUMMYFUNCTION("""COMPUTED_VALUE"""),"")</f>
        <v/>
      </c>
      <c r="V191" t="str">
        <f ca="1">IFERROR(__xludf.DUMMYFUNCTION("""COMPUTED_VALUE"""),"")</f>
        <v/>
      </c>
      <c r="W191" t="str">
        <f ca="1">IFERROR(__xludf.DUMMYFUNCTION("""COMPUTED_VALUE"""),"")</f>
        <v/>
      </c>
      <c r="X191" t="str">
        <f ca="1">IFERROR(__xludf.DUMMYFUNCTION("""COMPUTED_VALUE"""),"")</f>
        <v/>
      </c>
      <c r="Y191" t="str">
        <f ca="1">IFERROR(__xludf.DUMMYFUNCTION("""COMPUTED_VALUE"""),"")</f>
        <v/>
      </c>
      <c r="Z191" t="str">
        <f ca="1">IFERROR(__xludf.DUMMYFUNCTION("""COMPUTED_VALUE"""),"")</f>
        <v/>
      </c>
      <c r="AA191" t="str">
        <f ca="1">IFERROR(__xludf.DUMMYFUNCTION("""COMPUTED_VALUE"""),"Pas de commande")</f>
        <v>Pas de commande</v>
      </c>
      <c r="AB191" s="8" t="str">
        <f ca="1">IFERROR(__xludf.DUMMYFUNCTION("""COMPUTED_VALUE"""),"")</f>
        <v/>
      </c>
      <c r="AC191" s="8" t="str">
        <f ca="1">IFERROR(__xludf.DUMMYFUNCTION("""COMPUTED_VALUE"""),"")</f>
        <v/>
      </c>
      <c r="AD191" s="11" t="str">
        <f ca="1">IFERROR(__xludf.DUMMYFUNCTION("""COMPUTED_VALUE"""),"")</f>
        <v/>
      </c>
      <c r="AE191" t="str">
        <f ca="1">IFERROR(__xludf.DUMMYFUNCTION("""COMPUTED_VALUE"""),"")</f>
        <v/>
      </c>
    </row>
    <row r="192" spans="1:31" ht="12.75" x14ac:dyDescent="0.2">
      <c r="A192">
        <f ca="1">IFERROR(__xludf.DUMMYFUNCTION("""COMPUTED_VALUE"""),34739)</f>
        <v>34739</v>
      </c>
      <c r="B192" t="str">
        <f ca="1">IFERROR(__xludf.DUMMYFUNCTION("""COMPUTED_VALUE"""),"CHANCEAUX-SUR-CHOISILLE")</f>
        <v>CHANCEAUX-SUR-CHOISILLE</v>
      </c>
      <c r="C192" t="str">
        <f ca="1">IFERROR(__xludf.DUMMYFUNCTION("""COMPUTED_VALUE"""),"Super U")</f>
        <v>Super U</v>
      </c>
      <c r="D192" t="str">
        <f ca="1">IFERROR(__xludf.DUMMYFUNCTION("""COMPUTED_VALUE"""),"Coop U Enseigne Ouest")</f>
        <v>Coop U Enseigne Ouest</v>
      </c>
      <c r="E192">
        <f ca="1">IFERROR(__xludf.DUMMYFUNCTION("""COMPUTED_VALUE"""),37390)</f>
        <v>37390</v>
      </c>
      <c r="F192" t="str">
        <f ca="1">IFERROR(__xludf.DUMMYFUNCTION("""COMPUTED_VALUE"""),"ZAC DE LA GRANDE PIECE")</f>
        <v>ZAC DE LA GRANDE PIECE</v>
      </c>
      <c r="G192" t="str">
        <f ca="1">IFERROR(__xludf.DUMMYFUNCTION("""COMPUTED_VALUE"""),"02.47.36.39.40")</f>
        <v>02.47.36.39.40</v>
      </c>
      <c r="H192" t="str">
        <f ca="1">IFERROR(__xludf.DUMMYFUNCTION("""COMPUTED_VALUE"""),"CARVALHO Victor")</f>
        <v>CARVALHO Victor</v>
      </c>
      <c r="I192" t="str">
        <f ca="1">IFERROR(__xludf.DUMMYFUNCTION("""COMPUTED_VALUE"""),"victor.carvalho@systeme-u.fr")</f>
        <v>victor.carvalho@systeme-u.fr</v>
      </c>
      <c r="J192" t="str">
        <f ca="1">IFERROR(__xludf.DUMMYFUNCTION("""COMPUTED_VALUE"""),"JARRY Céline")</f>
        <v>JARRY Céline</v>
      </c>
      <c r="K192" t="str">
        <f ca="1">IFERROR(__xludf.DUMMYFUNCTION("""COMPUTED_VALUE"""),"superu.chanceauxsurchoisille@systeme-u.fr")</f>
        <v>superu.chanceauxsurchoisille@systeme-u.fr</v>
      </c>
      <c r="L192" t="str">
        <f ca="1">IFERROR(__xludf.DUMMYFUNCTION("""COMPUTED_VALUE"""),"")</f>
        <v/>
      </c>
      <c r="M192" t="str">
        <f ca="1">IFERROR(__xludf.DUMMYFUNCTION("""COMPUTED_VALUE"""),"99.Hors Périmetre")</f>
        <v>99.Hors Périmetre</v>
      </c>
      <c r="N192" t="str">
        <f ca="1">IFERROR(__xludf.DUMMYFUNCTION("""COMPUTED_VALUE"""),"")</f>
        <v/>
      </c>
      <c r="O192" t="str">
        <f ca="1">IFERROR(__xludf.DUMMYFUNCTION("""COMPUTED_VALUE"""),"")</f>
        <v/>
      </c>
      <c r="P192" t="str">
        <f ca="1">IFERROR(__xludf.DUMMYFUNCTION("""COMPUTED_VALUE"""),"")</f>
        <v/>
      </c>
      <c r="Q192" s="5" t="str">
        <f ca="1">IFERROR(__xludf.DUMMYFUNCTION("""COMPUTED_VALUE"""),"")</f>
        <v/>
      </c>
      <c r="R192" s="6" t="str">
        <f ca="1">IFERROR(__xludf.DUMMYFUNCTION("""COMPUTED_VALUE"""),"")</f>
        <v/>
      </c>
      <c r="S192" t="str">
        <f ca="1">IFERROR(__xludf.DUMMYFUNCTION("""COMPUTED_VALUE"""),"")</f>
        <v/>
      </c>
      <c r="T192" t="str">
        <f ca="1">IFERROR(__xludf.DUMMYFUNCTION("""COMPUTED_VALUE"""),"")</f>
        <v/>
      </c>
      <c r="U192" t="str">
        <f ca="1">IFERROR(__xludf.DUMMYFUNCTION("""COMPUTED_VALUE"""),"")</f>
        <v/>
      </c>
      <c r="V192" t="str">
        <f ca="1">IFERROR(__xludf.DUMMYFUNCTION("""COMPUTED_VALUE"""),"")</f>
        <v/>
      </c>
      <c r="W192" t="str">
        <f ca="1">IFERROR(__xludf.DUMMYFUNCTION("""COMPUTED_VALUE"""),"")</f>
        <v/>
      </c>
      <c r="X192" t="str">
        <f ca="1">IFERROR(__xludf.DUMMYFUNCTION("""COMPUTED_VALUE"""),"")</f>
        <v/>
      </c>
      <c r="Y192" t="str">
        <f ca="1">IFERROR(__xludf.DUMMYFUNCTION("""COMPUTED_VALUE"""),"")</f>
        <v/>
      </c>
      <c r="Z192" t="str">
        <f ca="1">IFERROR(__xludf.DUMMYFUNCTION("""COMPUTED_VALUE"""),"")</f>
        <v/>
      </c>
      <c r="AA192" t="str">
        <f ca="1">IFERROR(__xludf.DUMMYFUNCTION("""COMPUTED_VALUE"""),"Pas de commande")</f>
        <v>Pas de commande</v>
      </c>
      <c r="AB192" s="8" t="str">
        <f ca="1">IFERROR(__xludf.DUMMYFUNCTION("""COMPUTED_VALUE"""),"")</f>
        <v/>
      </c>
      <c r="AC192" s="8" t="str">
        <f ca="1">IFERROR(__xludf.DUMMYFUNCTION("""COMPUTED_VALUE"""),"")</f>
        <v/>
      </c>
      <c r="AD192" s="11" t="str">
        <f ca="1">IFERROR(__xludf.DUMMYFUNCTION("""COMPUTED_VALUE"""),"")</f>
        <v/>
      </c>
      <c r="AE192" t="str">
        <f ca="1">IFERROR(__xludf.DUMMYFUNCTION("""COMPUTED_VALUE"""),"")</f>
        <v/>
      </c>
    </row>
    <row r="193" spans="1:31" ht="12.75" x14ac:dyDescent="0.2">
      <c r="A193">
        <f ca="1">IFERROR(__xludf.DUMMYFUNCTION("""COMPUTED_VALUE"""),30558)</f>
        <v>30558</v>
      </c>
      <c r="B193" t="str">
        <f ca="1">IFERROR(__xludf.DUMMYFUNCTION("""COMPUTED_VALUE"""),"CHANGE")</f>
        <v>CHANGE</v>
      </c>
      <c r="C193" t="str">
        <f ca="1">IFERROR(__xludf.DUMMYFUNCTION("""COMPUTED_VALUE"""),"Super U")</f>
        <v>Super U</v>
      </c>
      <c r="D193" t="str">
        <f ca="1">IFERROR(__xludf.DUMMYFUNCTION("""COMPUTED_VALUE"""),"Coop U Enseigne Ouest")</f>
        <v>Coop U Enseigne Ouest</v>
      </c>
      <c r="E193">
        <f ca="1">IFERROR(__xludf.DUMMYFUNCTION("""COMPUTED_VALUE"""),72560)</f>
        <v>72560</v>
      </c>
      <c r="F193" t="str">
        <f ca="1">IFERROR(__xludf.DUMMYFUNCTION("""COMPUTED_VALUE"""),"CENTRE DU GRAND PIN")</f>
        <v>CENTRE DU GRAND PIN</v>
      </c>
      <c r="G193" t="str">
        <f ca="1">IFERROR(__xludf.DUMMYFUNCTION("""COMPUTED_VALUE"""),"02.43.78.30.10")</f>
        <v>02.43.78.30.10</v>
      </c>
      <c r="H193" t="str">
        <f ca="1">IFERROR(__xludf.DUMMYFUNCTION("""COMPUTED_VALUE"""),"CARPENTIER RPT SC INVESTISSEME SAMUEL")</f>
        <v>CARPENTIER RPT SC INVESTISSEME SAMUEL</v>
      </c>
      <c r="I193" t="str">
        <f ca="1">IFERROR(__xludf.DUMMYFUNCTION("""COMPUTED_VALUE"""),"samuel.carpentier@systeme-u.fr")</f>
        <v>samuel.carpentier@systeme-u.fr</v>
      </c>
      <c r="J193" t="str">
        <f ca="1">IFERROR(__xludf.DUMMYFUNCTION("""COMPUTED_VALUE"""),"Aurore Guillet")</f>
        <v>Aurore Guillet</v>
      </c>
      <c r="K193" t="str">
        <f ca="1">IFERROR(__xludf.DUMMYFUNCTION("""COMPUTED_VALUE"""),"")</f>
        <v/>
      </c>
      <c r="L193" t="str">
        <f ca="1">IFERROR(__xludf.DUMMYFUNCTION("""COMPUTED_VALUE"""),"")</f>
        <v/>
      </c>
      <c r="M193" t="str">
        <f ca="1">IFERROR(__xludf.DUMMYFUNCTION("""COMPUTED_VALUE"""),"99.Hors Périmetre")</f>
        <v>99.Hors Périmetre</v>
      </c>
      <c r="N193" t="str">
        <f ca="1">IFERROR(__xludf.DUMMYFUNCTION("""COMPUTED_VALUE"""),"")</f>
        <v/>
      </c>
      <c r="O193" t="str">
        <f ca="1">IFERROR(__xludf.DUMMYFUNCTION("""COMPUTED_VALUE"""),"")</f>
        <v/>
      </c>
      <c r="P193" t="str">
        <f ca="1">IFERROR(__xludf.DUMMYFUNCTION("""COMPUTED_VALUE"""),"")</f>
        <v/>
      </c>
      <c r="Q193" s="5" t="str">
        <f ca="1">IFERROR(__xludf.DUMMYFUNCTION("""COMPUTED_VALUE"""),"")</f>
        <v/>
      </c>
      <c r="R193" s="6" t="str">
        <f ca="1">IFERROR(__xludf.DUMMYFUNCTION("""COMPUTED_VALUE"""),"")</f>
        <v/>
      </c>
      <c r="S193" t="str">
        <f ca="1">IFERROR(__xludf.DUMMYFUNCTION("""COMPUTED_VALUE"""),"")</f>
        <v/>
      </c>
      <c r="T193" t="str">
        <f ca="1">IFERROR(__xludf.DUMMYFUNCTION("""COMPUTED_VALUE"""),"")</f>
        <v/>
      </c>
      <c r="U193" t="str">
        <f ca="1">IFERROR(__xludf.DUMMYFUNCTION("""COMPUTED_VALUE"""),"")</f>
        <v/>
      </c>
      <c r="V193" t="str">
        <f ca="1">IFERROR(__xludf.DUMMYFUNCTION("""COMPUTED_VALUE"""),"")</f>
        <v/>
      </c>
      <c r="W193" t="str">
        <f ca="1">IFERROR(__xludf.DUMMYFUNCTION("""COMPUTED_VALUE"""),"")</f>
        <v/>
      </c>
      <c r="X193" t="str">
        <f ca="1">IFERROR(__xludf.DUMMYFUNCTION("""COMPUTED_VALUE"""),"")</f>
        <v/>
      </c>
      <c r="Y193" t="str">
        <f ca="1">IFERROR(__xludf.DUMMYFUNCTION("""COMPUTED_VALUE"""),"")</f>
        <v/>
      </c>
      <c r="Z193" t="str">
        <f ca="1">IFERROR(__xludf.DUMMYFUNCTION("""COMPUTED_VALUE"""),"")</f>
        <v/>
      </c>
      <c r="AA193" t="str">
        <f ca="1">IFERROR(__xludf.DUMMYFUNCTION("""COMPUTED_VALUE"""),"Pas de commande")</f>
        <v>Pas de commande</v>
      </c>
      <c r="AB193" s="8" t="str">
        <f ca="1">IFERROR(__xludf.DUMMYFUNCTION("""COMPUTED_VALUE"""),"")</f>
        <v/>
      </c>
      <c r="AC193" s="8" t="str">
        <f ca="1">IFERROR(__xludf.DUMMYFUNCTION("""COMPUTED_VALUE"""),"")</f>
        <v/>
      </c>
      <c r="AD193" s="11" t="str">
        <f ca="1">IFERROR(__xludf.DUMMYFUNCTION("""COMPUTED_VALUE"""),"")</f>
        <v/>
      </c>
      <c r="AE193" t="str">
        <f ca="1">IFERROR(__xludf.DUMMYFUNCTION("""COMPUTED_VALUE"""),"")</f>
        <v/>
      </c>
    </row>
    <row r="194" spans="1:31" ht="12.75" x14ac:dyDescent="0.2">
      <c r="A194">
        <f ca="1">IFERROR(__xludf.DUMMYFUNCTION("""COMPUTED_VALUE"""),30825)</f>
        <v>30825</v>
      </c>
      <c r="B194" t="str">
        <f ca="1">IFERROR(__xludf.DUMMYFUNCTION("""COMPUTED_VALUE"""),"CHANTONNAY")</f>
        <v>CHANTONNAY</v>
      </c>
      <c r="C194" t="str">
        <f ca="1">IFERROR(__xludf.DUMMYFUNCTION("""COMPUTED_VALUE"""),"Hyper U")</f>
        <v>Hyper U</v>
      </c>
      <c r="D194" t="str">
        <f ca="1">IFERROR(__xludf.DUMMYFUNCTION("""COMPUTED_VALUE"""),"Coop U Enseigne Ouest")</f>
        <v>Coop U Enseigne Ouest</v>
      </c>
      <c r="E194">
        <f ca="1">IFERROR(__xludf.DUMMYFUNCTION("""COMPUTED_VALUE"""),85110)</f>
        <v>85110</v>
      </c>
      <c r="F194" t="str">
        <f ca="1">IFERROR(__xludf.DUMMYFUNCTION("""COMPUTED_VALUE"""),"45 AVENUE GEORGES CLÉMENCEAU")</f>
        <v>45 AVENUE GEORGES CLÉMENCEAU</v>
      </c>
      <c r="G194" t="str">
        <f ca="1">IFERROR(__xludf.DUMMYFUNCTION("""COMPUTED_VALUE"""),"02.51.09.09.09")</f>
        <v>02.51.09.09.09</v>
      </c>
      <c r="H194" t="str">
        <f ca="1">IFERROR(__xludf.DUMMYFUNCTION("""COMPUTED_VALUE"""),"PUAUD Herve")</f>
        <v>PUAUD Herve</v>
      </c>
      <c r="I194" t="str">
        <f ca="1">IFERROR(__xludf.DUMMYFUNCTION("""COMPUTED_VALUE"""),"herve.puaud@systeme-u.fr")</f>
        <v>herve.puaud@systeme-u.fr</v>
      </c>
      <c r="J194" t="str">
        <f ca="1">IFERROR(__xludf.DUMMYFUNCTION("""COMPUTED_VALUE"""),"BREMAND SANDRINE")</f>
        <v>BREMAND SANDRINE</v>
      </c>
      <c r="K194" t="str">
        <f ca="1">IFERROR(__xludf.DUMMYFUNCTION("""COMPUTED_VALUE"""),"hyperu.chantonnay.gescom@systeme-u.fr")</f>
        <v>hyperu.chantonnay.gescom@systeme-u.fr</v>
      </c>
      <c r="L194" t="str">
        <f ca="1">IFERROR(__xludf.DUMMYFUNCTION("""COMPUTED_VALUE"""),"")</f>
        <v/>
      </c>
      <c r="M194" t="str">
        <f ca="1">IFERROR(__xludf.DUMMYFUNCTION("""COMPUTED_VALUE"""),"99.Hors Périmetre")</f>
        <v>99.Hors Périmetre</v>
      </c>
      <c r="N194" t="str">
        <f ca="1">IFERROR(__xludf.DUMMYFUNCTION("""COMPUTED_VALUE"""),"")</f>
        <v/>
      </c>
      <c r="O194" t="str">
        <f ca="1">IFERROR(__xludf.DUMMYFUNCTION("""COMPUTED_VALUE"""),"")</f>
        <v/>
      </c>
      <c r="P194" t="str">
        <f ca="1">IFERROR(__xludf.DUMMYFUNCTION("""COMPUTED_VALUE"""),"")</f>
        <v/>
      </c>
      <c r="Q194" s="5" t="str">
        <f ca="1">IFERROR(__xludf.DUMMYFUNCTION("""COMPUTED_VALUE"""),"")</f>
        <v/>
      </c>
      <c r="R194" s="6" t="str">
        <f ca="1">IFERROR(__xludf.DUMMYFUNCTION("""COMPUTED_VALUE"""),"")</f>
        <v/>
      </c>
      <c r="S194" t="str">
        <f ca="1">IFERROR(__xludf.DUMMYFUNCTION("""COMPUTED_VALUE"""),"")</f>
        <v/>
      </c>
      <c r="T194" t="str">
        <f ca="1">IFERROR(__xludf.DUMMYFUNCTION("""COMPUTED_VALUE"""),"")</f>
        <v/>
      </c>
      <c r="U194" t="str">
        <f ca="1">IFERROR(__xludf.DUMMYFUNCTION("""COMPUTED_VALUE"""),"")</f>
        <v/>
      </c>
      <c r="V194" t="str">
        <f ca="1">IFERROR(__xludf.DUMMYFUNCTION("""COMPUTED_VALUE"""),"")</f>
        <v/>
      </c>
      <c r="W194" t="str">
        <f ca="1">IFERROR(__xludf.DUMMYFUNCTION("""COMPUTED_VALUE"""),"")</f>
        <v/>
      </c>
      <c r="X194" t="str">
        <f ca="1">IFERROR(__xludf.DUMMYFUNCTION("""COMPUTED_VALUE"""),"")</f>
        <v/>
      </c>
      <c r="Y194" t="str">
        <f ca="1">IFERROR(__xludf.DUMMYFUNCTION("""COMPUTED_VALUE"""),"")</f>
        <v/>
      </c>
      <c r="Z194" t="str">
        <f ca="1">IFERROR(__xludf.DUMMYFUNCTION("""COMPUTED_VALUE"""),"")</f>
        <v/>
      </c>
      <c r="AA194" t="str">
        <f ca="1">IFERROR(__xludf.DUMMYFUNCTION("""COMPUTED_VALUE"""),"Pas de commande")</f>
        <v>Pas de commande</v>
      </c>
      <c r="AB194" s="8" t="str">
        <f ca="1">IFERROR(__xludf.DUMMYFUNCTION("""COMPUTED_VALUE"""),"")</f>
        <v/>
      </c>
      <c r="AC194" s="8" t="str">
        <f ca="1">IFERROR(__xludf.DUMMYFUNCTION("""COMPUTED_VALUE"""),"")</f>
        <v/>
      </c>
      <c r="AD194" s="11" t="str">
        <f ca="1">IFERROR(__xludf.DUMMYFUNCTION("""COMPUTED_VALUE"""),"")</f>
        <v/>
      </c>
      <c r="AE194" t="str">
        <f ca="1">IFERROR(__xludf.DUMMYFUNCTION("""COMPUTED_VALUE"""),"")</f>
        <v/>
      </c>
    </row>
    <row r="195" spans="1:31" ht="12.75" x14ac:dyDescent="0.2">
      <c r="A195">
        <f ca="1">IFERROR(__xludf.DUMMYFUNCTION("""COMPUTED_VALUE"""),21929)</f>
        <v>21929</v>
      </c>
      <c r="B195" t="str">
        <f ca="1">IFERROR(__xludf.DUMMYFUNCTION("""COMPUTED_VALUE"""),"CHARLY SUR MARNE")</f>
        <v>CHARLY SUR MARNE</v>
      </c>
      <c r="C195" t="str">
        <f ca="1">IFERROR(__xludf.DUMMYFUNCTION("""COMPUTED_VALUE"""),"Super U")</f>
        <v>Super U</v>
      </c>
      <c r="D195" t="str">
        <f ca="1">IFERROR(__xludf.DUMMYFUNCTION("""COMPUTED_VALUE"""),"Coop U Enseigne NordOuest")</f>
        <v>Coop U Enseigne NordOuest</v>
      </c>
      <c r="E195">
        <f ca="1">IFERROR(__xludf.DUMMYFUNCTION("""COMPUTED_VALUE"""),2310)</f>
        <v>2310</v>
      </c>
      <c r="F195" t="str">
        <f ca="1">IFERROR(__xludf.DUMMYFUNCTION("""COMPUTED_VALUE"""),"ROUTE DE PAVANT")</f>
        <v>ROUTE DE PAVANT</v>
      </c>
      <c r="G195" t="str">
        <f ca="1">IFERROR(__xludf.DUMMYFUNCTION("""COMPUTED_VALUE"""),"03.23.82.02.36")</f>
        <v>03.23.82.02.36</v>
      </c>
      <c r="H195" t="str">
        <f ca="1">IFERROR(__xludf.DUMMYFUNCTION("""COMPUTED_VALUE"""),"OLIVIER Jean-Roch")</f>
        <v>OLIVIER Jean-Roch</v>
      </c>
      <c r="I195" t="str">
        <f ca="1">IFERROR(__xludf.DUMMYFUNCTION("""COMPUTED_VALUE"""),"jean-roch.olivier@systeme-u.fr")</f>
        <v>jean-roch.olivier@systeme-u.fr</v>
      </c>
      <c r="J195" t="str">
        <f ca="1">IFERROR(__xludf.DUMMYFUNCTION("""COMPUTED_VALUE"""),"M. Boinard")</f>
        <v>M. Boinard</v>
      </c>
      <c r="K195" t="str">
        <f ca="1">IFERROR(__xludf.DUMMYFUNCTION("""COMPUTED_VALUE"""),"superu.charlysurmarne@systeme-u.fr ")</f>
        <v xml:space="preserve">superu.charlysurmarne@systeme-u.fr </v>
      </c>
      <c r="L195" t="str">
        <f ca="1">IFERROR(__xludf.DUMMYFUNCTION("""COMPUTED_VALUE"""),"")</f>
        <v/>
      </c>
      <c r="M195" t="str">
        <f ca="1">IFERROR(__xludf.DUMMYFUNCTION("""COMPUTED_VALUE"""),"99.Hors Périmetre")</f>
        <v>99.Hors Périmetre</v>
      </c>
      <c r="N195" t="str">
        <f ca="1">IFERROR(__xludf.DUMMYFUNCTION("""COMPUTED_VALUE"""),"")</f>
        <v/>
      </c>
      <c r="O195" t="str">
        <f ca="1">IFERROR(__xludf.DUMMYFUNCTION("""COMPUTED_VALUE"""),"")</f>
        <v/>
      </c>
      <c r="P195" t="str">
        <f ca="1">IFERROR(__xludf.DUMMYFUNCTION("""COMPUTED_VALUE"""),"")</f>
        <v/>
      </c>
      <c r="Q195" s="5" t="str">
        <f ca="1">IFERROR(__xludf.DUMMYFUNCTION("""COMPUTED_VALUE"""),"")</f>
        <v/>
      </c>
      <c r="R195" s="6" t="str">
        <f ca="1">IFERROR(__xludf.DUMMYFUNCTION("""COMPUTED_VALUE"""),"")</f>
        <v/>
      </c>
      <c r="S195" t="str">
        <f ca="1">IFERROR(__xludf.DUMMYFUNCTION("""COMPUTED_VALUE"""),"")</f>
        <v/>
      </c>
      <c r="T195" t="str">
        <f ca="1">IFERROR(__xludf.DUMMYFUNCTION("""COMPUTED_VALUE"""),"")</f>
        <v/>
      </c>
      <c r="U195" t="str">
        <f ca="1">IFERROR(__xludf.DUMMYFUNCTION("""COMPUTED_VALUE"""),"")</f>
        <v/>
      </c>
      <c r="V195" t="str">
        <f ca="1">IFERROR(__xludf.DUMMYFUNCTION("""COMPUTED_VALUE"""),"")</f>
        <v/>
      </c>
      <c r="W195" t="str">
        <f ca="1">IFERROR(__xludf.DUMMYFUNCTION("""COMPUTED_VALUE"""),"")</f>
        <v/>
      </c>
      <c r="X195" t="str">
        <f ca="1">IFERROR(__xludf.DUMMYFUNCTION("""COMPUTED_VALUE"""),"")</f>
        <v/>
      </c>
      <c r="Y195" t="str">
        <f ca="1">IFERROR(__xludf.DUMMYFUNCTION("""COMPUTED_VALUE"""),"")</f>
        <v/>
      </c>
      <c r="Z195" t="str">
        <f ca="1">IFERROR(__xludf.DUMMYFUNCTION("""COMPUTED_VALUE"""),"")</f>
        <v/>
      </c>
      <c r="AA195" t="str">
        <f ca="1">IFERROR(__xludf.DUMMYFUNCTION("""COMPUTED_VALUE"""),"Pas de commande")</f>
        <v>Pas de commande</v>
      </c>
      <c r="AB195" s="8" t="str">
        <f ca="1">IFERROR(__xludf.DUMMYFUNCTION("""COMPUTED_VALUE"""),"")</f>
        <v/>
      </c>
      <c r="AC195" s="8" t="str">
        <f ca="1">IFERROR(__xludf.DUMMYFUNCTION("""COMPUTED_VALUE"""),"")</f>
        <v/>
      </c>
      <c r="AD195" s="11" t="str">
        <f ca="1">IFERROR(__xludf.DUMMYFUNCTION("""COMPUTED_VALUE"""),"")</f>
        <v/>
      </c>
      <c r="AE195" t="str">
        <f ca="1">IFERROR(__xludf.DUMMYFUNCTION("""COMPUTED_VALUE"""),"")</f>
        <v/>
      </c>
    </row>
    <row r="196" spans="1:31" ht="12.75" x14ac:dyDescent="0.2">
      <c r="A196">
        <f ca="1">IFERROR(__xludf.DUMMYFUNCTION("""COMPUTED_VALUE"""),32399)</f>
        <v>32399</v>
      </c>
      <c r="B196" t="str">
        <f ca="1">IFERROR(__xludf.DUMMYFUNCTION("""COMPUTED_VALUE"""),"CHATEAU-D'OLONNE")</f>
        <v>CHATEAU-D'OLONNE</v>
      </c>
      <c r="C196" t="str">
        <f ca="1">IFERROR(__xludf.DUMMYFUNCTION("""COMPUTED_VALUE"""),"U Express")</f>
        <v>U Express</v>
      </c>
      <c r="D196" t="str">
        <f ca="1">IFERROR(__xludf.DUMMYFUNCTION("""COMPUTED_VALUE"""),"Coop U Enseigne Ouest")</f>
        <v>Coop U Enseigne Ouest</v>
      </c>
      <c r="E196">
        <f ca="1">IFERROR(__xludf.DUMMYFUNCTION("""COMPUTED_VALUE"""),85180)</f>
        <v>85180</v>
      </c>
      <c r="F196" t="str">
        <f ca="1">IFERROR(__xludf.DUMMYFUNCTION("""COMPUTED_VALUE"""),"84, RUE DU DR SCHWEITZER")</f>
        <v>84, RUE DU DR SCHWEITZER</v>
      </c>
      <c r="G196" t="str">
        <f ca="1">IFERROR(__xludf.DUMMYFUNCTION("""COMPUTED_VALUE"""),"02.51.32.46.84")</f>
        <v>02.51.32.46.84</v>
      </c>
      <c r="H196" t="str">
        <f ca="1">IFERROR(__xludf.DUMMYFUNCTION("""COMPUTED_VALUE"""),"LEGOFF Olivier")</f>
        <v>LEGOFF Olivier</v>
      </c>
      <c r="I196" t="str">
        <f ca="1">IFERROR(__xludf.DUMMYFUNCTION("""COMPUTED_VALUE"""),"olivier.legoff@systeme-u.fr")</f>
        <v>olivier.legoff@systeme-u.fr</v>
      </c>
      <c r="J196" t="str">
        <f ca="1">IFERROR(__xludf.DUMMYFUNCTION("""COMPUTED_VALUE"""),"QUENTIN Frédérique")</f>
        <v>QUENTIN Frédérique</v>
      </c>
      <c r="K196" t="str">
        <f ca="1">IFERROR(__xludf.DUMMYFUNCTION("""COMPUTED_VALUE"""),"uexpress.chateaudolonne@systeme-u.fr")</f>
        <v>uexpress.chateaudolonne@systeme-u.fr</v>
      </c>
      <c r="L196" t="str">
        <f ca="1">IFERROR(__xludf.DUMMYFUNCTION("""COMPUTED_VALUE"""),"")</f>
        <v/>
      </c>
      <c r="M196" t="str">
        <f ca="1">IFERROR(__xludf.DUMMYFUNCTION("""COMPUTED_VALUE"""),"99.Hors Périmetre")</f>
        <v>99.Hors Périmetre</v>
      </c>
      <c r="N196" t="str">
        <f ca="1">IFERROR(__xludf.DUMMYFUNCTION("""COMPUTED_VALUE"""),"")</f>
        <v/>
      </c>
      <c r="O196" t="str">
        <f ca="1">IFERROR(__xludf.DUMMYFUNCTION("""COMPUTED_VALUE"""),"")</f>
        <v/>
      </c>
      <c r="P196" t="str">
        <f ca="1">IFERROR(__xludf.DUMMYFUNCTION("""COMPUTED_VALUE"""),"")</f>
        <v/>
      </c>
      <c r="Q196" s="5" t="str">
        <f ca="1">IFERROR(__xludf.DUMMYFUNCTION("""COMPUTED_VALUE"""),"")</f>
        <v/>
      </c>
      <c r="R196" s="6" t="str">
        <f ca="1">IFERROR(__xludf.DUMMYFUNCTION("""COMPUTED_VALUE"""),"")</f>
        <v/>
      </c>
      <c r="S196" t="str">
        <f ca="1">IFERROR(__xludf.DUMMYFUNCTION("""COMPUTED_VALUE"""),"")</f>
        <v/>
      </c>
      <c r="T196" t="str">
        <f ca="1">IFERROR(__xludf.DUMMYFUNCTION("""COMPUTED_VALUE"""),"")</f>
        <v/>
      </c>
      <c r="U196" t="str">
        <f ca="1">IFERROR(__xludf.DUMMYFUNCTION("""COMPUTED_VALUE"""),"")</f>
        <v/>
      </c>
      <c r="V196" t="str">
        <f ca="1">IFERROR(__xludf.DUMMYFUNCTION("""COMPUTED_VALUE"""),"")</f>
        <v/>
      </c>
      <c r="W196" t="str">
        <f ca="1">IFERROR(__xludf.DUMMYFUNCTION("""COMPUTED_VALUE"""),"")</f>
        <v/>
      </c>
      <c r="X196" t="str">
        <f ca="1">IFERROR(__xludf.DUMMYFUNCTION("""COMPUTED_VALUE"""),"")</f>
        <v/>
      </c>
      <c r="Y196" t="str">
        <f ca="1">IFERROR(__xludf.DUMMYFUNCTION("""COMPUTED_VALUE"""),"")</f>
        <v/>
      </c>
      <c r="Z196" t="str">
        <f ca="1">IFERROR(__xludf.DUMMYFUNCTION("""COMPUTED_VALUE"""),"")</f>
        <v/>
      </c>
      <c r="AA196" t="str">
        <f ca="1">IFERROR(__xludf.DUMMYFUNCTION("""COMPUTED_VALUE"""),"Pas de commande")</f>
        <v>Pas de commande</v>
      </c>
      <c r="AB196" s="8" t="str">
        <f ca="1">IFERROR(__xludf.DUMMYFUNCTION("""COMPUTED_VALUE"""),"")</f>
        <v/>
      </c>
      <c r="AC196" s="8" t="str">
        <f ca="1">IFERROR(__xludf.DUMMYFUNCTION("""COMPUTED_VALUE"""),"")</f>
        <v/>
      </c>
      <c r="AD196" s="11" t="str">
        <f ca="1">IFERROR(__xludf.DUMMYFUNCTION("""COMPUTED_VALUE"""),"")</f>
        <v/>
      </c>
      <c r="AE196" t="str">
        <f ca="1">IFERROR(__xludf.DUMMYFUNCTION("""COMPUTED_VALUE"""),"")</f>
        <v/>
      </c>
    </row>
    <row r="197" spans="1:31" ht="12.75" x14ac:dyDescent="0.2">
      <c r="A197">
        <f ca="1">IFERROR(__xludf.DUMMYFUNCTION("""COMPUTED_VALUE"""),33387)</f>
        <v>33387</v>
      </c>
      <c r="B197" t="str">
        <f ca="1">IFERROR(__xludf.DUMMYFUNCTION("""COMPUTED_VALUE"""),"CHATEAU-LA VALLIERE")</f>
        <v>CHATEAU-LA VALLIERE</v>
      </c>
      <c r="C197" t="str">
        <f ca="1">IFERROR(__xludf.DUMMYFUNCTION("""COMPUTED_VALUE"""),"Super U")</f>
        <v>Super U</v>
      </c>
      <c r="D197" t="str">
        <f ca="1">IFERROR(__xludf.DUMMYFUNCTION("""COMPUTED_VALUE"""),"Coop U Enseigne Ouest")</f>
        <v>Coop U Enseigne Ouest</v>
      </c>
      <c r="E197">
        <f ca="1">IFERROR(__xludf.DUMMYFUNCTION("""COMPUTED_VALUE"""),37330)</f>
        <v>37330</v>
      </c>
      <c r="F197" t="str">
        <f ca="1">IFERROR(__xludf.DUMMYFUNCTION("""COMPUTED_VALUE"""),"75 AVENUE DU GÉNÉRAL DE GAULLE")</f>
        <v>75 AVENUE DU GÉNÉRAL DE GAULLE</v>
      </c>
      <c r="G197" t="str">
        <f ca="1">IFERROR(__xludf.DUMMYFUNCTION("""COMPUTED_VALUE"""),"02.47.24.03.97")</f>
        <v>02.47.24.03.97</v>
      </c>
      <c r="H197" t="str">
        <f ca="1">IFERROR(__xludf.DUMMYFUNCTION("""COMPUTED_VALUE"""),"MARCHESSEAU RPT SARL SEMAFI Sébastien")</f>
        <v>MARCHESSEAU RPT SARL SEMAFI Sébastien</v>
      </c>
      <c r="I197" t="str">
        <f ca="1">IFERROR(__xludf.DUMMYFUNCTION("""COMPUTED_VALUE"""),"sebastien.marchesseau@systeme-u.fr")</f>
        <v>sebastien.marchesseau@systeme-u.fr</v>
      </c>
      <c r="J197" t="str">
        <f ca="1">IFERROR(__xludf.DUMMYFUNCTION("""COMPUTED_VALUE"""),"Desrues Karine")</f>
        <v>Desrues Karine</v>
      </c>
      <c r="K197" t="str">
        <f ca="1">IFERROR(__xludf.DUMMYFUNCTION("""COMPUTED_VALUE"""),"superu.chateaulavalliere@systeme-u.fr ")</f>
        <v xml:space="preserve">superu.chateaulavalliere@systeme-u.fr </v>
      </c>
      <c r="L197" t="str">
        <f ca="1">IFERROR(__xludf.DUMMYFUNCTION("""COMPUTED_VALUE"""),"")</f>
        <v/>
      </c>
      <c r="M197" t="str">
        <f ca="1">IFERROR(__xludf.DUMMYFUNCTION("""COMPUTED_VALUE"""),"99.Hors Périmetre")</f>
        <v>99.Hors Périmetre</v>
      </c>
      <c r="N197" t="str">
        <f ca="1">IFERROR(__xludf.DUMMYFUNCTION("""COMPUTED_VALUE"""),"")</f>
        <v/>
      </c>
      <c r="O197" t="str">
        <f ca="1">IFERROR(__xludf.DUMMYFUNCTION("""COMPUTED_VALUE"""),"")</f>
        <v/>
      </c>
      <c r="P197" t="str">
        <f ca="1">IFERROR(__xludf.DUMMYFUNCTION("""COMPUTED_VALUE"""),"")</f>
        <v/>
      </c>
      <c r="Q197" s="5" t="str">
        <f ca="1">IFERROR(__xludf.DUMMYFUNCTION("""COMPUTED_VALUE"""),"")</f>
        <v/>
      </c>
      <c r="R197" s="6" t="str">
        <f ca="1">IFERROR(__xludf.DUMMYFUNCTION("""COMPUTED_VALUE"""),"")</f>
        <v/>
      </c>
      <c r="S197" t="str">
        <f ca="1">IFERROR(__xludf.DUMMYFUNCTION("""COMPUTED_VALUE"""),"")</f>
        <v/>
      </c>
      <c r="T197" t="str">
        <f ca="1">IFERROR(__xludf.DUMMYFUNCTION("""COMPUTED_VALUE"""),"")</f>
        <v/>
      </c>
      <c r="U197" t="str">
        <f ca="1">IFERROR(__xludf.DUMMYFUNCTION("""COMPUTED_VALUE"""),"")</f>
        <v/>
      </c>
      <c r="V197" t="str">
        <f ca="1">IFERROR(__xludf.DUMMYFUNCTION("""COMPUTED_VALUE"""),"")</f>
        <v/>
      </c>
      <c r="W197" t="str">
        <f ca="1">IFERROR(__xludf.DUMMYFUNCTION("""COMPUTED_VALUE"""),"")</f>
        <v/>
      </c>
      <c r="X197" t="str">
        <f ca="1">IFERROR(__xludf.DUMMYFUNCTION("""COMPUTED_VALUE"""),"")</f>
        <v/>
      </c>
      <c r="Y197" t="str">
        <f ca="1">IFERROR(__xludf.DUMMYFUNCTION("""COMPUTED_VALUE"""),"")</f>
        <v/>
      </c>
      <c r="Z197" t="str">
        <f ca="1">IFERROR(__xludf.DUMMYFUNCTION("""COMPUTED_VALUE"""),"")</f>
        <v/>
      </c>
      <c r="AA197" t="str">
        <f ca="1">IFERROR(__xludf.DUMMYFUNCTION("""COMPUTED_VALUE"""),"Pas de commande")</f>
        <v>Pas de commande</v>
      </c>
      <c r="AB197" s="8" t="str">
        <f ca="1">IFERROR(__xludf.DUMMYFUNCTION("""COMPUTED_VALUE"""),"")</f>
        <v/>
      </c>
      <c r="AC197" s="8" t="str">
        <f ca="1">IFERROR(__xludf.DUMMYFUNCTION("""COMPUTED_VALUE"""),"")</f>
        <v/>
      </c>
      <c r="AD197" s="11" t="str">
        <f ca="1">IFERROR(__xludf.DUMMYFUNCTION("""COMPUTED_VALUE"""),"")</f>
        <v/>
      </c>
      <c r="AE197" t="str">
        <f ca="1">IFERROR(__xludf.DUMMYFUNCTION("""COMPUTED_VALUE"""),"")</f>
        <v/>
      </c>
    </row>
    <row r="198" spans="1:31" ht="12.75" x14ac:dyDescent="0.2">
      <c r="A198">
        <f ca="1">IFERROR(__xludf.DUMMYFUNCTION("""COMPUTED_VALUE"""),38040)</f>
        <v>38040</v>
      </c>
      <c r="B198" t="str">
        <f ca="1">IFERROR(__xludf.DUMMYFUNCTION("""COMPUTED_VALUE"""),"CHATEAU-RENARD")</f>
        <v>CHATEAU-RENARD</v>
      </c>
      <c r="C198" t="str">
        <f ca="1">IFERROR(__xludf.DUMMYFUNCTION("""COMPUTED_VALUE"""),"U Express")</f>
        <v>U Express</v>
      </c>
      <c r="D198" t="str">
        <f ca="1">IFERROR(__xludf.DUMMYFUNCTION("""COMPUTED_VALUE"""),"Coop U Enseigne Ouest")</f>
        <v>Coop U Enseigne Ouest</v>
      </c>
      <c r="E198">
        <f ca="1">IFERROR(__xludf.DUMMYFUNCTION("""COMPUTED_VALUE"""),45220)</f>
        <v>45220</v>
      </c>
      <c r="F198" t="str">
        <f ca="1">IFERROR(__xludf.DUMMYFUNCTION("""COMPUTED_VALUE"""),"ALLÉE DU PRÉ CHAPON")</f>
        <v>ALLÉE DU PRÉ CHAPON</v>
      </c>
      <c r="G198" t="str">
        <f ca="1">IFERROR(__xludf.DUMMYFUNCTION("""COMPUTED_VALUE"""),"02.38.07.11.00")</f>
        <v>02.38.07.11.00</v>
      </c>
      <c r="H198" t="str">
        <f ca="1">IFERROR(__xludf.DUMMYFUNCTION("""COMPUTED_VALUE"""),"DURANSON Philippe")</f>
        <v>DURANSON Philippe</v>
      </c>
      <c r="I198" t="str">
        <f ca="1">IFERROR(__xludf.DUMMYFUNCTION("""COMPUTED_VALUE"""),"philippe.duranson@systeme-u.fr")</f>
        <v>philippe.duranson@systeme-u.fr</v>
      </c>
      <c r="J198" t="str">
        <f ca="1">IFERROR(__xludf.DUMMYFUNCTION("""COMPUTED_VALUE"""),"")</f>
        <v/>
      </c>
      <c r="K198" t="str">
        <f ca="1">IFERROR(__xludf.DUMMYFUNCTION("""COMPUTED_VALUE"""),"")</f>
        <v/>
      </c>
      <c r="L198" t="str">
        <f ca="1">IFERROR(__xludf.DUMMYFUNCTION("""COMPUTED_VALUE"""),"")</f>
        <v/>
      </c>
      <c r="M198" t="str">
        <f ca="1">IFERROR(__xludf.DUMMYFUNCTION("""COMPUTED_VALUE"""),"99.Hors Périmetre")</f>
        <v>99.Hors Périmetre</v>
      </c>
      <c r="N198" t="str">
        <f ca="1">IFERROR(__xludf.DUMMYFUNCTION("""COMPUTED_VALUE"""),"")</f>
        <v/>
      </c>
      <c r="O198" t="str">
        <f ca="1">IFERROR(__xludf.DUMMYFUNCTION("""COMPUTED_VALUE"""),"")</f>
        <v/>
      </c>
      <c r="P198" t="str">
        <f ca="1">IFERROR(__xludf.DUMMYFUNCTION("""COMPUTED_VALUE"""),"")</f>
        <v/>
      </c>
      <c r="Q198" s="5" t="str">
        <f ca="1">IFERROR(__xludf.DUMMYFUNCTION("""COMPUTED_VALUE"""),"")</f>
        <v/>
      </c>
      <c r="R198" s="6" t="str">
        <f ca="1">IFERROR(__xludf.DUMMYFUNCTION("""COMPUTED_VALUE"""),"")</f>
        <v/>
      </c>
      <c r="S198" t="str">
        <f ca="1">IFERROR(__xludf.DUMMYFUNCTION("""COMPUTED_VALUE"""),"")</f>
        <v/>
      </c>
      <c r="T198" t="str">
        <f ca="1">IFERROR(__xludf.DUMMYFUNCTION("""COMPUTED_VALUE"""),"")</f>
        <v/>
      </c>
      <c r="U198" t="str">
        <f ca="1">IFERROR(__xludf.DUMMYFUNCTION("""COMPUTED_VALUE"""),"")</f>
        <v/>
      </c>
      <c r="V198" t="str">
        <f ca="1">IFERROR(__xludf.DUMMYFUNCTION("""COMPUTED_VALUE"""),"")</f>
        <v/>
      </c>
      <c r="W198" t="str">
        <f ca="1">IFERROR(__xludf.DUMMYFUNCTION("""COMPUTED_VALUE"""),"")</f>
        <v/>
      </c>
      <c r="X198" t="str">
        <f ca="1">IFERROR(__xludf.DUMMYFUNCTION("""COMPUTED_VALUE"""),"")</f>
        <v/>
      </c>
      <c r="Y198" t="str">
        <f ca="1">IFERROR(__xludf.DUMMYFUNCTION("""COMPUTED_VALUE"""),"")</f>
        <v/>
      </c>
      <c r="Z198" t="str">
        <f ca="1">IFERROR(__xludf.DUMMYFUNCTION("""COMPUTED_VALUE"""),"")</f>
        <v/>
      </c>
      <c r="AA198" t="str">
        <f ca="1">IFERROR(__xludf.DUMMYFUNCTION("""COMPUTED_VALUE"""),"Pas de commande")</f>
        <v>Pas de commande</v>
      </c>
      <c r="AB198" s="8" t="str">
        <f ca="1">IFERROR(__xludf.DUMMYFUNCTION("""COMPUTED_VALUE"""),"")</f>
        <v/>
      </c>
      <c r="AC198" s="8" t="str">
        <f ca="1">IFERROR(__xludf.DUMMYFUNCTION("""COMPUTED_VALUE"""),"")</f>
        <v/>
      </c>
      <c r="AD198" s="11" t="str">
        <f ca="1">IFERROR(__xludf.DUMMYFUNCTION("""COMPUTED_VALUE"""),"")</f>
        <v/>
      </c>
      <c r="AE198" t="str">
        <f ca="1">IFERROR(__xludf.DUMMYFUNCTION("""COMPUTED_VALUE"""),"")</f>
        <v/>
      </c>
    </row>
    <row r="199" spans="1:31" ht="12.75" x14ac:dyDescent="0.2">
      <c r="A199">
        <f ca="1">IFERROR(__xludf.DUMMYFUNCTION("""COMPUTED_VALUE"""),31392)</f>
        <v>31392</v>
      </c>
      <c r="B199" t="str">
        <f ca="1">IFERROR(__xludf.DUMMYFUNCTION("""COMPUTED_VALUE"""),"CHATEAUBOURG")</f>
        <v>CHATEAUBOURG</v>
      </c>
      <c r="C199" t="str">
        <f ca="1">IFERROR(__xludf.DUMMYFUNCTION("""COMPUTED_VALUE"""),"Super U")</f>
        <v>Super U</v>
      </c>
      <c r="D199" t="str">
        <f ca="1">IFERROR(__xludf.DUMMYFUNCTION("""COMPUTED_VALUE"""),"Coop U Enseigne Ouest")</f>
        <v>Coop U Enseigne Ouest</v>
      </c>
      <c r="E199">
        <f ca="1">IFERROR(__xludf.DUMMYFUNCTION("""COMPUTED_VALUE"""),35220)</f>
        <v>35220</v>
      </c>
      <c r="F199" t="str">
        <f ca="1">IFERROR(__xludf.DUMMYFUNCTION("""COMPUTED_VALUE"""),"ZAC DES JARDINS DE LA BRETONNIERE")</f>
        <v>ZAC DES JARDINS DE LA BRETONNIERE</v>
      </c>
      <c r="G199" t="str">
        <f ca="1">IFERROR(__xludf.DUMMYFUNCTION("""COMPUTED_VALUE"""),"02.99.00.30.63")</f>
        <v>02.99.00.30.63</v>
      </c>
      <c r="H199" t="str">
        <f ca="1">IFERROR(__xludf.DUMMYFUNCTION("""COMPUTED_VALUE"""),"RICHER RPT SARL GORRONDIS Claude")</f>
        <v>RICHER RPT SARL GORRONDIS Claude</v>
      </c>
      <c r="I199" t="str">
        <f ca="1">IFERROR(__xludf.DUMMYFUNCTION("""COMPUTED_VALUE"""),"claude.richer@systeme-u.fr")</f>
        <v>claude.richer@systeme-u.fr</v>
      </c>
      <c r="J199" t="str">
        <f ca="1">IFERROR(__xludf.DUMMYFUNCTION("""COMPUTED_VALUE"""),"Mr Sylvain  RICHER")</f>
        <v>Mr Sylvain  RICHER</v>
      </c>
      <c r="K199" t="str">
        <f ca="1">IFERROR(__xludf.DUMMYFUNCTION("""COMPUTED_VALUE"""),"sylvain.richer@systeme-u.fr")</f>
        <v>sylvain.richer@systeme-u.fr</v>
      </c>
      <c r="L199" t="str">
        <f ca="1">IFERROR(__xludf.DUMMYFUNCTION("""COMPUTED_VALUE"""),"")</f>
        <v/>
      </c>
      <c r="M199" t="str">
        <f ca="1">IFERROR(__xludf.DUMMYFUNCTION("""COMPUTED_VALUE"""),"99.Hors Périmetre")</f>
        <v>99.Hors Périmetre</v>
      </c>
      <c r="N199" t="str">
        <f ca="1">IFERROR(__xludf.DUMMYFUNCTION("""COMPUTED_VALUE"""),"")</f>
        <v/>
      </c>
      <c r="O199" t="str">
        <f ca="1">IFERROR(__xludf.DUMMYFUNCTION("""COMPUTED_VALUE"""),"")</f>
        <v/>
      </c>
      <c r="P199" t="str">
        <f ca="1">IFERROR(__xludf.DUMMYFUNCTION("""COMPUTED_VALUE"""),"")</f>
        <v/>
      </c>
      <c r="Q199" s="5" t="str">
        <f ca="1">IFERROR(__xludf.DUMMYFUNCTION("""COMPUTED_VALUE"""),"")</f>
        <v/>
      </c>
      <c r="R199" s="6" t="str">
        <f ca="1">IFERROR(__xludf.DUMMYFUNCTION("""COMPUTED_VALUE"""),"")</f>
        <v/>
      </c>
      <c r="S199" t="str">
        <f ca="1">IFERROR(__xludf.DUMMYFUNCTION("""COMPUTED_VALUE"""),"")</f>
        <v/>
      </c>
      <c r="T199" t="str">
        <f ca="1">IFERROR(__xludf.DUMMYFUNCTION("""COMPUTED_VALUE"""),"")</f>
        <v/>
      </c>
      <c r="U199" t="str">
        <f ca="1">IFERROR(__xludf.DUMMYFUNCTION("""COMPUTED_VALUE"""),"")</f>
        <v/>
      </c>
      <c r="V199" t="str">
        <f ca="1">IFERROR(__xludf.DUMMYFUNCTION("""COMPUTED_VALUE"""),"")</f>
        <v/>
      </c>
      <c r="W199" t="str">
        <f ca="1">IFERROR(__xludf.DUMMYFUNCTION("""COMPUTED_VALUE"""),"")</f>
        <v/>
      </c>
      <c r="X199" t="str">
        <f ca="1">IFERROR(__xludf.DUMMYFUNCTION("""COMPUTED_VALUE"""),"")</f>
        <v/>
      </c>
      <c r="Y199" t="str">
        <f ca="1">IFERROR(__xludf.DUMMYFUNCTION("""COMPUTED_VALUE"""),"")</f>
        <v/>
      </c>
      <c r="Z199" t="str">
        <f ca="1">IFERROR(__xludf.DUMMYFUNCTION("""COMPUTED_VALUE"""),"")</f>
        <v/>
      </c>
      <c r="AA199" t="str">
        <f ca="1">IFERROR(__xludf.DUMMYFUNCTION("""COMPUTED_VALUE"""),"Pas de commande")</f>
        <v>Pas de commande</v>
      </c>
      <c r="AB199" s="8" t="str">
        <f ca="1">IFERROR(__xludf.DUMMYFUNCTION("""COMPUTED_VALUE"""),"")</f>
        <v/>
      </c>
      <c r="AC199" s="8" t="str">
        <f ca="1">IFERROR(__xludf.DUMMYFUNCTION("""COMPUTED_VALUE"""),"")</f>
        <v/>
      </c>
      <c r="AD199" s="11" t="str">
        <f ca="1">IFERROR(__xludf.DUMMYFUNCTION("""COMPUTED_VALUE"""),"")</f>
        <v/>
      </c>
      <c r="AE199" t="str">
        <f ca="1">IFERROR(__xludf.DUMMYFUNCTION("""COMPUTED_VALUE"""),"")</f>
        <v/>
      </c>
    </row>
    <row r="200" spans="1:31" ht="12.75" x14ac:dyDescent="0.2">
      <c r="A200">
        <f ca="1">IFERROR(__xludf.DUMMYFUNCTION("""COMPUTED_VALUE"""),31287)</f>
        <v>31287</v>
      </c>
      <c r="B200" t="str">
        <f ca="1">IFERROR(__xludf.DUMMYFUNCTION("""COMPUTED_VALUE"""),"CHATEAUBRIANT")</f>
        <v>CHATEAUBRIANT</v>
      </c>
      <c r="C200" t="str">
        <f ca="1">IFERROR(__xludf.DUMMYFUNCTION("""COMPUTED_VALUE"""),"Hyper U")</f>
        <v>Hyper U</v>
      </c>
      <c r="D200" t="str">
        <f ca="1">IFERROR(__xludf.DUMMYFUNCTION("""COMPUTED_VALUE"""),"Coop U Enseigne Ouest")</f>
        <v>Coop U Enseigne Ouest</v>
      </c>
      <c r="E200">
        <f ca="1">IFERROR(__xludf.DUMMYFUNCTION("""COMPUTED_VALUE"""),44110)</f>
        <v>44110</v>
      </c>
      <c r="F200" t="str">
        <f ca="1">IFERROR(__xludf.DUMMYFUNCTION("""COMPUTED_VALUE"""),"ROUTE DE ST AUBIN DES CHÂTEAUX")</f>
        <v>ROUTE DE ST AUBIN DES CHÂTEAUX</v>
      </c>
      <c r="G200" t="str">
        <f ca="1">IFERROR(__xludf.DUMMYFUNCTION("""COMPUTED_VALUE"""),"02.40.28.38.38")</f>
        <v>02.40.28.38.38</v>
      </c>
      <c r="H200" t="str">
        <f ca="1">IFERROR(__xludf.DUMMYFUNCTION("""COMPUTED_VALUE"""),"MOUSSET Philippe")</f>
        <v>MOUSSET Philippe</v>
      </c>
      <c r="I200" t="str">
        <f ca="1">IFERROR(__xludf.DUMMYFUNCTION("""COMPUTED_VALUE"""),"philippe.mousset@systeme-u.fr")</f>
        <v>philippe.mousset@systeme-u.fr</v>
      </c>
      <c r="J200" t="str">
        <f ca="1">IFERROR(__xludf.DUMMYFUNCTION("""COMPUTED_VALUE"""),"Karine Hallet")</f>
        <v>Karine Hallet</v>
      </c>
      <c r="K200" t="str">
        <f ca="1">IFERROR(__xludf.DUMMYFUNCTION("""COMPUTED_VALUE"""),"karine.hallet@systeme-u.fr")</f>
        <v>karine.hallet@systeme-u.fr</v>
      </c>
      <c r="L200" t="str">
        <f ca="1">IFERROR(__xludf.DUMMYFUNCTION("""COMPUTED_VALUE"""),"")</f>
        <v/>
      </c>
      <c r="M200" t="str">
        <f ca="1">IFERROR(__xludf.DUMMYFUNCTION("""COMPUTED_VALUE"""),"99.Hors Périmetre")</f>
        <v>99.Hors Périmetre</v>
      </c>
      <c r="N200" t="str">
        <f ca="1">IFERROR(__xludf.DUMMYFUNCTION("""COMPUTED_VALUE"""),"")</f>
        <v/>
      </c>
      <c r="O200" t="str">
        <f ca="1">IFERROR(__xludf.DUMMYFUNCTION("""COMPUTED_VALUE"""),"")</f>
        <v/>
      </c>
      <c r="P200" t="str">
        <f ca="1">IFERROR(__xludf.DUMMYFUNCTION("""COMPUTED_VALUE"""),"")</f>
        <v/>
      </c>
      <c r="Q200" s="5" t="str">
        <f ca="1">IFERROR(__xludf.DUMMYFUNCTION("""COMPUTED_VALUE"""),"")</f>
        <v/>
      </c>
      <c r="R200" s="6" t="str">
        <f ca="1">IFERROR(__xludf.DUMMYFUNCTION("""COMPUTED_VALUE"""),"")</f>
        <v/>
      </c>
      <c r="S200" t="str">
        <f ca="1">IFERROR(__xludf.DUMMYFUNCTION("""COMPUTED_VALUE"""),"")</f>
        <v/>
      </c>
      <c r="T200" t="str">
        <f ca="1">IFERROR(__xludf.DUMMYFUNCTION("""COMPUTED_VALUE"""),"")</f>
        <v/>
      </c>
      <c r="U200" t="str">
        <f ca="1">IFERROR(__xludf.DUMMYFUNCTION("""COMPUTED_VALUE"""),"")</f>
        <v/>
      </c>
      <c r="V200" t="str">
        <f ca="1">IFERROR(__xludf.DUMMYFUNCTION("""COMPUTED_VALUE"""),"")</f>
        <v/>
      </c>
      <c r="W200" t="str">
        <f ca="1">IFERROR(__xludf.DUMMYFUNCTION("""COMPUTED_VALUE"""),"")</f>
        <v/>
      </c>
      <c r="X200" t="str">
        <f ca="1">IFERROR(__xludf.DUMMYFUNCTION("""COMPUTED_VALUE"""),"")</f>
        <v/>
      </c>
      <c r="Y200" t="str">
        <f ca="1">IFERROR(__xludf.DUMMYFUNCTION("""COMPUTED_VALUE"""),"")</f>
        <v/>
      </c>
      <c r="Z200" t="str">
        <f ca="1">IFERROR(__xludf.DUMMYFUNCTION("""COMPUTED_VALUE"""),"")</f>
        <v/>
      </c>
      <c r="AA200" t="str">
        <f ca="1">IFERROR(__xludf.DUMMYFUNCTION("""COMPUTED_VALUE"""),"Pas de commande")</f>
        <v>Pas de commande</v>
      </c>
      <c r="AB200" s="8" t="str">
        <f ca="1">IFERROR(__xludf.DUMMYFUNCTION("""COMPUTED_VALUE"""),"")</f>
        <v/>
      </c>
      <c r="AC200" s="8" t="str">
        <f ca="1">IFERROR(__xludf.DUMMYFUNCTION("""COMPUTED_VALUE"""),"")</f>
        <v/>
      </c>
      <c r="AD200" s="11" t="str">
        <f ca="1">IFERROR(__xludf.DUMMYFUNCTION("""COMPUTED_VALUE"""),"")</f>
        <v/>
      </c>
      <c r="AE200" t="str">
        <f ca="1">IFERROR(__xludf.DUMMYFUNCTION("""COMPUTED_VALUE"""),"")</f>
        <v/>
      </c>
    </row>
    <row r="201" spans="1:31" ht="12.75" x14ac:dyDescent="0.2">
      <c r="A201">
        <f ca="1">IFERROR(__xludf.DUMMYFUNCTION("""COMPUTED_VALUE"""),90653)</f>
        <v>90653</v>
      </c>
      <c r="B201" t="str">
        <f ca="1">IFERROR(__xludf.DUMMYFUNCTION("""COMPUTED_VALUE"""),"CHATEAUNEUF DE GALAURE")</f>
        <v>CHATEAUNEUF DE GALAURE</v>
      </c>
      <c r="C201" t="str">
        <f ca="1">IFERROR(__xludf.DUMMYFUNCTION("""COMPUTED_VALUE"""),"U Express")</f>
        <v>U Express</v>
      </c>
      <c r="D201" t="str">
        <f ca="1">IFERROR(__xludf.DUMMYFUNCTION("""COMPUTED_VALUE"""),"Coop MISTRAL")</f>
        <v>Coop MISTRAL</v>
      </c>
      <c r="E201">
        <f ca="1">IFERROR(__xludf.DUMMYFUNCTION("""COMPUTED_VALUE"""),26330)</f>
        <v>26330</v>
      </c>
      <c r="F201" t="str">
        <f ca="1">IFERROR(__xludf.DUMMYFUNCTION("""COMPUTED_VALUE"""),"2 RUE DU 14 JUILLET 1944")</f>
        <v>2 RUE DU 14 JUILLET 1944</v>
      </c>
      <c r="G201" t="str">
        <f ca="1">IFERROR(__xludf.DUMMYFUNCTION("""COMPUTED_VALUE"""),"04.75.68.60.39")</f>
        <v>04.75.68.60.39</v>
      </c>
      <c r="H201" t="str">
        <f ca="1">IFERROR(__xludf.DUMMYFUNCTION("""COMPUTED_VALUE"""),"CHALAYE Laurent et Lydia")</f>
        <v>CHALAYE Laurent et Lydia</v>
      </c>
      <c r="I201" t="str">
        <f ca="1">IFERROR(__xludf.DUMMYFUNCTION("""COMPUTED_VALUE"""),"lcl-lydia@wanadoo.fr")</f>
        <v>lcl-lydia@wanadoo.fr</v>
      </c>
      <c r="J201" t="str">
        <f ca="1">IFERROR(__xludf.DUMMYFUNCTION("""COMPUTED_VALUE"""),"")</f>
        <v/>
      </c>
      <c r="K201" t="str">
        <f ca="1">IFERROR(__xludf.DUMMYFUNCTION("""COMPUTED_VALUE"""),"delphine.damian@lemistral.fr,helene.mina@lemistral.fr")</f>
        <v>delphine.damian@lemistral.fr,helene.mina@lemistral.fr</v>
      </c>
      <c r="L201" t="str">
        <f ca="1">IFERROR(__xludf.DUMMYFUNCTION("""COMPUTED_VALUE"""),"Standard")</f>
        <v>Standard</v>
      </c>
      <c r="M201" t="str">
        <f ca="1">IFERROR(__xludf.DUMMYFUNCTION("""COMPUTED_VALUE"""),"0. Non démarré")</f>
        <v>0. Non démarré</v>
      </c>
      <c r="N201" t="str">
        <f ca="1">IFERROR(__xludf.DUMMYFUNCTION("""COMPUTED_VALUE"""),"")</f>
        <v/>
      </c>
      <c r="O201" t="str">
        <f ca="1">IFERROR(__xludf.DUMMYFUNCTION("""COMPUTED_VALUE"""),"")</f>
        <v/>
      </c>
      <c r="P201" t="str">
        <f ca="1">IFERROR(__xludf.DUMMYFUNCTION("""COMPUTED_VALUE"""),"")</f>
        <v/>
      </c>
      <c r="Q201" s="5" t="str">
        <f ca="1">IFERROR(__xludf.DUMMYFUNCTION("""COMPUTED_VALUE"""),"")</f>
        <v/>
      </c>
      <c r="R201" s="6" t="str">
        <f ca="1">IFERROR(__xludf.DUMMYFUNCTION("""COMPUTED_VALUE"""),"")</f>
        <v/>
      </c>
      <c r="S201" t="str">
        <f ca="1">IFERROR(__xludf.DUMMYFUNCTION("""COMPUTED_VALUE"""),"")</f>
        <v/>
      </c>
      <c r="T201" t="str">
        <f ca="1">IFERROR(__xludf.DUMMYFUNCTION("""COMPUTED_VALUE"""),"")</f>
        <v/>
      </c>
      <c r="U201" t="str">
        <f ca="1">IFERROR(__xludf.DUMMYFUNCTION("""COMPUTED_VALUE"""),"")</f>
        <v/>
      </c>
      <c r="V201" t="str">
        <f ca="1">IFERROR(__xludf.DUMMYFUNCTION("""COMPUTED_VALUE"""),"")</f>
        <v/>
      </c>
      <c r="W201" t="str">
        <f ca="1">IFERROR(__xludf.DUMMYFUNCTION("""COMPUTED_VALUE"""),"R5")</f>
        <v>R5</v>
      </c>
      <c r="X201" t="str">
        <f ca="1">IFERROR(__xludf.DUMMYFUNCTION("""COMPUTED_VALUE"""),"Pricer")</f>
        <v>Pricer</v>
      </c>
      <c r="Y201" t="str">
        <f ca="1">IFERROR(__xludf.DUMMYFUNCTION("""COMPUTED_VALUE"""),"")</f>
        <v/>
      </c>
      <c r="Z201" t="str">
        <f ca="1">IFERROR(__xludf.DUMMYFUNCTION("""COMPUTED_VALUE"""),"")</f>
        <v/>
      </c>
      <c r="AA201" t="str">
        <f ca="1">IFERROR(__xludf.DUMMYFUNCTION("""COMPUTED_VALUE"""),"Pas de commande")</f>
        <v>Pas de commande</v>
      </c>
      <c r="AB201" s="8" t="str">
        <f ca="1">IFERROR(__xludf.DUMMYFUNCTION("""COMPUTED_VALUE"""),"")</f>
        <v/>
      </c>
      <c r="AC201" s="8" t="str">
        <f ca="1">IFERROR(__xludf.DUMMYFUNCTION("""COMPUTED_VALUE"""),"")</f>
        <v/>
      </c>
      <c r="AD201" s="11" t="str">
        <f ca="1">IFERROR(__xludf.DUMMYFUNCTION("""COMPUTED_VALUE"""),"")</f>
        <v/>
      </c>
      <c r="AE201" t="str">
        <f ca="1">IFERROR(__xludf.DUMMYFUNCTION("""COMPUTED_VALUE"""),"")</f>
        <v/>
      </c>
    </row>
    <row r="202" spans="1:31" ht="12.75" x14ac:dyDescent="0.2">
      <c r="A202">
        <f ca="1">IFERROR(__xludf.DUMMYFUNCTION("""COMPUTED_VALUE"""),91133)</f>
        <v>91133</v>
      </c>
      <c r="B202" t="str">
        <f ca="1">IFERROR(__xludf.DUMMYFUNCTION("""COMPUTED_VALUE"""),"CHATEAUNEUF DU RHONE")</f>
        <v>CHATEAUNEUF DU RHONE</v>
      </c>
      <c r="C202" t="str">
        <f ca="1">IFERROR(__xludf.DUMMYFUNCTION("""COMPUTED_VALUE"""),"U Express")</f>
        <v>U Express</v>
      </c>
      <c r="D202" t="str">
        <f ca="1">IFERROR(__xludf.DUMMYFUNCTION("""COMPUTED_VALUE"""),"Coop MISTRAL")</f>
        <v>Coop MISTRAL</v>
      </c>
      <c r="E202">
        <f ca="1">IFERROR(__xludf.DUMMYFUNCTION("""COMPUTED_VALUE"""),26780)</f>
        <v>26780</v>
      </c>
      <c r="F202" t="str">
        <f ca="1">IFERROR(__xludf.DUMMYFUNCTION("""COMPUTED_VALUE"""),"LIEU DIT BRUNETTE")</f>
        <v>LIEU DIT BRUNETTE</v>
      </c>
      <c r="G202" t="str">
        <f ca="1">IFERROR(__xludf.DUMMYFUNCTION("""COMPUTED_VALUE"""),"04.75.90.00.07")</f>
        <v>04.75.90.00.07</v>
      </c>
      <c r="H202" t="str">
        <f ca="1">IFERROR(__xludf.DUMMYFUNCTION("""COMPUTED_VALUE"""),"TORRES &amp; CAVAGNA Margaux &amp; Fabrice")</f>
        <v>TORRES &amp; CAVAGNA Margaux &amp; Fabrice</v>
      </c>
      <c r="I202" t="str">
        <f ca="1">IFERROR(__xludf.DUMMYFUNCTION("""COMPUTED_VALUE"""),"uexpress.chateauneufdurhone@gmail.com")</f>
        <v>uexpress.chateauneufdurhone@gmail.com</v>
      </c>
      <c r="J202" t="str">
        <f ca="1">IFERROR(__xludf.DUMMYFUNCTION("""COMPUTED_VALUE"""),"M CAVAGNA")</f>
        <v>M CAVAGNA</v>
      </c>
      <c r="K202" t="str">
        <f ca="1">IFERROR(__xludf.DUMMYFUNCTION("""COMPUTED_VALUE"""),"delphine.damian@lemistral.fr,helene.mina@lemistral.fr")</f>
        <v>delphine.damian@lemistral.fr,helene.mina@lemistral.fr</v>
      </c>
      <c r="L202" t="str">
        <f ca="1">IFERROR(__xludf.DUMMYFUNCTION("""COMPUTED_VALUE"""),"")</f>
        <v/>
      </c>
      <c r="M202" t="str">
        <f ca="1">IFERROR(__xludf.DUMMYFUNCTION("""COMPUTED_VALUE"""),"99.Hors Périmetre")</f>
        <v>99.Hors Périmetre</v>
      </c>
      <c r="N202" t="str">
        <f ca="1">IFERROR(__xludf.DUMMYFUNCTION("""COMPUTED_VALUE"""),"")</f>
        <v/>
      </c>
      <c r="O202" t="str">
        <f ca="1">IFERROR(__xludf.DUMMYFUNCTION("""COMPUTED_VALUE"""),"")</f>
        <v/>
      </c>
      <c r="P202" t="str">
        <f ca="1">IFERROR(__xludf.DUMMYFUNCTION("""COMPUTED_VALUE"""),"")</f>
        <v/>
      </c>
      <c r="Q202" s="5" t="str">
        <f ca="1">IFERROR(__xludf.DUMMYFUNCTION("""COMPUTED_VALUE"""),"")</f>
        <v/>
      </c>
      <c r="R202" s="6" t="str">
        <f ca="1">IFERROR(__xludf.DUMMYFUNCTION("""COMPUTED_VALUE"""),"")</f>
        <v/>
      </c>
      <c r="S202" t="str">
        <f ca="1">IFERROR(__xludf.DUMMYFUNCTION("""COMPUTED_VALUE"""),"")</f>
        <v/>
      </c>
      <c r="T202" t="str">
        <f ca="1">IFERROR(__xludf.DUMMYFUNCTION("""COMPUTED_VALUE"""),"")</f>
        <v/>
      </c>
      <c r="U202" t="str">
        <f ca="1">IFERROR(__xludf.DUMMYFUNCTION("""COMPUTED_VALUE"""),"")</f>
        <v/>
      </c>
      <c r="V202" t="str">
        <f ca="1">IFERROR(__xludf.DUMMYFUNCTION("""COMPUTED_VALUE"""),"")</f>
        <v/>
      </c>
      <c r="W202" t="str">
        <f ca="1">IFERROR(__xludf.DUMMYFUNCTION("""COMPUTED_VALUE"""),"")</f>
        <v/>
      </c>
      <c r="X202" t="str">
        <f ca="1">IFERROR(__xludf.DUMMYFUNCTION("""COMPUTED_VALUE"""),"")</f>
        <v/>
      </c>
      <c r="Y202" t="str">
        <f ca="1">IFERROR(__xludf.DUMMYFUNCTION("""COMPUTED_VALUE"""),"")</f>
        <v/>
      </c>
      <c r="Z202" t="str">
        <f ca="1">IFERROR(__xludf.DUMMYFUNCTION("""COMPUTED_VALUE"""),"")</f>
        <v/>
      </c>
      <c r="AA202" t="str">
        <f ca="1">IFERROR(__xludf.DUMMYFUNCTION("""COMPUTED_VALUE"""),"Pas de commande")</f>
        <v>Pas de commande</v>
      </c>
      <c r="AB202" s="8" t="str">
        <f ca="1">IFERROR(__xludf.DUMMYFUNCTION("""COMPUTED_VALUE"""),"")</f>
        <v/>
      </c>
      <c r="AC202" s="8" t="str">
        <f ca="1">IFERROR(__xludf.DUMMYFUNCTION("""COMPUTED_VALUE"""),"")</f>
        <v/>
      </c>
      <c r="AD202" s="11" t="str">
        <f ca="1">IFERROR(__xludf.DUMMYFUNCTION("""COMPUTED_VALUE"""),"")</f>
        <v/>
      </c>
      <c r="AE202" t="str">
        <f ca="1">IFERROR(__xludf.DUMMYFUNCTION("""COMPUTED_VALUE"""),"")</f>
        <v/>
      </c>
    </row>
    <row r="203" spans="1:31" ht="12.75" x14ac:dyDescent="0.2">
      <c r="A203">
        <f ca="1">IFERROR(__xludf.DUMMYFUNCTION("""COMPUTED_VALUE"""),35274)</f>
        <v>35274</v>
      </c>
      <c r="B203" t="str">
        <f ca="1">IFERROR(__xludf.DUMMYFUNCTION("""COMPUTED_VALUE"""),"CHATEAUNEUF-LA FORET")</f>
        <v>CHATEAUNEUF-LA FORET</v>
      </c>
      <c r="C203" t="str">
        <f ca="1">IFERROR(__xludf.DUMMYFUNCTION("""COMPUTED_VALUE"""),"Super U")</f>
        <v>Super U</v>
      </c>
      <c r="D203" t="str">
        <f ca="1">IFERROR(__xludf.DUMMYFUNCTION("""COMPUTED_VALUE"""),"Coop U Enseigne Ouest")</f>
        <v>Coop U Enseigne Ouest</v>
      </c>
      <c r="E203">
        <f ca="1">IFERROR(__xludf.DUMMYFUNCTION("""COMPUTED_VALUE"""),87130)</f>
        <v>87130</v>
      </c>
      <c r="F203" t="str">
        <f ca="1">IFERROR(__xludf.DUMMYFUNCTION("""COMPUTED_VALUE"""),"LE ROUCHILLOUX")</f>
        <v>LE ROUCHILLOUX</v>
      </c>
      <c r="G203" t="str">
        <f ca="1">IFERROR(__xludf.DUMMYFUNCTION("""COMPUTED_VALUE"""),"05.55.69.30.26")</f>
        <v>05.55.69.30.26</v>
      </c>
      <c r="H203" t="str">
        <f ca="1">IFERROR(__xludf.DUMMYFUNCTION("""COMPUTED_VALUE"""),"DOUGE RPT SARL EMMADIS Anthony")</f>
        <v>DOUGE RPT SARL EMMADIS Anthony</v>
      </c>
      <c r="I203" t="str">
        <f ca="1">IFERROR(__xludf.DUMMYFUNCTION("""COMPUTED_VALUE"""),"anthony.douge@systeme-u.fr")</f>
        <v>anthony.douge@systeme-u.fr</v>
      </c>
      <c r="J203" t="str">
        <f ca="1">IFERROR(__xludf.DUMMYFUNCTION("""COMPUTED_VALUE"""),"")</f>
        <v/>
      </c>
      <c r="K203" t="str">
        <f ca="1">IFERROR(__xludf.DUMMYFUNCTION("""COMPUTED_VALUE"""),"")</f>
        <v/>
      </c>
      <c r="L203" t="str">
        <f ca="1">IFERROR(__xludf.DUMMYFUNCTION("""COMPUTED_VALUE"""),"")</f>
        <v/>
      </c>
      <c r="M203" t="str">
        <f ca="1">IFERROR(__xludf.DUMMYFUNCTION("""COMPUTED_VALUE"""),"99.Hors Périmetre")</f>
        <v>99.Hors Périmetre</v>
      </c>
      <c r="N203" t="str">
        <f ca="1">IFERROR(__xludf.DUMMYFUNCTION("""COMPUTED_VALUE"""),"")</f>
        <v/>
      </c>
      <c r="O203" t="str">
        <f ca="1">IFERROR(__xludf.DUMMYFUNCTION("""COMPUTED_VALUE"""),"")</f>
        <v/>
      </c>
      <c r="P203" t="str">
        <f ca="1">IFERROR(__xludf.DUMMYFUNCTION("""COMPUTED_VALUE"""),"")</f>
        <v/>
      </c>
      <c r="Q203" s="5" t="str">
        <f ca="1">IFERROR(__xludf.DUMMYFUNCTION("""COMPUTED_VALUE"""),"")</f>
        <v/>
      </c>
      <c r="R203" s="6" t="str">
        <f ca="1">IFERROR(__xludf.DUMMYFUNCTION("""COMPUTED_VALUE"""),"")</f>
        <v/>
      </c>
      <c r="S203" t="str">
        <f ca="1">IFERROR(__xludf.DUMMYFUNCTION("""COMPUTED_VALUE"""),"")</f>
        <v/>
      </c>
      <c r="T203" t="str">
        <f ca="1">IFERROR(__xludf.DUMMYFUNCTION("""COMPUTED_VALUE"""),"")</f>
        <v/>
      </c>
      <c r="U203" t="str">
        <f ca="1">IFERROR(__xludf.DUMMYFUNCTION("""COMPUTED_VALUE"""),"")</f>
        <v/>
      </c>
      <c r="V203" t="str">
        <f ca="1">IFERROR(__xludf.DUMMYFUNCTION("""COMPUTED_VALUE"""),"")</f>
        <v/>
      </c>
      <c r="W203" t="str">
        <f ca="1">IFERROR(__xludf.DUMMYFUNCTION("""COMPUTED_VALUE"""),"")</f>
        <v/>
      </c>
      <c r="X203" t="str">
        <f ca="1">IFERROR(__xludf.DUMMYFUNCTION("""COMPUTED_VALUE"""),"")</f>
        <v/>
      </c>
      <c r="Y203" t="str">
        <f ca="1">IFERROR(__xludf.DUMMYFUNCTION("""COMPUTED_VALUE"""),"")</f>
        <v/>
      </c>
      <c r="Z203" t="str">
        <f ca="1">IFERROR(__xludf.DUMMYFUNCTION("""COMPUTED_VALUE"""),"")</f>
        <v/>
      </c>
      <c r="AA203" t="str">
        <f ca="1">IFERROR(__xludf.DUMMYFUNCTION("""COMPUTED_VALUE"""),"Pas de commande")</f>
        <v>Pas de commande</v>
      </c>
      <c r="AB203" s="8" t="str">
        <f ca="1">IFERROR(__xludf.DUMMYFUNCTION("""COMPUTED_VALUE"""),"")</f>
        <v/>
      </c>
      <c r="AC203" s="8" t="str">
        <f ca="1">IFERROR(__xludf.DUMMYFUNCTION("""COMPUTED_VALUE"""),"")</f>
        <v/>
      </c>
      <c r="AD203" s="11" t="str">
        <f ca="1">IFERROR(__xludf.DUMMYFUNCTION("""COMPUTED_VALUE"""),"")</f>
        <v/>
      </c>
      <c r="AE203" t="str">
        <f ca="1">IFERROR(__xludf.DUMMYFUNCTION("""COMPUTED_VALUE"""),"")</f>
        <v/>
      </c>
    </row>
    <row r="204" spans="1:31" ht="12.75" x14ac:dyDescent="0.2">
      <c r="A204">
        <f ca="1">IFERROR(__xludf.DUMMYFUNCTION("""COMPUTED_VALUE"""),35258)</f>
        <v>35258</v>
      </c>
      <c r="B204" t="str">
        <f ca="1">IFERROR(__xludf.DUMMYFUNCTION("""COMPUTED_VALUE"""),"CHATEAUNEUF-SUR-CHARENTE")</f>
        <v>CHATEAUNEUF-SUR-CHARENTE</v>
      </c>
      <c r="C204" t="str">
        <f ca="1">IFERROR(__xludf.DUMMYFUNCTION("""COMPUTED_VALUE"""),"Super U")</f>
        <v>Super U</v>
      </c>
      <c r="D204" t="str">
        <f ca="1">IFERROR(__xludf.DUMMYFUNCTION("""COMPUTED_VALUE"""),"Coop U Enseigne Ouest")</f>
        <v>Coop U Enseigne Ouest</v>
      </c>
      <c r="E204">
        <f ca="1">IFERROR(__xludf.DUMMYFUNCTION("""COMPUTED_VALUE"""),16120)</f>
        <v>16120</v>
      </c>
      <c r="F204" t="str">
        <f ca="1">IFERROR(__xludf.DUMMYFUNCTION("""COMPUTED_VALUE"""),"ROUTE DE BLANZAC")</f>
        <v>ROUTE DE BLANZAC</v>
      </c>
      <c r="G204" t="str">
        <f ca="1">IFERROR(__xludf.DUMMYFUNCTION("""COMPUTED_VALUE"""),"05.45.66.24.28")</f>
        <v>05.45.66.24.28</v>
      </c>
      <c r="H204" t="str">
        <f ca="1">IFERROR(__xludf.DUMMYFUNCTION("""COMPUTED_VALUE"""),"BOURREAU RPT SARL ALMASA Stephane")</f>
        <v>BOURREAU RPT SARL ALMASA Stephane</v>
      </c>
      <c r="I204" t="str">
        <f ca="1">IFERROR(__xludf.DUMMYFUNCTION("""COMPUTED_VALUE"""),"stephane.bourreau@systeme-u.fr")</f>
        <v>stephane.bourreau@systeme-u.fr</v>
      </c>
      <c r="J204" t="str">
        <f ca="1">IFERROR(__xludf.DUMMYFUNCTION("""COMPUTED_VALUE"""),"CABROLIER STEPHANE")</f>
        <v>CABROLIER STEPHANE</v>
      </c>
      <c r="K204" t="str">
        <f ca="1">IFERROR(__xludf.DUMMYFUNCTION("""COMPUTED_VALUE"""),"superu.chateauneufsurcharente.direction@systeme-u.fr")</f>
        <v>superu.chateauneufsurcharente.direction@systeme-u.fr</v>
      </c>
      <c r="L204" t="str">
        <f ca="1">IFERROR(__xludf.DUMMYFUNCTION("""COMPUTED_VALUE"""),"")</f>
        <v/>
      </c>
      <c r="M204" t="str">
        <f ca="1">IFERROR(__xludf.DUMMYFUNCTION("""COMPUTED_VALUE"""),"99.Hors Périmetre")</f>
        <v>99.Hors Périmetre</v>
      </c>
      <c r="N204" t="str">
        <f ca="1">IFERROR(__xludf.DUMMYFUNCTION("""COMPUTED_VALUE"""),"")</f>
        <v/>
      </c>
      <c r="O204" t="str">
        <f ca="1">IFERROR(__xludf.DUMMYFUNCTION("""COMPUTED_VALUE"""),"")</f>
        <v/>
      </c>
      <c r="P204" t="str">
        <f ca="1">IFERROR(__xludf.DUMMYFUNCTION("""COMPUTED_VALUE"""),"")</f>
        <v/>
      </c>
      <c r="Q204" s="5" t="str">
        <f ca="1">IFERROR(__xludf.DUMMYFUNCTION("""COMPUTED_VALUE"""),"")</f>
        <v/>
      </c>
      <c r="R204" s="6" t="str">
        <f ca="1">IFERROR(__xludf.DUMMYFUNCTION("""COMPUTED_VALUE"""),"")</f>
        <v/>
      </c>
      <c r="S204" t="str">
        <f ca="1">IFERROR(__xludf.DUMMYFUNCTION("""COMPUTED_VALUE"""),"")</f>
        <v/>
      </c>
      <c r="T204" t="str">
        <f ca="1">IFERROR(__xludf.DUMMYFUNCTION("""COMPUTED_VALUE"""),"")</f>
        <v/>
      </c>
      <c r="U204" t="str">
        <f ca="1">IFERROR(__xludf.DUMMYFUNCTION("""COMPUTED_VALUE"""),"")</f>
        <v/>
      </c>
      <c r="V204" t="str">
        <f ca="1">IFERROR(__xludf.DUMMYFUNCTION("""COMPUTED_VALUE"""),"")</f>
        <v/>
      </c>
      <c r="W204" t="str">
        <f ca="1">IFERROR(__xludf.DUMMYFUNCTION("""COMPUTED_VALUE"""),"")</f>
        <v/>
      </c>
      <c r="X204" t="str">
        <f ca="1">IFERROR(__xludf.DUMMYFUNCTION("""COMPUTED_VALUE"""),"")</f>
        <v/>
      </c>
      <c r="Y204" t="str">
        <f ca="1">IFERROR(__xludf.DUMMYFUNCTION("""COMPUTED_VALUE"""),"")</f>
        <v/>
      </c>
      <c r="Z204" t="str">
        <f ca="1">IFERROR(__xludf.DUMMYFUNCTION("""COMPUTED_VALUE"""),"")</f>
        <v/>
      </c>
      <c r="AA204" t="str">
        <f ca="1">IFERROR(__xludf.DUMMYFUNCTION("""COMPUTED_VALUE"""),"Pas de commande")</f>
        <v>Pas de commande</v>
      </c>
      <c r="AB204" s="8" t="str">
        <f ca="1">IFERROR(__xludf.DUMMYFUNCTION("""COMPUTED_VALUE"""),"")</f>
        <v/>
      </c>
      <c r="AC204" s="8" t="str">
        <f ca="1">IFERROR(__xludf.DUMMYFUNCTION("""COMPUTED_VALUE"""),"")</f>
        <v/>
      </c>
      <c r="AD204" s="11" t="str">
        <f ca="1">IFERROR(__xludf.DUMMYFUNCTION("""COMPUTED_VALUE"""),"")</f>
        <v/>
      </c>
      <c r="AE204" t="str">
        <f ca="1">IFERROR(__xludf.DUMMYFUNCTION("""COMPUTED_VALUE"""),"")</f>
        <v/>
      </c>
    </row>
    <row r="205" spans="1:31" ht="12.75" x14ac:dyDescent="0.2">
      <c r="A205">
        <f ca="1">IFERROR(__xludf.DUMMYFUNCTION("""COMPUTED_VALUE"""),31120)</f>
        <v>31120</v>
      </c>
      <c r="B205" t="str">
        <f ca="1">IFERROR(__xludf.DUMMYFUNCTION("""COMPUTED_VALUE"""),"CHATEAUNEUF-SUR-LOIRE")</f>
        <v>CHATEAUNEUF-SUR-LOIRE</v>
      </c>
      <c r="C205" t="str">
        <f ca="1">IFERROR(__xludf.DUMMYFUNCTION("""COMPUTED_VALUE"""),"Super U")</f>
        <v>Super U</v>
      </c>
      <c r="D205" t="str">
        <f ca="1">IFERROR(__xludf.DUMMYFUNCTION("""COMPUTED_VALUE"""),"Coop U Enseigne Ouest")</f>
        <v>Coop U Enseigne Ouest</v>
      </c>
      <c r="E205">
        <f ca="1">IFERROR(__xludf.DUMMYFUNCTION("""COMPUTED_VALUE"""),45110)</f>
        <v>45110</v>
      </c>
      <c r="F205" t="str">
        <f ca="1">IFERROR(__xludf.DUMMYFUNCTION("""COMPUTED_VALUE"""),"AVENUE DE GATINAIS")</f>
        <v>AVENUE DE GATINAIS</v>
      </c>
      <c r="G205" t="str">
        <f ca="1">IFERROR(__xludf.DUMMYFUNCTION("""COMPUTED_VALUE"""),"02.38.46.21.50")</f>
        <v>02.38.46.21.50</v>
      </c>
      <c r="H205" t="str">
        <f ca="1">IFERROR(__xludf.DUMMYFUNCTION("""COMPUTED_VALUE"""),"AUBE RPT SARL FINANC. PERDIS Véronique")</f>
        <v>AUBE RPT SARL FINANC. PERDIS Véronique</v>
      </c>
      <c r="I205" t="str">
        <f ca="1">IFERROR(__xludf.DUMMYFUNCTION("""COMPUTED_VALUE"""),"veronique.aube@systeme-u.fr")</f>
        <v>veronique.aube@systeme-u.fr</v>
      </c>
      <c r="J205" t="str">
        <f ca="1">IFERROR(__xludf.DUMMYFUNCTION("""COMPUTED_VALUE"""),"Olivier CHWARTZ
Isabelle (UPLV)")</f>
        <v>Olivier CHWARTZ
Isabelle (UPLV)</v>
      </c>
      <c r="K205" t="str">
        <f ca="1">IFERROR(__xludf.DUMMYFUNCTION("""COMPUTED_VALUE"""),"superu.chateauneufsurloire.direction@systeme-u.fr, superu.chateauneufsurloire.gescom@systeme-u.fr")</f>
        <v>superu.chateauneufsurloire.direction@systeme-u.fr, superu.chateauneufsurloire.gescom@systeme-u.fr</v>
      </c>
      <c r="L205" t="str">
        <f ca="1">IFERROR(__xludf.DUMMYFUNCTION("""COMPUTED_VALUE"""),"")</f>
        <v/>
      </c>
      <c r="M205" t="str">
        <f ca="1">IFERROR(__xludf.DUMMYFUNCTION("""COMPUTED_VALUE"""),"99.Hors Périmetre")</f>
        <v>99.Hors Périmetre</v>
      </c>
      <c r="N205" t="str">
        <f ca="1">IFERROR(__xludf.DUMMYFUNCTION("""COMPUTED_VALUE"""),"")</f>
        <v/>
      </c>
      <c r="O205" t="str">
        <f ca="1">IFERROR(__xludf.DUMMYFUNCTION("""COMPUTED_VALUE"""),"")</f>
        <v/>
      </c>
      <c r="P205" t="str">
        <f ca="1">IFERROR(__xludf.DUMMYFUNCTION("""COMPUTED_VALUE"""),"")</f>
        <v/>
      </c>
      <c r="Q205" s="5" t="str">
        <f ca="1">IFERROR(__xludf.DUMMYFUNCTION("""COMPUTED_VALUE"""),"")</f>
        <v/>
      </c>
      <c r="R205" s="6" t="str">
        <f ca="1">IFERROR(__xludf.DUMMYFUNCTION("""COMPUTED_VALUE"""),"")</f>
        <v/>
      </c>
      <c r="S205" t="str">
        <f ca="1">IFERROR(__xludf.DUMMYFUNCTION("""COMPUTED_VALUE"""),"")</f>
        <v/>
      </c>
      <c r="T205" t="str">
        <f ca="1">IFERROR(__xludf.DUMMYFUNCTION("""COMPUTED_VALUE"""),"")</f>
        <v/>
      </c>
      <c r="U205" t="str">
        <f ca="1">IFERROR(__xludf.DUMMYFUNCTION("""COMPUTED_VALUE"""),"")</f>
        <v/>
      </c>
      <c r="V205" t="str">
        <f ca="1">IFERROR(__xludf.DUMMYFUNCTION("""COMPUTED_VALUE"""),"")</f>
        <v/>
      </c>
      <c r="W205" t="str">
        <f ca="1">IFERROR(__xludf.DUMMYFUNCTION("""COMPUTED_VALUE"""),"R5")</f>
        <v>R5</v>
      </c>
      <c r="X205" t="str">
        <f ca="1">IFERROR(__xludf.DUMMYFUNCTION("""COMPUTED_VALUE"""),"U StoreBox")</f>
        <v>U StoreBox</v>
      </c>
      <c r="Y205" t="str">
        <f ca="1">IFERROR(__xludf.DUMMYFUNCTION("""COMPUTED_VALUE"""),"Primo")</f>
        <v>Primo</v>
      </c>
      <c r="Z205" t="str">
        <f ca="1">IFERROR(__xludf.DUMMYFUNCTION("""COMPUTED_VALUE"""),"")</f>
        <v/>
      </c>
      <c r="AA205" t="str">
        <f ca="1">IFERROR(__xludf.DUMMYFUNCTION("""COMPUTED_VALUE"""),"Prérequis déposés")</f>
        <v>Prérequis déposés</v>
      </c>
      <c r="AB205" s="8">
        <f ca="1">IFERROR(__xludf.DUMMYFUNCTION("""COMPUTED_VALUE"""),43612)</f>
        <v>43612</v>
      </c>
      <c r="AC205" s="8">
        <f ca="1">IFERROR(__xludf.DUMMYFUNCTION("""COMPUTED_VALUE"""),43614)</f>
        <v>43614</v>
      </c>
      <c r="AD205" s="11">
        <f ca="1">IFERROR(__xludf.DUMMYFUNCTION("""COMPUTED_VALUE"""),43619)</f>
        <v>43619</v>
      </c>
      <c r="AE205" t="str">
        <f ca="1">IFERROR(__xludf.DUMMYFUNCTION("""COMPUTED_VALUE"""),"")</f>
        <v/>
      </c>
    </row>
    <row r="206" spans="1:31" ht="12.75" x14ac:dyDescent="0.2">
      <c r="A206">
        <f ca="1">IFERROR(__xludf.DUMMYFUNCTION("""COMPUTED_VALUE"""),37730)</f>
        <v>37730</v>
      </c>
      <c r="B206" t="str">
        <f ca="1">IFERROR(__xludf.DUMMYFUNCTION("""COMPUTED_VALUE"""),"CHATEAUNEUF-SUR-SARTHE")</f>
        <v>CHATEAUNEUF-SUR-SARTHE</v>
      </c>
      <c r="C206" t="str">
        <f ca="1">IFERROR(__xludf.DUMMYFUNCTION("""COMPUTED_VALUE"""),"Super U")</f>
        <v>Super U</v>
      </c>
      <c r="D206" t="str">
        <f ca="1">IFERROR(__xludf.DUMMYFUNCTION("""COMPUTED_VALUE"""),"Coop U Enseigne Ouest")</f>
        <v>Coop U Enseigne Ouest</v>
      </c>
      <c r="E206">
        <f ca="1">IFERROR(__xludf.DUMMYFUNCTION("""COMPUTED_VALUE"""),49330)</f>
        <v>49330</v>
      </c>
      <c r="F206" t="str">
        <f ca="1">IFERROR(__xludf.DUMMYFUNCTION("""COMPUTED_VALUE"""),"MA CAMPAGNE")</f>
        <v>MA CAMPAGNE</v>
      </c>
      <c r="G206" t="str">
        <f ca="1">IFERROR(__xludf.DUMMYFUNCTION("""COMPUTED_VALUE"""),"02.41.69.83.10")</f>
        <v>02.41.69.83.10</v>
      </c>
      <c r="H206" t="str">
        <f ca="1">IFERROR(__xludf.DUMMYFUNCTION("""COMPUTED_VALUE"""),"GRAZELIE RPT SARL PHILIOTENA Alban")</f>
        <v>GRAZELIE RPT SARL PHILIOTENA Alban</v>
      </c>
      <c r="I206" t="str">
        <f ca="1">IFERROR(__xludf.DUMMYFUNCTION("""COMPUTED_VALUE"""),"alban.grazelie@systeme-u.fr")</f>
        <v>alban.grazelie@systeme-u.fr</v>
      </c>
      <c r="J206" t="str">
        <f ca="1">IFERROR(__xludf.DUMMYFUNCTION("""COMPUTED_VALUE"""),"Mme Bourneuf")</f>
        <v>Mme Bourneuf</v>
      </c>
      <c r="K206" t="str">
        <f ca="1">IFERROR(__xludf.DUMMYFUNCTION("""COMPUTED_VALUE"""),"superu.chateauneufsursarthe@systeme-u.fr")</f>
        <v>superu.chateauneufsursarthe@systeme-u.fr</v>
      </c>
      <c r="L206" t="str">
        <f ca="1">IFERROR(__xludf.DUMMYFUNCTION("""COMPUTED_VALUE"""),"")</f>
        <v/>
      </c>
      <c r="M206" t="str">
        <f ca="1">IFERROR(__xludf.DUMMYFUNCTION("""COMPUTED_VALUE"""),"99.Hors Périmetre")</f>
        <v>99.Hors Périmetre</v>
      </c>
      <c r="N206" t="str">
        <f ca="1">IFERROR(__xludf.DUMMYFUNCTION("""COMPUTED_VALUE"""),"")</f>
        <v/>
      </c>
      <c r="O206" t="str">
        <f ca="1">IFERROR(__xludf.DUMMYFUNCTION("""COMPUTED_VALUE"""),"")</f>
        <v/>
      </c>
      <c r="P206" t="str">
        <f ca="1">IFERROR(__xludf.DUMMYFUNCTION("""COMPUTED_VALUE"""),"")</f>
        <v/>
      </c>
      <c r="Q206" s="5" t="str">
        <f ca="1">IFERROR(__xludf.DUMMYFUNCTION("""COMPUTED_VALUE"""),"")</f>
        <v/>
      </c>
      <c r="R206" s="6" t="str">
        <f ca="1">IFERROR(__xludf.DUMMYFUNCTION("""COMPUTED_VALUE"""),"")</f>
        <v/>
      </c>
      <c r="S206" t="str">
        <f ca="1">IFERROR(__xludf.DUMMYFUNCTION("""COMPUTED_VALUE"""),"")</f>
        <v/>
      </c>
      <c r="T206" t="str">
        <f ca="1">IFERROR(__xludf.DUMMYFUNCTION("""COMPUTED_VALUE"""),"")</f>
        <v/>
      </c>
      <c r="U206" t="str">
        <f ca="1">IFERROR(__xludf.DUMMYFUNCTION("""COMPUTED_VALUE"""),"")</f>
        <v/>
      </c>
      <c r="V206" t="str">
        <f ca="1">IFERROR(__xludf.DUMMYFUNCTION("""COMPUTED_VALUE"""),"")</f>
        <v/>
      </c>
      <c r="W206" t="str">
        <f ca="1">IFERROR(__xludf.DUMMYFUNCTION("""COMPUTED_VALUE"""),"")</f>
        <v/>
      </c>
      <c r="X206" t="str">
        <f ca="1">IFERROR(__xludf.DUMMYFUNCTION("""COMPUTED_VALUE"""),"")</f>
        <v/>
      </c>
      <c r="Y206" t="str">
        <f ca="1">IFERROR(__xludf.DUMMYFUNCTION("""COMPUTED_VALUE"""),"")</f>
        <v/>
      </c>
      <c r="Z206" t="str">
        <f ca="1">IFERROR(__xludf.DUMMYFUNCTION("""COMPUTED_VALUE"""),"")</f>
        <v/>
      </c>
      <c r="AA206" t="str">
        <f ca="1">IFERROR(__xludf.DUMMYFUNCTION("""COMPUTED_VALUE"""),"Pas de commande")</f>
        <v>Pas de commande</v>
      </c>
      <c r="AB206" s="8" t="str">
        <f ca="1">IFERROR(__xludf.DUMMYFUNCTION("""COMPUTED_VALUE"""),"")</f>
        <v/>
      </c>
      <c r="AC206" s="8" t="str">
        <f ca="1">IFERROR(__xludf.DUMMYFUNCTION("""COMPUTED_VALUE"""),"")</f>
        <v/>
      </c>
      <c r="AD206" s="11" t="str">
        <f ca="1">IFERROR(__xludf.DUMMYFUNCTION("""COMPUTED_VALUE"""),"")</f>
        <v/>
      </c>
      <c r="AE206" t="str">
        <f ca="1">IFERROR(__xludf.DUMMYFUNCTION("""COMPUTED_VALUE"""),"")</f>
        <v/>
      </c>
    </row>
    <row r="207" spans="1:31" ht="12.75" x14ac:dyDescent="0.2">
      <c r="A207">
        <f ca="1">IFERROR(__xludf.DUMMYFUNCTION("""COMPUTED_VALUE"""),90076)</f>
        <v>90076</v>
      </c>
      <c r="B207" t="str">
        <f ca="1">IFERROR(__xludf.DUMMYFUNCTION("""COMPUTED_VALUE"""),"CHATEAURENARD")</f>
        <v>CHATEAURENARD</v>
      </c>
      <c r="C207" t="str">
        <f ca="1">IFERROR(__xludf.DUMMYFUNCTION("""COMPUTED_VALUE"""),"Super U")</f>
        <v>Super U</v>
      </c>
      <c r="D207" t="str">
        <f ca="1">IFERROR(__xludf.DUMMYFUNCTION("""COMPUTED_VALUE"""),"Coop U Enseigne Sud")</f>
        <v>Coop U Enseigne Sud</v>
      </c>
      <c r="E207">
        <f ca="1">IFERROR(__xludf.DUMMYFUNCTION("""COMPUTED_VALUE"""),13160)</f>
        <v>13160</v>
      </c>
      <c r="F207" t="str">
        <f ca="1">IFERROR(__xludf.DUMMYFUNCTION("""COMPUTED_VALUE"""),"CHEMIN DE L'ORATOIRE")</f>
        <v>CHEMIN DE L'ORATOIRE</v>
      </c>
      <c r="G207" t="str">
        <f ca="1">IFERROR(__xludf.DUMMYFUNCTION("""COMPUTED_VALUE"""),"04.90.94.21.93")</f>
        <v>04.90.94.21.93</v>
      </c>
      <c r="H207" t="str">
        <f ca="1">IFERROR(__xludf.DUMMYFUNCTION("""COMPUTED_VALUE"""),"DEPRET Auriane et Marc")</f>
        <v>DEPRET Auriane et Marc</v>
      </c>
      <c r="I207" t="str">
        <f ca="1">IFERROR(__xludf.DUMMYFUNCTION("""COMPUTED_VALUE"""),"auriane.depret@systeme-u.fr")</f>
        <v>auriane.depret@systeme-u.fr</v>
      </c>
      <c r="J207" t="str">
        <f ca="1">IFERROR(__xludf.DUMMYFUNCTION("""COMPUTED_VALUE"""),"Mme LEPAGE")</f>
        <v>Mme LEPAGE</v>
      </c>
      <c r="K207" t="str">
        <f ca="1">IFERROR(__xludf.DUMMYFUNCTION("""COMPUTED_VALUE"""),"superu.chateaurenard.direction@systeme-u.fr")</f>
        <v>superu.chateaurenard.direction@systeme-u.fr</v>
      </c>
      <c r="L207" t="str">
        <f ca="1">IFERROR(__xludf.DUMMYFUNCTION("""COMPUTED_VALUE"""),"")</f>
        <v/>
      </c>
      <c r="M207" t="str">
        <f ca="1">IFERROR(__xludf.DUMMYFUNCTION("""COMPUTED_VALUE"""),"99.Hors Périmetre")</f>
        <v>99.Hors Périmetre</v>
      </c>
      <c r="N207" t="str">
        <f ca="1">IFERROR(__xludf.DUMMYFUNCTION("""COMPUTED_VALUE"""),"")</f>
        <v/>
      </c>
      <c r="O207" t="str">
        <f ca="1">IFERROR(__xludf.DUMMYFUNCTION("""COMPUTED_VALUE"""),"")</f>
        <v/>
      </c>
      <c r="P207" t="str">
        <f ca="1">IFERROR(__xludf.DUMMYFUNCTION("""COMPUTED_VALUE"""),"")</f>
        <v/>
      </c>
      <c r="Q207" s="5" t="str">
        <f ca="1">IFERROR(__xludf.DUMMYFUNCTION("""COMPUTED_VALUE"""),"")</f>
        <v/>
      </c>
      <c r="R207" s="6" t="str">
        <f ca="1">IFERROR(__xludf.DUMMYFUNCTION("""COMPUTED_VALUE"""),"")</f>
        <v/>
      </c>
      <c r="S207" t="str">
        <f ca="1">IFERROR(__xludf.DUMMYFUNCTION("""COMPUTED_VALUE"""),"")</f>
        <v/>
      </c>
      <c r="T207" t="str">
        <f ca="1">IFERROR(__xludf.DUMMYFUNCTION("""COMPUTED_VALUE"""),"")</f>
        <v/>
      </c>
      <c r="U207" t="str">
        <f ca="1">IFERROR(__xludf.DUMMYFUNCTION("""COMPUTED_VALUE"""),"")</f>
        <v/>
      </c>
      <c r="V207" t="str">
        <f ca="1">IFERROR(__xludf.DUMMYFUNCTION("""COMPUTED_VALUE"""),"")</f>
        <v/>
      </c>
      <c r="W207" t="str">
        <f ca="1">IFERROR(__xludf.DUMMYFUNCTION("""COMPUTED_VALUE"""),"")</f>
        <v/>
      </c>
      <c r="X207" t="str">
        <f ca="1">IFERROR(__xludf.DUMMYFUNCTION("""COMPUTED_VALUE"""),"")</f>
        <v/>
      </c>
      <c r="Y207" t="str">
        <f ca="1">IFERROR(__xludf.DUMMYFUNCTION("""COMPUTED_VALUE"""),"")</f>
        <v/>
      </c>
      <c r="Z207" t="str">
        <f ca="1">IFERROR(__xludf.DUMMYFUNCTION("""COMPUTED_VALUE"""),"")</f>
        <v/>
      </c>
      <c r="AA207" t="str">
        <f ca="1">IFERROR(__xludf.DUMMYFUNCTION("""COMPUTED_VALUE"""),"Pas de commande")</f>
        <v>Pas de commande</v>
      </c>
      <c r="AB207" s="8" t="str">
        <f ca="1">IFERROR(__xludf.DUMMYFUNCTION("""COMPUTED_VALUE"""),"")</f>
        <v/>
      </c>
      <c r="AC207" s="8" t="str">
        <f ca="1">IFERROR(__xludf.DUMMYFUNCTION("""COMPUTED_VALUE"""),"")</f>
        <v/>
      </c>
      <c r="AD207" s="11" t="str">
        <f ca="1">IFERROR(__xludf.DUMMYFUNCTION("""COMPUTED_VALUE"""),"")</f>
        <v/>
      </c>
      <c r="AE207" t="str">
        <f ca="1">IFERROR(__xludf.DUMMYFUNCTION("""COMPUTED_VALUE"""),"")</f>
        <v/>
      </c>
    </row>
    <row r="208" spans="1:31" ht="12.75" x14ac:dyDescent="0.2">
      <c r="A208">
        <f ca="1">IFERROR(__xludf.DUMMYFUNCTION("""COMPUTED_VALUE"""),30626)</f>
        <v>30626</v>
      </c>
      <c r="B208" t="str">
        <f ca="1">IFERROR(__xludf.DUMMYFUNCTION("""COMPUTED_VALUE"""),"CHATEAUROUX MARINS")</f>
        <v>CHATEAUROUX MARINS</v>
      </c>
      <c r="C208" t="str">
        <f ca="1">IFERROR(__xludf.DUMMYFUNCTION("""COMPUTED_VALUE"""),"U Express")</f>
        <v>U Express</v>
      </c>
      <c r="D208" t="str">
        <f ca="1">IFERROR(__xludf.DUMMYFUNCTION("""COMPUTED_VALUE"""),"Coop U Enseigne Ouest")</f>
        <v>Coop U Enseigne Ouest</v>
      </c>
      <c r="E208">
        <f ca="1">IFERROR(__xludf.DUMMYFUNCTION("""COMPUTED_VALUE"""),36000)</f>
        <v>36000</v>
      </c>
      <c r="F208" t="str">
        <f ca="1">IFERROR(__xludf.DUMMYFUNCTION("""COMPUTED_VALUE"""),"39, AVENUE DES MARINS")</f>
        <v>39, AVENUE DES MARINS</v>
      </c>
      <c r="G208" t="str">
        <f ca="1">IFERROR(__xludf.DUMMYFUNCTION("""COMPUTED_VALUE"""),"02.54.34.87.78")</f>
        <v>02.54.34.87.78</v>
      </c>
      <c r="H208" t="str">
        <f ca="1">IFERROR(__xludf.DUMMYFUNCTION("""COMPUTED_VALUE"""),"PINARD RPT SARL LA BRASSERIE David")</f>
        <v>PINARD RPT SARL LA BRASSERIE David</v>
      </c>
      <c r="I208" t="str">
        <f ca="1">IFERROR(__xludf.DUMMYFUNCTION("""COMPUTED_VALUE"""),"david.pinard@systeme-u.fr")</f>
        <v>david.pinard@systeme-u.fr</v>
      </c>
      <c r="J208" t="str">
        <f ca="1">IFERROR(__xludf.DUMMYFUNCTION("""COMPUTED_VALUE"""),"M. Pinard
Mme Forest")</f>
        <v>M. Pinard
Mme Forest</v>
      </c>
      <c r="K208" t="str">
        <f ca="1">IFERROR(__xludf.DUMMYFUNCTION("""COMPUTED_VALUE"""),"uexpress.chateauroux@systeme-u.fr")</f>
        <v>uexpress.chateauroux@systeme-u.fr</v>
      </c>
      <c r="L208" t="str">
        <f ca="1">IFERROR(__xludf.DUMMYFUNCTION("""COMPUTED_VALUE"""),"")</f>
        <v/>
      </c>
      <c r="M208" t="str">
        <f ca="1">IFERROR(__xludf.DUMMYFUNCTION("""COMPUTED_VALUE"""),"99.Hors Périmetre")</f>
        <v>99.Hors Périmetre</v>
      </c>
      <c r="N208" t="str">
        <f ca="1">IFERROR(__xludf.DUMMYFUNCTION("""COMPUTED_VALUE"""),"")</f>
        <v/>
      </c>
      <c r="O208" t="str">
        <f ca="1">IFERROR(__xludf.DUMMYFUNCTION("""COMPUTED_VALUE"""),"")</f>
        <v/>
      </c>
      <c r="P208" t="str">
        <f ca="1">IFERROR(__xludf.DUMMYFUNCTION("""COMPUTED_VALUE"""),"")</f>
        <v/>
      </c>
      <c r="Q208" s="5" t="str">
        <f ca="1">IFERROR(__xludf.DUMMYFUNCTION("""COMPUTED_VALUE"""),"")</f>
        <v/>
      </c>
      <c r="R208" s="6" t="str">
        <f ca="1">IFERROR(__xludf.DUMMYFUNCTION("""COMPUTED_VALUE"""),"")</f>
        <v/>
      </c>
      <c r="S208" t="str">
        <f ca="1">IFERROR(__xludf.DUMMYFUNCTION("""COMPUTED_VALUE"""),"")</f>
        <v/>
      </c>
      <c r="T208" t="str">
        <f ca="1">IFERROR(__xludf.DUMMYFUNCTION("""COMPUTED_VALUE"""),"")</f>
        <v/>
      </c>
      <c r="U208" t="str">
        <f ca="1">IFERROR(__xludf.DUMMYFUNCTION("""COMPUTED_VALUE"""),"")</f>
        <v/>
      </c>
      <c r="V208" t="str">
        <f ca="1">IFERROR(__xludf.DUMMYFUNCTION("""COMPUTED_VALUE"""),"")</f>
        <v/>
      </c>
      <c r="W208" t="str">
        <f ca="1">IFERROR(__xludf.DUMMYFUNCTION("""COMPUTED_VALUE"""),"")</f>
        <v/>
      </c>
      <c r="X208" t="str">
        <f ca="1">IFERROR(__xludf.DUMMYFUNCTION("""COMPUTED_VALUE"""),"")</f>
        <v/>
      </c>
      <c r="Y208" t="str">
        <f ca="1">IFERROR(__xludf.DUMMYFUNCTION("""COMPUTED_VALUE"""),"")</f>
        <v/>
      </c>
      <c r="Z208" t="str">
        <f ca="1">IFERROR(__xludf.DUMMYFUNCTION("""COMPUTED_VALUE"""),"")</f>
        <v/>
      </c>
      <c r="AA208" t="str">
        <f ca="1">IFERROR(__xludf.DUMMYFUNCTION("""COMPUTED_VALUE"""),"Pas de commande")</f>
        <v>Pas de commande</v>
      </c>
      <c r="AB208" s="8" t="str">
        <f ca="1">IFERROR(__xludf.DUMMYFUNCTION("""COMPUTED_VALUE"""),"")</f>
        <v/>
      </c>
      <c r="AC208" s="8" t="str">
        <f ca="1">IFERROR(__xludf.DUMMYFUNCTION("""COMPUTED_VALUE"""),"")</f>
        <v/>
      </c>
      <c r="AD208" s="11" t="str">
        <f ca="1">IFERROR(__xludf.DUMMYFUNCTION("""COMPUTED_VALUE"""),"")</f>
        <v/>
      </c>
      <c r="AE208" t="str">
        <f ca="1">IFERROR(__xludf.DUMMYFUNCTION("""COMPUTED_VALUE"""),"")</f>
        <v/>
      </c>
    </row>
    <row r="209" spans="1:31" ht="12.75" x14ac:dyDescent="0.2">
      <c r="A209">
        <f ca="1">IFERROR(__xludf.DUMMYFUNCTION("""COMPUTED_VALUE"""),32065)</f>
        <v>32065</v>
      </c>
      <c r="B209" t="str">
        <f ca="1">IFERROR(__xludf.DUMMYFUNCTION("""COMPUTED_VALUE"""),"CHATELLERAULT")</f>
        <v>CHATELLERAULT</v>
      </c>
      <c r="C209" t="str">
        <f ca="1">IFERROR(__xludf.DUMMYFUNCTION("""COMPUTED_VALUE"""),"Super U")</f>
        <v>Super U</v>
      </c>
      <c r="D209" t="str">
        <f ca="1">IFERROR(__xludf.DUMMYFUNCTION("""COMPUTED_VALUE"""),"Coop Atlantique")</f>
        <v>Coop Atlantique</v>
      </c>
      <c r="E209">
        <f ca="1">IFERROR(__xludf.DUMMYFUNCTION("""COMPUTED_VALUE"""),86100)</f>
        <v>86100</v>
      </c>
      <c r="F209" t="str">
        <f ca="1">IFERROR(__xludf.DUMMYFUNCTION("""COMPUTED_VALUE"""),"CHEMIN DE PARADIS")</f>
        <v>CHEMIN DE PARADIS</v>
      </c>
      <c r="G209" t="str">
        <f ca="1">IFERROR(__xludf.DUMMYFUNCTION("""COMPUTED_VALUE"""),"05.49.02.07.07")</f>
        <v>05.49.02.07.07</v>
      </c>
      <c r="H209" t="str">
        <f ca="1">IFERROR(__xludf.DUMMYFUNCTION("""COMPUTED_VALUE"""),"FLAMBARD Hervé")</f>
        <v>FLAMBARD Hervé</v>
      </c>
      <c r="I209" t="str">
        <f ca="1">IFERROR(__xludf.DUMMYFUNCTION("""COMPUTED_VALUE"""),"bertrand.defontaine_coop_su_uex@systeme-u.fr")</f>
        <v>bertrand.defontaine_coop_su_uex@systeme-u.fr</v>
      </c>
      <c r="J209" t="str">
        <f ca="1">IFERROR(__xludf.DUMMYFUNCTION("""COMPUTED_VALUE"""),"Mr Tessier")</f>
        <v>Mr Tessier</v>
      </c>
      <c r="K209" t="str">
        <f ca="1">IFERROR(__xludf.DUMMYFUNCTION("""COMPUTED_VALUE"""),"superu.chatellerault.direction@systeme-u.fr,nbrigant@coop-atlantique.fr,sjaud@coop-atlantique.fr, gtessier@coop-atlantique.fr")</f>
        <v>superu.chatellerault.direction@systeme-u.fr,nbrigant@coop-atlantique.fr,sjaud@coop-atlantique.fr, gtessier@coop-atlantique.fr</v>
      </c>
      <c r="L209" t="str">
        <f ca="1">IFERROR(__xludf.DUMMYFUNCTION("""COMPUTED_VALUE"""),"Standard")</f>
        <v>Standard</v>
      </c>
      <c r="M209" t="str">
        <f ca="1">IFERROR(__xludf.DUMMYFUNCTION("""COMPUTED_VALUE"""),"0. Non démarré")</f>
        <v>0. Non démarré</v>
      </c>
      <c r="N209" t="str">
        <f ca="1">IFERROR(__xludf.DUMMYFUNCTION("""COMPUTED_VALUE"""),"")</f>
        <v/>
      </c>
      <c r="O209" t="str">
        <f ca="1">IFERROR(__xludf.DUMMYFUNCTION("""COMPUTED_VALUE"""),"")</f>
        <v/>
      </c>
      <c r="P209" t="str">
        <f ca="1">IFERROR(__xludf.DUMMYFUNCTION("""COMPUTED_VALUE"""),"")</f>
        <v/>
      </c>
      <c r="Q209" s="5" t="str">
        <f ca="1">IFERROR(__xludf.DUMMYFUNCTION("""COMPUTED_VALUE"""),"")</f>
        <v/>
      </c>
      <c r="R209" s="6" t="str">
        <f ca="1">IFERROR(__xludf.DUMMYFUNCTION("""COMPUTED_VALUE"""),"")</f>
        <v/>
      </c>
      <c r="S209" t="str">
        <f ca="1">IFERROR(__xludf.DUMMYFUNCTION("""COMPUTED_VALUE"""),"")</f>
        <v/>
      </c>
      <c r="T209" t="str">
        <f ca="1">IFERROR(__xludf.DUMMYFUNCTION("""COMPUTED_VALUE"""),"")</f>
        <v/>
      </c>
      <c r="U209" t="str">
        <f ca="1">IFERROR(__xludf.DUMMYFUNCTION("""COMPUTED_VALUE"""),"")</f>
        <v/>
      </c>
      <c r="V209" t="str">
        <f ca="1">IFERROR(__xludf.DUMMYFUNCTION("""COMPUTED_VALUE"""),"")</f>
        <v/>
      </c>
      <c r="W209" t="str">
        <f ca="1">IFERROR(__xludf.DUMMYFUNCTION("""COMPUTED_VALUE"""),"R5")</f>
        <v>R5</v>
      </c>
      <c r="X209" t="str">
        <f ca="1">IFERROR(__xludf.DUMMYFUNCTION("""COMPUTED_VALUE"""),"PC mag &lt;8Go")</f>
        <v>PC mag &lt;8Go</v>
      </c>
      <c r="Y209" t="str">
        <f ca="1">IFERROR(__xludf.DUMMYFUNCTION("""COMPUTED_VALUE"""),"")</f>
        <v/>
      </c>
      <c r="Z209" t="str">
        <f ca="1">IFERROR(__xludf.DUMMYFUNCTION("""COMPUTED_VALUE"""),"")</f>
        <v/>
      </c>
      <c r="AA209" t="str">
        <f ca="1">IFERROR(__xludf.DUMMYFUNCTION("""COMPUTED_VALUE"""),"Pas de commande")</f>
        <v>Pas de commande</v>
      </c>
      <c r="AB209" s="8" t="str">
        <f ca="1">IFERROR(__xludf.DUMMYFUNCTION("""COMPUTED_VALUE"""),"")</f>
        <v/>
      </c>
      <c r="AC209" s="8" t="str">
        <f ca="1">IFERROR(__xludf.DUMMYFUNCTION("""COMPUTED_VALUE"""),"")</f>
        <v/>
      </c>
      <c r="AD209" s="11" t="str">
        <f ca="1">IFERROR(__xludf.DUMMYFUNCTION("""COMPUTED_VALUE"""),"")</f>
        <v/>
      </c>
      <c r="AE209" t="str">
        <f ca="1">IFERROR(__xludf.DUMMYFUNCTION("""COMPUTED_VALUE"""),"")</f>
        <v/>
      </c>
    </row>
    <row r="210" spans="1:31" ht="12.75" x14ac:dyDescent="0.2">
      <c r="A210">
        <f ca="1">IFERROR(__xludf.DUMMYFUNCTION("""COMPUTED_VALUE"""),34202)</f>
        <v>34202</v>
      </c>
      <c r="B210" t="str">
        <f ca="1">IFERROR(__xludf.DUMMYFUNCTION("""COMPUTED_VALUE"""),"CHATELLERAULT BLOSSAC")</f>
        <v>CHATELLERAULT BLOSSAC</v>
      </c>
      <c r="C210" t="str">
        <f ca="1">IFERROR(__xludf.DUMMYFUNCTION("""COMPUTED_VALUE"""),"Utile")</f>
        <v>Utile</v>
      </c>
      <c r="D210" t="str">
        <f ca="1">IFERROR(__xludf.DUMMYFUNCTION("""COMPUTED_VALUE"""),"Coop Atlantique")</f>
        <v>Coop Atlantique</v>
      </c>
      <c r="E210">
        <f ca="1">IFERROR(__xludf.DUMMYFUNCTION("""COMPUTED_VALUE"""),86100)</f>
        <v>86100</v>
      </c>
      <c r="F210" t="str">
        <f ca="1">IFERROR(__xludf.DUMMYFUNCTION("""COMPUTED_VALUE"""),"14 BOULEVARD BLOSSAC")</f>
        <v>14 BOULEVARD BLOSSAC</v>
      </c>
      <c r="G210" t="str">
        <f ca="1">IFERROR(__xludf.DUMMYFUNCTION("""COMPUTED_VALUE"""),"05.49.21.31.38")</f>
        <v>05.49.21.31.38</v>
      </c>
      <c r="H210" t="str">
        <f ca="1">IFERROR(__xludf.DUMMYFUNCTION("""COMPUTED_VALUE"""),"FLAMBARD Hervé")</f>
        <v>FLAMBARD Hervé</v>
      </c>
      <c r="I210" t="str">
        <f ca="1">IFERROR(__xludf.DUMMYFUNCTION("""COMPUTED_VALUE"""),"bertrand.defontaine_coop_su_uex@systeme-u.fr")</f>
        <v>bertrand.defontaine_coop_su_uex@systeme-u.fr</v>
      </c>
      <c r="J210" t="str">
        <f ca="1">IFERROR(__xludf.DUMMYFUNCTION("""COMPUTED_VALUE"""),"Jean-Charles Roy")</f>
        <v>Jean-Charles Roy</v>
      </c>
      <c r="K210" t="str">
        <f ca="1">IFERROR(__xludf.DUMMYFUNCTION("""COMPUTED_VALUE"""),"uexpress.chatelleraultblossac.direction@systeme-u.fr,nbrigant@coop-atlantique.fr,sjaud@coop-atlantique.fr")</f>
        <v>uexpress.chatelleraultblossac.direction@systeme-u.fr,nbrigant@coop-atlantique.fr,sjaud@coop-atlantique.fr</v>
      </c>
      <c r="L210" t="str">
        <f ca="1">IFERROR(__xludf.DUMMYFUNCTION("""COMPUTED_VALUE"""),"Standard")</f>
        <v>Standard</v>
      </c>
      <c r="M210" t="str">
        <f ca="1">IFERROR(__xludf.DUMMYFUNCTION("""COMPUTED_VALUE"""),"0. Non démarré")</f>
        <v>0. Non démarré</v>
      </c>
      <c r="N210" t="str">
        <f ca="1">IFERROR(__xludf.DUMMYFUNCTION("""COMPUTED_VALUE"""),"")</f>
        <v/>
      </c>
      <c r="O210" t="str">
        <f ca="1">IFERROR(__xludf.DUMMYFUNCTION("""COMPUTED_VALUE"""),"")</f>
        <v/>
      </c>
      <c r="P210" t="str">
        <f ca="1">IFERROR(__xludf.DUMMYFUNCTION("""COMPUTED_VALUE"""),"")</f>
        <v/>
      </c>
      <c r="Q210" s="5" t="str">
        <f ca="1">IFERROR(__xludf.DUMMYFUNCTION("""COMPUTED_VALUE"""),"")</f>
        <v/>
      </c>
      <c r="R210" s="6" t="str">
        <f ca="1">IFERROR(__xludf.DUMMYFUNCTION("""COMPUTED_VALUE"""),"")</f>
        <v/>
      </c>
      <c r="S210" t="str">
        <f ca="1">IFERROR(__xludf.DUMMYFUNCTION("""COMPUTED_VALUE"""),"")</f>
        <v/>
      </c>
      <c r="T210" t="str">
        <f ca="1">IFERROR(__xludf.DUMMYFUNCTION("""COMPUTED_VALUE"""),"")</f>
        <v/>
      </c>
      <c r="U210" t="str">
        <f ca="1">IFERROR(__xludf.DUMMYFUNCTION("""COMPUTED_VALUE"""),"")</f>
        <v/>
      </c>
      <c r="V210" t="str">
        <f ca="1">IFERROR(__xludf.DUMMYFUNCTION("""COMPUTED_VALUE"""),"")</f>
        <v/>
      </c>
      <c r="W210" t="str">
        <f ca="1">IFERROR(__xludf.DUMMYFUNCTION("""COMPUTED_VALUE"""),"R5")</f>
        <v>R5</v>
      </c>
      <c r="X210" t="str">
        <f ca="1">IFERROR(__xludf.DUMMYFUNCTION("""COMPUTED_VALUE"""),"PC mag &lt;8Go")</f>
        <v>PC mag &lt;8Go</v>
      </c>
      <c r="Y210" t="str">
        <f ca="1">IFERROR(__xludf.DUMMYFUNCTION("""COMPUTED_VALUE"""),"")</f>
        <v/>
      </c>
      <c r="Z210" t="str">
        <f ca="1">IFERROR(__xludf.DUMMYFUNCTION("""COMPUTED_VALUE"""),"")</f>
        <v/>
      </c>
      <c r="AA210" t="str">
        <f ca="1">IFERROR(__xludf.DUMMYFUNCTION("""COMPUTED_VALUE"""),"Pas de commande")</f>
        <v>Pas de commande</v>
      </c>
      <c r="AB210" s="8" t="str">
        <f ca="1">IFERROR(__xludf.DUMMYFUNCTION("""COMPUTED_VALUE"""),"")</f>
        <v/>
      </c>
      <c r="AC210" s="8" t="str">
        <f ca="1">IFERROR(__xludf.DUMMYFUNCTION("""COMPUTED_VALUE"""),"")</f>
        <v/>
      </c>
      <c r="AD210" s="11" t="str">
        <f ca="1">IFERROR(__xludf.DUMMYFUNCTION("""COMPUTED_VALUE"""),"")</f>
        <v/>
      </c>
      <c r="AE210" t="str">
        <f ca="1">IFERROR(__xludf.DUMMYFUNCTION("""COMPUTED_VALUE"""),"")</f>
        <v/>
      </c>
    </row>
    <row r="211" spans="1:31" ht="12.75" x14ac:dyDescent="0.2">
      <c r="A211">
        <f ca="1">IFERROR(__xludf.DUMMYFUNCTION("""COMPUTED_VALUE"""),65222)</f>
        <v>65222</v>
      </c>
      <c r="B211" t="str">
        <f ca="1">IFERROR(__xludf.DUMMYFUNCTION("""COMPUTED_VALUE"""),"CHATENOIS")</f>
        <v>CHATENOIS</v>
      </c>
      <c r="C211" t="str">
        <f ca="1">IFERROR(__xludf.DUMMYFUNCTION("""COMPUTED_VALUE"""),"Super U")</f>
        <v>Super U</v>
      </c>
      <c r="D211" t="str">
        <f ca="1">IFERROR(__xludf.DUMMYFUNCTION("""COMPUTED_VALUE"""),"Coop U Enseigne Est")</f>
        <v>Coop U Enseigne Est</v>
      </c>
      <c r="E211">
        <f ca="1">IFERROR(__xludf.DUMMYFUNCTION("""COMPUTED_VALUE"""),88170)</f>
        <v>88170</v>
      </c>
      <c r="F211" t="str">
        <f ca="1">IFERROR(__xludf.DUMMYFUNCTION("""COMPUTED_VALUE"""),"11 rue Pierre de Coubertin")</f>
        <v>11 rue Pierre de Coubertin</v>
      </c>
      <c r="G211" t="str">
        <f ca="1">IFERROR(__xludf.DUMMYFUNCTION("""COMPUTED_VALUE"""),"03.29.94.50.02")</f>
        <v>03.29.94.50.02</v>
      </c>
      <c r="H211" t="str">
        <f ca="1">IFERROR(__xludf.DUMMYFUNCTION("""COMPUTED_VALUE"""),"MARCHAL Aurore")</f>
        <v>MARCHAL Aurore</v>
      </c>
      <c r="I211" t="str">
        <f ca="1">IFERROR(__xludf.DUMMYFUNCTION("""COMPUTED_VALUE"""),"aurore.marchal@systeme-u.fr")</f>
        <v>aurore.marchal@systeme-u.fr</v>
      </c>
      <c r="J211" t="str">
        <f ca="1">IFERROR(__xludf.DUMMYFUNCTION("""COMPUTED_VALUE"""),"")</f>
        <v/>
      </c>
      <c r="K211" t="str">
        <f ca="1">IFERROR(__xludf.DUMMYFUNCTION("""COMPUTED_VALUE"""),"")</f>
        <v/>
      </c>
      <c r="L211" t="str">
        <f ca="1">IFERROR(__xludf.DUMMYFUNCTION("""COMPUTED_VALUE"""),"")</f>
        <v/>
      </c>
      <c r="M211" t="str">
        <f ca="1">IFERROR(__xludf.DUMMYFUNCTION("""COMPUTED_VALUE"""),"99.Hors Périmetre")</f>
        <v>99.Hors Périmetre</v>
      </c>
      <c r="N211" t="str">
        <f ca="1">IFERROR(__xludf.DUMMYFUNCTION("""COMPUTED_VALUE"""),"")</f>
        <v/>
      </c>
      <c r="O211" t="str">
        <f ca="1">IFERROR(__xludf.DUMMYFUNCTION("""COMPUTED_VALUE"""),"")</f>
        <v/>
      </c>
      <c r="P211" t="str">
        <f ca="1">IFERROR(__xludf.DUMMYFUNCTION("""COMPUTED_VALUE"""),"")</f>
        <v/>
      </c>
      <c r="Q211" s="5" t="str">
        <f ca="1">IFERROR(__xludf.DUMMYFUNCTION("""COMPUTED_VALUE"""),"")</f>
        <v/>
      </c>
      <c r="R211" s="6" t="str">
        <f ca="1">IFERROR(__xludf.DUMMYFUNCTION("""COMPUTED_VALUE"""),"")</f>
        <v/>
      </c>
      <c r="S211" t="str">
        <f ca="1">IFERROR(__xludf.DUMMYFUNCTION("""COMPUTED_VALUE"""),"")</f>
        <v/>
      </c>
      <c r="T211" t="str">
        <f ca="1">IFERROR(__xludf.DUMMYFUNCTION("""COMPUTED_VALUE"""),"")</f>
        <v/>
      </c>
      <c r="U211" t="str">
        <f ca="1">IFERROR(__xludf.DUMMYFUNCTION("""COMPUTED_VALUE"""),"")</f>
        <v/>
      </c>
      <c r="V211" t="str">
        <f ca="1">IFERROR(__xludf.DUMMYFUNCTION("""COMPUTED_VALUE"""),"")</f>
        <v/>
      </c>
      <c r="W211" t="str">
        <f ca="1">IFERROR(__xludf.DUMMYFUNCTION("""COMPUTED_VALUE"""),"")</f>
        <v/>
      </c>
      <c r="X211" t="str">
        <f ca="1">IFERROR(__xludf.DUMMYFUNCTION("""COMPUTED_VALUE"""),"")</f>
        <v/>
      </c>
      <c r="Y211" t="str">
        <f ca="1">IFERROR(__xludf.DUMMYFUNCTION("""COMPUTED_VALUE"""),"")</f>
        <v/>
      </c>
      <c r="Z211" t="str">
        <f ca="1">IFERROR(__xludf.DUMMYFUNCTION("""COMPUTED_VALUE"""),"")</f>
        <v/>
      </c>
      <c r="AA211" t="str">
        <f ca="1">IFERROR(__xludf.DUMMYFUNCTION("""COMPUTED_VALUE"""),"Pas de commande")</f>
        <v>Pas de commande</v>
      </c>
      <c r="AB211" s="8" t="str">
        <f ca="1">IFERROR(__xludf.DUMMYFUNCTION("""COMPUTED_VALUE"""),"")</f>
        <v/>
      </c>
      <c r="AC211" s="8" t="str">
        <f ca="1">IFERROR(__xludf.DUMMYFUNCTION("""COMPUTED_VALUE"""),"")</f>
        <v/>
      </c>
      <c r="AD211" s="11" t="str">
        <f ca="1">IFERROR(__xludf.DUMMYFUNCTION("""COMPUTED_VALUE"""),"")</f>
        <v/>
      </c>
      <c r="AE211" t="str">
        <f ca="1">IFERROR(__xludf.DUMMYFUNCTION("""COMPUTED_VALUE"""),"")</f>
        <v/>
      </c>
    </row>
    <row r="212" spans="1:31" ht="12.75" x14ac:dyDescent="0.2">
      <c r="A212">
        <f ca="1">IFERROR(__xludf.DUMMYFUNCTION("""COMPUTED_VALUE"""),34146)</f>
        <v>34146</v>
      </c>
      <c r="B212" t="str">
        <f ca="1">IFERROR(__xludf.DUMMYFUNCTION("""COMPUTED_VALUE"""),"CHATILLON-COLIGNY")</f>
        <v>CHATILLON-COLIGNY</v>
      </c>
      <c r="C212" t="str">
        <f ca="1">IFERROR(__xludf.DUMMYFUNCTION("""COMPUTED_VALUE"""),"Super U")</f>
        <v>Super U</v>
      </c>
      <c r="D212" t="str">
        <f ca="1">IFERROR(__xludf.DUMMYFUNCTION("""COMPUTED_VALUE"""),"Coop U Enseigne Ouest")</f>
        <v>Coop U Enseigne Ouest</v>
      </c>
      <c r="E212">
        <f ca="1">IFERROR(__xludf.DUMMYFUNCTION("""COMPUTED_VALUE"""),45230)</f>
        <v>45230</v>
      </c>
      <c r="F212" t="str">
        <f ca="1">IFERROR(__xludf.DUMMYFUNCTION("""COMPUTED_VALUE"""),"ROUTE DE MONTARGIS")</f>
        <v>ROUTE DE MONTARGIS</v>
      </c>
      <c r="G212" t="str">
        <f ca="1">IFERROR(__xludf.DUMMYFUNCTION("""COMPUTED_VALUE"""),"02.38.96.04.72")</f>
        <v>02.38.96.04.72</v>
      </c>
      <c r="H212" t="str">
        <f ca="1">IFERROR(__xludf.DUMMYFUNCTION("""COMPUTED_VALUE"""),"MARTELLA Michel")</f>
        <v>MARTELLA Michel</v>
      </c>
      <c r="I212" t="str">
        <f ca="1">IFERROR(__xludf.DUMMYFUNCTION("""COMPUTED_VALUE"""),"michel.martella@systeme-u.fr")</f>
        <v>michel.martella@systeme-u.fr</v>
      </c>
      <c r="J212" t="str">
        <f ca="1">IFERROR(__xludf.DUMMYFUNCTION("""COMPUTED_VALUE"""),"Steeve Luche
Melcer Eloïse")</f>
        <v>Steeve Luche
Melcer Eloïse</v>
      </c>
      <c r="K212" t="str">
        <f ca="1">IFERROR(__xludf.DUMMYFUNCTION("""COMPUTED_VALUE"""),"Superu.chatilloncoligny@systeme-u.fr")</f>
        <v>Superu.chatilloncoligny@systeme-u.fr</v>
      </c>
      <c r="L212" t="str">
        <f ca="1">IFERROR(__xludf.DUMMYFUNCTION("""COMPUTED_VALUE"""),"")</f>
        <v/>
      </c>
      <c r="M212" t="str">
        <f ca="1">IFERROR(__xludf.DUMMYFUNCTION("""COMPUTED_VALUE"""),"99.Hors Périmetre")</f>
        <v>99.Hors Périmetre</v>
      </c>
      <c r="N212" t="str">
        <f ca="1">IFERROR(__xludf.DUMMYFUNCTION("""COMPUTED_VALUE"""),"")</f>
        <v/>
      </c>
      <c r="O212" t="str">
        <f ca="1">IFERROR(__xludf.DUMMYFUNCTION("""COMPUTED_VALUE"""),"")</f>
        <v/>
      </c>
      <c r="P212" t="str">
        <f ca="1">IFERROR(__xludf.DUMMYFUNCTION("""COMPUTED_VALUE"""),"")</f>
        <v/>
      </c>
      <c r="Q212" s="5" t="str">
        <f ca="1">IFERROR(__xludf.DUMMYFUNCTION("""COMPUTED_VALUE"""),"")</f>
        <v/>
      </c>
      <c r="R212" s="6" t="str">
        <f ca="1">IFERROR(__xludf.DUMMYFUNCTION("""COMPUTED_VALUE"""),"")</f>
        <v/>
      </c>
      <c r="S212" t="str">
        <f ca="1">IFERROR(__xludf.DUMMYFUNCTION("""COMPUTED_VALUE"""),"")</f>
        <v/>
      </c>
      <c r="T212" t="str">
        <f ca="1">IFERROR(__xludf.DUMMYFUNCTION("""COMPUTED_VALUE"""),"")</f>
        <v/>
      </c>
      <c r="U212" t="str">
        <f ca="1">IFERROR(__xludf.DUMMYFUNCTION("""COMPUTED_VALUE"""),"")</f>
        <v/>
      </c>
      <c r="V212" t="str">
        <f ca="1">IFERROR(__xludf.DUMMYFUNCTION("""COMPUTED_VALUE"""),"")</f>
        <v/>
      </c>
      <c r="W212" t="str">
        <f ca="1">IFERROR(__xludf.DUMMYFUNCTION("""COMPUTED_VALUE"""),"")</f>
        <v/>
      </c>
      <c r="X212" t="str">
        <f ca="1">IFERROR(__xludf.DUMMYFUNCTION("""COMPUTED_VALUE"""),"")</f>
        <v/>
      </c>
      <c r="Y212" t="str">
        <f ca="1">IFERROR(__xludf.DUMMYFUNCTION("""COMPUTED_VALUE"""),"")</f>
        <v/>
      </c>
      <c r="Z212" t="str">
        <f ca="1">IFERROR(__xludf.DUMMYFUNCTION("""COMPUTED_VALUE"""),"")</f>
        <v/>
      </c>
      <c r="AA212" t="str">
        <f ca="1">IFERROR(__xludf.DUMMYFUNCTION("""COMPUTED_VALUE"""),"Pas de commande")</f>
        <v>Pas de commande</v>
      </c>
      <c r="AB212" s="8" t="str">
        <f ca="1">IFERROR(__xludf.DUMMYFUNCTION("""COMPUTED_VALUE"""),"")</f>
        <v/>
      </c>
      <c r="AC212" s="8" t="str">
        <f ca="1">IFERROR(__xludf.DUMMYFUNCTION("""COMPUTED_VALUE"""),"")</f>
        <v/>
      </c>
      <c r="AD212" s="11" t="str">
        <f ca="1">IFERROR(__xludf.DUMMYFUNCTION("""COMPUTED_VALUE"""),"")</f>
        <v/>
      </c>
      <c r="AE212" t="str">
        <f ca="1">IFERROR(__xludf.DUMMYFUNCTION("""COMPUTED_VALUE"""),"")</f>
        <v/>
      </c>
    </row>
    <row r="213" spans="1:31" ht="12.75" x14ac:dyDescent="0.2">
      <c r="A213">
        <f ca="1">IFERROR(__xludf.DUMMYFUNCTION("""COMPUTED_VALUE"""),31902)</f>
        <v>31902</v>
      </c>
      <c r="B213" t="str">
        <f ca="1">IFERROR(__xludf.DUMMYFUNCTION("""COMPUTED_VALUE"""),"CHATILLON-SUR-SEICHE")</f>
        <v>CHATILLON-SUR-SEICHE</v>
      </c>
      <c r="C213" t="str">
        <f ca="1">IFERROR(__xludf.DUMMYFUNCTION("""COMPUTED_VALUE"""),"Super U")</f>
        <v>Super U</v>
      </c>
      <c r="D213" t="str">
        <f ca="1">IFERROR(__xludf.DUMMYFUNCTION("""COMPUTED_VALUE"""),"Coop U Enseigne Ouest")</f>
        <v>Coop U Enseigne Ouest</v>
      </c>
      <c r="E213">
        <f ca="1">IFERROR(__xludf.DUMMYFUNCTION("""COMPUTED_VALUE"""),35230)</f>
        <v>35230</v>
      </c>
      <c r="F213" t="str">
        <f ca="1">IFERROR(__xludf.DUMMYFUNCTION("""COMPUTED_VALUE"""),"LES CHAMPS MOUTAIS")</f>
        <v>LES CHAMPS MOUTAIS</v>
      </c>
      <c r="G213" t="str">
        <f ca="1">IFERROR(__xludf.DUMMYFUNCTION("""COMPUTED_VALUE"""),"02.99.52.26.52")</f>
        <v>02.99.52.26.52</v>
      </c>
      <c r="H213" t="str">
        <f ca="1">IFERROR(__xludf.DUMMYFUNCTION("""COMPUTED_VALUE"""),"FONTAINE Régis")</f>
        <v>FONTAINE Régis</v>
      </c>
      <c r="I213" t="str">
        <f ca="1">IFERROR(__xludf.DUMMYFUNCTION("""COMPUTED_VALUE"""),"regis.fontaine@systeme-u.fr")</f>
        <v>regis.fontaine@systeme-u.fr</v>
      </c>
      <c r="J213" t="str">
        <f ca="1">IFERROR(__xludf.DUMMYFUNCTION("""COMPUTED_VALUE"""),"Mr CHAILLOU")</f>
        <v>Mr CHAILLOU</v>
      </c>
      <c r="K213" t="str">
        <f ca="1">IFERROR(__xludf.DUMMYFUNCTION("""COMPUTED_VALUE"""),"superu.chatillonsurseiche@systeme-u.fr")</f>
        <v>superu.chatillonsurseiche@systeme-u.fr</v>
      </c>
      <c r="L213" t="str">
        <f ca="1">IFERROR(__xludf.DUMMYFUNCTION("""COMPUTED_VALUE"""),"")</f>
        <v/>
      </c>
      <c r="M213" t="str">
        <f ca="1">IFERROR(__xludf.DUMMYFUNCTION("""COMPUTED_VALUE"""),"99.Hors Périmetre")</f>
        <v>99.Hors Périmetre</v>
      </c>
      <c r="N213" t="str">
        <f ca="1">IFERROR(__xludf.DUMMYFUNCTION("""COMPUTED_VALUE"""),"")</f>
        <v/>
      </c>
      <c r="O213" t="str">
        <f ca="1">IFERROR(__xludf.DUMMYFUNCTION("""COMPUTED_VALUE"""),"")</f>
        <v/>
      </c>
      <c r="P213" t="str">
        <f ca="1">IFERROR(__xludf.DUMMYFUNCTION("""COMPUTED_VALUE"""),"")</f>
        <v/>
      </c>
      <c r="Q213" s="5" t="str">
        <f ca="1">IFERROR(__xludf.DUMMYFUNCTION("""COMPUTED_VALUE"""),"")</f>
        <v/>
      </c>
      <c r="R213" s="6" t="str">
        <f ca="1">IFERROR(__xludf.DUMMYFUNCTION("""COMPUTED_VALUE"""),"")</f>
        <v/>
      </c>
      <c r="S213" t="str">
        <f ca="1">IFERROR(__xludf.DUMMYFUNCTION("""COMPUTED_VALUE"""),"")</f>
        <v/>
      </c>
      <c r="T213" t="str">
        <f ca="1">IFERROR(__xludf.DUMMYFUNCTION("""COMPUTED_VALUE"""),"")</f>
        <v/>
      </c>
      <c r="U213" t="str">
        <f ca="1">IFERROR(__xludf.DUMMYFUNCTION("""COMPUTED_VALUE"""),"")</f>
        <v/>
      </c>
      <c r="V213" t="str">
        <f ca="1">IFERROR(__xludf.DUMMYFUNCTION("""COMPUTED_VALUE"""),"")</f>
        <v/>
      </c>
      <c r="W213" t="str">
        <f ca="1">IFERROR(__xludf.DUMMYFUNCTION("""COMPUTED_VALUE"""),"")</f>
        <v/>
      </c>
      <c r="X213" t="str">
        <f ca="1">IFERROR(__xludf.DUMMYFUNCTION("""COMPUTED_VALUE"""),"")</f>
        <v/>
      </c>
      <c r="Y213" t="str">
        <f ca="1">IFERROR(__xludf.DUMMYFUNCTION("""COMPUTED_VALUE"""),"")</f>
        <v/>
      </c>
      <c r="Z213" t="str">
        <f ca="1">IFERROR(__xludf.DUMMYFUNCTION("""COMPUTED_VALUE"""),"")</f>
        <v/>
      </c>
      <c r="AA213" t="str">
        <f ca="1">IFERROR(__xludf.DUMMYFUNCTION("""COMPUTED_VALUE"""),"Pas de commande")</f>
        <v>Pas de commande</v>
      </c>
      <c r="AB213" s="8" t="str">
        <f ca="1">IFERROR(__xludf.DUMMYFUNCTION("""COMPUTED_VALUE"""),"")</f>
        <v/>
      </c>
      <c r="AC213" s="8" t="str">
        <f ca="1">IFERROR(__xludf.DUMMYFUNCTION("""COMPUTED_VALUE"""),"")</f>
        <v/>
      </c>
      <c r="AD213" s="11" t="str">
        <f ca="1">IFERROR(__xludf.DUMMYFUNCTION("""COMPUTED_VALUE"""),"")</f>
        <v/>
      </c>
      <c r="AE213" t="str">
        <f ca="1">IFERROR(__xludf.DUMMYFUNCTION("""COMPUTED_VALUE"""),"")</f>
        <v/>
      </c>
    </row>
    <row r="214" spans="1:31" ht="12.75" x14ac:dyDescent="0.2">
      <c r="A214">
        <f ca="1">IFERROR(__xludf.DUMMYFUNCTION("""COMPUTED_VALUE"""),21635)</f>
        <v>21635</v>
      </c>
      <c r="B214" t="str">
        <f ca="1">IFERROR(__xludf.DUMMYFUNCTION("""COMPUTED_VALUE"""),"CHATOU")</f>
        <v>CHATOU</v>
      </c>
      <c r="C214" t="str">
        <f ca="1">IFERROR(__xludf.DUMMYFUNCTION("""COMPUTED_VALUE"""),"Super U")</f>
        <v>Super U</v>
      </c>
      <c r="D214" t="str">
        <f ca="1">IFERROR(__xludf.DUMMYFUNCTION("""COMPUTED_VALUE"""),"Coop U Enseigne NordOuest")</f>
        <v>Coop U Enseigne NordOuest</v>
      </c>
      <c r="E214">
        <f ca="1">IFERROR(__xludf.DUMMYFUNCTION("""COMPUTED_VALUE"""),78400)</f>
        <v>78400</v>
      </c>
      <c r="F214" t="str">
        <f ca="1">IFERROR(__xludf.DUMMYFUNCTION("""COMPUTED_VALUE"""),"5 PLACE MAURICE BERTEAUX")</f>
        <v>5 PLACE MAURICE BERTEAUX</v>
      </c>
      <c r="G214" t="str">
        <f ca="1">IFERROR(__xludf.DUMMYFUNCTION("""COMPUTED_VALUE"""),"01.34.80.96.96")</f>
        <v>01.34.80.96.96</v>
      </c>
      <c r="H214" t="str">
        <f ca="1">IFERROR(__xludf.DUMMYFUNCTION("""COMPUTED_VALUE"""),"DIERICK Sébastien")</f>
        <v>DIERICK Sébastien</v>
      </c>
      <c r="I214" t="str">
        <f ca="1">IFERROR(__xludf.DUMMYFUNCTION("""COMPUTED_VALUE"""),"sebastien.dierick@systeme-u.fr")</f>
        <v>sebastien.dierick@systeme-u.fr</v>
      </c>
      <c r="J214" t="str">
        <f ca="1">IFERROR(__xludf.DUMMYFUNCTION("""COMPUTED_VALUE"""),"M Belon ")</f>
        <v xml:space="preserve">M Belon </v>
      </c>
      <c r="K214" t="str">
        <f ca="1">IFERROR(__xludf.DUMMYFUNCTION("""COMPUTED_VALUE"""),"superu.chatou@systeme-u.fr")</f>
        <v>superu.chatou@systeme-u.fr</v>
      </c>
      <c r="L214" t="str">
        <f ca="1">IFERROR(__xludf.DUMMYFUNCTION("""COMPUTED_VALUE"""),"")</f>
        <v/>
      </c>
      <c r="M214" t="str">
        <f ca="1">IFERROR(__xludf.DUMMYFUNCTION("""COMPUTED_VALUE"""),"99.Hors Périmetre")</f>
        <v>99.Hors Périmetre</v>
      </c>
      <c r="N214" t="str">
        <f ca="1">IFERROR(__xludf.DUMMYFUNCTION("""COMPUTED_VALUE"""),"")</f>
        <v/>
      </c>
      <c r="O214" t="str">
        <f ca="1">IFERROR(__xludf.DUMMYFUNCTION("""COMPUTED_VALUE"""),"")</f>
        <v/>
      </c>
      <c r="P214" t="str">
        <f ca="1">IFERROR(__xludf.DUMMYFUNCTION("""COMPUTED_VALUE"""),"")</f>
        <v/>
      </c>
      <c r="Q214" s="5" t="str">
        <f ca="1">IFERROR(__xludf.DUMMYFUNCTION("""COMPUTED_VALUE"""),"")</f>
        <v/>
      </c>
      <c r="R214" s="6" t="str">
        <f ca="1">IFERROR(__xludf.DUMMYFUNCTION("""COMPUTED_VALUE"""),"")</f>
        <v/>
      </c>
      <c r="S214" t="str">
        <f ca="1">IFERROR(__xludf.DUMMYFUNCTION("""COMPUTED_VALUE"""),"")</f>
        <v/>
      </c>
      <c r="T214" t="str">
        <f ca="1">IFERROR(__xludf.DUMMYFUNCTION("""COMPUTED_VALUE"""),"")</f>
        <v/>
      </c>
      <c r="U214" t="str">
        <f ca="1">IFERROR(__xludf.DUMMYFUNCTION("""COMPUTED_VALUE"""),"")</f>
        <v/>
      </c>
      <c r="V214" t="str">
        <f ca="1">IFERROR(__xludf.DUMMYFUNCTION("""COMPUTED_VALUE"""),"")</f>
        <v/>
      </c>
      <c r="W214" t="str">
        <f ca="1">IFERROR(__xludf.DUMMYFUNCTION("""COMPUTED_VALUE"""),"")</f>
        <v/>
      </c>
      <c r="X214" t="str">
        <f ca="1">IFERROR(__xludf.DUMMYFUNCTION("""COMPUTED_VALUE"""),"")</f>
        <v/>
      </c>
      <c r="Y214" t="str">
        <f ca="1">IFERROR(__xludf.DUMMYFUNCTION("""COMPUTED_VALUE"""),"")</f>
        <v/>
      </c>
      <c r="Z214" t="str">
        <f ca="1">IFERROR(__xludf.DUMMYFUNCTION("""COMPUTED_VALUE"""),"")</f>
        <v/>
      </c>
      <c r="AA214" t="str">
        <f ca="1">IFERROR(__xludf.DUMMYFUNCTION("""COMPUTED_VALUE"""),"Pas de commande")</f>
        <v>Pas de commande</v>
      </c>
      <c r="AB214" s="8" t="str">
        <f ca="1">IFERROR(__xludf.DUMMYFUNCTION("""COMPUTED_VALUE"""),"")</f>
        <v/>
      </c>
      <c r="AC214" s="8" t="str">
        <f ca="1">IFERROR(__xludf.DUMMYFUNCTION("""COMPUTED_VALUE"""),"")</f>
        <v/>
      </c>
      <c r="AD214" s="11" t="str">
        <f ca="1">IFERROR(__xludf.DUMMYFUNCTION("""COMPUTED_VALUE"""),"")</f>
        <v/>
      </c>
      <c r="AE214" t="str">
        <f ca="1">IFERROR(__xludf.DUMMYFUNCTION("""COMPUTED_VALUE"""),"")</f>
        <v/>
      </c>
    </row>
    <row r="215" spans="1:31" ht="12.75" x14ac:dyDescent="0.2">
      <c r="A215">
        <f ca="1">IFERROR(__xludf.DUMMYFUNCTION("""COMPUTED_VALUE"""),28303)</f>
        <v>28303</v>
      </c>
      <c r="B215" t="str">
        <f ca="1">IFERROR(__xludf.DUMMYFUNCTION("""COMPUTED_VALUE"""),"CHATOU MAUPASSANT")</f>
        <v>CHATOU MAUPASSANT</v>
      </c>
      <c r="C215" t="str">
        <f ca="1">IFERROR(__xludf.DUMMYFUNCTION("""COMPUTED_VALUE"""),"U Express")</f>
        <v>U Express</v>
      </c>
      <c r="D215" t="str">
        <f ca="1">IFERROR(__xludf.DUMMYFUNCTION("""COMPUTED_VALUE"""),"Coop U Enseigne NordOuest")</f>
        <v>Coop U Enseigne NordOuest</v>
      </c>
      <c r="E215">
        <f ca="1">IFERROR(__xludf.DUMMYFUNCTION("""COMPUTED_VALUE"""),78400)</f>
        <v>78400</v>
      </c>
      <c r="F215" t="str">
        <f ca="1">IFERROR(__xludf.DUMMYFUNCTION("""COMPUTED_VALUE"""),"1-3 AVENUE GUY DE MAUPASSANT")</f>
        <v>1-3 AVENUE GUY DE MAUPASSANT</v>
      </c>
      <c r="G215" t="str">
        <f ca="1">IFERROR(__xludf.DUMMYFUNCTION("""COMPUTED_VALUE"""),"09.53.16.30.63")</f>
        <v>09.53.16.30.63</v>
      </c>
      <c r="H215" t="str">
        <f ca="1">IFERROR(__xludf.DUMMYFUNCTION("""COMPUTED_VALUE"""),"DIERICK Laurent")</f>
        <v>DIERICK Laurent</v>
      </c>
      <c r="I215" t="str">
        <f ca="1">IFERROR(__xludf.DUMMYFUNCTION("""COMPUTED_VALUE"""),"laurent.dierick@systeme-u.fr")</f>
        <v>laurent.dierick@systeme-u.fr</v>
      </c>
      <c r="J215" t="str">
        <f ca="1">IFERROR(__xludf.DUMMYFUNCTION("""COMPUTED_VALUE"""),"Mme Dierick")</f>
        <v>Mme Dierick</v>
      </c>
      <c r="K215" t="str">
        <f ca="1">IFERROR(__xludf.DUMMYFUNCTION("""COMPUTED_VALUE"""),"catodis@free.fr")</f>
        <v>catodis@free.fr</v>
      </c>
      <c r="L215" t="str">
        <f ca="1">IFERROR(__xludf.DUMMYFUNCTION("""COMPUTED_VALUE"""),"")</f>
        <v/>
      </c>
      <c r="M215" t="str">
        <f ca="1">IFERROR(__xludf.DUMMYFUNCTION("""COMPUTED_VALUE"""),"99.Hors Périmetre")</f>
        <v>99.Hors Périmetre</v>
      </c>
      <c r="N215" t="str">
        <f ca="1">IFERROR(__xludf.DUMMYFUNCTION("""COMPUTED_VALUE"""),"")</f>
        <v/>
      </c>
      <c r="O215" t="str">
        <f ca="1">IFERROR(__xludf.DUMMYFUNCTION("""COMPUTED_VALUE"""),"")</f>
        <v/>
      </c>
      <c r="P215" t="str">
        <f ca="1">IFERROR(__xludf.DUMMYFUNCTION("""COMPUTED_VALUE"""),"")</f>
        <v/>
      </c>
      <c r="Q215" s="5" t="str">
        <f ca="1">IFERROR(__xludf.DUMMYFUNCTION("""COMPUTED_VALUE"""),"")</f>
        <v/>
      </c>
      <c r="R215" s="6" t="str">
        <f ca="1">IFERROR(__xludf.DUMMYFUNCTION("""COMPUTED_VALUE"""),"")</f>
        <v/>
      </c>
      <c r="S215" t="str">
        <f ca="1">IFERROR(__xludf.DUMMYFUNCTION("""COMPUTED_VALUE"""),"")</f>
        <v/>
      </c>
      <c r="T215" t="str">
        <f ca="1">IFERROR(__xludf.DUMMYFUNCTION("""COMPUTED_VALUE"""),"")</f>
        <v/>
      </c>
      <c r="U215" t="str">
        <f ca="1">IFERROR(__xludf.DUMMYFUNCTION("""COMPUTED_VALUE"""),"")</f>
        <v/>
      </c>
      <c r="V215" t="str">
        <f ca="1">IFERROR(__xludf.DUMMYFUNCTION("""COMPUTED_VALUE"""),"")</f>
        <v/>
      </c>
      <c r="W215" t="str">
        <f ca="1">IFERROR(__xludf.DUMMYFUNCTION("""COMPUTED_VALUE"""),"")</f>
        <v/>
      </c>
      <c r="X215" t="str">
        <f ca="1">IFERROR(__xludf.DUMMYFUNCTION("""COMPUTED_VALUE"""),"")</f>
        <v/>
      </c>
      <c r="Y215" t="str">
        <f ca="1">IFERROR(__xludf.DUMMYFUNCTION("""COMPUTED_VALUE"""),"")</f>
        <v/>
      </c>
      <c r="Z215" t="str">
        <f ca="1">IFERROR(__xludf.DUMMYFUNCTION("""COMPUTED_VALUE"""),"")</f>
        <v/>
      </c>
      <c r="AA215" t="str">
        <f ca="1">IFERROR(__xludf.DUMMYFUNCTION("""COMPUTED_VALUE"""),"Pas de commande")</f>
        <v>Pas de commande</v>
      </c>
      <c r="AB215" s="8" t="str">
        <f ca="1">IFERROR(__xludf.DUMMYFUNCTION("""COMPUTED_VALUE"""),"")</f>
        <v/>
      </c>
      <c r="AC215" s="8" t="str">
        <f ca="1">IFERROR(__xludf.DUMMYFUNCTION("""COMPUTED_VALUE"""),"")</f>
        <v/>
      </c>
      <c r="AD215" s="11" t="str">
        <f ca="1">IFERROR(__xludf.DUMMYFUNCTION("""COMPUTED_VALUE"""),"")</f>
        <v/>
      </c>
      <c r="AE215" t="str">
        <f ca="1">IFERROR(__xludf.DUMMYFUNCTION("""COMPUTED_VALUE"""),"")</f>
        <v/>
      </c>
    </row>
    <row r="216" spans="1:31" ht="12.75" x14ac:dyDescent="0.2">
      <c r="A216">
        <f ca="1">IFERROR(__xludf.DUMMYFUNCTION("""COMPUTED_VALUE"""),91128)</f>
        <v>91128</v>
      </c>
      <c r="B216" t="str">
        <f ca="1">IFERROR(__xludf.DUMMYFUNCTION("""COMPUTED_VALUE"""),"CHATUZANGE LE GOUBET")</f>
        <v>CHATUZANGE LE GOUBET</v>
      </c>
      <c r="C216" t="str">
        <f ca="1">IFERROR(__xludf.DUMMYFUNCTION("""COMPUTED_VALUE"""),"U Express")</f>
        <v>U Express</v>
      </c>
      <c r="D216" t="str">
        <f ca="1">IFERROR(__xludf.DUMMYFUNCTION("""COMPUTED_VALUE"""),"Coop MISTRAL")</f>
        <v>Coop MISTRAL</v>
      </c>
      <c r="E216">
        <f ca="1">IFERROR(__xludf.DUMMYFUNCTION("""COMPUTED_VALUE"""),26300)</f>
        <v>26300</v>
      </c>
      <c r="F216" t="str">
        <f ca="1">IFERROR(__xludf.DUMMYFUNCTION("""COMPUTED_VALUE"""),"LIEU DIT LES GUERRES")</f>
        <v>LIEU DIT LES GUERRES</v>
      </c>
      <c r="G216" t="str">
        <f ca="1">IFERROR(__xludf.DUMMYFUNCTION("""COMPUTED_VALUE"""),"04.75.45.52.32")</f>
        <v>04.75.45.52.32</v>
      </c>
      <c r="H216" t="str">
        <f ca="1">IFERROR(__xludf.DUMMYFUNCTION("""COMPUTED_VALUE"""),"DUMOULIN Philippe &amp; Myriam")</f>
        <v>DUMOULIN Philippe &amp; Myriam</v>
      </c>
      <c r="I216" t="str">
        <f ca="1">IFERROR(__xludf.DUMMYFUNCTION("""COMPUTED_VALUE"""),"uexpress.chatuzangelegoubet@mistral-u.fr")</f>
        <v>uexpress.chatuzangelegoubet@mistral-u.fr</v>
      </c>
      <c r="J216" t="str">
        <f ca="1">IFERROR(__xludf.DUMMYFUNCTION("""COMPUTED_VALUE"""),"")</f>
        <v/>
      </c>
      <c r="K216" t="str">
        <f ca="1">IFERROR(__xludf.DUMMYFUNCTION("""COMPUTED_VALUE"""),"delphine.damian@lemistral.fr,helene.mina@lemistral.fr")</f>
        <v>delphine.damian@lemistral.fr,helene.mina@lemistral.fr</v>
      </c>
      <c r="L216" t="str">
        <f ca="1">IFERROR(__xludf.DUMMYFUNCTION("""COMPUTED_VALUE"""),"")</f>
        <v/>
      </c>
      <c r="M216" t="str">
        <f ca="1">IFERROR(__xludf.DUMMYFUNCTION("""COMPUTED_VALUE"""),"99.Hors Périmetre")</f>
        <v>99.Hors Périmetre</v>
      </c>
      <c r="N216" t="str">
        <f ca="1">IFERROR(__xludf.DUMMYFUNCTION("""COMPUTED_VALUE"""),"")</f>
        <v/>
      </c>
      <c r="O216" t="str">
        <f ca="1">IFERROR(__xludf.DUMMYFUNCTION("""COMPUTED_VALUE"""),"")</f>
        <v/>
      </c>
      <c r="P216" t="str">
        <f ca="1">IFERROR(__xludf.DUMMYFUNCTION("""COMPUTED_VALUE"""),"")</f>
        <v/>
      </c>
      <c r="Q216" s="5" t="str">
        <f ca="1">IFERROR(__xludf.DUMMYFUNCTION("""COMPUTED_VALUE"""),"")</f>
        <v/>
      </c>
      <c r="R216" s="6" t="str">
        <f ca="1">IFERROR(__xludf.DUMMYFUNCTION("""COMPUTED_VALUE"""),"")</f>
        <v/>
      </c>
      <c r="S216" t="str">
        <f ca="1">IFERROR(__xludf.DUMMYFUNCTION("""COMPUTED_VALUE"""),"")</f>
        <v/>
      </c>
      <c r="T216" t="str">
        <f ca="1">IFERROR(__xludf.DUMMYFUNCTION("""COMPUTED_VALUE"""),"")</f>
        <v/>
      </c>
      <c r="U216" t="str">
        <f ca="1">IFERROR(__xludf.DUMMYFUNCTION("""COMPUTED_VALUE"""),"")</f>
        <v/>
      </c>
      <c r="V216" t="str">
        <f ca="1">IFERROR(__xludf.DUMMYFUNCTION("""COMPUTED_VALUE"""),"")</f>
        <v/>
      </c>
      <c r="W216" t="str">
        <f ca="1">IFERROR(__xludf.DUMMYFUNCTION("""COMPUTED_VALUE"""),"")</f>
        <v/>
      </c>
      <c r="X216" t="str">
        <f ca="1">IFERROR(__xludf.DUMMYFUNCTION("""COMPUTED_VALUE"""),"")</f>
        <v/>
      </c>
      <c r="Y216" t="str">
        <f ca="1">IFERROR(__xludf.DUMMYFUNCTION("""COMPUTED_VALUE"""),"")</f>
        <v/>
      </c>
      <c r="Z216" t="str">
        <f ca="1">IFERROR(__xludf.DUMMYFUNCTION("""COMPUTED_VALUE"""),"")</f>
        <v/>
      </c>
      <c r="AA216" t="str">
        <f ca="1">IFERROR(__xludf.DUMMYFUNCTION("""COMPUTED_VALUE"""),"Pas de commande")</f>
        <v>Pas de commande</v>
      </c>
      <c r="AB216" s="8" t="str">
        <f ca="1">IFERROR(__xludf.DUMMYFUNCTION("""COMPUTED_VALUE"""),"")</f>
        <v/>
      </c>
      <c r="AC216" s="8" t="str">
        <f ca="1">IFERROR(__xludf.DUMMYFUNCTION("""COMPUTED_VALUE"""),"")</f>
        <v/>
      </c>
      <c r="AD216" s="11" t="str">
        <f ca="1">IFERROR(__xludf.DUMMYFUNCTION("""COMPUTED_VALUE"""),"")</f>
        <v/>
      </c>
      <c r="AE216" t="str">
        <f ca="1">IFERROR(__xludf.DUMMYFUNCTION("""COMPUTED_VALUE"""),"")</f>
        <v/>
      </c>
    </row>
    <row r="217" spans="1:31" ht="12.75" x14ac:dyDescent="0.2">
      <c r="A217">
        <f ca="1">IFERROR(__xludf.DUMMYFUNCTION("""COMPUTED_VALUE"""),32066)</f>
        <v>32066</v>
      </c>
      <c r="B217" t="str">
        <f ca="1">IFERROR(__xludf.DUMMYFUNCTION("""COMPUTED_VALUE"""),"CHAUVIGNY")</f>
        <v>CHAUVIGNY</v>
      </c>
      <c r="C217" t="str">
        <f ca="1">IFERROR(__xludf.DUMMYFUNCTION("""COMPUTED_VALUE"""),"Super U")</f>
        <v>Super U</v>
      </c>
      <c r="D217" t="str">
        <f ca="1">IFERROR(__xludf.DUMMYFUNCTION("""COMPUTED_VALUE"""),"Coop Atlantique")</f>
        <v>Coop Atlantique</v>
      </c>
      <c r="E217">
        <f ca="1">IFERROR(__xludf.DUMMYFUNCTION("""COMPUTED_VALUE"""),86300)</f>
        <v>86300</v>
      </c>
      <c r="F217" t="str">
        <f ca="1">IFERROR(__xludf.DUMMYFUNCTION("""COMPUTED_VALUE"""),"2, RUE DE LA VERRERIE")</f>
        <v>2, RUE DE LA VERRERIE</v>
      </c>
      <c r="G217" t="str">
        <f ca="1">IFERROR(__xludf.DUMMYFUNCTION("""COMPUTED_VALUE"""),"05.49.46.56.28")</f>
        <v>05.49.46.56.28</v>
      </c>
      <c r="H217" t="str">
        <f ca="1">IFERROR(__xludf.DUMMYFUNCTION("""COMPUTED_VALUE"""),"FLAMBARD Hervé")</f>
        <v>FLAMBARD Hervé</v>
      </c>
      <c r="I217" t="str">
        <f ca="1">IFERROR(__xludf.DUMMYFUNCTION("""COMPUTED_VALUE"""),"bertrand.defontaine_coop_su_uex@systeme-u.fr")</f>
        <v>bertrand.defontaine_coop_su_uex@systeme-u.fr</v>
      </c>
      <c r="J217" t="str">
        <f ca="1">IFERROR(__xludf.DUMMYFUNCTION("""COMPUTED_VALUE"""),"Christophe AUBRAY")</f>
        <v>Christophe AUBRAY</v>
      </c>
      <c r="K217" t="str">
        <f ca="1">IFERROR(__xludf.DUMMYFUNCTION("""COMPUTED_VALUE"""),"superu.chauvigny.direction@systeme-u.fr,nbrigant@coop-atlantique.fr,sjaud@coop-atlantique.fr")</f>
        <v>superu.chauvigny.direction@systeme-u.fr,nbrigant@coop-atlantique.fr,sjaud@coop-atlantique.fr</v>
      </c>
      <c r="L217" t="str">
        <f ca="1">IFERROR(__xludf.DUMMYFUNCTION("""COMPUTED_VALUE"""),"")</f>
        <v/>
      </c>
      <c r="M217" t="str">
        <f ca="1">IFERROR(__xludf.DUMMYFUNCTION("""COMPUTED_VALUE"""),"99.Hors Périmetre")</f>
        <v>99.Hors Périmetre</v>
      </c>
      <c r="N217" t="str">
        <f ca="1">IFERROR(__xludf.DUMMYFUNCTION("""COMPUTED_VALUE"""),"")</f>
        <v/>
      </c>
      <c r="O217" t="str">
        <f ca="1">IFERROR(__xludf.DUMMYFUNCTION("""COMPUTED_VALUE"""),"")</f>
        <v/>
      </c>
      <c r="P217" t="str">
        <f ca="1">IFERROR(__xludf.DUMMYFUNCTION("""COMPUTED_VALUE"""),"")</f>
        <v/>
      </c>
      <c r="Q217" s="5" t="str">
        <f ca="1">IFERROR(__xludf.DUMMYFUNCTION("""COMPUTED_VALUE"""),"")</f>
        <v/>
      </c>
      <c r="R217" s="6" t="str">
        <f ca="1">IFERROR(__xludf.DUMMYFUNCTION("""COMPUTED_VALUE"""),"")</f>
        <v/>
      </c>
      <c r="S217" t="str">
        <f ca="1">IFERROR(__xludf.DUMMYFUNCTION("""COMPUTED_VALUE"""),"")</f>
        <v/>
      </c>
      <c r="T217" t="str">
        <f ca="1">IFERROR(__xludf.DUMMYFUNCTION("""COMPUTED_VALUE"""),"")</f>
        <v/>
      </c>
      <c r="U217" t="str">
        <f ca="1">IFERROR(__xludf.DUMMYFUNCTION("""COMPUTED_VALUE"""),"")</f>
        <v/>
      </c>
      <c r="V217" t="str">
        <f ca="1">IFERROR(__xludf.DUMMYFUNCTION("""COMPUTED_VALUE"""),"")</f>
        <v/>
      </c>
      <c r="W217" t="str">
        <f ca="1">IFERROR(__xludf.DUMMYFUNCTION("""COMPUTED_VALUE"""),"")</f>
        <v/>
      </c>
      <c r="X217" t="str">
        <f ca="1">IFERROR(__xludf.DUMMYFUNCTION("""COMPUTED_VALUE"""),"")</f>
        <v/>
      </c>
      <c r="Y217" t="str">
        <f ca="1">IFERROR(__xludf.DUMMYFUNCTION("""COMPUTED_VALUE"""),"")</f>
        <v/>
      </c>
      <c r="Z217" t="str">
        <f ca="1">IFERROR(__xludf.DUMMYFUNCTION("""COMPUTED_VALUE"""),"")</f>
        <v/>
      </c>
      <c r="AA217" t="str">
        <f ca="1">IFERROR(__xludf.DUMMYFUNCTION("""COMPUTED_VALUE"""),"Pas de commande")</f>
        <v>Pas de commande</v>
      </c>
      <c r="AB217" s="8" t="str">
        <f ca="1">IFERROR(__xludf.DUMMYFUNCTION("""COMPUTED_VALUE"""),"")</f>
        <v/>
      </c>
      <c r="AC217" s="8" t="str">
        <f ca="1">IFERROR(__xludf.DUMMYFUNCTION("""COMPUTED_VALUE"""),"")</f>
        <v/>
      </c>
      <c r="AD217" s="11" t="str">
        <f ca="1">IFERROR(__xludf.DUMMYFUNCTION("""COMPUTED_VALUE"""),"")</f>
        <v/>
      </c>
      <c r="AE217" t="str">
        <f ca="1">IFERROR(__xludf.DUMMYFUNCTION("""COMPUTED_VALUE"""),"")</f>
        <v/>
      </c>
    </row>
    <row r="218" spans="1:31" ht="12.75" x14ac:dyDescent="0.2">
      <c r="A218">
        <f ca="1">IFERROR(__xludf.DUMMYFUNCTION("""COMPUTED_VALUE"""),34166)</f>
        <v>34166</v>
      </c>
      <c r="B218" t="str">
        <f ca="1">IFERROR(__xludf.DUMMYFUNCTION("""COMPUTED_VALUE"""),"CHEF BOUTONNE")</f>
        <v>CHEF BOUTONNE</v>
      </c>
      <c r="C218" t="str">
        <f ca="1">IFERROR(__xludf.DUMMYFUNCTION("""COMPUTED_VALUE"""),"U Express")</f>
        <v>U Express</v>
      </c>
      <c r="D218" t="str">
        <f ca="1">IFERROR(__xludf.DUMMYFUNCTION("""COMPUTED_VALUE"""),"Coop Atlantique")</f>
        <v>Coop Atlantique</v>
      </c>
      <c r="E218">
        <f ca="1">IFERROR(__xludf.DUMMYFUNCTION("""COMPUTED_VALUE"""),79120)</f>
        <v>79120</v>
      </c>
      <c r="F218" t="str">
        <f ca="1">IFERROR(__xludf.DUMMYFUNCTION("""COMPUTED_VALUE"""),"17 PLACE CAIL")</f>
        <v>17 PLACE CAIL</v>
      </c>
      <c r="G218" t="str">
        <f ca="1">IFERROR(__xludf.DUMMYFUNCTION("""COMPUTED_VALUE"""),"05.49.29.81.10")</f>
        <v>05.49.29.81.10</v>
      </c>
      <c r="H218" t="str">
        <f ca="1">IFERROR(__xludf.DUMMYFUNCTION("""COMPUTED_VALUE"""),"FLAMBARD Hervé")</f>
        <v>FLAMBARD Hervé</v>
      </c>
      <c r="I218" t="str">
        <f ca="1">IFERROR(__xludf.DUMMYFUNCTION("""COMPUTED_VALUE"""),"bertrand.defontaine_coop_su_uex@systeme-u.fr")</f>
        <v>bertrand.defontaine_coop_su_uex@systeme-u.fr</v>
      </c>
      <c r="J218" t="str">
        <f ca="1">IFERROR(__xludf.DUMMYFUNCTION("""COMPUTED_VALUE"""),"Gilbert PAYEUR")</f>
        <v>Gilbert PAYEUR</v>
      </c>
      <c r="K218" t="str">
        <f ca="1">IFERROR(__xludf.DUMMYFUNCTION("""COMPUTED_VALUE"""),"uexpress.chefboutonne.direction@systeme-u.fr,nbrigant@coop-atlantique.fr,sjaud@coop-atlantique.fr,aouvrard@coop-atlantique.fr")</f>
        <v>uexpress.chefboutonne.direction@systeme-u.fr,nbrigant@coop-atlantique.fr,sjaud@coop-atlantique.fr,aouvrard@coop-atlantique.fr</v>
      </c>
      <c r="L218" t="str">
        <f ca="1">IFERROR(__xludf.DUMMYFUNCTION("""COMPUTED_VALUE"""),"")</f>
        <v/>
      </c>
      <c r="M218" t="str">
        <f ca="1">IFERROR(__xludf.DUMMYFUNCTION("""COMPUTED_VALUE"""),"99.Hors Périmetre")</f>
        <v>99.Hors Périmetre</v>
      </c>
      <c r="N218" t="str">
        <f ca="1">IFERROR(__xludf.DUMMYFUNCTION("""COMPUTED_VALUE"""),"")</f>
        <v/>
      </c>
      <c r="O218" t="str">
        <f ca="1">IFERROR(__xludf.DUMMYFUNCTION("""COMPUTED_VALUE"""),"")</f>
        <v/>
      </c>
      <c r="P218" t="str">
        <f ca="1">IFERROR(__xludf.DUMMYFUNCTION("""COMPUTED_VALUE"""),"")</f>
        <v/>
      </c>
      <c r="Q218" s="5" t="str">
        <f ca="1">IFERROR(__xludf.DUMMYFUNCTION("""COMPUTED_VALUE"""),"")</f>
        <v/>
      </c>
      <c r="R218" s="6" t="str">
        <f ca="1">IFERROR(__xludf.DUMMYFUNCTION("""COMPUTED_VALUE"""),"")</f>
        <v/>
      </c>
      <c r="S218" t="str">
        <f ca="1">IFERROR(__xludf.DUMMYFUNCTION("""COMPUTED_VALUE"""),"")</f>
        <v/>
      </c>
      <c r="T218" t="str">
        <f ca="1">IFERROR(__xludf.DUMMYFUNCTION("""COMPUTED_VALUE"""),"")</f>
        <v/>
      </c>
      <c r="U218" t="str">
        <f ca="1">IFERROR(__xludf.DUMMYFUNCTION("""COMPUTED_VALUE"""),"")</f>
        <v/>
      </c>
      <c r="V218" t="str">
        <f ca="1">IFERROR(__xludf.DUMMYFUNCTION("""COMPUTED_VALUE"""),"")</f>
        <v/>
      </c>
      <c r="W218" t="str">
        <f ca="1">IFERROR(__xludf.DUMMYFUNCTION("""COMPUTED_VALUE"""),"")</f>
        <v/>
      </c>
      <c r="X218" t="str">
        <f ca="1">IFERROR(__xludf.DUMMYFUNCTION("""COMPUTED_VALUE"""),"")</f>
        <v/>
      </c>
      <c r="Y218" t="str">
        <f ca="1">IFERROR(__xludf.DUMMYFUNCTION("""COMPUTED_VALUE"""),"")</f>
        <v/>
      </c>
      <c r="Z218" t="str">
        <f ca="1">IFERROR(__xludf.DUMMYFUNCTION("""COMPUTED_VALUE"""),"")</f>
        <v/>
      </c>
      <c r="AA218" t="str">
        <f ca="1">IFERROR(__xludf.DUMMYFUNCTION("""COMPUTED_VALUE"""),"Pas de commande")</f>
        <v>Pas de commande</v>
      </c>
      <c r="AB218" s="8" t="str">
        <f ca="1">IFERROR(__xludf.DUMMYFUNCTION("""COMPUTED_VALUE"""),"")</f>
        <v/>
      </c>
      <c r="AC218" s="8" t="str">
        <f ca="1">IFERROR(__xludf.DUMMYFUNCTION("""COMPUTED_VALUE"""),"")</f>
        <v/>
      </c>
      <c r="AD218" s="11" t="str">
        <f ca="1">IFERROR(__xludf.DUMMYFUNCTION("""COMPUTED_VALUE"""),"")</f>
        <v/>
      </c>
      <c r="AE218" t="str">
        <f ca="1">IFERROR(__xludf.DUMMYFUNCTION("""COMPUTED_VALUE"""),"")</f>
        <v/>
      </c>
    </row>
    <row r="219" spans="1:31" ht="12.75" x14ac:dyDescent="0.2">
      <c r="A219">
        <f ca="1">IFERROR(__xludf.DUMMYFUNCTION("""COMPUTED_VALUE"""),36017)</f>
        <v>36017</v>
      </c>
      <c r="B219" t="str">
        <f ca="1">IFERROR(__xludf.DUMMYFUNCTION("""COMPUTED_VALUE"""),"CHEMILLE")</f>
        <v>CHEMILLE</v>
      </c>
      <c r="C219" t="str">
        <f ca="1">IFERROR(__xludf.DUMMYFUNCTION("""COMPUTED_VALUE"""),"Super U")</f>
        <v>Super U</v>
      </c>
      <c r="D219" t="str">
        <f ca="1">IFERROR(__xludf.DUMMYFUNCTION("""COMPUTED_VALUE"""),"Coop U Enseigne Ouest")</f>
        <v>Coop U Enseigne Ouest</v>
      </c>
      <c r="E219">
        <f ca="1">IFERROR(__xludf.DUMMYFUNCTION("""COMPUTED_VALUE"""),49120)</f>
        <v>49120</v>
      </c>
      <c r="F219" t="str">
        <f ca="1">IFERROR(__xludf.DUMMYFUNCTION("""COMPUTED_VALUE"""),"PARC COMMERCIAL DU CHALET")</f>
        <v>PARC COMMERCIAL DU CHALET</v>
      </c>
      <c r="G219" t="str">
        <f ca="1">IFERROR(__xludf.DUMMYFUNCTION("""COMPUTED_VALUE"""),"02.41.49.17.80")</f>
        <v>02.41.49.17.80</v>
      </c>
      <c r="H219" t="str">
        <f ca="1">IFERROR(__xludf.DUMMYFUNCTION("""COMPUTED_VALUE"""),"BARRE Didier")</f>
        <v>BARRE Didier</v>
      </c>
      <c r="I219" t="str">
        <f ca="1">IFERROR(__xludf.DUMMYFUNCTION("""COMPUTED_VALUE"""),"didier.barre@systeme-u.fr")</f>
        <v>didier.barre@systeme-u.fr</v>
      </c>
      <c r="J219" t="str">
        <f ca="1">IFERROR(__xludf.DUMMYFUNCTION("""COMPUTED_VALUE"""),"M. Montaillé")</f>
        <v>M. Montaillé</v>
      </c>
      <c r="K219" t="str">
        <f ca="1">IFERROR(__xludf.DUMMYFUNCTION("""COMPUTED_VALUE"""),"superu.chemille.bazar@systeme-u.fr")</f>
        <v>superu.chemille.bazar@systeme-u.fr</v>
      </c>
      <c r="L219" t="str">
        <f ca="1">IFERROR(__xludf.DUMMYFUNCTION("""COMPUTED_VALUE"""),"")</f>
        <v/>
      </c>
      <c r="M219" t="str">
        <f ca="1">IFERROR(__xludf.DUMMYFUNCTION("""COMPUTED_VALUE"""),"99.Hors Périmetre")</f>
        <v>99.Hors Périmetre</v>
      </c>
      <c r="N219" t="str">
        <f ca="1">IFERROR(__xludf.DUMMYFUNCTION("""COMPUTED_VALUE"""),"")</f>
        <v/>
      </c>
      <c r="O219" t="str">
        <f ca="1">IFERROR(__xludf.DUMMYFUNCTION("""COMPUTED_VALUE"""),"")</f>
        <v/>
      </c>
      <c r="P219" t="str">
        <f ca="1">IFERROR(__xludf.DUMMYFUNCTION("""COMPUTED_VALUE"""),"")</f>
        <v/>
      </c>
      <c r="Q219" s="5" t="str">
        <f ca="1">IFERROR(__xludf.DUMMYFUNCTION("""COMPUTED_VALUE"""),"")</f>
        <v/>
      </c>
      <c r="R219" s="6" t="str">
        <f ca="1">IFERROR(__xludf.DUMMYFUNCTION("""COMPUTED_VALUE"""),"")</f>
        <v/>
      </c>
      <c r="S219" t="str">
        <f ca="1">IFERROR(__xludf.DUMMYFUNCTION("""COMPUTED_VALUE"""),"")</f>
        <v/>
      </c>
      <c r="T219" t="str">
        <f ca="1">IFERROR(__xludf.DUMMYFUNCTION("""COMPUTED_VALUE"""),"")</f>
        <v/>
      </c>
      <c r="U219" t="str">
        <f ca="1">IFERROR(__xludf.DUMMYFUNCTION("""COMPUTED_VALUE"""),"")</f>
        <v/>
      </c>
      <c r="V219" t="str">
        <f ca="1">IFERROR(__xludf.DUMMYFUNCTION("""COMPUTED_VALUE"""),"")</f>
        <v/>
      </c>
      <c r="W219" t="str">
        <f ca="1">IFERROR(__xludf.DUMMYFUNCTION("""COMPUTED_VALUE"""),"")</f>
        <v/>
      </c>
      <c r="X219" t="str">
        <f ca="1">IFERROR(__xludf.DUMMYFUNCTION("""COMPUTED_VALUE"""),"")</f>
        <v/>
      </c>
      <c r="Y219" t="str">
        <f ca="1">IFERROR(__xludf.DUMMYFUNCTION("""COMPUTED_VALUE"""),"")</f>
        <v/>
      </c>
      <c r="Z219" t="str">
        <f ca="1">IFERROR(__xludf.DUMMYFUNCTION("""COMPUTED_VALUE"""),"")</f>
        <v/>
      </c>
      <c r="AA219" t="str">
        <f ca="1">IFERROR(__xludf.DUMMYFUNCTION("""COMPUTED_VALUE"""),"Pas de commande")</f>
        <v>Pas de commande</v>
      </c>
      <c r="AB219" s="8" t="str">
        <f ca="1">IFERROR(__xludf.DUMMYFUNCTION("""COMPUTED_VALUE"""),"")</f>
        <v/>
      </c>
      <c r="AC219" s="8" t="str">
        <f ca="1">IFERROR(__xludf.DUMMYFUNCTION("""COMPUTED_VALUE"""),"")</f>
        <v/>
      </c>
      <c r="AD219" s="11" t="str">
        <f ca="1">IFERROR(__xludf.DUMMYFUNCTION("""COMPUTED_VALUE"""),"")</f>
        <v/>
      </c>
      <c r="AE219" t="str">
        <f ca="1">IFERROR(__xludf.DUMMYFUNCTION("""COMPUTED_VALUE"""),"")</f>
        <v/>
      </c>
    </row>
    <row r="220" spans="1:31" ht="12.75" x14ac:dyDescent="0.2">
      <c r="A220">
        <f ca="1">IFERROR(__xludf.DUMMYFUNCTION("""COMPUTED_VALUE"""),62104)</f>
        <v>62104</v>
      </c>
      <c r="B220" t="str">
        <f ca="1">IFERROR(__xludf.DUMMYFUNCTION("""COMPUTED_VALUE"""),"CHENOVE")</f>
        <v>CHENOVE</v>
      </c>
      <c r="C220" t="str">
        <f ca="1">IFERROR(__xludf.DUMMYFUNCTION("""COMPUTED_VALUE"""),"Super U")</f>
        <v>Super U</v>
      </c>
      <c r="D220" t="str">
        <f ca="1">IFERROR(__xludf.DUMMYFUNCTION("""COMPUTED_VALUE"""),"Coop U Enseigne Est")</f>
        <v>Coop U Enseigne Est</v>
      </c>
      <c r="E220">
        <f ca="1">IFERROR(__xludf.DUMMYFUNCTION("""COMPUTED_VALUE"""),21300)</f>
        <v>21300</v>
      </c>
      <c r="F220" t="str">
        <f ca="1">IFERROR(__xludf.DUMMYFUNCTION("""COMPUTED_VALUE"""),"Zac des Grands Crus")</f>
        <v>Zac des Grands Crus</v>
      </c>
      <c r="G220" t="str">
        <f ca="1">IFERROR(__xludf.DUMMYFUNCTION("""COMPUTED_VALUE"""),"03.80.52.10.48")</f>
        <v>03.80.52.10.48</v>
      </c>
      <c r="H220" t="str">
        <f ca="1">IFERROR(__xludf.DUMMYFUNCTION("""COMPUTED_VALUE"""),"BARRERE Alain")</f>
        <v>BARRERE Alain</v>
      </c>
      <c r="I220" t="str">
        <f ca="1">IFERROR(__xludf.DUMMYFUNCTION("""COMPUTED_VALUE"""),"alain.barrere@systeme-u.fr")</f>
        <v>alain.barrere@systeme-u.fr</v>
      </c>
      <c r="J220" t="str">
        <f ca="1">IFERROR(__xludf.DUMMYFUNCTION("""COMPUTED_VALUE"""),"M. FAYET")</f>
        <v>M. FAYET</v>
      </c>
      <c r="K220" t="str">
        <f ca="1">IFERROR(__xludf.DUMMYFUNCTION("""COMPUTED_VALUE"""),"superu.chenove.direction@systeme-u.fr")</f>
        <v>superu.chenove.direction@systeme-u.fr</v>
      </c>
      <c r="L220" t="str">
        <f ca="1">IFERROR(__xludf.DUMMYFUNCTION("""COMPUTED_VALUE"""),"")</f>
        <v/>
      </c>
      <c r="M220" t="str">
        <f ca="1">IFERROR(__xludf.DUMMYFUNCTION("""COMPUTED_VALUE"""),"99.Hors Périmetre")</f>
        <v>99.Hors Périmetre</v>
      </c>
      <c r="N220" t="str">
        <f ca="1">IFERROR(__xludf.DUMMYFUNCTION("""COMPUTED_VALUE"""),"")</f>
        <v/>
      </c>
      <c r="O220" t="str">
        <f ca="1">IFERROR(__xludf.DUMMYFUNCTION("""COMPUTED_VALUE"""),"")</f>
        <v/>
      </c>
      <c r="P220" t="str">
        <f ca="1">IFERROR(__xludf.DUMMYFUNCTION("""COMPUTED_VALUE"""),"")</f>
        <v/>
      </c>
      <c r="Q220" s="5" t="str">
        <f ca="1">IFERROR(__xludf.DUMMYFUNCTION("""COMPUTED_VALUE"""),"")</f>
        <v/>
      </c>
      <c r="R220" s="6" t="str">
        <f ca="1">IFERROR(__xludf.DUMMYFUNCTION("""COMPUTED_VALUE"""),"")</f>
        <v/>
      </c>
      <c r="S220" t="str">
        <f ca="1">IFERROR(__xludf.DUMMYFUNCTION("""COMPUTED_VALUE"""),"")</f>
        <v/>
      </c>
      <c r="T220" t="str">
        <f ca="1">IFERROR(__xludf.DUMMYFUNCTION("""COMPUTED_VALUE"""),"")</f>
        <v/>
      </c>
      <c r="U220" t="str">
        <f ca="1">IFERROR(__xludf.DUMMYFUNCTION("""COMPUTED_VALUE"""),"")</f>
        <v/>
      </c>
      <c r="V220" t="str">
        <f ca="1">IFERROR(__xludf.DUMMYFUNCTION("""COMPUTED_VALUE"""),"")</f>
        <v/>
      </c>
      <c r="W220" t="str">
        <f ca="1">IFERROR(__xludf.DUMMYFUNCTION("""COMPUTED_VALUE"""),"")</f>
        <v/>
      </c>
      <c r="X220" t="str">
        <f ca="1">IFERROR(__xludf.DUMMYFUNCTION("""COMPUTED_VALUE"""),"")</f>
        <v/>
      </c>
      <c r="Y220" t="str">
        <f ca="1">IFERROR(__xludf.DUMMYFUNCTION("""COMPUTED_VALUE"""),"")</f>
        <v/>
      </c>
      <c r="Z220" t="str">
        <f ca="1">IFERROR(__xludf.DUMMYFUNCTION("""COMPUTED_VALUE"""),"")</f>
        <v/>
      </c>
      <c r="AA220" t="str">
        <f ca="1">IFERROR(__xludf.DUMMYFUNCTION("""COMPUTED_VALUE"""),"Pas de commande")</f>
        <v>Pas de commande</v>
      </c>
      <c r="AB220" s="8" t="str">
        <f ca="1">IFERROR(__xludf.DUMMYFUNCTION("""COMPUTED_VALUE"""),"")</f>
        <v/>
      </c>
      <c r="AC220" s="8" t="str">
        <f ca="1">IFERROR(__xludf.DUMMYFUNCTION("""COMPUTED_VALUE"""),"")</f>
        <v/>
      </c>
      <c r="AD220" s="11" t="str">
        <f ca="1">IFERROR(__xludf.DUMMYFUNCTION("""COMPUTED_VALUE"""),"")</f>
        <v/>
      </c>
      <c r="AE220" t="str">
        <f ca="1">IFERROR(__xludf.DUMMYFUNCTION("""COMPUTED_VALUE"""),"")</f>
        <v/>
      </c>
    </row>
    <row r="221" spans="1:31" ht="12.75" x14ac:dyDescent="0.2">
      <c r="A221">
        <f ca="1">IFERROR(__xludf.DUMMYFUNCTION("""COMPUTED_VALUE"""),38044)</f>
        <v>38044</v>
      </c>
      <c r="B221" t="str">
        <f ca="1">IFERROR(__xludf.DUMMYFUNCTION("""COMPUTED_VALUE"""),"CHINON")</f>
        <v>CHINON</v>
      </c>
      <c r="C221" t="str">
        <f ca="1">IFERROR(__xludf.DUMMYFUNCTION("""COMPUTED_VALUE"""),"Super U")</f>
        <v>Super U</v>
      </c>
      <c r="D221" t="str">
        <f ca="1">IFERROR(__xludf.DUMMYFUNCTION("""COMPUTED_VALUE"""),"Coop U Enseigne Ouest")</f>
        <v>Coop U Enseigne Ouest</v>
      </c>
      <c r="E221">
        <f ca="1">IFERROR(__xludf.DUMMYFUNCTION("""COMPUTED_VALUE"""),37500)</f>
        <v>37500</v>
      </c>
      <c r="F221" t="str">
        <f ca="1">IFERROR(__xludf.DUMMYFUNCTION("""COMPUTED_VALUE"""),"11, AVENUE SAINT LAZARE")</f>
        <v>11, AVENUE SAINT LAZARE</v>
      </c>
      <c r="G221" t="str">
        <f ca="1">IFERROR(__xludf.DUMMYFUNCTION("""COMPUTED_VALUE"""),"02.47.93.01.98")</f>
        <v>02.47.93.01.98</v>
      </c>
      <c r="H221" t="str">
        <f ca="1">IFERROR(__xludf.DUMMYFUNCTION("""COMPUTED_VALUE"""),"GUILLOU RPT SARL FINANSA Stéphane")</f>
        <v>GUILLOU RPT SARL FINANSA Stéphane</v>
      </c>
      <c r="I221" t="str">
        <f ca="1">IFERROR(__xludf.DUMMYFUNCTION("""COMPUTED_VALUE"""),"stephane.guillou@systeme-u.fr")</f>
        <v>stephane.guillou@systeme-u.fr</v>
      </c>
      <c r="J221" t="str">
        <f ca="1">IFERROR(__xludf.DUMMYFUNCTION("""COMPUTED_VALUE"""),"")</f>
        <v/>
      </c>
      <c r="K221" t="str">
        <f ca="1">IFERROR(__xludf.DUMMYFUNCTION("""COMPUTED_VALUE"""),"")</f>
        <v/>
      </c>
      <c r="L221" t="str">
        <f ca="1">IFERROR(__xludf.DUMMYFUNCTION("""COMPUTED_VALUE"""),"")</f>
        <v/>
      </c>
      <c r="M221" t="str">
        <f ca="1">IFERROR(__xludf.DUMMYFUNCTION("""COMPUTED_VALUE"""),"99.Hors Périmetre")</f>
        <v>99.Hors Périmetre</v>
      </c>
      <c r="N221" t="str">
        <f ca="1">IFERROR(__xludf.DUMMYFUNCTION("""COMPUTED_VALUE"""),"")</f>
        <v/>
      </c>
      <c r="O221" t="str">
        <f ca="1">IFERROR(__xludf.DUMMYFUNCTION("""COMPUTED_VALUE"""),"")</f>
        <v/>
      </c>
      <c r="P221" t="str">
        <f ca="1">IFERROR(__xludf.DUMMYFUNCTION("""COMPUTED_VALUE"""),"")</f>
        <v/>
      </c>
      <c r="Q221" s="5" t="str">
        <f ca="1">IFERROR(__xludf.DUMMYFUNCTION("""COMPUTED_VALUE"""),"")</f>
        <v/>
      </c>
      <c r="R221" s="6" t="str">
        <f ca="1">IFERROR(__xludf.DUMMYFUNCTION("""COMPUTED_VALUE"""),"")</f>
        <v/>
      </c>
      <c r="S221" t="str">
        <f ca="1">IFERROR(__xludf.DUMMYFUNCTION("""COMPUTED_VALUE"""),"")</f>
        <v/>
      </c>
      <c r="T221" t="str">
        <f ca="1">IFERROR(__xludf.DUMMYFUNCTION("""COMPUTED_VALUE"""),"")</f>
        <v/>
      </c>
      <c r="U221" t="str">
        <f ca="1">IFERROR(__xludf.DUMMYFUNCTION("""COMPUTED_VALUE"""),"")</f>
        <v/>
      </c>
      <c r="V221" t="str">
        <f ca="1">IFERROR(__xludf.DUMMYFUNCTION("""COMPUTED_VALUE"""),"")</f>
        <v/>
      </c>
      <c r="W221" t="str">
        <f ca="1">IFERROR(__xludf.DUMMYFUNCTION("""COMPUTED_VALUE"""),"")</f>
        <v/>
      </c>
      <c r="X221" t="str">
        <f ca="1">IFERROR(__xludf.DUMMYFUNCTION("""COMPUTED_VALUE"""),"")</f>
        <v/>
      </c>
      <c r="Y221" t="str">
        <f ca="1">IFERROR(__xludf.DUMMYFUNCTION("""COMPUTED_VALUE"""),"")</f>
        <v/>
      </c>
      <c r="Z221" t="str">
        <f ca="1">IFERROR(__xludf.DUMMYFUNCTION("""COMPUTED_VALUE"""),"")</f>
        <v/>
      </c>
      <c r="AA221" t="str">
        <f ca="1">IFERROR(__xludf.DUMMYFUNCTION("""COMPUTED_VALUE"""),"Pas de commande")</f>
        <v>Pas de commande</v>
      </c>
      <c r="AB221" s="8" t="str">
        <f ca="1">IFERROR(__xludf.DUMMYFUNCTION("""COMPUTED_VALUE"""),"")</f>
        <v/>
      </c>
      <c r="AC221" s="8" t="str">
        <f ca="1">IFERROR(__xludf.DUMMYFUNCTION("""COMPUTED_VALUE"""),"")</f>
        <v/>
      </c>
      <c r="AD221" s="11" t="str">
        <f ca="1">IFERROR(__xludf.DUMMYFUNCTION("""COMPUTED_VALUE"""),"")</f>
        <v/>
      </c>
      <c r="AE221" t="str">
        <f ca="1">IFERROR(__xludf.DUMMYFUNCTION("""COMPUTED_VALUE"""),"")</f>
        <v/>
      </c>
    </row>
    <row r="222" spans="1:31" ht="12.75" x14ac:dyDescent="0.2">
      <c r="A222">
        <f ca="1">IFERROR(__xludf.DUMMYFUNCTION("""COMPUTED_VALUE"""),30833)</f>
        <v>30833</v>
      </c>
      <c r="B222" t="str">
        <f ca="1">IFERROR(__xludf.DUMMYFUNCTION("""COMPUTED_VALUE"""),"CHISSAY-EN-TOURAINE")</f>
        <v>CHISSAY-EN-TOURAINE</v>
      </c>
      <c r="C222" t="str">
        <f ca="1">IFERROR(__xludf.DUMMYFUNCTION("""COMPUTED_VALUE"""),"Super U")</f>
        <v>Super U</v>
      </c>
      <c r="D222" t="str">
        <f ca="1">IFERROR(__xludf.DUMMYFUNCTION("""COMPUTED_VALUE"""),"Coop U Enseigne Ouest")</f>
        <v>Coop U Enseigne Ouest</v>
      </c>
      <c r="E222">
        <f ca="1">IFERROR(__xludf.DUMMYFUNCTION("""COMPUTED_VALUE"""),41400)</f>
        <v>41400</v>
      </c>
      <c r="F222" t="str">
        <f ca="1">IFERROR(__xludf.DUMMYFUNCTION("""COMPUTED_VALUE"""),"30, RUE DE CHENONCEAUX")</f>
        <v>30, RUE DE CHENONCEAUX</v>
      </c>
      <c r="G222" t="str">
        <f ca="1">IFERROR(__xludf.DUMMYFUNCTION("""COMPUTED_VALUE"""),"02.54.71.64.64")</f>
        <v>02.54.71.64.64</v>
      </c>
      <c r="H222" t="str">
        <f ca="1">IFERROR(__xludf.DUMMYFUNCTION("""COMPUTED_VALUE"""),"BODIN RPT SARL DI MARQUIS Olivier")</f>
        <v>BODIN RPT SARL DI MARQUIS Olivier</v>
      </c>
      <c r="I222" t="str">
        <f ca="1">IFERROR(__xludf.DUMMYFUNCTION("""COMPUTED_VALUE"""),"olivier.bodin@systeme-u.fr")</f>
        <v>olivier.bodin@systeme-u.fr</v>
      </c>
      <c r="J222" t="str">
        <f ca="1">IFERROR(__xludf.DUMMYFUNCTION("""COMPUTED_VALUE"""),"Hellard Carine
M. GABIRAULT")</f>
        <v>Hellard Carine
M. GABIRAULT</v>
      </c>
      <c r="K222" t="str">
        <f ca="1">IFERROR(__xludf.DUMMYFUNCTION("""COMPUTED_VALUE"""),"superu.chissayentouraine.informatique@systeme-u.fr,superu.chissayentouraine@systeme-u.fr")</f>
        <v>superu.chissayentouraine.informatique@systeme-u.fr,superu.chissayentouraine@systeme-u.fr</v>
      </c>
      <c r="L222" t="str">
        <f ca="1">IFERROR(__xludf.DUMMYFUNCTION("""COMPUTED_VALUE"""),"")</f>
        <v/>
      </c>
      <c r="M222" t="str">
        <f ca="1">IFERROR(__xludf.DUMMYFUNCTION("""COMPUTED_VALUE"""),"99.Hors Périmetre")</f>
        <v>99.Hors Périmetre</v>
      </c>
      <c r="N222" t="str">
        <f ca="1">IFERROR(__xludf.DUMMYFUNCTION("""COMPUTED_VALUE"""),"")</f>
        <v/>
      </c>
      <c r="O222" t="str">
        <f ca="1">IFERROR(__xludf.DUMMYFUNCTION("""COMPUTED_VALUE"""),"")</f>
        <v/>
      </c>
      <c r="P222" t="str">
        <f ca="1">IFERROR(__xludf.DUMMYFUNCTION("""COMPUTED_VALUE"""),"")</f>
        <v/>
      </c>
      <c r="Q222" s="5" t="str">
        <f ca="1">IFERROR(__xludf.DUMMYFUNCTION("""COMPUTED_VALUE"""),"")</f>
        <v/>
      </c>
      <c r="R222" s="6" t="str">
        <f ca="1">IFERROR(__xludf.DUMMYFUNCTION("""COMPUTED_VALUE"""),"")</f>
        <v/>
      </c>
      <c r="S222" t="str">
        <f ca="1">IFERROR(__xludf.DUMMYFUNCTION("""COMPUTED_VALUE"""),"")</f>
        <v/>
      </c>
      <c r="T222" t="str">
        <f ca="1">IFERROR(__xludf.DUMMYFUNCTION("""COMPUTED_VALUE"""),"")</f>
        <v/>
      </c>
      <c r="U222" t="str">
        <f ca="1">IFERROR(__xludf.DUMMYFUNCTION("""COMPUTED_VALUE"""),"")</f>
        <v/>
      </c>
      <c r="V222" t="str">
        <f ca="1">IFERROR(__xludf.DUMMYFUNCTION("""COMPUTED_VALUE"""),"")</f>
        <v/>
      </c>
      <c r="W222" t="str">
        <f ca="1">IFERROR(__xludf.DUMMYFUNCTION("""COMPUTED_VALUE"""),"")</f>
        <v/>
      </c>
      <c r="X222" t="str">
        <f ca="1">IFERROR(__xludf.DUMMYFUNCTION("""COMPUTED_VALUE"""),"")</f>
        <v/>
      </c>
      <c r="Y222" t="str">
        <f ca="1">IFERROR(__xludf.DUMMYFUNCTION("""COMPUTED_VALUE"""),"")</f>
        <v/>
      </c>
      <c r="Z222" t="str">
        <f ca="1">IFERROR(__xludf.DUMMYFUNCTION("""COMPUTED_VALUE"""),"")</f>
        <v/>
      </c>
      <c r="AA222" t="str">
        <f ca="1">IFERROR(__xludf.DUMMYFUNCTION("""COMPUTED_VALUE"""),"Pas de commande")</f>
        <v>Pas de commande</v>
      </c>
      <c r="AB222" s="8" t="str">
        <f ca="1">IFERROR(__xludf.DUMMYFUNCTION("""COMPUTED_VALUE"""),"")</f>
        <v/>
      </c>
      <c r="AC222" s="8" t="str">
        <f ca="1">IFERROR(__xludf.DUMMYFUNCTION("""COMPUTED_VALUE"""),"")</f>
        <v/>
      </c>
      <c r="AD222" s="11" t="str">
        <f ca="1">IFERROR(__xludf.DUMMYFUNCTION("""COMPUTED_VALUE"""),"")</f>
        <v/>
      </c>
      <c r="AE222" t="str">
        <f ca="1">IFERROR(__xludf.DUMMYFUNCTION("""COMPUTED_VALUE"""),"")</f>
        <v/>
      </c>
    </row>
    <row r="223" spans="1:31" ht="12.75" x14ac:dyDescent="0.2">
      <c r="A223">
        <f ca="1">IFERROR(__xludf.DUMMYFUNCTION("""COMPUTED_VALUE"""),38974)</f>
        <v>38974</v>
      </c>
      <c r="B223" t="str">
        <f ca="1">IFERROR(__xludf.DUMMYFUNCTION("""COMPUTED_VALUE"""),"CHOLET")</f>
        <v>CHOLET</v>
      </c>
      <c r="C223" t="str">
        <f ca="1">IFERROR(__xludf.DUMMYFUNCTION("""COMPUTED_VALUE"""),"U Express")</f>
        <v>U Express</v>
      </c>
      <c r="D223" t="str">
        <f ca="1">IFERROR(__xludf.DUMMYFUNCTION("""COMPUTED_VALUE"""),"Coop U Enseigne Ouest")</f>
        <v>Coop U Enseigne Ouest</v>
      </c>
      <c r="E223">
        <f ca="1">IFERROR(__xludf.DUMMYFUNCTION("""COMPUTED_VALUE"""),49300)</f>
        <v>49300</v>
      </c>
      <c r="F223" t="str">
        <f ca="1">IFERROR(__xludf.DUMMYFUNCTION("""COMPUTED_VALUE"""),"ZAC DE LA SARDINERIE")</f>
        <v>ZAC DE LA SARDINERIE</v>
      </c>
      <c r="G223" t="str">
        <f ca="1">IFERROR(__xludf.DUMMYFUNCTION("""COMPUTED_VALUE"""),"02.41.56.20.46")</f>
        <v>02.41.56.20.46</v>
      </c>
      <c r="H223" t="str">
        <f ca="1">IFERROR(__xludf.DUMMYFUNCTION("""COMPUTED_VALUE"""),"NIEDLAND Christina")</f>
        <v>NIEDLAND Christina</v>
      </c>
      <c r="I223" t="str">
        <f ca="1">IFERROR(__xludf.DUMMYFUNCTION("""COMPUTED_VALUE"""),"sebastien.niedland@systeme-u.fr")</f>
        <v>sebastien.niedland@systeme-u.fr</v>
      </c>
      <c r="J223" t="str">
        <f ca="1">IFERROR(__xludf.DUMMYFUNCTION("""COMPUTED_VALUE"""),"Rebion Jérôme")</f>
        <v>Rebion Jérôme</v>
      </c>
      <c r="K223" t="str">
        <f ca="1">IFERROR(__xludf.DUMMYFUNCTION("""COMPUTED_VALUE"""),"superu.cholet@systeme-u.fr")</f>
        <v>superu.cholet@systeme-u.fr</v>
      </c>
      <c r="L223" t="str">
        <f ca="1">IFERROR(__xludf.DUMMYFUNCTION("""COMPUTED_VALUE"""),"")</f>
        <v/>
      </c>
      <c r="M223" t="str">
        <f ca="1">IFERROR(__xludf.DUMMYFUNCTION("""COMPUTED_VALUE"""),"99.Hors Périmetre")</f>
        <v>99.Hors Périmetre</v>
      </c>
      <c r="N223" t="str">
        <f ca="1">IFERROR(__xludf.DUMMYFUNCTION("""COMPUTED_VALUE"""),"")</f>
        <v/>
      </c>
      <c r="O223" t="str">
        <f ca="1">IFERROR(__xludf.DUMMYFUNCTION("""COMPUTED_VALUE"""),"")</f>
        <v/>
      </c>
      <c r="P223" t="str">
        <f ca="1">IFERROR(__xludf.DUMMYFUNCTION("""COMPUTED_VALUE"""),"")</f>
        <v/>
      </c>
      <c r="Q223" s="5" t="str">
        <f ca="1">IFERROR(__xludf.DUMMYFUNCTION("""COMPUTED_VALUE"""),"")</f>
        <v/>
      </c>
      <c r="R223" s="6" t="str">
        <f ca="1">IFERROR(__xludf.DUMMYFUNCTION("""COMPUTED_VALUE"""),"")</f>
        <v/>
      </c>
      <c r="S223" t="str">
        <f ca="1">IFERROR(__xludf.DUMMYFUNCTION("""COMPUTED_VALUE"""),"")</f>
        <v/>
      </c>
      <c r="T223" t="str">
        <f ca="1">IFERROR(__xludf.DUMMYFUNCTION("""COMPUTED_VALUE"""),"")</f>
        <v/>
      </c>
      <c r="U223" t="str">
        <f ca="1">IFERROR(__xludf.DUMMYFUNCTION("""COMPUTED_VALUE"""),"")</f>
        <v/>
      </c>
      <c r="V223" t="str">
        <f ca="1">IFERROR(__xludf.DUMMYFUNCTION("""COMPUTED_VALUE"""),"")</f>
        <v/>
      </c>
      <c r="W223" t="str">
        <f ca="1">IFERROR(__xludf.DUMMYFUNCTION("""COMPUTED_VALUE"""),"")</f>
        <v/>
      </c>
      <c r="X223" t="str">
        <f ca="1">IFERROR(__xludf.DUMMYFUNCTION("""COMPUTED_VALUE"""),"")</f>
        <v/>
      </c>
      <c r="Y223" t="str">
        <f ca="1">IFERROR(__xludf.DUMMYFUNCTION("""COMPUTED_VALUE"""),"")</f>
        <v/>
      </c>
      <c r="Z223" t="str">
        <f ca="1">IFERROR(__xludf.DUMMYFUNCTION("""COMPUTED_VALUE"""),"")</f>
        <v/>
      </c>
      <c r="AA223" t="str">
        <f ca="1">IFERROR(__xludf.DUMMYFUNCTION("""COMPUTED_VALUE"""),"Pas de commande")</f>
        <v>Pas de commande</v>
      </c>
      <c r="AB223" s="8" t="str">
        <f ca="1">IFERROR(__xludf.DUMMYFUNCTION("""COMPUTED_VALUE"""),"")</f>
        <v/>
      </c>
      <c r="AC223" s="8" t="str">
        <f ca="1">IFERROR(__xludf.DUMMYFUNCTION("""COMPUTED_VALUE"""),"")</f>
        <v/>
      </c>
      <c r="AD223" s="11" t="str">
        <f ca="1">IFERROR(__xludf.DUMMYFUNCTION("""COMPUTED_VALUE"""),"")</f>
        <v/>
      </c>
      <c r="AE223" t="str">
        <f ca="1">IFERROR(__xludf.DUMMYFUNCTION("""COMPUTED_VALUE"""),"")</f>
        <v/>
      </c>
    </row>
    <row r="224" spans="1:31" ht="12.75" x14ac:dyDescent="0.2">
      <c r="A224">
        <f ca="1">IFERROR(__xludf.DUMMYFUNCTION("""COMPUTED_VALUE"""),99230)</f>
        <v>99230</v>
      </c>
      <c r="B224" t="str">
        <f ca="1">IFERROR(__xludf.DUMMYFUNCTION("""COMPUTED_VALUE"""),"CILAOS-IDR")</f>
        <v>CILAOS-IDR</v>
      </c>
      <c r="C224" t="str">
        <f ca="1">IFERROR(__xludf.DUMMYFUNCTION("""COMPUTED_VALUE"""),"U Express")</f>
        <v>U Express</v>
      </c>
      <c r="D224" t="str">
        <f ca="1">IFERROR(__xludf.DUMMYFUNCTION("""COMPUTED_VALUE"""),"Coop U Enseigne Sud")</f>
        <v>Coop U Enseigne Sud</v>
      </c>
      <c r="E224">
        <f ca="1">IFERROR(__xludf.DUMMYFUNCTION("""COMPUTED_VALUE"""),97413)</f>
        <v>97413</v>
      </c>
      <c r="F224" t="str">
        <f ca="1">IFERROR(__xludf.DUMMYFUNCTION("""COMPUTED_VALUE"""),"25 RN 5 MARE SECHE")</f>
        <v>25 RN 5 MARE SECHE</v>
      </c>
      <c r="G224" t="str">
        <f ca="1">IFERROR(__xludf.DUMMYFUNCTION("""COMPUTED_VALUE"""),"02.62.31.70.93")</f>
        <v>02.62.31.70.93</v>
      </c>
      <c r="H224" t="str">
        <f ca="1">IFERROR(__xludf.DUMMYFUNCTION("""COMPUTED_VALUE"""),"PAYET Emmanuel")</f>
        <v>PAYET Emmanuel</v>
      </c>
      <c r="I224" t="str">
        <f ca="1">IFERROR(__xludf.DUMMYFUNCTION("""COMPUTED_VALUE"""),"emmanuel.payet@systeme-u.fr")</f>
        <v>emmanuel.payet@systeme-u.fr</v>
      </c>
      <c r="J224" t="str">
        <f ca="1">IFERROR(__xludf.DUMMYFUNCTION("""COMPUTED_VALUE"""),"")</f>
        <v/>
      </c>
      <c r="K224" t="str">
        <f ca="1">IFERROR(__xludf.DUMMYFUNCTION("""COMPUTED_VALUE"""),"")</f>
        <v/>
      </c>
      <c r="L224" t="str">
        <f ca="1">IFERROR(__xludf.DUMMYFUNCTION("""COMPUTED_VALUE"""),"")</f>
        <v/>
      </c>
      <c r="M224" t="str">
        <f ca="1">IFERROR(__xludf.DUMMYFUNCTION("""COMPUTED_VALUE"""),"99.Hors Périmetre")</f>
        <v>99.Hors Périmetre</v>
      </c>
      <c r="N224" t="str">
        <f ca="1">IFERROR(__xludf.DUMMYFUNCTION("""COMPUTED_VALUE"""),"")</f>
        <v/>
      </c>
      <c r="O224" t="str">
        <f ca="1">IFERROR(__xludf.DUMMYFUNCTION("""COMPUTED_VALUE"""),"")</f>
        <v/>
      </c>
      <c r="P224" t="str">
        <f ca="1">IFERROR(__xludf.DUMMYFUNCTION("""COMPUTED_VALUE"""),"")</f>
        <v/>
      </c>
      <c r="Q224" s="5" t="str">
        <f ca="1">IFERROR(__xludf.DUMMYFUNCTION("""COMPUTED_VALUE"""),"")</f>
        <v/>
      </c>
      <c r="R224" s="6" t="str">
        <f ca="1">IFERROR(__xludf.DUMMYFUNCTION("""COMPUTED_VALUE"""),"")</f>
        <v/>
      </c>
      <c r="S224" t="str">
        <f ca="1">IFERROR(__xludf.DUMMYFUNCTION("""COMPUTED_VALUE"""),"")</f>
        <v/>
      </c>
      <c r="T224" t="str">
        <f ca="1">IFERROR(__xludf.DUMMYFUNCTION("""COMPUTED_VALUE"""),"")</f>
        <v/>
      </c>
      <c r="U224" t="str">
        <f ca="1">IFERROR(__xludf.DUMMYFUNCTION("""COMPUTED_VALUE"""),"")</f>
        <v/>
      </c>
      <c r="V224" t="str">
        <f ca="1">IFERROR(__xludf.DUMMYFUNCTION("""COMPUTED_VALUE"""),"")</f>
        <v/>
      </c>
      <c r="W224" t="str">
        <f ca="1">IFERROR(__xludf.DUMMYFUNCTION("""COMPUTED_VALUE"""),"")</f>
        <v/>
      </c>
      <c r="X224" t="str">
        <f ca="1">IFERROR(__xludf.DUMMYFUNCTION("""COMPUTED_VALUE"""),"")</f>
        <v/>
      </c>
      <c r="Y224" t="str">
        <f ca="1">IFERROR(__xludf.DUMMYFUNCTION("""COMPUTED_VALUE"""),"")</f>
        <v/>
      </c>
      <c r="Z224" t="str">
        <f ca="1">IFERROR(__xludf.DUMMYFUNCTION("""COMPUTED_VALUE"""),"")</f>
        <v/>
      </c>
      <c r="AA224" t="str">
        <f ca="1">IFERROR(__xludf.DUMMYFUNCTION("""COMPUTED_VALUE"""),"Pas de commande")</f>
        <v>Pas de commande</v>
      </c>
      <c r="AB224" s="8" t="str">
        <f ca="1">IFERROR(__xludf.DUMMYFUNCTION("""COMPUTED_VALUE"""),"")</f>
        <v/>
      </c>
      <c r="AC224" s="8" t="str">
        <f ca="1">IFERROR(__xludf.DUMMYFUNCTION("""COMPUTED_VALUE"""),"")</f>
        <v/>
      </c>
      <c r="AD224" s="11" t="str">
        <f ca="1">IFERROR(__xludf.DUMMYFUNCTION("""COMPUTED_VALUE"""),"")</f>
        <v/>
      </c>
      <c r="AE224" t="str">
        <f ca="1">IFERROR(__xludf.DUMMYFUNCTION("""COMPUTED_VALUE"""),"")</f>
        <v/>
      </c>
    </row>
    <row r="225" spans="1:31" ht="12.75" x14ac:dyDescent="0.2">
      <c r="A225">
        <f ca="1">IFERROR(__xludf.DUMMYFUNCTION("""COMPUTED_VALUE"""),32067)</f>
        <v>32067</v>
      </c>
      <c r="B225" t="str">
        <f ca="1">IFERROR(__xludf.DUMMYFUNCTION("""COMPUTED_VALUE"""),"CIVRAY")</f>
        <v>CIVRAY</v>
      </c>
      <c r="C225" t="str">
        <f ca="1">IFERROR(__xludf.DUMMYFUNCTION("""COMPUTED_VALUE"""),"Super U")</f>
        <v>Super U</v>
      </c>
      <c r="D225" t="str">
        <f ca="1">IFERROR(__xludf.DUMMYFUNCTION("""COMPUTED_VALUE"""),"Coop Atlantique")</f>
        <v>Coop Atlantique</v>
      </c>
      <c r="E225">
        <f ca="1">IFERROR(__xludf.DUMMYFUNCTION("""COMPUTED_VALUE"""),86400)</f>
        <v>86400</v>
      </c>
      <c r="F225" t="str">
        <f ca="1">IFERROR(__xludf.DUMMYFUNCTION("""COMPUTED_VALUE"""),"RUE DE LA PIERRE DU THEIL")</f>
        <v>RUE DE LA PIERRE DU THEIL</v>
      </c>
      <c r="G225" t="str">
        <f ca="1">IFERROR(__xludf.DUMMYFUNCTION("""COMPUTED_VALUE"""),"05.49.87.92.45")</f>
        <v>05.49.87.92.45</v>
      </c>
      <c r="H225" t="str">
        <f ca="1">IFERROR(__xludf.DUMMYFUNCTION("""COMPUTED_VALUE"""),"FLAMBARD Hervé")</f>
        <v>FLAMBARD Hervé</v>
      </c>
      <c r="I225" t="str">
        <f ca="1">IFERROR(__xludf.DUMMYFUNCTION("""COMPUTED_VALUE"""),"bertrand.defontaine_coop_su_uex@systeme-u.fr")</f>
        <v>bertrand.defontaine_coop_su_uex@systeme-u.fr</v>
      </c>
      <c r="J225" t="str">
        <f ca="1">IFERROR(__xludf.DUMMYFUNCTION("""COMPUTED_VALUE"""),"Mr Pascaud")</f>
        <v>Mr Pascaud</v>
      </c>
      <c r="K225" t="str">
        <f ca="1">IFERROR(__xludf.DUMMYFUNCTION("""COMPUTED_VALUE"""),"superu.civray.direction@systeme-u.fr,nbrigant@coop-atlantique.fr,sjaud@coop-atlantique.fr,mag786@coop-atlantique.fr")</f>
        <v>superu.civray.direction@systeme-u.fr,nbrigant@coop-atlantique.fr,sjaud@coop-atlantique.fr,mag786@coop-atlantique.fr</v>
      </c>
      <c r="L225" t="str">
        <f ca="1">IFERROR(__xludf.DUMMYFUNCTION("""COMPUTED_VALUE"""),"Standard")</f>
        <v>Standard</v>
      </c>
      <c r="M225" t="str">
        <f ca="1">IFERROR(__xludf.DUMMYFUNCTION("""COMPUTED_VALUE"""),"0. Non démarré")</f>
        <v>0. Non démarré</v>
      </c>
      <c r="N225" t="str">
        <f ca="1">IFERROR(__xludf.DUMMYFUNCTION("""COMPUTED_VALUE"""),"")</f>
        <v/>
      </c>
      <c r="O225" t="str">
        <f ca="1">IFERROR(__xludf.DUMMYFUNCTION("""COMPUTED_VALUE"""),"")</f>
        <v/>
      </c>
      <c r="P225" t="str">
        <f ca="1">IFERROR(__xludf.DUMMYFUNCTION("""COMPUTED_VALUE"""),"")</f>
        <v/>
      </c>
      <c r="Q225" s="5" t="str">
        <f ca="1">IFERROR(__xludf.DUMMYFUNCTION("""COMPUTED_VALUE"""),"")</f>
        <v/>
      </c>
      <c r="R225" s="6" t="str">
        <f ca="1">IFERROR(__xludf.DUMMYFUNCTION("""COMPUTED_VALUE"""),"")</f>
        <v/>
      </c>
      <c r="S225" t="str">
        <f ca="1">IFERROR(__xludf.DUMMYFUNCTION("""COMPUTED_VALUE"""),"")</f>
        <v/>
      </c>
      <c r="T225" t="str">
        <f ca="1">IFERROR(__xludf.DUMMYFUNCTION("""COMPUTED_VALUE"""),"")</f>
        <v/>
      </c>
      <c r="U225" t="str">
        <f ca="1">IFERROR(__xludf.DUMMYFUNCTION("""COMPUTED_VALUE"""),"")</f>
        <v/>
      </c>
      <c r="V225" t="str">
        <f ca="1">IFERROR(__xludf.DUMMYFUNCTION("""COMPUTED_VALUE"""),"")</f>
        <v/>
      </c>
      <c r="W225" t="str">
        <f ca="1">IFERROR(__xludf.DUMMYFUNCTION("""COMPUTED_VALUE"""),"R5")</f>
        <v>R5</v>
      </c>
      <c r="X225" t="str">
        <f ca="1">IFERROR(__xludf.DUMMYFUNCTION("""COMPUTED_VALUE"""),"PC mag &lt;8Go")</f>
        <v>PC mag &lt;8Go</v>
      </c>
      <c r="Y225" t="str">
        <f ca="1">IFERROR(__xludf.DUMMYFUNCTION("""COMPUTED_VALUE"""),"")</f>
        <v/>
      </c>
      <c r="Z225" t="str">
        <f ca="1">IFERROR(__xludf.DUMMYFUNCTION("""COMPUTED_VALUE"""),"")</f>
        <v/>
      </c>
      <c r="AA225" t="str">
        <f ca="1">IFERROR(__xludf.DUMMYFUNCTION("""COMPUTED_VALUE"""),"Pas de commande")</f>
        <v>Pas de commande</v>
      </c>
      <c r="AB225" s="8" t="str">
        <f ca="1">IFERROR(__xludf.DUMMYFUNCTION("""COMPUTED_VALUE"""),"")</f>
        <v/>
      </c>
      <c r="AC225" s="8" t="str">
        <f ca="1">IFERROR(__xludf.DUMMYFUNCTION("""COMPUTED_VALUE"""),"")</f>
        <v/>
      </c>
      <c r="AD225" s="11" t="str">
        <f ca="1">IFERROR(__xludf.DUMMYFUNCTION("""COMPUTED_VALUE"""),"")</f>
        <v/>
      </c>
      <c r="AE225" t="str">
        <f ca="1">IFERROR(__xludf.DUMMYFUNCTION("""COMPUTED_VALUE"""),"")</f>
        <v/>
      </c>
    </row>
    <row r="226" spans="1:31" ht="12.75" x14ac:dyDescent="0.2">
      <c r="A226">
        <f ca="1">IFERROR(__xludf.DUMMYFUNCTION("""COMPUTED_VALUE"""),21600)</f>
        <v>21600</v>
      </c>
      <c r="B226" t="str">
        <f ca="1">IFERROR(__xludf.DUMMYFUNCTION("""COMPUTED_VALUE"""),"CLAMART GARE")</f>
        <v>CLAMART GARE</v>
      </c>
      <c r="C226" t="str">
        <f ca="1">IFERROR(__xludf.DUMMYFUNCTION("""COMPUTED_VALUE"""),"Super U")</f>
        <v>Super U</v>
      </c>
      <c r="D226" t="str">
        <f ca="1">IFERROR(__xludf.DUMMYFUNCTION("""COMPUTED_VALUE"""),"Coop U Enseigne NordOuest")</f>
        <v>Coop U Enseigne NordOuest</v>
      </c>
      <c r="E226">
        <f ca="1">IFERROR(__xludf.DUMMYFUNCTION("""COMPUTED_VALUE"""),92140)</f>
        <v>92140</v>
      </c>
      <c r="F226" t="str">
        <f ca="1">IFERROR(__xludf.DUMMYFUNCTION("""COMPUTED_VALUE"""),"14 RUE DE VANVES")</f>
        <v>14 RUE DE VANVES</v>
      </c>
      <c r="G226" t="str">
        <f ca="1">IFERROR(__xludf.DUMMYFUNCTION("""COMPUTED_VALUE"""),"01.47.36.37.85")</f>
        <v>01.47.36.37.85</v>
      </c>
      <c r="H226" t="str">
        <f ca="1">IFERROR(__xludf.DUMMYFUNCTION("""COMPUTED_VALUE"""),"MARX Jean-Jacques")</f>
        <v>MARX Jean-Jacques</v>
      </c>
      <c r="I226" t="str">
        <f ca="1">IFERROR(__xludf.DUMMYFUNCTION("""COMPUTED_VALUE"""),"jean-jacques.marx@systeme-u.fr")</f>
        <v>jean-jacques.marx@systeme-u.fr</v>
      </c>
      <c r="J226" t="str">
        <f ca="1">IFERROR(__xludf.DUMMYFUNCTION("""COMPUTED_VALUE"""),"M. BADA")</f>
        <v>M. BADA</v>
      </c>
      <c r="K226" t="str">
        <f ca="1">IFERROR(__xludf.DUMMYFUNCTION("""COMPUTED_VALUE"""),"superu.clamart.vanves@systeme-u.fr")</f>
        <v>superu.clamart.vanves@systeme-u.fr</v>
      </c>
      <c r="L226" t="str">
        <f ca="1">IFERROR(__xludf.DUMMYFUNCTION("""COMPUTED_VALUE"""),"")</f>
        <v/>
      </c>
      <c r="M226" t="str">
        <f ca="1">IFERROR(__xludf.DUMMYFUNCTION("""COMPUTED_VALUE"""),"99.Hors Périmetre")</f>
        <v>99.Hors Périmetre</v>
      </c>
      <c r="N226" t="str">
        <f ca="1">IFERROR(__xludf.DUMMYFUNCTION("""COMPUTED_VALUE"""),"")</f>
        <v/>
      </c>
      <c r="O226" t="str">
        <f ca="1">IFERROR(__xludf.DUMMYFUNCTION("""COMPUTED_VALUE"""),"")</f>
        <v/>
      </c>
      <c r="P226" t="str">
        <f ca="1">IFERROR(__xludf.DUMMYFUNCTION("""COMPUTED_VALUE"""),"")</f>
        <v/>
      </c>
      <c r="Q226" s="5" t="str">
        <f ca="1">IFERROR(__xludf.DUMMYFUNCTION("""COMPUTED_VALUE"""),"")</f>
        <v/>
      </c>
      <c r="R226" s="6" t="str">
        <f ca="1">IFERROR(__xludf.DUMMYFUNCTION("""COMPUTED_VALUE"""),"")</f>
        <v/>
      </c>
      <c r="S226" t="str">
        <f ca="1">IFERROR(__xludf.DUMMYFUNCTION("""COMPUTED_VALUE"""),"")</f>
        <v/>
      </c>
      <c r="T226" t="str">
        <f ca="1">IFERROR(__xludf.DUMMYFUNCTION("""COMPUTED_VALUE"""),"")</f>
        <v/>
      </c>
      <c r="U226" t="str">
        <f ca="1">IFERROR(__xludf.DUMMYFUNCTION("""COMPUTED_VALUE"""),"")</f>
        <v/>
      </c>
      <c r="V226" t="str">
        <f ca="1">IFERROR(__xludf.DUMMYFUNCTION("""COMPUTED_VALUE"""),"")</f>
        <v/>
      </c>
      <c r="W226" t="str">
        <f ca="1">IFERROR(__xludf.DUMMYFUNCTION("""COMPUTED_VALUE"""),"")</f>
        <v/>
      </c>
      <c r="X226" t="str">
        <f ca="1">IFERROR(__xludf.DUMMYFUNCTION("""COMPUTED_VALUE"""),"")</f>
        <v/>
      </c>
      <c r="Y226" t="str">
        <f ca="1">IFERROR(__xludf.DUMMYFUNCTION("""COMPUTED_VALUE"""),"")</f>
        <v/>
      </c>
      <c r="Z226" t="str">
        <f ca="1">IFERROR(__xludf.DUMMYFUNCTION("""COMPUTED_VALUE"""),"")</f>
        <v/>
      </c>
      <c r="AA226" t="str">
        <f ca="1">IFERROR(__xludf.DUMMYFUNCTION("""COMPUTED_VALUE"""),"Pas de commande")</f>
        <v>Pas de commande</v>
      </c>
      <c r="AB226" s="8" t="str">
        <f ca="1">IFERROR(__xludf.DUMMYFUNCTION("""COMPUTED_VALUE"""),"")</f>
        <v/>
      </c>
      <c r="AC226" s="8" t="str">
        <f ca="1">IFERROR(__xludf.DUMMYFUNCTION("""COMPUTED_VALUE"""),"")</f>
        <v/>
      </c>
      <c r="AD226" s="11" t="str">
        <f ca="1">IFERROR(__xludf.DUMMYFUNCTION("""COMPUTED_VALUE"""),"")</f>
        <v/>
      </c>
      <c r="AE226" t="str">
        <f ca="1">IFERROR(__xludf.DUMMYFUNCTION("""COMPUTED_VALUE"""),"")</f>
        <v/>
      </c>
    </row>
    <row r="227" spans="1:31" ht="12.75" x14ac:dyDescent="0.2">
      <c r="A227">
        <f ca="1">IFERROR(__xludf.DUMMYFUNCTION("""COMPUTED_VALUE"""),20299)</f>
        <v>20299</v>
      </c>
      <c r="B227" t="str">
        <f ca="1">IFERROR(__xludf.DUMMYFUNCTION("""COMPUTED_VALUE"""),"CLAMART V. HUGO")</f>
        <v>CLAMART V. HUGO</v>
      </c>
      <c r="C227" t="str">
        <f ca="1">IFERROR(__xludf.DUMMYFUNCTION("""COMPUTED_VALUE"""),"Super U")</f>
        <v>Super U</v>
      </c>
      <c r="D227" t="str">
        <f ca="1">IFERROR(__xludf.DUMMYFUNCTION("""COMPUTED_VALUE"""),"Coop U Enseigne NordOuest")</f>
        <v>Coop U Enseigne NordOuest</v>
      </c>
      <c r="E227">
        <f ca="1">IFERROR(__xludf.DUMMYFUNCTION("""COMPUTED_VALUE"""),92140)</f>
        <v>92140</v>
      </c>
      <c r="F227" t="str">
        <f ca="1">IFERROR(__xludf.DUMMYFUNCTION("""COMPUTED_VALUE"""),"4 BIS RUE PAUL VAILLANT COUTURIER")</f>
        <v>4 BIS RUE PAUL VAILLANT COUTURIER</v>
      </c>
      <c r="G227" t="str">
        <f ca="1">IFERROR(__xludf.DUMMYFUNCTION("""COMPUTED_VALUE"""),"01.46.44.13.20")</f>
        <v>01.46.44.13.20</v>
      </c>
      <c r="H227" t="str">
        <f ca="1">IFERROR(__xludf.DUMMYFUNCTION("""COMPUTED_VALUE"""),"MARX Jean-Jacques")</f>
        <v>MARX Jean-Jacques</v>
      </c>
      <c r="I227" t="str">
        <f ca="1">IFERROR(__xludf.DUMMYFUNCTION("""COMPUTED_VALUE"""),"jean-jacques.marx@systeme-u.fr")</f>
        <v>jean-jacques.marx@systeme-u.fr</v>
      </c>
      <c r="J227" t="str">
        <f ca="1">IFERROR(__xludf.DUMMYFUNCTION("""COMPUTED_VALUE"""),"M Harouche (ou Mme Aymar ou M Ramampiandra Herinjaka)")</f>
        <v>M Harouche (ou Mme Aymar ou M Ramampiandra Herinjaka)</v>
      </c>
      <c r="K227" t="str">
        <f ca="1">IFERROR(__xludf.DUMMYFUNCTION("""COMPUTED_VALUE"""),"superu.clamart.direction@systeme-u.fr")</f>
        <v>superu.clamart.direction@systeme-u.fr</v>
      </c>
      <c r="L227" t="str">
        <f ca="1">IFERROR(__xludf.DUMMYFUNCTION("""COMPUTED_VALUE"""),"")</f>
        <v/>
      </c>
      <c r="M227" t="str">
        <f ca="1">IFERROR(__xludf.DUMMYFUNCTION("""COMPUTED_VALUE"""),"99.Hors Périmetre")</f>
        <v>99.Hors Périmetre</v>
      </c>
      <c r="N227" t="str">
        <f ca="1">IFERROR(__xludf.DUMMYFUNCTION("""COMPUTED_VALUE"""),"")</f>
        <v/>
      </c>
      <c r="O227" t="str">
        <f ca="1">IFERROR(__xludf.DUMMYFUNCTION("""COMPUTED_VALUE"""),"")</f>
        <v/>
      </c>
      <c r="P227" t="str">
        <f ca="1">IFERROR(__xludf.DUMMYFUNCTION("""COMPUTED_VALUE"""),"")</f>
        <v/>
      </c>
      <c r="Q227" s="5" t="str">
        <f ca="1">IFERROR(__xludf.DUMMYFUNCTION("""COMPUTED_VALUE"""),"")</f>
        <v/>
      </c>
      <c r="R227" s="6" t="str">
        <f ca="1">IFERROR(__xludf.DUMMYFUNCTION("""COMPUTED_VALUE"""),"")</f>
        <v/>
      </c>
      <c r="S227" t="str">
        <f ca="1">IFERROR(__xludf.DUMMYFUNCTION("""COMPUTED_VALUE"""),"")</f>
        <v/>
      </c>
      <c r="T227" t="str">
        <f ca="1">IFERROR(__xludf.DUMMYFUNCTION("""COMPUTED_VALUE"""),"")</f>
        <v/>
      </c>
      <c r="U227" t="str">
        <f ca="1">IFERROR(__xludf.DUMMYFUNCTION("""COMPUTED_VALUE"""),"")</f>
        <v/>
      </c>
      <c r="V227" t="str">
        <f ca="1">IFERROR(__xludf.DUMMYFUNCTION("""COMPUTED_VALUE"""),"")</f>
        <v/>
      </c>
      <c r="W227" t="str">
        <f ca="1">IFERROR(__xludf.DUMMYFUNCTION("""COMPUTED_VALUE"""),"")</f>
        <v/>
      </c>
      <c r="X227" t="str">
        <f ca="1">IFERROR(__xludf.DUMMYFUNCTION("""COMPUTED_VALUE"""),"")</f>
        <v/>
      </c>
      <c r="Y227" t="str">
        <f ca="1">IFERROR(__xludf.DUMMYFUNCTION("""COMPUTED_VALUE"""),"")</f>
        <v/>
      </c>
      <c r="Z227" t="str">
        <f ca="1">IFERROR(__xludf.DUMMYFUNCTION("""COMPUTED_VALUE"""),"")</f>
        <v/>
      </c>
      <c r="AA227" t="str">
        <f ca="1">IFERROR(__xludf.DUMMYFUNCTION("""COMPUTED_VALUE"""),"Pas de commande")</f>
        <v>Pas de commande</v>
      </c>
      <c r="AB227" s="8" t="str">
        <f ca="1">IFERROR(__xludf.DUMMYFUNCTION("""COMPUTED_VALUE"""),"")</f>
        <v/>
      </c>
      <c r="AC227" s="8" t="str">
        <f ca="1">IFERROR(__xludf.DUMMYFUNCTION("""COMPUTED_VALUE"""),"")</f>
        <v/>
      </c>
      <c r="AD227" s="11" t="str">
        <f ca="1">IFERROR(__xludf.DUMMYFUNCTION("""COMPUTED_VALUE"""),"")</f>
        <v/>
      </c>
      <c r="AE227" t="str">
        <f ca="1">IFERROR(__xludf.DUMMYFUNCTION("""COMPUTED_VALUE"""),"")</f>
        <v/>
      </c>
    </row>
    <row r="228" spans="1:31" ht="12.75" x14ac:dyDescent="0.2">
      <c r="A228">
        <f ca="1">IFERROR(__xludf.DUMMYFUNCTION("""COMPUTED_VALUE"""),95382)</f>
        <v>95382</v>
      </c>
      <c r="B228" t="str">
        <f ca="1">IFERROR(__xludf.DUMMYFUNCTION("""COMPUTED_VALUE"""),"CLAOUEY LEGE")</f>
        <v>CLAOUEY LEGE</v>
      </c>
      <c r="C228" t="str">
        <f ca="1">IFERROR(__xludf.DUMMYFUNCTION("""COMPUTED_VALUE"""),"Super U")</f>
        <v>Super U</v>
      </c>
      <c r="D228" t="str">
        <f ca="1">IFERROR(__xludf.DUMMYFUNCTION("""COMPUTED_VALUE"""),"Coop U Enseigne Sud")</f>
        <v>Coop U Enseigne Sud</v>
      </c>
      <c r="E228">
        <f ca="1">IFERROR(__xludf.DUMMYFUNCTION("""COMPUTED_VALUE"""),33950)</f>
        <v>33950</v>
      </c>
      <c r="F228" t="str">
        <f ca="1">IFERROR(__xludf.DUMMYFUNCTION("""COMPUTED_VALUE"""),"AVENUE DES HALLES")</f>
        <v>AVENUE DES HALLES</v>
      </c>
      <c r="G228" t="str">
        <f ca="1">IFERROR(__xludf.DUMMYFUNCTION("""COMPUTED_VALUE"""),"05.57.76.57.76")</f>
        <v>05.57.76.57.76</v>
      </c>
      <c r="H228" t="str">
        <f ca="1">IFERROR(__xludf.DUMMYFUNCTION("""COMPUTED_VALUE"""),"ET PIERRE FEUGIER NICOLAS MANNEVILLE")</f>
        <v>ET PIERRE FEUGIER NICOLAS MANNEVILLE</v>
      </c>
      <c r="I228" t="str">
        <f ca="1">IFERROR(__xludf.DUMMYFUNCTION("""COMPUTED_VALUE"""),"pierre.feugier@systeme-u.fr")</f>
        <v>pierre.feugier@systeme-u.fr</v>
      </c>
      <c r="J228" t="str">
        <f ca="1">IFERROR(__xludf.DUMMYFUNCTION("""COMPUTED_VALUE"""),"Mme Laurence Berthier")</f>
        <v>Mme Laurence Berthier</v>
      </c>
      <c r="K228" t="str">
        <f ca="1">IFERROR(__xludf.DUMMYFUNCTION("""COMPUTED_VALUE"""),"groupe.sofaldis.daf@systeme-u.fr")</f>
        <v>groupe.sofaldis.daf@systeme-u.fr</v>
      </c>
      <c r="L228" t="str">
        <f ca="1">IFERROR(__xludf.DUMMYFUNCTION("""COMPUTED_VALUE"""),"Standard")</f>
        <v>Standard</v>
      </c>
      <c r="M228" t="str">
        <f ca="1">IFERROR(__xludf.DUMMYFUNCTION("""COMPUTED_VALUE"""),"0. Non démarré")</f>
        <v>0. Non démarré</v>
      </c>
      <c r="N228" t="str">
        <f ca="1">IFERROR(__xludf.DUMMYFUNCTION("""COMPUTED_VALUE"""),"")</f>
        <v/>
      </c>
      <c r="O228" t="str">
        <f ca="1">IFERROR(__xludf.DUMMYFUNCTION("""COMPUTED_VALUE"""),"")</f>
        <v/>
      </c>
      <c r="P228" t="str">
        <f ca="1">IFERROR(__xludf.DUMMYFUNCTION("""COMPUTED_VALUE"""),"")</f>
        <v/>
      </c>
      <c r="Q228" s="5" t="str">
        <f ca="1">IFERROR(__xludf.DUMMYFUNCTION("""COMPUTED_VALUE"""),"")</f>
        <v/>
      </c>
      <c r="R228" s="6" t="str">
        <f ca="1">IFERROR(__xludf.DUMMYFUNCTION("""COMPUTED_VALUE"""),"")</f>
        <v/>
      </c>
      <c r="S228" t="str">
        <f ca="1">IFERROR(__xludf.DUMMYFUNCTION("""COMPUTED_VALUE"""),"")</f>
        <v/>
      </c>
      <c r="T228" t="str">
        <f ca="1">IFERROR(__xludf.DUMMYFUNCTION("""COMPUTED_VALUE"""),"")</f>
        <v/>
      </c>
      <c r="U228" t="str">
        <f ca="1">IFERROR(__xludf.DUMMYFUNCTION("""COMPUTED_VALUE"""),"")</f>
        <v/>
      </c>
      <c r="V228" t="str">
        <f ca="1">IFERROR(__xludf.DUMMYFUNCTION("""COMPUTED_VALUE"""),"")</f>
        <v/>
      </c>
      <c r="W228" t="str">
        <f ca="1">IFERROR(__xludf.DUMMYFUNCTION("""COMPUTED_VALUE"""),"R5")</f>
        <v>R5</v>
      </c>
      <c r="X228" t="str">
        <f ca="1">IFERROR(__xludf.DUMMYFUNCTION("""COMPUTED_VALUE"""),"Pricer")</f>
        <v>Pricer</v>
      </c>
      <c r="Y228" t="str">
        <f ca="1">IFERROR(__xludf.DUMMYFUNCTION("""COMPUTED_VALUE"""),"")</f>
        <v/>
      </c>
      <c r="Z228" t="str">
        <f ca="1">IFERROR(__xludf.DUMMYFUNCTION("""COMPUTED_VALUE"""),"")</f>
        <v/>
      </c>
      <c r="AA228" t="str">
        <f ca="1">IFERROR(__xludf.DUMMYFUNCTION("""COMPUTED_VALUE"""),"Pas de commande")</f>
        <v>Pas de commande</v>
      </c>
      <c r="AB228" s="8" t="str">
        <f ca="1">IFERROR(__xludf.DUMMYFUNCTION("""COMPUTED_VALUE"""),"")</f>
        <v/>
      </c>
      <c r="AC228" s="8" t="str">
        <f ca="1">IFERROR(__xludf.DUMMYFUNCTION("""COMPUTED_VALUE"""),"")</f>
        <v/>
      </c>
      <c r="AD228" s="11" t="str">
        <f ca="1">IFERROR(__xludf.DUMMYFUNCTION("""COMPUTED_VALUE"""),"")</f>
        <v/>
      </c>
      <c r="AE228" t="str">
        <f ca="1">IFERROR(__xludf.DUMMYFUNCTION("""COMPUTED_VALUE"""),"")</f>
        <v/>
      </c>
    </row>
    <row r="229" spans="1:31" ht="12.75" x14ac:dyDescent="0.2">
      <c r="A229">
        <f ca="1">IFERROR(__xludf.DUMMYFUNCTION("""COMPUTED_VALUE"""),32496)</f>
        <v>32496</v>
      </c>
      <c r="B229" t="str">
        <f ca="1">IFERROR(__xludf.DUMMYFUNCTION("""COMPUTED_VALUE"""),"CLEDER")</f>
        <v>CLEDER</v>
      </c>
      <c r="C229" t="str">
        <f ca="1">IFERROR(__xludf.DUMMYFUNCTION("""COMPUTED_VALUE"""),"U Express")</f>
        <v>U Express</v>
      </c>
      <c r="D229" t="str">
        <f ca="1">IFERROR(__xludf.DUMMYFUNCTION("""COMPUTED_VALUE"""),"Coop U Enseigne Ouest")</f>
        <v>Coop U Enseigne Ouest</v>
      </c>
      <c r="E229">
        <f ca="1">IFERROR(__xludf.DUMMYFUNCTION("""COMPUTED_VALUE"""),29233)</f>
        <v>29233</v>
      </c>
      <c r="F229" t="str">
        <f ca="1">IFERROR(__xludf.DUMMYFUNCTION("""COMPUTED_VALUE"""),"24, ROUTE DE SAINT POL DE LÉON")</f>
        <v>24, ROUTE DE SAINT POL DE LÉON</v>
      </c>
      <c r="G229" t="str">
        <f ca="1">IFERROR(__xludf.DUMMYFUNCTION("""COMPUTED_VALUE"""),"02.98.69.42.71")</f>
        <v>02.98.69.42.71</v>
      </c>
      <c r="H229" t="str">
        <f ca="1">IFERROR(__xludf.DUMMYFUNCTION("""COMPUTED_VALUE"""),"BOUTET Christophe")</f>
        <v>BOUTET Christophe</v>
      </c>
      <c r="I229" t="str">
        <f ca="1">IFERROR(__xludf.DUMMYFUNCTION("""COMPUTED_VALUE"""),"christophe.boutet@systeme-u.fr")</f>
        <v>christophe.boutet@systeme-u.fr</v>
      </c>
      <c r="J229" t="str">
        <f ca="1">IFERROR(__xludf.DUMMYFUNCTION("""COMPUTED_VALUE"""),"VALERIE BOUTET")</f>
        <v>VALERIE BOUTET</v>
      </c>
      <c r="K229" t="str">
        <f ca="1">IFERROR(__xludf.DUMMYFUNCTION("""COMPUTED_VALUE"""),"uexpress.cleder.compta@systeme-u.fr")</f>
        <v>uexpress.cleder.compta@systeme-u.fr</v>
      </c>
      <c r="L229" t="str">
        <f ca="1">IFERROR(__xludf.DUMMYFUNCTION("""COMPUTED_VALUE"""),"")</f>
        <v/>
      </c>
      <c r="M229" t="str">
        <f ca="1">IFERROR(__xludf.DUMMYFUNCTION("""COMPUTED_VALUE"""),"99.Hors Périmetre")</f>
        <v>99.Hors Périmetre</v>
      </c>
      <c r="N229" t="str">
        <f ca="1">IFERROR(__xludf.DUMMYFUNCTION("""COMPUTED_VALUE"""),"")</f>
        <v/>
      </c>
      <c r="O229" t="str">
        <f ca="1">IFERROR(__xludf.DUMMYFUNCTION("""COMPUTED_VALUE"""),"")</f>
        <v/>
      </c>
      <c r="P229" t="str">
        <f ca="1">IFERROR(__xludf.DUMMYFUNCTION("""COMPUTED_VALUE"""),"")</f>
        <v/>
      </c>
      <c r="Q229" s="5" t="str">
        <f ca="1">IFERROR(__xludf.DUMMYFUNCTION("""COMPUTED_VALUE"""),"")</f>
        <v/>
      </c>
      <c r="R229" s="6" t="str">
        <f ca="1">IFERROR(__xludf.DUMMYFUNCTION("""COMPUTED_VALUE"""),"")</f>
        <v/>
      </c>
      <c r="S229" t="str">
        <f ca="1">IFERROR(__xludf.DUMMYFUNCTION("""COMPUTED_VALUE"""),"")</f>
        <v/>
      </c>
      <c r="T229" t="str">
        <f ca="1">IFERROR(__xludf.DUMMYFUNCTION("""COMPUTED_VALUE"""),"")</f>
        <v/>
      </c>
      <c r="U229" t="str">
        <f ca="1">IFERROR(__xludf.DUMMYFUNCTION("""COMPUTED_VALUE"""),"")</f>
        <v/>
      </c>
      <c r="V229" t="str">
        <f ca="1">IFERROR(__xludf.DUMMYFUNCTION("""COMPUTED_VALUE"""),"")</f>
        <v/>
      </c>
      <c r="W229" t="str">
        <f ca="1">IFERROR(__xludf.DUMMYFUNCTION("""COMPUTED_VALUE"""),"")</f>
        <v/>
      </c>
      <c r="X229" t="str">
        <f ca="1">IFERROR(__xludf.DUMMYFUNCTION("""COMPUTED_VALUE"""),"")</f>
        <v/>
      </c>
      <c r="Y229" t="str">
        <f ca="1">IFERROR(__xludf.DUMMYFUNCTION("""COMPUTED_VALUE"""),"")</f>
        <v/>
      </c>
      <c r="Z229" t="str">
        <f ca="1">IFERROR(__xludf.DUMMYFUNCTION("""COMPUTED_VALUE"""),"")</f>
        <v/>
      </c>
      <c r="AA229" t="str">
        <f ca="1">IFERROR(__xludf.DUMMYFUNCTION("""COMPUTED_VALUE"""),"Pas de commande")</f>
        <v>Pas de commande</v>
      </c>
      <c r="AB229" s="8" t="str">
        <f ca="1">IFERROR(__xludf.DUMMYFUNCTION("""COMPUTED_VALUE"""),"")</f>
        <v/>
      </c>
      <c r="AC229" s="8" t="str">
        <f ca="1">IFERROR(__xludf.DUMMYFUNCTION("""COMPUTED_VALUE"""),"")</f>
        <v/>
      </c>
      <c r="AD229" s="11" t="str">
        <f ca="1">IFERROR(__xludf.DUMMYFUNCTION("""COMPUTED_VALUE"""),"")</f>
        <v/>
      </c>
      <c r="AE229" t="str">
        <f ca="1">IFERROR(__xludf.DUMMYFUNCTION("""COMPUTED_VALUE"""),"")</f>
        <v/>
      </c>
    </row>
    <row r="230" spans="1:31" ht="12.75" x14ac:dyDescent="0.2">
      <c r="A230">
        <f ca="1">IFERROR(__xludf.DUMMYFUNCTION("""COMPUTED_VALUE"""),90166)</f>
        <v>90166</v>
      </c>
      <c r="B230" t="str">
        <f ca="1">IFERROR(__xludf.DUMMYFUNCTION("""COMPUTED_VALUE"""),"CLERMONT L'HERAULT")</f>
        <v>CLERMONT L'HERAULT</v>
      </c>
      <c r="C230" t="str">
        <f ca="1">IFERROR(__xludf.DUMMYFUNCTION("""COMPUTED_VALUE"""),"Hyper U")</f>
        <v>Hyper U</v>
      </c>
      <c r="D230" t="str">
        <f ca="1">IFERROR(__xludf.DUMMYFUNCTION("""COMPUTED_VALUE"""),"Coop U Enseigne Sud")</f>
        <v>Coop U Enseigne Sud</v>
      </c>
      <c r="E230">
        <f ca="1">IFERROR(__xludf.DUMMYFUNCTION("""COMPUTED_VALUE"""),34800)</f>
        <v>34800</v>
      </c>
      <c r="F230" t="str">
        <f ca="1">IFERROR(__xludf.DUMMYFUNCTION("""COMPUTED_VALUE"""),"CENTRE CIAL GRAND AXE")</f>
        <v>CENTRE CIAL GRAND AXE</v>
      </c>
      <c r="G230" t="str">
        <f ca="1">IFERROR(__xludf.DUMMYFUNCTION("""COMPUTED_VALUE"""),"04.67.88.45.45")</f>
        <v>04.67.88.45.45</v>
      </c>
      <c r="H230" t="str">
        <f ca="1">IFERROR(__xludf.DUMMYFUNCTION("""COMPUTED_VALUE"""),"GINOUVES Bernard")</f>
        <v>GINOUVES Bernard</v>
      </c>
      <c r="I230" t="str">
        <f ca="1">IFERROR(__xludf.DUMMYFUNCTION("""COMPUTED_VALUE"""),"bernard.ginouves@systeme-u.fr")</f>
        <v>bernard.ginouves@systeme-u.fr</v>
      </c>
      <c r="J230" t="str">
        <f ca="1">IFERROR(__xludf.DUMMYFUNCTION("""COMPUTED_VALUE"""),"M. BOUTIER")</f>
        <v>M. BOUTIER</v>
      </c>
      <c r="K230" t="str">
        <f ca="1">IFERROR(__xludf.DUMMYFUNCTION("""COMPUTED_VALUE"""),"hyperu.clermontlherault.direction@systeme-u.fr")</f>
        <v>hyperu.clermontlherault.direction@systeme-u.fr</v>
      </c>
      <c r="L230" t="str">
        <f ca="1">IFERROR(__xludf.DUMMYFUNCTION("""COMPUTED_VALUE"""),"")</f>
        <v/>
      </c>
      <c r="M230" t="str">
        <f ca="1">IFERROR(__xludf.DUMMYFUNCTION("""COMPUTED_VALUE"""),"")</f>
        <v/>
      </c>
      <c r="N230" t="str">
        <f ca="1">IFERROR(__xludf.DUMMYFUNCTION("""COMPUTED_VALUE"""),"")</f>
        <v/>
      </c>
      <c r="O230" t="str">
        <f ca="1">IFERROR(__xludf.DUMMYFUNCTION("""COMPUTED_VALUE"""),"")</f>
        <v/>
      </c>
      <c r="P230" t="str">
        <f ca="1">IFERROR(__xludf.DUMMYFUNCTION("""COMPUTED_VALUE"""),"")</f>
        <v/>
      </c>
      <c r="Q230" s="5" t="str">
        <f ca="1">IFERROR(__xludf.DUMMYFUNCTION("""COMPUTED_VALUE"""),"")</f>
        <v/>
      </c>
      <c r="R230" s="6" t="str">
        <f ca="1">IFERROR(__xludf.DUMMYFUNCTION("""COMPUTED_VALUE"""),"")</f>
        <v/>
      </c>
      <c r="S230" t="str">
        <f ca="1">IFERROR(__xludf.DUMMYFUNCTION("""COMPUTED_VALUE"""),"")</f>
        <v/>
      </c>
      <c r="T230" t="str">
        <f ca="1">IFERROR(__xludf.DUMMYFUNCTION("""COMPUTED_VALUE"""),"")</f>
        <v/>
      </c>
      <c r="U230" t="str">
        <f ca="1">IFERROR(__xludf.DUMMYFUNCTION("""COMPUTED_VALUE"""),"")</f>
        <v/>
      </c>
      <c r="V230" t="str">
        <f ca="1">IFERROR(__xludf.DUMMYFUNCTION("""COMPUTED_VALUE"""),"")</f>
        <v/>
      </c>
      <c r="W230" t="str">
        <f ca="1">IFERROR(__xludf.DUMMYFUNCTION("""COMPUTED_VALUE"""),"R3")</f>
        <v>R3</v>
      </c>
      <c r="X230" t="str">
        <f ca="1">IFERROR(__xludf.DUMMYFUNCTION("""COMPUTED_VALUE"""),"Toshiba")</f>
        <v>Toshiba</v>
      </c>
      <c r="Y230" t="str">
        <f ca="1">IFERROR(__xludf.DUMMYFUNCTION("""COMPUTED_VALUE"""),"")</f>
        <v/>
      </c>
      <c r="Z230" t="str">
        <f ca="1">IFERROR(__xludf.DUMMYFUNCTION("""COMPUTED_VALUE"""),"")</f>
        <v/>
      </c>
      <c r="AA230" t="str">
        <f ca="1">IFERROR(__xludf.DUMMYFUNCTION("""COMPUTED_VALUE"""),"Pas de commande")</f>
        <v>Pas de commande</v>
      </c>
      <c r="AB230" s="8" t="str">
        <f ca="1">IFERROR(__xludf.DUMMYFUNCTION("""COMPUTED_VALUE"""),"")</f>
        <v/>
      </c>
      <c r="AC230" s="8" t="str">
        <f ca="1">IFERROR(__xludf.DUMMYFUNCTION("""COMPUTED_VALUE"""),"")</f>
        <v/>
      </c>
      <c r="AD230" s="11" t="str">
        <f ca="1">IFERROR(__xludf.DUMMYFUNCTION("""COMPUTED_VALUE"""),"")</f>
        <v/>
      </c>
      <c r="AE230" t="str">
        <f ca="1">IFERROR(__xludf.DUMMYFUNCTION("""COMPUTED_VALUE"""),"")</f>
        <v/>
      </c>
    </row>
    <row r="231" spans="1:31" ht="12.75" x14ac:dyDescent="0.2">
      <c r="A231">
        <f ca="1">IFERROR(__xludf.DUMMYFUNCTION("""COMPUTED_VALUE"""),65072)</f>
        <v>65072</v>
      </c>
      <c r="B231" t="str">
        <f ca="1">IFERROR(__xludf.DUMMYFUNCTION("""COMPUTED_VALUE"""),"CLOUANGE")</f>
        <v>CLOUANGE</v>
      </c>
      <c r="C231" t="str">
        <f ca="1">IFERROR(__xludf.DUMMYFUNCTION("""COMPUTED_VALUE"""),"Super U")</f>
        <v>Super U</v>
      </c>
      <c r="D231" t="str">
        <f ca="1">IFERROR(__xludf.DUMMYFUNCTION("""COMPUTED_VALUE"""),"Coop U Enseigne Est")</f>
        <v>Coop U Enseigne Est</v>
      </c>
      <c r="E231">
        <f ca="1">IFERROR(__xludf.DUMMYFUNCTION("""COMPUTED_VALUE"""),57185)</f>
        <v>57185</v>
      </c>
      <c r="F231" t="str">
        <f ca="1">IFERROR(__xludf.DUMMYFUNCTION("""COMPUTED_VALUE"""),"ZAC BELLE FONTAINE")</f>
        <v>ZAC BELLE FONTAINE</v>
      </c>
      <c r="G231" t="str">
        <f ca="1">IFERROR(__xludf.DUMMYFUNCTION("""COMPUTED_VALUE"""),"03.87.58.80.00")</f>
        <v>03.87.58.80.00</v>
      </c>
      <c r="H231" t="str">
        <f ca="1">IFERROR(__xludf.DUMMYFUNCTION("""COMPUTED_VALUE"""),"BARANGER Christophe")</f>
        <v>BARANGER Christophe</v>
      </c>
      <c r="I231" t="str">
        <f ca="1">IFERROR(__xludf.DUMMYFUNCTION("""COMPUTED_VALUE"""),"christophe.baranger@systeme-u.fr")</f>
        <v>christophe.baranger@systeme-u.fr</v>
      </c>
      <c r="J231" t="str">
        <f ca="1">IFERROR(__xludf.DUMMYFUNCTION("""COMPUTED_VALUE"""),"Karine Weber")</f>
        <v>Karine Weber</v>
      </c>
      <c r="K231" t="str">
        <f ca="1">IFERROR(__xludf.DUMMYFUNCTION("""COMPUTED_VALUE"""),"superu.clouange.courses_u@systeme-u.fr")</f>
        <v>superu.clouange.courses_u@systeme-u.fr</v>
      </c>
      <c r="L231" t="str">
        <f ca="1">IFERROR(__xludf.DUMMYFUNCTION("""COMPUTED_VALUE"""),"")</f>
        <v/>
      </c>
      <c r="M231" t="str">
        <f ca="1">IFERROR(__xludf.DUMMYFUNCTION("""COMPUTED_VALUE"""),"99.Hors Périmetre")</f>
        <v>99.Hors Périmetre</v>
      </c>
      <c r="N231" t="str">
        <f ca="1">IFERROR(__xludf.DUMMYFUNCTION("""COMPUTED_VALUE"""),"")</f>
        <v/>
      </c>
      <c r="O231" t="str">
        <f ca="1">IFERROR(__xludf.DUMMYFUNCTION("""COMPUTED_VALUE"""),"")</f>
        <v/>
      </c>
      <c r="P231" t="str">
        <f ca="1">IFERROR(__xludf.DUMMYFUNCTION("""COMPUTED_VALUE"""),"")</f>
        <v/>
      </c>
      <c r="Q231" s="5" t="str">
        <f ca="1">IFERROR(__xludf.DUMMYFUNCTION("""COMPUTED_VALUE"""),"")</f>
        <v/>
      </c>
      <c r="R231" s="6" t="str">
        <f ca="1">IFERROR(__xludf.DUMMYFUNCTION("""COMPUTED_VALUE"""),"")</f>
        <v/>
      </c>
      <c r="S231" t="str">
        <f ca="1">IFERROR(__xludf.DUMMYFUNCTION("""COMPUTED_VALUE"""),"")</f>
        <v/>
      </c>
      <c r="T231" t="str">
        <f ca="1">IFERROR(__xludf.DUMMYFUNCTION("""COMPUTED_VALUE"""),"")</f>
        <v/>
      </c>
      <c r="U231" t="str">
        <f ca="1">IFERROR(__xludf.DUMMYFUNCTION("""COMPUTED_VALUE"""),"")</f>
        <v/>
      </c>
      <c r="V231" t="str">
        <f ca="1">IFERROR(__xludf.DUMMYFUNCTION("""COMPUTED_VALUE"""),"")</f>
        <v/>
      </c>
      <c r="W231" t="str">
        <f ca="1">IFERROR(__xludf.DUMMYFUNCTION("""COMPUTED_VALUE"""),"")</f>
        <v/>
      </c>
      <c r="X231" t="str">
        <f ca="1">IFERROR(__xludf.DUMMYFUNCTION("""COMPUTED_VALUE"""),"")</f>
        <v/>
      </c>
      <c r="Y231" t="str">
        <f ca="1">IFERROR(__xludf.DUMMYFUNCTION("""COMPUTED_VALUE"""),"")</f>
        <v/>
      </c>
      <c r="Z231" t="str">
        <f ca="1">IFERROR(__xludf.DUMMYFUNCTION("""COMPUTED_VALUE"""),"")</f>
        <v/>
      </c>
      <c r="AA231" t="str">
        <f ca="1">IFERROR(__xludf.DUMMYFUNCTION("""COMPUTED_VALUE"""),"Pas de commande")</f>
        <v>Pas de commande</v>
      </c>
      <c r="AB231" s="8" t="str">
        <f ca="1">IFERROR(__xludf.DUMMYFUNCTION("""COMPUTED_VALUE"""),"")</f>
        <v/>
      </c>
      <c r="AC231" s="8" t="str">
        <f ca="1">IFERROR(__xludf.DUMMYFUNCTION("""COMPUTED_VALUE"""),"")</f>
        <v/>
      </c>
      <c r="AD231" s="11" t="str">
        <f ca="1">IFERROR(__xludf.DUMMYFUNCTION("""COMPUTED_VALUE"""),"")</f>
        <v/>
      </c>
      <c r="AE231" t="str">
        <f ca="1">IFERROR(__xludf.DUMMYFUNCTION("""COMPUTED_VALUE"""),"")</f>
        <v/>
      </c>
    </row>
    <row r="232" spans="1:31" ht="12.75" x14ac:dyDescent="0.2">
      <c r="A232">
        <f ca="1">IFERROR(__xludf.DUMMYFUNCTION("""COMPUTED_VALUE"""),30701)</f>
        <v>30701</v>
      </c>
      <c r="B232" t="str">
        <f ca="1">IFERROR(__xludf.DUMMYFUNCTION("""COMPUTED_VALUE"""),"COEX")</f>
        <v>COEX</v>
      </c>
      <c r="C232" t="str">
        <f ca="1">IFERROR(__xludf.DUMMYFUNCTION("""COMPUTED_VALUE"""),"U Express")</f>
        <v>U Express</v>
      </c>
      <c r="D232" t="str">
        <f ca="1">IFERROR(__xludf.DUMMYFUNCTION("""COMPUTED_VALUE"""),"Coop U Enseigne Ouest")</f>
        <v>Coop U Enseigne Ouest</v>
      </c>
      <c r="E232">
        <f ca="1">IFERROR(__xludf.DUMMYFUNCTION("""COMPUTED_VALUE"""),85220)</f>
        <v>85220</v>
      </c>
      <c r="F232" t="str">
        <f ca="1">IFERROR(__xludf.DUMMYFUNCTION("""COMPUTED_VALUE"""),"PLACE DU DOCTEUR BRECHOTEAU")</f>
        <v>PLACE DU DOCTEUR BRECHOTEAU</v>
      </c>
      <c r="G232" t="str">
        <f ca="1">IFERROR(__xludf.DUMMYFUNCTION("""COMPUTED_VALUE"""),"02.51.54.64.84")</f>
        <v>02.51.54.64.84</v>
      </c>
      <c r="H232" t="str">
        <f ca="1">IFERROR(__xludf.DUMMYFUNCTION("""COMPUTED_VALUE"""),"THOUZEAU Philippe")</f>
        <v>THOUZEAU Philippe</v>
      </c>
      <c r="I232" t="str">
        <f ca="1">IFERROR(__xludf.DUMMYFUNCTION("""COMPUTED_VALUE"""),"philippe.thouzeau@systeme-u.fr")</f>
        <v>philippe.thouzeau@systeme-u.fr</v>
      </c>
      <c r="J232" t="str">
        <f ca="1">IFERROR(__xludf.DUMMYFUNCTION("""COMPUTED_VALUE"""),"THIBAUD Sophie")</f>
        <v>THIBAUD Sophie</v>
      </c>
      <c r="K232" t="str">
        <f ca="1">IFERROR(__xludf.DUMMYFUNCTION("""COMPUTED_VALUE"""),"uexpress.coex@systeme-u.fr")</f>
        <v>uexpress.coex@systeme-u.fr</v>
      </c>
      <c r="L232" t="str">
        <f ca="1">IFERROR(__xludf.DUMMYFUNCTION("""COMPUTED_VALUE"""),"")</f>
        <v/>
      </c>
      <c r="M232" t="str">
        <f ca="1">IFERROR(__xludf.DUMMYFUNCTION("""COMPUTED_VALUE"""),"99.Hors Périmetre")</f>
        <v>99.Hors Périmetre</v>
      </c>
      <c r="N232" t="str">
        <f ca="1">IFERROR(__xludf.DUMMYFUNCTION("""COMPUTED_VALUE"""),"")</f>
        <v/>
      </c>
      <c r="O232" t="str">
        <f ca="1">IFERROR(__xludf.DUMMYFUNCTION("""COMPUTED_VALUE"""),"")</f>
        <v/>
      </c>
      <c r="P232" t="str">
        <f ca="1">IFERROR(__xludf.DUMMYFUNCTION("""COMPUTED_VALUE"""),"")</f>
        <v/>
      </c>
      <c r="Q232" s="5" t="str">
        <f ca="1">IFERROR(__xludf.DUMMYFUNCTION("""COMPUTED_VALUE"""),"")</f>
        <v/>
      </c>
      <c r="R232" s="6" t="str">
        <f ca="1">IFERROR(__xludf.DUMMYFUNCTION("""COMPUTED_VALUE"""),"")</f>
        <v/>
      </c>
      <c r="S232" t="str">
        <f ca="1">IFERROR(__xludf.DUMMYFUNCTION("""COMPUTED_VALUE"""),"")</f>
        <v/>
      </c>
      <c r="T232" t="str">
        <f ca="1">IFERROR(__xludf.DUMMYFUNCTION("""COMPUTED_VALUE"""),"")</f>
        <v/>
      </c>
      <c r="U232" t="str">
        <f ca="1">IFERROR(__xludf.DUMMYFUNCTION("""COMPUTED_VALUE"""),"")</f>
        <v/>
      </c>
      <c r="V232" t="str">
        <f ca="1">IFERROR(__xludf.DUMMYFUNCTION("""COMPUTED_VALUE"""),"")</f>
        <v/>
      </c>
      <c r="W232" t="str">
        <f ca="1">IFERROR(__xludf.DUMMYFUNCTION("""COMPUTED_VALUE"""),"")</f>
        <v/>
      </c>
      <c r="X232" t="str">
        <f ca="1">IFERROR(__xludf.DUMMYFUNCTION("""COMPUTED_VALUE"""),"")</f>
        <v/>
      </c>
      <c r="Y232" t="str">
        <f ca="1">IFERROR(__xludf.DUMMYFUNCTION("""COMPUTED_VALUE"""),"")</f>
        <v/>
      </c>
      <c r="Z232" t="str">
        <f ca="1">IFERROR(__xludf.DUMMYFUNCTION("""COMPUTED_VALUE"""),"")</f>
        <v/>
      </c>
      <c r="AA232" t="str">
        <f ca="1">IFERROR(__xludf.DUMMYFUNCTION("""COMPUTED_VALUE"""),"Pas de commande")</f>
        <v>Pas de commande</v>
      </c>
      <c r="AB232" s="8" t="str">
        <f ca="1">IFERROR(__xludf.DUMMYFUNCTION("""COMPUTED_VALUE"""),"")</f>
        <v/>
      </c>
      <c r="AC232" s="8" t="str">
        <f ca="1">IFERROR(__xludf.DUMMYFUNCTION("""COMPUTED_VALUE"""),"")</f>
        <v/>
      </c>
      <c r="AD232" s="11" t="str">
        <f ca="1">IFERROR(__xludf.DUMMYFUNCTION("""COMPUTED_VALUE"""),"")</f>
        <v/>
      </c>
      <c r="AE232" t="str">
        <f ca="1">IFERROR(__xludf.DUMMYFUNCTION("""COMPUTED_VALUE"""),"")</f>
        <v/>
      </c>
    </row>
    <row r="233" spans="1:31" ht="12.75" x14ac:dyDescent="0.2">
      <c r="A233">
        <f ca="1">IFERROR(__xludf.DUMMYFUNCTION("""COMPUTED_VALUE"""),34204)</f>
        <v>34204</v>
      </c>
      <c r="B233" t="str">
        <f ca="1">IFERROR(__xludf.DUMMYFUNCTION("""COMPUTED_VALUE"""),"COGNAC BAYARD B.")</f>
        <v>COGNAC BAYARD B.</v>
      </c>
      <c r="C233" t="str">
        <f ca="1">IFERROR(__xludf.DUMMYFUNCTION("""COMPUTED_VALUE"""),"Utile")</f>
        <v>Utile</v>
      </c>
      <c r="D233" t="str">
        <f ca="1">IFERROR(__xludf.DUMMYFUNCTION("""COMPUTED_VALUE"""),"Coop Atlantique")</f>
        <v>Coop Atlantique</v>
      </c>
      <c r="E233">
        <f ca="1">IFERROR(__xludf.DUMMYFUNCTION("""COMPUTED_VALUE"""),16100)</f>
        <v>16100</v>
      </c>
      <c r="F233" t="str">
        <f ca="1">IFERROR(__xludf.DUMMYFUNCTION("""COMPUTED_VALUE"""),"32 PLACE BAYARD")</f>
        <v>32 PLACE BAYARD</v>
      </c>
      <c r="G233" t="str">
        <f ca="1">IFERROR(__xludf.DUMMYFUNCTION("""COMPUTED_VALUE"""),"05.45.82.16.60")</f>
        <v>05.45.82.16.60</v>
      </c>
      <c r="H233" t="str">
        <f ca="1">IFERROR(__xludf.DUMMYFUNCTION("""COMPUTED_VALUE"""),"FLAMBARD Hervé")</f>
        <v>FLAMBARD Hervé</v>
      </c>
      <c r="I233" t="str">
        <f ca="1">IFERROR(__xludf.DUMMYFUNCTION("""COMPUTED_VALUE"""),"bertrand.defontaine_coop_su_uex@systeme-u.fr")</f>
        <v>bertrand.defontaine_coop_su_uex@systeme-u.fr</v>
      </c>
      <c r="J233" t="str">
        <f ca="1">IFERROR(__xludf.DUMMYFUNCTION("""COMPUTED_VALUE"""),"PELLETIER Bruno")</f>
        <v>PELLETIER Bruno</v>
      </c>
      <c r="K233" t="str">
        <f ca="1">IFERROR(__xludf.DUMMYFUNCTION("""COMPUTED_VALUE"""),"uexpress.cognacbayard.direction@systeme-u.fr,nbrigant@coop-atlantique.fr,sjaud@coop-atlantique.fr,bpelletier@coop-atlantique.fr")</f>
        <v>uexpress.cognacbayard.direction@systeme-u.fr,nbrigant@coop-atlantique.fr,sjaud@coop-atlantique.fr,bpelletier@coop-atlantique.fr</v>
      </c>
      <c r="L233" t="str">
        <f ca="1">IFERROR(__xludf.DUMMYFUNCTION("""COMPUTED_VALUE"""),"Standard")</f>
        <v>Standard</v>
      </c>
      <c r="M233" t="str">
        <f ca="1">IFERROR(__xludf.DUMMYFUNCTION("""COMPUTED_VALUE"""),"0. Non démarré")</f>
        <v>0. Non démarré</v>
      </c>
      <c r="N233" t="str">
        <f ca="1">IFERROR(__xludf.DUMMYFUNCTION("""COMPUTED_VALUE"""),"")</f>
        <v/>
      </c>
      <c r="O233" t="str">
        <f ca="1">IFERROR(__xludf.DUMMYFUNCTION("""COMPUTED_VALUE"""),"")</f>
        <v/>
      </c>
      <c r="P233" t="str">
        <f ca="1">IFERROR(__xludf.DUMMYFUNCTION("""COMPUTED_VALUE"""),"")</f>
        <v/>
      </c>
      <c r="Q233" s="5" t="str">
        <f ca="1">IFERROR(__xludf.DUMMYFUNCTION("""COMPUTED_VALUE"""),"")</f>
        <v/>
      </c>
      <c r="R233" s="6" t="str">
        <f ca="1">IFERROR(__xludf.DUMMYFUNCTION("""COMPUTED_VALUE"""),"")</f>
        <v/>
      </c>
      <c r="S233" t="str">
        <f ca="1">IFERROR(__xludf.DUMMYFUNCTION("""COMPUTED_VALUE"""),"")</f>
        <v/>
      </c>
      <c r="T233" t="str">
        <f ca="1">IFERROR(__xludf.DUMMYFUNCTION("""COMPUTED_VALUE"""),"")</f>
        <v/>
      </c>
      <c r="U233" t="str">
        <f ca="1">IFERROR(__xludf.DUMMYFUNCTION("""COMPUTED_VALUE"""),"")</f>
        <v/>
      </c>
      <c r="V233" t="str">
        <f ca="1">IFERROR(__xludf.DUMMYFUNCTION("""COMPUTED_VALUE"""),"")</f>
        <v/>
      </c>
      <c r="W233" t="str">
        <f ca="1">IFERROR(__xludf.DUMMYFUNCTION("""COMPUTED_VALUE"""),"R5")</f>
        <v>R5</v>
      </c>
      <c r="X233" t="str">
        <f ca="1">IFERROR(__xludf.DUMMYFUNCTION("""COMPUTED_VALUE"""),"PC mag &lt;8Go")</f>
        <v>PC mag &lt;8Go</v>
      </c>
      <c r="Y233" t="str">
        <f ca="1">IFERROR(__xludf.DUMMYFUNCTION("""COMPUTED_VALUE"""),"")</f>
        <v/>
      </c>
      <c r="Z233" t="str">
        <f ca="1">IFERROR(__xludf.DUMMYFUNCTION("""COMPUTED_VALUE"""),"")</f>
        <v/>
      </c>
      <c r="AA233" t="str">
        <f ca="1">IFERROR(__xludf.DUMMYFUNCTION("""COMPUTED_VALUE"""),"Pas de commande")</f>
        <v>Pas de commande</v>
      </c>
      <c r="AB233" s="8" t="str">
        <f ca="1">IFERROR(__xludf.DUMMYFUNCTION("""COMPUTED_VALUE"""),"")</f>
        <v/>
      </c>
      <c r="AC233" s="8" t="str">
        <f ca="1">IFERROR(__xludf.DUMMYFUNCTION("""COMPUTED_VALUE"""),"")</f>
        <v/>
      </c>
      <c r="AD233" s="11" t="str">
        <f ca="1">IFERROR(__xludf.DUMMYFUNCTION("""COMPUTED_VALUE"""),"")</f>
        <v/>
      </c>
      <c r="AE233" t="str">
        <f ca="1">IFERROR(__xludf.DUMMYFUNCTION("""COMPUTED_VALUE"""),"")</f>
        <v/>
      </c>
    </row>
    <row r="234" spans="1:31" ht="12.75" x14ac:dyDescent="0.2">
      <c r="A234">
        <f ca="1">IFERROR(__xludf.DUMMYFUNCTION("""COMPUTED_VALUE"""),66551)</f>
        <v>66551</v>
      </c>
      <c r="B234" t="str">
        <f ca="1">IFERROR(__xludf.DUMMYFUNCTION("""COMPUTED_VALUE"""),"COGNIN")</f>
        <v>COGNIN</v>
      </c>
      <c r="C234" t="str">
        <f ca="1">IFERROR(__xludf.DUMMYFUNCTION("""COMPUTED_VALUE"""),"Super U")</f>
        <v>Super U</v>
      </c>
      <c r="D234" t="str">
        <f ca="1">IFERROR(__xludf.DUMMYFUNCTION("""COMPUTED_VALUE"""),"Coop U Enseigne Est")</f>
        <v>Coop U Enseigne Est</v>
      </c>
      <c r="E234">
        <f ca="1">IFERROR(__xludf.DUMMYFUNCTION("""COMPUTED_VALUE"""),73160)</f>
        <v>73160</v>
      </c>
      <c r="F234" t="str">
        <f ca="1">IFERROR(__xludf.DUMMYFUNCTION("""COMPUTED_VALUE"""),"Centre Commercial")</f>
        <v>Centre Commercial</v>
      </c>
      <c r="G234" t="str">
        <f ca="1">IFERROR(__xludf.DUMMYFUNCTION("""COMPUTED_VALUE"""),"04.79.44.06.00")</f>
        <v>04.79.44.06.00</v>
      </c>
      <c r="H234" t="str">
        <f ca="1">IFERROR(__xludf.DUMMYFUNCTION("""COMPUTED_VALUE"""),"HERRERA Philippe")</f>
        <v>HERRERA Philippe</v>
      </c>
      <c r="I234" t="str">
        <f ca="1">IFERROR(__xludf.DUMMYFUNCTION("""COMPUTED_VALUE"""),"philippe.herrera@systeme-u.fr")</f>
        <v>philippe.herrera@systeme-u.fr</v>
      </c>
      <c r="J234" t="str">
        <f ca="1">IFERROR(__xludf.DUMMYFUNCTION("""COMPUTED_VALUE"""),"M. CARON")</f>
        <v>M. CARON</v>
      </c>
      <c r="K234" t="str">
        <f ca="1">IFERROR(__xludf.DUMMYFUNCTION("""COMPUTED_VALUE"""),"superu.cognin.direction@systeme-u.fr")</f>
        <v>superu.cognin.direction@systeme-u.fr</v>
      </c>
      <c r="L234" t="str">
        <f ca="1">IFERROR(__xludf.DUMMYFUNCTION("""COMPUTED_VALUE"""),"")</f>
        <v/>
      </c>
      <c r="M234" t="str">
        <f ca="1">IFERROR(__xludf.DUMMYFUNCTION("""COMPUTED_VALUE"""),"99.Hors Périmetre")</f>
        <v>99.Hors Périmetre</v>
      </c>
      <c r="N234" t="str">
        <f ca="1">IFERROR(__xludf.DUMMYFUNCTION("""COMPUTED_VALUE"""),"")</f>
        <v/>
      </c>
      <c r="O234" t="str">
        <f ca="1">IFERROR(__xludf.DUMMYFUNCTION("""COMPUTED_VALUE"""),"")</f>
        <v/>
      </c>
      <c r="P234" t="str">
        <f ca="1">IFERROR(__xludf.DUMMYFUNCTION("""COMPUTED_VALUE"""),"")</f>
        <v/>
      </c>
      <c r="Q234" s="5" t="str">
        <f ca="1">IFERROR(__xludf.DUMMYFUNCTION("""COMPUTED_VALUE"""),"")</f>
        <v/>
      </c>
      <c r="R234" s="6" t="str">
        <f ca="1">IFERROR(__xludf.DUMMYFUNCTION("""COMPUTED_VALUE"""),"")</f>
        <v/>
      </c>
      <c r="S234" t="str">
        <f ca="1">IFERROR(__xludf.DUMMYFUNCTION("""COMPUTED_VALUE"""),"")</f>
        <v/>
      </c>
      <c r="T234" t="str">
        <f ca="1">IFERROR(__xludf.DUMMYFUNCTION("""COMPUTED_VALUE"""),"")</f>
        <v/>
      </c>
      <c r="U234" t="str">
        <f ca="1">IFERROR(__xludf.DUMMYFUNCTION("""COMPUTED_VALUE"""),"")</f>
        <v/>
      </c>
      <c r="V234" t="str">
        <f ca="1">IFERROR(__xludf.DUMMYFUNCTION("""COMPUTED_VALUE"""),"")</f>
        <v/>
      </c>
      <c r="W234" t="str">
        <f ca="1">IFERROR(__xludf.DUMMYFUNCTION("""COMPUTED_VALUE"""),"")</f>
        <v/>
      </c>
      <c r="X234" t="str">
        <f ca="1">IFERROR(__xludf.DUMMYFUNCTION("""COMPUTED_VALUE"""),"")</f>
        <v/>
      </c>
      <c r="Y234" t="str">
        <f ca="1">IFERROR(__xludf.DUMMYFUNCTION("""COMPUTED_VALUE"""),"")</f>
        <v/>
      </c>
      <c r="Z234" t="str">
        <f ca="1">IFERROR(__xludf.DUMMYFUNCTION("""COMPUTED_VALUE"""),"")</f>
        <v/>
      </c>
      <c r="AA234" t="str">
        <f ca="1">IFERROR(__xludf.DUMMYFUNCTION("""COMPUTED_VALUE"""),"Pas de commande")</f>
        <v>Pas de commande</v>
      </c>
      <c r="AB234" s="8" t="str">
        <f ca="1">IFERROR(__xludf.DUMMYFUNCTION("""COMPUTED_VALUE"""),"")</f>
        <v/>
      </c>
      <c r="AC234" s="8" t="str">
        <f ca="1">IFERROR(__xludf.DUMMYFUNCTION("""COMPUTED_VALUE"""),"")</f>
        <v/>
      </c>
      <c r="AD234" s="11" t="str">
        <f ca="1">IFERROR(__xludf.DUMMYFUNCTION("""COMPUTED_VALUE"""),"")</f>
        <v/>
      </c>
      <c r="AE234" t="str">
        <f ca="1">IFERROR(__xludf.DUMMYFUNCTION("""COMPUTED_VALUE"""),"")</f>
        <v/>
      </c>
    </row>
    <row r="235" spans="1:31" ht="12.75" x14ac:dyDescent="0.2">
      <c r="A235">
        <f ca="1">IFERROR(__xludf.DUMMYFUNCTION("""COMPUTED_VALUE"""),24529)</f>
        <v>24529</v>
      </c>
      <c r="B235" t="str">
        <f ca="1">IFERROR(__xludf.DUMMYFUNCTION("""COMPUTED_VALUE"""),"#N/A")</f>
        <v>#N/A</v>
      </c>
      <c r="C235" t="str">
        <f ca="1">IFERROR(__xludf.DUMMYFUNCTION("""COMPUTED_VALUE"""),"#N/A")</f>
        <v>#N/A</v>
      </c>
      <c r="D235" t="str">
        <f ca="1">IFERROR(__xludf.DUMMYFUNCTION("""COMPUTED_VALUE"""),"#N/A")</f>
        <v>#N/A</v>
      </c>
      <c r="E235" t="str">
        <f ca="1">IFERROR(__xludf.DUMMYFUNCTION("""COMPUTED_VALUE"""),"")</f>
        <v/>
      </c>
      <c r="F235" t="str">
        <f ca="1">IFERROR(__xludf.DUMMYFUNCTION("""COMPUTED_VALUE"""),"#N/A")</f>
        <v>#N/A</v>
      </c>
      <c r="G235" t="str">
        <f ca="1">IFERROR(__xludf.DUMMYFUNCTION("""COMPUTED_VALUE"""),"#N/A")</f>
        <v>#N/A</v>
      </c>
      <c r="H235" t="str">
        <f ca="1">IFERROR(__xludf.DUMMYFUNCTION("""COMPUTED_VALUE"""),"#N/A")</f>
        <v>#N/A</v>
      </c>
      <c r="I235" t="str">
        <f ca="1">IFERROR(__xludf.DUMMYFUNCTION("""COMPUTED_VALUE"""),"#N/A")</f>
        <v>#N/A</v>
      </c>
      <c r="J235" t="str">
        <f ca="1">IFERROR(__xludf.DUMMYFUNCTION("""COMPUTED_VALUE"""),"")</f>
        <v/>
      </c>
      <c r="K235" t="str">
        <f ca="1">IFERROR(__xludf.DUMMYFUNCTION("""COMPUTED_VALUE"""),"")</f>
        <v/>
      </c>
      <c r="L235" t="str">
        <f ca="1">IFERROR(__xludf.DUMMYFUNCTION("""COMPUTED_VALUE"""),"")</f>
        <v/>
      </c>
      <c r="M235" t="str">
        <f ca="1">IFERROR(__xludf.DUMMYFUNCTION("""COMPUTED_VALUE"""),"99.Hors Périmetre")</f>
        <v>99.Hors Périmetre</v>
      </c>
      <c r="N235" t="str">
        <f ca="1">IFERROR(__xludf.DUMMYFUNCTION("""COMPUTED_VALUE"""),"")</f>
        <v/>
      </c>
      <c r="O235" t="str">
        <f ca="1">IFERROR(__xludf.DUMMYFUNCTION("""COMPUTED_VALUE"""),"")</f>
        <v/>
      </c>
      <c r="P235" t="str">
        <f ca="1">IFERROR(__xludf.DUMMYFUNCTION("""COMPUTED_VALUE"""),"")</f>
        <v/>
      </c>
      <c r="Q235" s="5" t="str">
        <f ca="1">IFERROR(__xludf.DUMMYFUNCTION("""COMPUTED_VALUE"""),"")</f>
        <v/>
      </c>
      <c r="R235" s="6" t="str">
        <f ca="1">IFERROR(__xludf.DUMMYFUNCTION("""COMPUTED_VALUE"""),"")</f>
        <v/>
      </c>
      <c r="S235" t="str">
        <f ca="1">IFERROR(__xludf.DUMMYFUNCTION("""COMPUTED_VALUE"""),"")</f>
        <v/>
      </c>
      <c r="T235" t="str">
        <f ca="1">IFERROR(__xludf.DUMMYFUNCTION("""COMPUTED_VALUE"""),"")</f>
        <v/>
      </c>
      <c r="U235" t="str">
        <f ca="1">IFERROR(__xludf.DUMMYFUNCTION("""COMPUTED_VALUE"""),"")</f>
        <v/>
      </c>
      <c r="V235" t="str">
        <f ca="1">IFERROR(__xludf.DUMMYFUNCTION("""COMPUTED_VALUE"""),"")</f>
        <v/>
      </c>
      <c r="W235" t="str">
        <f ca="1">IFERROR(__xludf.DUMMYFUNCTION("""COMPUTED_VALUE"""),"")</f>
        <v/>
      </c>
      <c r="X235" t="str">
        <f ca="1">IFERROR(__xludf.DUMMYFUNCTION("""COMPUTED_VALUE"""),"")</f>
        <v/>
      </c>
      <c r="Y235" t="str">
        <f ca="1">IFERROR(__xludf.DUMMYFUNCTION("""COMPUTED_VALUE"""),"")</f>
        <v/>
      </c>
      <c r="Z235" t="str">
        <f ca="1">IFERROR(__xludf.DUMMYFUNCTION("""COMPUTED_VALUE"""),"")</f>
        <v/>
      </c>
      <c r="AA235" t="str">
        <f ca="1">IFERROR(__xludf.DUMMYFUNCTION("""COMPUTED_VALUE"""),"Pas de commande")</f>
        <v>Pas de commande</v>
      </c>
      <c r="AB235" s="8" t="str">
        <f ca="1">IFERROR(__xludf.DUMMYFUNCTION("""COMPUTED_VALUE"""),"")</f>
        <v/>
      </c>
      <c r="AC235" s="8" t="str">
        <f ca="1">IFERROR(__xludf.DUMMYFUNCTION("""COMPUTED_VALUE"""),"")</f>
        <v/>
      </c>
      <c r="AD235" s="11" t="str">
        <f ca="1">IFERROR(__xludf.DUMMYFUNCTION("""COMPUTED_VALUE"""),"")</f>
        <v/>
      </c>
      <c r="AE235" t="str">
        <f ca="1">IFERROR(__xludf.DUMMYFUNCTION("""COMPUTED_VALUE"""),"")</f>
        <v/>
      </c>
    </row>
    <row r="236" spans="1:31" ht="12.75" x14ac:dyDescent="0.2">
      <c r="A236">
        <f ca="1">IFERROR(__xludf.DUMMYFUNCTION("""COMPUTED_VALUE"""),90677)</f>
        <v>90677</v>
      </c>
      <c r="B236" t="str">
        <f ca="1">IFERROR(__xludf.DUMMYFUNCTION("""COMPUTED_VALUE"""),"COLLONGES SOUS SALEVE")</f>
        <v>COLLONGES SOUS SALEVE</v>
      </c>
      <c r="C236" t="str">
        <f ca="1">IFERROR(__xludf.DUMMYFUNCTION("""COMPUTED_VALUE"""),"U Express")</f>
        <v>U Express</v>
      </c>
      <c r="D236" t="str">
        <f ca="1">IFERROR(__xludf.DUMMYFUNCTION("""COMPUTED_VALUE"""),"Coop MISTRAL")</f>
        <v>Coop MISTRAL</v>
      </c>
      <c r="E236">
        <f ca="1">IFERROR(__xludf.DUMMYFUNCTION("""COMPUTED_VALUE"""),74160)</f>
        <v>74160</v>
      </c>
      <c r="F236" t="str">
        <f ca="1">IFERROR(__xludf.DUMMYFUNCTION("""COMPUTED_VALUE"""),"ZAC SOUS LE CLOS")</f>
        <v>ZAC SOUS LE CLOS</v>
      </c>
      <c r="G236" t="str">
        <f ca="1">IFERROR(__xludf.DUMMYFUNCTION("""COMPUTED_VALUE"""),"04.50.82.05.20")</f>
        <v>04.50.82.05.20</v>
      </c>
      <c r="H236" t="str">
        <f ca="1">IFERROR(__xludf.DUMMYFUNCTION("""COMPUTED_VALUE"""),"STUDER-BOISNEAU Sandra")</f>
        <v>STUDER-BOISNEAU Sandra</v>
      </c>
      <c r="I236" t="str">
        <f ca="1">IFERROR(__xludf.DUMMYFUNCTION("""COMPUTED_VALUE"""),"uexpress.collonges@mistral-u.fr")</f>
        <v>uexpress.collonges@mistral-u.fr</v>
      </c>
      <c r="J236" t="str">
        <f ca="1">IFERROR(__xludf.DUMMYFUNCTION("""COMPUTED_VALUE"""),"")</f>
        <v/>
      </c>
      <c r="K236" t="str">
        <f ca="1">IFERROR(__xludf.DUMMYFUNCTION("""COMPUTED_VALUE"""),"delphine.damian@lemistral.fr,helene.mina@lemistral.fr")</f>
        <v>delphine.damian@lemistral.fr,helene.mina@lemistral.fr</v>
      </c>
      <c r="L236" t="str">
        <f ca="1">IFERROR(__xludf.DUMMYFUNCTION("""COMPUTED_VALUE"""),"")</f>
        <v/>
      </c>
      <c r="M236" t="str">
        <f ca="1">IFERROR(__xludf.DUMMYFUNCTION("""COMPUTED_VALUE"""),"99.Hors Périmetre")</f>
        <v>99.Hors Périmetre</v>
      </c>
      <c r="N236" t="str">
        <f ca="1">IFERROR(__xludf.DUMMYFUNCTION("""COMPUTED_VALUE"""),"")</f>
        <v/>
      </c>
      <c r="O236" t="str">
        <f ca="1">IFERROR(__xludf.DUMMYFUNCTION("""COMPUTED_VALUE"""),"")</f>
        <v/>
      </c>
      <c r="P236" t="str">
        <f ca="1">IFERROR(__xludf.DUMMYFUNCTION("""COMPUTED_VALUE"""),"")</f>
        <v/>
      </c>
      <c r="Q236" s="5" t="str">
        <f ca="1">IFERROR(__xludf.DUMMYFUNCTION("""COMPUTED_VALUE"""),"")</f>
        <v/>
      </c>
      <c r="R236" s="6" t="str">
        <f ca="1">IFERROR(__xludf.DUMMYFUNCTION("""COMPUTED_VALUE"""),"")</f>
        <v/>
      </c>
      <c r="S236" t="str">
        <f ca="1">IFERROR(__xludf.DUMMYFUNCTION("""COMPUTED_VALUE"""),"")</f>
        <v/>
      </c>
      <c r="T236" t="str">
        <f ca="1">IFERROR(__xludf.DUMMYFUNCTION("""COMPUTED_VALUE"""),"")</f>
        <v/>
      </c>
      <c r="U236" t="str">
        <f ca="1">IFERROR(__xludf.DUMMYFUNCTION("""COMPUTED_VALUE"""),"")</f>
        <v/>
      </c>
      <c r="V236" t="str">
        <f ca="1">IFERROR(__xludf.DUMMYFUNCTION("""COMPUTED_VALUE"""),"")</f>
        <v/>
      </c>
      <c r="W236" t="str">
        <f ca="1">IFERROR(__xludf.DUMMYFUNCTION("""COMPUTED_VALUE"""),"")</f>
        <v/>
      </c>
      <c r="X236" t="str">
        <f ca="1">IFERROR(__xludf.DUMMYFUNCTION("""COMPUTED_VALUE"""),"")</f>
        <v/>
      </c>
      <c r="Y236" t="str">
        <f ca="1">IFERROR(__xludf.DUMMYFUNCTION("""COMPUTED_VALUE"""),"")</f>
        <v/>
      </c>
      <c r="Z236" t="str">
        <f ca="1">IFERROR(__xludf.DUMMYFUNCTION("""COMPUTED_VALUE"""),"")</f>
        <v/>
      </c>
      <c r="AA236" t="str">
        <f ca="1">IFERROR(__xludf.DUMMYFUNCTION("""COMPUTED_VALUE"""),"Pas de commande")</f>
        <v>Pas de commande</v>
      </c>
      <c r="AB236" s="8" t="str">
        <f ca="1">IFERROR(__xludf.DUMMYFUNCTION("""COMPUTED_VALUE"""),"")</f>
        <v/>
      </c>
      <c r="AC236" s="8" t="str">
        <f ca="1">IFERROR(__xludf.DUMMYFUNCTION("""COMPUTED_VALUE"""),"")</f>
        <v/>
      </c>
      <c r="AD236" s="11" t="str">
        <f ca="1">IFERROR(__xludf.DUMMYFUNCTION("""COMPUTED_VALUE"""),"")</f>
        <v/>
      </c>
      <c r="AE236" t="str">
        <f ca="1">IFERROR(__xludf.DUMMYFUNCTION("""COMPUTED_VALUE"""),"")</f>
        <v/>
      </c>
    </row>
    <row r="237" spans="1:31" ht="12.75" x14ac:dyDescent="0.2">
      <c r="A237">
        <f ca="1">IFERROR(__xludf.DUMMYFUNCTION("""COMPUTED_VALUE"""),60012)</f>
        <v>60012</v>
      </c>
      <c r="B237" t="str">
        <f ca="1">IFERROR(__xludf.DUMMYFUNCTION("""COMPUTED_VALUE"""),"COLMAR")</f>
        <v>COLMAR</v>
      </c>
      <c r="C237" t="str">
        <f ca="1">IFERROR(__xludf.DUMMYFUNCTION("""COMPUTED_VALUE"""),"Hyper U")</f>
        <v>Hyper U</v>
      </c>
      <c r="D237" t="str">
        <f ca="1">IFERROR(__xludf.DUMMYFUNCTION("""COMPUTED_VALUE"""),"Coop U Enseigne Est")</f>
        <v>Coop U Enseigne Est</v>
      </c>
      <c r="E237">
        <f ca="1">IFERROR(__xludf.DUMMYFUNCTION("""COMPUTED_VALUE"""),68000)</f>
        <v>68000</v>
      </c>
      <c r="F237" t="str">
        <f ca="1">IFERROR(__xludf.DUMMYFUNCTION("""COMPUTED_VALUE"""),"107 ROUTE DE ROUFFACH")</f>
        <v>107 ROUTE DE ROUFFACH</v>
      </c>
      <c r="G237" t="str">
        <f ca="1">IFERROR(__xludf.DUMMYFUNCTION("""COMPUTED_VALUE"""),"03.89.20.39.40")</f>
        <v>03.89.20.39.40</v>
      </c>
      <c r="H237" t="str">
        <f ca="1">IFERROR(__xludf.DUMMYFUNCTION("""COMPUTED_VALUE"""),"TISCHMACHER Annick")</f>
        <v>TISCHMACHER Annick</v>
      </c>
      <c r="I237" t="str">
        <f ca="1">IFERROR(__xludf.DUMMYFUNCTION("""COMPUTED_VALUE"""),"annick.tischmacher@systeme-u.fr")</f>
        <v>annick.tischmacher@systeme-u.fr</v>
      </c>
      <c r="J237" t="str">
        <f ca="1">IFERROR(__xludf.DUMMYFUNCTION("""COMPUTED_VALUE"""),"M. ANDRE 
M. SEGHAIR")</f>
        <v>M. ANDRE 
M. SEGHAIR</v>
      </c>
      <c r="K237" t="str">
        <f ca="1">IFERROR(__xludf.DUMMYFUNCTION("""COMPUTED_VALUE"""),"nicolas@u-colmar.com")</f>
        <v>nicolas@u-colmar.com</v>
      </c>
      <c r="L237" t="str">
        <f ca="1">IFERROR(__xludf.DUMMYFUNCTION("""COMPUTED_VALUE"""),"")</f>
        <v/>
      </c>
      <c r="M237" t="str">
        <f ca="1">IFERROR(__xludf.DUMMYFUNCTION("""COMPUTED_VALUE"""),"99.Hors Périmetre")</f>
        <v>99.Hors Périmetre</v>
      </c>
      <c r="N237" t="str">
        <f ca="1">IFERROR(__xludf.DUMMYFUNCTION("""COMPUTED_VALUE"""),"")</f>
        <v/>
      </c>
      <c r="O237" t="str">
        <f ca="1">IFERROR(__xludf.DUMMYFUNCTION("""COMPUTED_VALUE"""),"")</f>
        <v/>
      </c>
      <c r="P237" t="str">
        <f ca="1">IFERROR(__xludf.DUMMYFUNCTION("""COMPUTED_VALUE"""),"")</f>
        <v/>
      </c>
      <c r="Q237" s="5" t="str">
        <f ca="1">IFERROR(__xludf.DUMMYFUNCTION("""COMPUTED_VALUE"""),"")</f>
        <v/>
      </c>
      <c r="R237" s="6" t="str">
        <f ca="1">IFERROR(__xludf.DUMMYFUNCTION("""COMPUTED_VALUE"""),"")</f>
        <v/>
      </c>
      <c r="S237" t="str">
        <f ca="1">IFERROR(__xludf.DUMMYFUNCTION("""COMPUTED_VALUE"""),"")</f>
        <v/>
      </c>
      <c r="T237" t="str">
        <f ca="1">IFERROR(__xludf.DUMMYFUNCTION("""COMPUTED_VALUE"""),"")</f>
        <v/>
      </c>
      <c r="U237" t="str">
        <f ca="1">IFERROR(__xludf.DUMMYFUNCTION("""COMPUTED_VALUE"""),"")</f>
        <v/>
      </c>
      <c r="V237" t="str">
        <f ca="1">IFERROR(__xludf.DUMMYFUNCTION("""COMPUTED_VALUE"""),"")</f>
        <v/>
      </c>
      <c r="W237" t="str">
        <f ca="1">IFERROR(__xludf.DUMMYFUNCTION("""COMPUTED_VALUE"""),"")</f>
        <v/>
      </c>
      <c r="X237" t="str">
        <f ca="1">IFERROR(__xludf.DUMMYFUNCTION("""COMPUTED_VALUE"""),"")</f>
        <v/>
      </c>
      <c r="Y237" t="str">
        <f ca="1">IFERROR(__xludf.DUMMYFUNCTION("""COMPUTED_VALUE"""),"")</f>
        <v/>
      </c>
      <c r="Z237" t="str">
        <f ca="1">IFERROR(__xludf.DUMMYFUNCTION("""COMPUTED_VALUE"""),"")</f>
        <v/>
      </c>
      <c r="AA237" t="str">
        <f ca="1">IFERROR(__xludf.DUMMYFUNCTION("""COMPUTED_VALUE"""),"Pas de commande")</f>
        <v>Pas de commande</v>
      </c>
      <c r="AB237" s="8" t="str">
        <f ca="1">IFERROR(__xludf.DUMMYFUNCTION("""COMPUTED_VALUE"""),"")</f>
        <v/>
      </c>
      <c r="AC237" s="8" t="str">
        <f ca="1">IFERROR(__xludf.DUMMYFUNCTION("""COMPUTED_VALUE"""),"")</f>
        <v/>
      </c>
      <c r="AD237" s="11" t="str">
        <f ca="1">IFERROR(__xludf.DUMMYFUNCTION("""COMPUTED_VALUE"""),"")</f>
        <v/>
      </c>
      <c r="AE237" t="str">
        <f ca="1">IFERROR(__xludf.DUMMYFUNCTION("""COMPUTED_VALUE"""),"")</f>
        <v/>
      </c>
    </row>
    <row r="238" spans="1:31" ht="12.75" x14ac:dyDescent="0.2">
      <c r="A238">
        <f ca="1">IFERROR(__xludf.DUMMYFUNCTION("""COMPUTED_VALUE"""),60065)</f>
        <v>60065</v>
      </c>
      <c r="B238" t="str">
        <f ca="1">IFERROR(__xludf.DUMMYFUNCTION("""COMPUTED_VALUE"""),"COLMAR BOIS FLEURI")</f>
        <v>COLMAR BOIS FLEURI</v>
      </c>
      <c r="C238" t="str">
        <f ca="1">IFERROR(__xludf.DUMMYFUNCTION("""COMPUTED_VALUE"""),"Super U")</f>
        <v>Super U</v>
      </c>
      <c r="D238" t="str">
        <f ca="1">IFERROR(__xludf.DUMMYFUNCTION("""COMPUTED_VALUE"""),"Coop U Enseigne Est")</f>
        <v>Coop U Enseigne Est</v>
      </c>
      <c r="E238">
        <f ca="1">IFERROR(__xludf.DUMMYFUNCTION("""COMPUTED_VALUE"""),68000)</f>
        <v>68000</v>
      </c>
      <c r="F238" t="str">
        <f ca="1">IFERROR(__xludf.DUMMYFUNCTION("""COMPUTED_VALUE"""),"148 AVENUE D'ALSACE")</f>
        <v>148 AVENUE D'ALSACE</v>
      </c>
      <c r="G238" t="str">
        <f ca="1">IFERROR(__xludf.DUMMYFUNCTION("""COMPUTED_VALUE"""),"03.89.23.73.74")</f>
        <v>03.89.23.73.74</v>
      </c>
      <c r="H238" t="str">
        <f ca="1">IFERROR(__xludf.DUMMYFUNCTION("""COMPUTED_VALUE"""),"TISCHMACHER Georges")</f>
        <v>TISCHMACHER Georges</v>
      </c>
      <c r="I238" t="str">
        <f ca="1">IFERROR(__xludf.DUMMYFUNCTION("""COMPUTED_VALUE"""),"georges.tischmacher@systeme-u.fr")</f>
        <v>georges.tischmacher@systeme-u.fr</v>
      </c>
      <c r="J238" t="str">
        <f ca="1">IFERROR(__xludf.DUMMYFUNCTION("""COMPUTED_VALUE"""),"M. Anthony CASTEL")</f>
        <v>M. Anthony CASTEL</v>
      </c>
      <c r="K238" t="str">
        <f ca="1">IFERROR(__xludf.DUMMYFUNCTION("""COMPUTED_VALUE"""),"anthony@u-colmar.com")</f>
        <v>anthony@u-colmar.com</v>
      </c>
      <c r="L238" t="str">
        <f ca="1">IFERROR(__xludf.DUMMYFUNCTION("""COMPUTED_VALUE"""),"")</f>
        <v/>
      </c>
      <c r="M238" t="str">
        <f ca="1">IFERROR(__xludf.DUMMYFUNCTION("""COMPUTED_VALUE"""),"99.Hors Périmetre")</f>
        <v>99.Hors Périmetre</v>
      </c>
      <c r="N238" t="str">
        <f ca="1">IFERROR(__xludf.DUMMYFUNCTION("""COMPUTED_VALUE"""),"")</f>
        <v/>
      </c>
      <c r="O238" t="str">
        <f ca="1">IFERROR(__xludf.DUMMYFUNCTION("""COMPUTED_VALUE"""),"")</f>
        <v/>
      </c>
      <c r="P238" t="str">
        <f ca="1">IFERROR(__xludf.DUMMYFUNCTION("""COMPUTED_VALUE"""),"")</f>
        <v/>
      </c>
      <c r="Q238" s="5" t="str">
        <f ca="1">IFERROR(__xludf.DUMMYFUNCTION("""COMPUTED_VALUE"""),"")</f>
        <v/>
      </c>
      <c r="R238" s="6" t="str">
        <f ca="1">IFERROR(__xludf.DUMMYFUNCTION("""COMPUTED_VALUE"""),"")</f>
        <v/>
      </c>
      <c r="S238" t="str">
        <f ca="1">IFERROR(__xludf.DUMMYFUNCTION("""COMPUTED_VALUE"""),"")</f>
        <v/>
      </c>
      <c r="T238" t="str">
        <f ca="1">IFERROR(__xludf.DUMMYFUNCTION("""COMPUTED_VALUE"""),"")</f>
        <v/>
      </c>
      <c r="U238" t="str">
        <f ca="1">IFERROR(__xludf.DUMMYFUNCTION("""COMPUTED_VALUE"""),"")</f>
        <v/>
      </c>
      <c r="V238" t="str">
        <f ca="1">IFERROR(__xludf.DUMMYFUNCTION("""COMPUTED_VALUE"""),"")</f>
        <v/>
      </c>
      <c r="W238" t="str">
        <f ca="1">IFERROR(__xludf.DUMMYFUNCTION("""COMPUTED_VALUE"""),"")</f>
        <v/>
      </c>
      <c r="X238" t="str">
        <f ca="1">IFERROR(__xludf.DUMMYFUNCTION("""COMPUTED_VALUE"""),"")</f>
        <v/>
      </c>
      <c r="Y238" t="str">
        <f ca="1">IFERROR(__xludf.DUMMYFUNCTION("""COMPUTED_VALUE"""),"")</f>
        <v/>
      </c>
      <c r="Z238" t="str">
        <f ca="1">IFERROR(__xludf.DUMMYFUNCTION("""COMPUTED_VALUE"""),"")</f>
        <v/>
      </c>
      <c r="AA238" t="str">
        <f ca="1">IFERROR(__xludf.DUMMYFUNCTION("""COMPUTED_VALUE"""),"Pas de commande")</f>
        <v>Pas de commande</v>
      </c>
      <c r="AB238" s="8" t="str">
        <f ca="1">IFERROR(__xludf.DUMMYFUNCTION("""COMPUTED_VALUE"""),"")</f>
        <v/>
      </c>
      <c r="AC238" s="8" t="str">
        <f ca="1">IFERROR(__xludf.DUMMYFUNCTION("""COMPUTED_VALUE"""),"")</f>
        <v/>
      </c>
      <c r="AD238" s="11" t="str">
        <f ca="1">IFERROR(__xludf.DUMMYFUNCTION("""COMPUTED_VALUE"""),"")</f>
        <v/>
      </c>
      <c r="AE238" t="str">
        <f ca="1">IFERROR(__xludf.DUMMYFUNCTION("""COMPUTED_VALUE"""),"")</f>
        <v/>
      </c>
    </row>
    <row r="239" spans="1:31" ht="12.75" x14ac:dyDescent="0.2">
      <c r="A239">
        <f ca="1">IFERROR(__xludf.DUMMYFUNCTION("""COMPUTED_VALUE"""),66054)</f>
        <v>66054</v>
      </c>
      <c r="B239" t="str">
        <f ca="1">IFERROR(__xludf.DUMMYFUNCTION("""COMPUTED_VALUE"""),"COLOMBE")</f>
        <v>COLOMBE</v>
      </c>
      <c r="C239" t="str">
        <f ca="1">IFERROR(__xludf.DUMMYFUNCTION("""COMPUTED_VALUE"""),"Super U")</f>
        <v>Super U</v>
      </c>
      <c r="D239" t="str">
        <f ca="1">IFERROR(__xludf.DUMMYFUNCTION("""COMPUTED_VALUE"""),"Coop U Enseigne Est")</f>
        <v>Coop U Enseigne Est</v>
      </c>
      <c r="E239">
        <f ca="1">IFERROR(__xludf.DUMMYFUNCTION("""COMPUTED_VALUE"""),38690)</f>
        <v>38690</v>
      </c>
      <c r="F239" t="str">
        <f ca="1">IFERROR(__xludf.DUMMYFUNCTION("""COMPUTED_VALUE"""),"PARC D'ACTIVITES BRIEVRE DAUPHINE")</f>
        <v>PARC D'ACTIVITES BRIEVRE DAUPHINE</v>
      </c>
      <c r="G239" t="str">
        <f ca="1">IFERROR(__xludf.DUMMYFUNCTION("""COMPUTED_VALUE"""),"04.76.65.18.05")</f>
        <v>04.76.65.18.05</v>
      </c>
      <c r="H239" t="str">
        <f ca="1">IFERROR(__xludf.DUMMYFUNCTION("""COMPUTED_VALUE"""),"MICHAUD RPT SAS MIDIS Patrick")</f>
        <v>MICHAUD RPT SAS MIDIS Patrick</v>
      </c>
      <c r="I239" t="str">
        <f ca="1">IFERROR(__xludf.DUMMYFUNCTION("""COMPUTED_VALUE"""),"patrick.michaud@systeme-u.fr")</f>
        <v>patrick.michaud@systeme-u.fr</v>
      </c>
      <c r="J239" t="str">
        <f ca="1">IFERROR(__xludf.DUMMYFUNCTION("""COMPUTED_VALUE"""),"")</f>
        <v/>
      </c>
      <c r="K239" t="str">
        <f ca="1">IFERROR(__xludf.DUMMYFUNCTION("""COMPUTED_VALUE"""),"")</f>
        <v/>
      </c>
      <c r="L239" t="str">
        <f ca="1">IFERROR(__xludf.DUMMYFUNCTION("""COMPUTED_VALUE"""),"")</f>
        <v/>
      </c>
      <c r="M239" t="str">
        <f ca="1">IFERROR(__xludf.DUMMYFUNCTION("""COMPUTED_VALUE"""),"99.Hors Périmetre")</f>
        <v>99.Hors Périmetre</v>
      </c>
      <c r="N239" t="str">
        <f ca="1">IFERROR(__xludf.DUMMYFUNCTION("""COMPUTED_VALUE"""),"")</f>
        <v/>
      </c>
      <c r="O239" t="str">
        <f ca="1">IFERROR(__xludf.DUMMYFUNCTION("""COMPUTED_VALUE"""),"")</f>
        <v/>
      </c>
      <c r="P239" t="str">
        <f ca="1">IFERROR(__xludf.DUMMYFUNCTION("""COMPUTED_VALUE"""),"")</f>
        <v/>
      </c>
      <c r="Q239" s="5" t="str">
        <f ca="1">IFERROR(__xludf.DUMMYFUNCTION("""COMPUTED_VALUE"""),"")</f>
        <v/>
      </c>
      <c r="R239" s="6" t="str">
        <f ca="1">IFERROR(__xludf.DUMMYFUNCTION("""COMPUTED_VALUE"""),"")</f>
        <v/>
      </c>
      <c r="S239" t="str">
        <f ca="1">IFERROR(__xludf.DUMMYFUNCTION("""COMPUTED_VALUE"""),"")</f>
        <v/>
      </c>
      <c r="T239" t="str">
        <f ca="1">IFERROR(__xludf.DUMMYFUNCTION("""COMPUTED_VALUE"""),"")</f>
        <v/>
      </c>
      <c r="U239" t="str">
        <f ca="1">IFERROR(__xludf.DUMMYFUNCTION("""COMPUTED_VALUE"""),"")</f>
        <v/>
      </c>
      <c r="V239" t="str">
        <f ca="1">IFERROR(__xludf.DUMMYFUNCTION("""COMPUTED_VALUE"""),"")</f>
        <v/>
      </c>
      <c r="W239" t="str">
        <f ca="1">IFERROR(__xludf.DUMMYFUNCTION("""COMPUTED_VALUE"""),"")</f>
        <v/>
      </c>
      <c r="X239" t="str">
        <f ca="1">IFERROR(__xludf.DUMMYFUNCTION("""COMPUTED_VALUE"""),"")</f>
        <v/>
      </c>
      <c r="Y239" t="str">
        <f ca="1">IFERROR(__xludf.DUMMYFUNCTION("""COMPUTED_VALUE"""),"")</f>
        <v/>
      </c>
      <c r="Z239" t="str">
        <f ca="1">IFERROR(__xludf.DUMMYFUNCTION("""COMPUTED_VALUE"""),"")</f>
        <v/>
      </c>
      <c r="AA239" t="str">
        <f ca="1">IFERROR(__xludf.DUMMYFUNCTION("""COMPUTED_VALUE"""),"Pas de commande")</f>
        <v>Pas de commande</v>
      </c>
      <c r="AB239" s="8" t="str">
        <f ca="1">IFERROR(__xludf.DUMMYFUNCTION("""COMPUTED_VALUE"""),"")</f>
        <v/>
      </c>
      <c r="AC239" s="8" t="str">
        <f ca="1">IFERROR(__xludf.DUMMYFUNCTION("""COMPUTED_VALUE"""),"")</f>
        <v/>
      </c>
      <c r="AD239" s="11" t="str">
        <f ca="1">IFERROR(__xludf.DUMMYFUNCTION("""COMPUTED_VALUE"""),"")</f>
        <v/>
      </c>
      <c r="AE239" t="str">
        <f ca="1">IFERROR(__xludf.DUMMYFUNCTION("""COMPUTED_VALUE"""),"")</f>
        <v/>
      </c>
    </row>
    <row r="240" spans="1:31" ht="12.75" x14ac:dyDescent="0.2">
      <c r="A240">
        <f ca="1">IFERROR(__xludf.DUMMYFUNCTION("""COMPUTED_VALUE"""),22550)</f>
        <v>22550</v>
      </c>
      <c r="B240" t="str">
        <f ca="1">IFERROR(__xludf.DUMMYFUNCTION("""COMPUTED_VALUE"""),"COLOMBELLES")</f>
        <v>COLOMBELLES</v>
      </c>
      <c r="C240" t="str">
        <f ca="1">IFERROR(__xludf.DUMMYFUNCTION("""COMPUTED_VALUE"""),"Super U")</f>
        <v>Super U</v>
      </c>
      <c r="D240" t="str">
        <f ca="1">IFERROR(__xludf.DUMMYFUNCTION("""COMPUTED_VALUE"""),"Coop U Enseigne NordOuest")</f>
        <v>Coop U Enseigne NordOuest</v>
      </c>
      <c r="E240">
        <f ca="1">IFERROR(__xludf.DUMMYFUNCTION("""COMPUTED_VALUE"""),14460)</f>
        <v>14460</v>
      </c>
      <c r="F240" t="str">
        <f ca="1">IFERROR(__xludf.DUMMYFUNCTION("""COMPUTED_VALUE"""),"RD 403")</f>
        <v>RD 403</v>
      </c>
      <c r="G240" t="str">
        <f ca="1">IFERROR(__xludf.DUMMYFUNCTION("""COMPUTED_VALUE"""),"02.31.72.22.21")</f>
        <v>02.31.72.22.21</v>
      </c>
      <c r="H240" t="str">
        <f ca="1">IFERROR(__xludf.DUMMYFUNCTION("""COMPUTED_VALUE"""),"GAUCHARD Alain")</f>
        <v>GAUCHARD Alain</v>
      </c>
      <c r="I240" t="str">
        <f ca="1">IFERROR(__xludf.DUMMYFUNCTION("""COMPUTED_VALUE"""),"superu.colombelles.direction@systeme-u.fr")</f>
        <v>superu.colombelles.direction@systeme-u.fr</v>
      </c>
      <c r="J240" t="str">
        <f ca="1">IFERROR(__xludf.DUMMYFUNCTION("""COMPUTED_VALUE"""),"M. ou Mme Tetrel")</f>
        <v>M. ou Mme Tetrel</v>
      </c>
      <c r="K240" t="str">
        <f ca="1">IFERROR(__xludf.DUMMYFUNCTION("""COMPUTED_VALUE"""),"")</f>
        <v/>
      </c>
      <c r="L240" t="str">
        <f ca="1">IFERROR(__xludf.DUMMYFUNCTION("""COMPUTED_VALUE"""),"")</f>
        <v/>
      </c>
      <c r="M240" t="str">
        <f ca="1">IFERROR(__xludf.DUMMYFUNCTION("""COMPUTED_VALUE"""),"99.Hors Périmetre")</f>
        <v>99.Hors Périmetre</v>
      </c>
      <c r="N240" t="str">
        <f ca="1">IFERROR(__xludf.DUMMYFUNCTION("""COMPUTED_VALUE"""),"")</f>
        <v/>
      </c>
      <c r="O240" t="str">
        <f ca="1">IFERROR(__xludf.DUMMYFUNCTION("""COMPUTED_VALUE"""),"")</f>
        <v/>
      </c>
      <c r="P240" t="str">
        <f ca="1">IFERROR(__xludf.DUMMYFUNCTION("""COMPUTED_VALUE"""),"")</f>
        <v/>
      </c>
      <c r="Q240" s="5" t="str">
        <f ca="1">IFERROR(__xludf.DUMMYFUNCTION("""COMPUTED_VALUE"""),"")</f>
        <v/>
      </c>
      <c r="R240" s="6" t="str">
        <f ca="1">IFERROR(__xludf.DUMMYFUNCTION("""COMPUTED_VALUE"""),"")</f>
        <v/>
      </c>
      <c r="S240" t="str">
        <f ca="1">IFERROR(__xludf.DUMMYFUNCTION("""COMPUTED_VALUE"""),"")</f>
        <v/>
      </c>
      <c r="T240" t="str">
        <f ca="1">IFERROR(__xludf.DUMMYFUNCTION("""COMPUTED_VALUE"""),"")</f>
        <v/>
      </c>
      <c r="U240" t="str">
        <f ca="1">IFERROR(__xludf.DUMMYFUNCTION("""COMPUTED_VALUE"""),"")</f>
        <v/>
      </c>
      <c r="V240" t="str">
        <f ca="1">IFERROR(__xludf.DUMMYFUNCTION("""COMPUTED_VALUE"""),"")</f>
        <v/>
      </c>
      <c r="W240" t="str">
        <f ca="1">IFERROR(__xludf.DUMMYFUNCTION("""COMPUTED_VALUE"""),"")</f>
        <v/>
      </c>
      <c r="X240" t="str">
        <f ca="1">IFERROR(__xludf.DUMMYFUNCTION("""COMPUTED_VALUE"""),"")</f>
        <v/>
      </c>
      <c r="Y240" t="str">
        <f ca="1">IFERROR(__xludf.DUMMYFUNCTION("""COMPUTED_VALUE"""),"")</f>
        <v/>
      </c>
      <c r="Z240" t="str">
        <f ca="1">IFERROR(__xludf.DUMMYFUNCTION("""COMPUTED_VALUE"""),"")</f>
        <v/>
      </c>
      <c r="AA240" t="str">
        <f ca="1">IFERROR(__xludf.DUMMYFUNCTION("""COMPUTED_VALUE"""),"Pas de commande")</f>
        <v>Pas de commande</v>
      </c>
      <c r="AB240" s="8" t="str">
        <f ca="1">IFERROR(__xludf.DUMMYFUNCTION("""COMPUTED_VALUE"""),"")</f>
        <v/>
      </c>
      <c r="AC240" s="8" t="str">
        <f ca="1">IFERROR(__xludf.DUMMYFUNCTION("""COMPUTED_VALUE"""),"")</f>
        <v/>
      </c>
      <c r="AD240" s="11" t="str">
        <f ca="1">IFERROR(__xludf.DUMMYFUNCTION("""COMPUTED_VALUE"""),"")</f>
        <v/>
      </c>
      <c r="AE240" t="str">
        <f ca="1">IFERROR(__xludf.DUMMYFUNCTION("""COMPUTED_VALUE"""),"")</f>
        <v/>
      </c>
    </row>
    <row r="241" spans="1:31" ht="12.75" x14ac:dyDescent="0.2">
      <c r="A241">
        <f ca="1">IFERROR(__xludf.DUMMYFUNCTION("""COMPUTED_VALUE"""),96995)</f>
        <v>96995</v>
      </c>
      <c r="B241" t="str">
        <f ca="1">IFERROR(__xludf.DUMMYFUNCTION("""COMPUTED_VALUE"""),"COLOMIERS")</f>
        <v>COLOMIERS</v>
      </c>
      <c r="C241" t="str">
        <f ca="1">IFERROR(__xludf.DUMMYFUNCTION("""COMPUTED_VALUE"""),"Super U")</f>
        <v>Super U</v>
      </c>
      <c r="D241" t="str">
        <f ca="1">IFERROR(__xludf.DUMMYFUNCTION("""COMPUTED_VALUE"""),"Coop U Enseigne Sud")</f>
        <v>Coop U Enseigne Sud</v>
      </c>
      <c r="E241">
        <f ca="1">IFERROR(__xludf.DUMMYFUNCTION("""COMPUTED_VALUE"""),31770)</f>
        <v>31770</v>
      </c>
      <c r="F241" t="str">
        <f ca="1">IFERROR(__xludf.DUMMYFUNCTION("""COMPUTED_VALUE"""),"BD DE GASCOGNE")</f>
        <v>BD DE GASCOGNE</v>
      </c>
      <c r="G241" t="str">
        <f ca="1">IFERROR(__xludf.DUMMYFUNCTION("""COMPUTED_VALUE"""),"05.61.16.81.21")</f>
        <v>05.61.16.81.21</v>
      </c>
      <c r="H241" t="str">
        <f ca="1">IFERROR(__xludf.DUMMYFUNCTION("""COMPUTED_VALUE"""),"FOURNIER Pierre")</f>
        <v>FOURNIER Pierre</v>
      </c>
      <c r="I241" t="str">
        <f ca="1">IFERROR(__xludf.DUMMYFUNCTION("""COMPUTED_VALUE"""),"pierre.fournier@systeme-u.fr")</f>
        <v>pierre.fournier@systeme-u.fr</v>
      </c>
      <c r="J241" t="str">
        <f ca="1">IFERROR(__xludf.DUMMYFUNCTION("""COMPUTED_VALUE"""),"Rose Marie FOURNIER")</f>
        <v>Rose Marie FOURNIER</v>
      </c>
      <c r="K241" t="str">
        <f ca="1">IFERROR(__xludf.DUMMYFUNCTION("""COMPUTED_VALUE"""),"Rose-Marie.Fournier@systeme-u.fr")</f>
        <v>Rose-Marie.Fournier@systeme-u.fr</v>
      </c>
      <c r="L241" t="str">
        <f ca="1">IFERROR(__xludf.DUMMYFUNCTION("""COMPUTED_VALUE"""),"")</f>
        <v/>
      </c>
      <c r="M241" t="str">
        <f ca="1">IFERROR(__xludf.DUMMYFUNCTION("""COMPUTED_VALUE"""),"99.Hors Périmetre")</f>
        <v>99.Hors Périmetre</v>
      </c>
      <c r="N241" t="str">
        <f ca="1">IFERROR(__xludf.DUMMYFUNCTION("""COMPUTED_VALUE"""),"")</f>
        <v/>
      </c>
      <c r="O241" t="str">
        <f ca="1">IFERROR(__xludf.DUMMYFUNCTION("""COMPUTED_VALUE"""),"")</f>
        <v/>
      </c>
      <c r="P241" t="str">
        <f ca="1">IFERROR(__xludf.DUMMYFUNCTION("""COMPUTED_VALUE"""),"")</f>
        <v/>
      </c>
      <c r="Q241" s="5" t="str">
        <f ca="1">IFERROR(__xludf.DUMMYFUNCTION("""COMPUTED_VALUE"""),"")</f>
        <v/>
      </c>
      <c r="R241" s="6" t="str">
        <f ca="1">IFERROR(__xludf.DUMMYFUNCTION("""COMPUTED_VALUE"""),"")</f>
        <v/>
      </c>
      <c r="S241" t="str">
        <f ca="1">IFERROR(__xludf.DUMMYFUNCTION("""COMPUTED_VALUE"""),"")</f>
        <v/>
      </c>
      <c r="T241" t="str">
        <f ca="1">IFERROR(__xludf.DUMMYFUNCTION("""COMPUTED_VALUE"""),"")</f>
        <v/>
      </c>
      <c r="U241" t="str">
        <f ca="1">IFERROR(__xludf.DUMMYFUNCTION("""COMPUTED_VALUE"""),"")</f>
        <v/>
      </c>
      <c r="V241" t="str">
        <f ca="1">IFERROR(__xludf.DUMMYFUNCTION("""COMPUTED_VALUE"""),"")</f>
        <v/>
      </c>
      <c r="W241" t="str">
        <f ca="1">IFERROR(__xludf.DUMMYFUNCTION("""COMPUTED_VALUE"""),"")</f>
        <v/>
      </c>
      <c r="X241" t="str">
        <f ca="1">IFERROR(__xludf.DUMMYFUNCTION("""COMPUTED_VALUE"""),"")</f>
        <v/>
      </c>
      <c r="Y241" t="str">
        <f ca="1">IFERROR(__xludf.DUMMYFUNCTION("""COMPUTED_VALUE"""),"")</f>
        <v/>
      </c>
      <c r="Z241" t="str">
        <f ca="1">IFERROR(__xludf.DUMMYFUNCTION("""COMPUTED_VALUE"""),"")</f>
        <v/>
      </c>
      <c r="AA241" t="str">
        <f ca="1">IFERROR(__xludf.DUMMYFUNCTION("""COMPUTED_VALUE"""),"Pas de commande")</f>
        <v>Pas de commande</v>
      </c>
      <c r="AB241" s="8" t="str">
        <f ca="1">IFERROR(__xludf.DUMMYFUNCTION("""COMPUTED_VALUE"""),"")</f>
        <v/>
      </c>
      <c r="AC241" s="8" t="str">
        <f ca="1">IFERROR(__xludf.DUMMYFUNCTION("""COMPUTED_VALUE"""),"")</f>
        <v/>
      </c>
      <c r="AD241" s="11" t="str">
        <f ca="1">IFERROR(__xludf.DUMMYFUNCTION("""COMPUTED_VALUE"""),"")</f>
        <v/>
      </c>
      <c r="AE241" t="str">
        <f ca="1">IFERROR(__xludf.DUMMYFUNCTION("""COMPUTED_VALUE"""),"")</f>
        <v/>
      </c>
    </row>
    <row r="242" spans="1:31" ht="12.75" x14ac:dyDescent="0.2">
      <c r="A242">
        <f ca="1">IFERROR(__xludf.DUMMYFUNCTION("""COMPUTED_VALUE"""),35614)</f>
        <v>35614</v>
      </c>
      <c r="B242" t="str">
        <f ca="1">IFERROR(__xludf.DUMMYFUNCTION("""COMPUTED_VALUE"""),"COMBOURG")</f>
        <v>COMBOURG</v>
      </c>
      <c r="C242" t="str">
        <f ca="1">IFERROR(__xludf.DUMMYFUNCTION("""COMPUTED_VALUE"""),"Hyper U")</f>
        <v>Hyper U</v>
      </c>
      <c r="D242" t="str">
        <f ca="1">IFERROR(__xludf.DUMMYFUNCTION("""COMPUTED_VALUE"""),"Coop U Enseigne Ouest")</f>
        <v>Coop U Enseigne Ouest</v>
      </c>
      <c r="E242">
        <f ca="1">IFERROR(__xludf.DUMMYFUNCTION("""COMPUTED_VALUE"""),35270)</f>
        <v>35270</v>
      </c>
      <c r="F242" t="str">
        <f ca="1">IFERROR(__xludf.DUMMYFUNCTION("""COMPUTED_VALUE"""),"7, AVENUE DES ERABLES")</f>
        <v>7, AVENUE DES ERABLES</v>
      </c>
      <c r="G242" t="str">
        <f ca="1">IFERROR(__xludf.DUMMYFUNCTION("""COMPUTED_VALUE"""),"02.99.73.11.90")</f>
        <v>02.99.73.11.90</v>
      </c>
      <c r="H242" t="str">
        <f ca="1">IFERROR(__xludf.DUMMYFUNCTION("""COMPUTED_VALUE"""),"PETITPAS RPT GROUPE PETITPAS Marine")</f>
        <v>PETITPAS RPT GROUPE PETITPAS Marine</v>
      </c>
      <c r="I242" t="str">
        <f ca="1">IFERROR(__xludf.DUMMYFUNCTION("""COMPUTED_VALUE"""),"marine.petitpas@systeme-u.fr")</f>
        <v>marine.petitpas@systeme-u.fr</v>
      </c>
      <c r="J242" t="str">
        <f ca="1">IFERROR(__xludf.DUMMYFUNCTION("""COMPUTED_VALUE"""),"Gestin Laurent")</f>
        <v>Gestin Laurent</v>
      </c>
      <c r="K242" t="str">
        <f ca="1">IFERROR(__xludf.DUMMYFUNCTION("""COMPUTED_VALUE"""),"hyperu.combourg.informatique@systeme-u.fr")</f>
        <v>hyperu.combourg.informatique@systeme-u.fr</v>
      </c>
      <c r="L242" t="str">
        <f ca="1">IFERROR(__xludf.DUMMYFUNCTION("""COMPUTED_VALUE"""),"")</f>
        <v/>
      </c>
      <c r="M242" t="str">
        <f ca="1">IFERROR(__xludf.DUMMYFUNCTION("""COMPUTED_VALUE"""),"99.Hors Périmetre")</f>
        <v>99.Hors Périmetre</v>
      </c>
      <c r="N242" t="str">
        <f ca="1">IFERROR(__xludf.DUMMYFUNCTION("""COMPUTED_VALUE"""),"")</f>
        <v/>
      </c>
      <c r="O242" t="str">
        <f ca="1">IFERROR(__xludf.DUMMYFUNCTION("""COMPUTED_VALUE"""),"")</f>
        <v/>
      </c>
      <c r="P242" t="str">
        <f ca="1">IFERROR(__xludf.DUMMYFUNCTION("""COMPUTED_VALUE"""),"")</f>
        <v/>
      </c>
      <c r="Q242" s="5" t="str">
        <f ca="1">IFERROR(__xludf.DUMMYFUNCTION("""COMPUTED_VALUE"""),"")</f>
        <v/>
      </c>
      <c r="R242" s="6" t="str">
        <f ca="1">IFERROR(__xludf.DUMMYFUNCTION("""COMPUTED_VALUE"""),"")</f>
        <v/>
      </c>
      <c r="S242" t="str">
        <f ca="1">IFERROR(__xludf.DUMMYFUNCTION("""COMPUTED_VALUE"""),"")</f>
        <v/>
      </c>
      <c r="T242" t="str">
        <f ca="1">IFERROR(__xludf.DUMMYFUNCTION("""COMPUTED_VALUE"""),"")</f>
        <v/>
      </c>
      <c r="U242" t="str">
        <f ca="1">IFERROR(__xludf.DUMMYFUNCTION("""COMPUTED_VALUE"""),"")</f>
        <v/>
      </c>
      <c r="V242" t="str">
        <f ca="1">IFERROR(__xludf.DUMMYFUNCTION("""COMPUTED_VALUE"""),"")</f>
        <v/>
      </c>
      <c r="W242" t="str">
        <f ca="1">IFERROR(__xludf.DUMMYFUNCTION("""COMPUTED_VALUE"""),"")</f>
        <v/>
      </c>
      <c r="X242" t="str">
        <f ca="1">IFERROR(__xludf.DUMMYFUNCTION("""COMPUTED_VALUE"""),"")</f>
        <v/>
      </c>
      <c r="Y242" t="str">
        <f ca="1">IFERROR(__xludf.DUMMYFUNCTION("""COMPUTED_VALUE"""),"")</f>
        <v/>
      </c>
      <c r="Z242" t="str">
        <f ca="1">IFERROR(__xludf.DUMMYFUNCTION("""COMPUTED_VALUE"""),"")</f>
        <v/>
      </c>
      <c r="AA242" t="str">
        <f ca="1">IFERROR(__xludf.DUMMYFUNCTION("""COMPUTED_VALUE"""),"Pas de commande")</f>
        <v>Pas de commande</v>
      </c>
      <c r="AB242" s="8" t="str">
        <f ca="1">IFERROR(__xludf.DUMMYFUNCTION("""COMPUTED_VALUE"""),"")</f>
        <v/>
      </c>
      <c r="AC242" s="8" t="str">
        <f ca="1">IFERROR(__xludf.DUMMYFUNCTION("""COMPUTED_VALUE"""),"")</f>
        <v/>
      </c>
      <c r="AD242" s="11" t="str">
        <f ca="1">IFERROR(__xludf.DUMMYFUNCTION("""COMPUTED_VALUE"""),"")</f>
        <v/>
      </c>
      <c r="AE242" t="str">
        <f ca="1">IFERROR(__xludf.DUMMYFUNCTION("""COMPUTED_VALUE"""),"")</f>
        <v/>
      </c>
    </row>
    <row r="243" spans="1:31" ht="12.75" x14ac:dyDescent="0.2">
      <c r="A243">
        <f ca="1">IFERROR(__xludf.DUMMYFUNCTION("""COMPUTED_VALUE"""),36084)</f>
        <v>36084</v>
      </c>
      <c r="B243" t="str">
        <f ca="1">IFERROR(__xludf.DUMMYFUNCTION("""COMPUTED_VALUE"""),"COMBRIT")</f>
        <v>COMBRIT</v>
      </c>
      <c r="C243" t="str">
        <f ca="1">IFERROR(__xludf.DUMMYFUNCTION("""COMPUTED_VALUE"""),"Super U")</f>
        <v>Super U</v>
      </c>
      <c r="D243" t="str">
        <f ca="1">IFERROR(__xludf.DUMMYFUNCTION("""COMPUTED_VALUE"""),"Coop U Enseigne Ouest")</f>
        <v>Coop U Enseigne Ouest</v>
      </c>
      <c r="E243">
        <f ca="1">IFERROR(__xludf.DUMMYFUNCTION("""COMPUTED_VALUE"""),29120)</f>
        <v>29120</v>
      </c>
      <c r="F243" t="str">
        <f ca="1">IFERROR(__xludf.DUMMYFUNCTION("""COMPUTED_VALUE"""),"LE LANNOU")</f>
        <v>LE LANNOU</v>
      </c>
      <c r="G243" t="str">
        <f ca="1">IFERROR(__xludf.DUMMYFUNCTION("""COMPUTED_VALUE"""),"02.98.51.91.40")</f>
        <v>02.98.51.91.40</v>
      </c>
      <c r="H243" t="str">
        <f ca="1">IFERROR(__xludf.DUMMYFUNCTION("""COMPUTED_VALUE"""),"AUBERTIN Ollivier")</f>
        <v>AUBERTIN Ollivier</v>
      </c>
      <c r="I243" t="str">
        <f ca="1">IFERROR(__xludf.DUMMYFUNCTION("""COMPUTED_VALUE"""),"ollivier.aubertin@systeme-u.fr")</f>
        <v>ollivier.aubertin@systeme-u.fr</v>
      </c>
      <c r="J243" t="str">
        <f ca="1">IFERROR(__xludf.DUMMYFUNCTION("""COMPUTED_VALUE"""),"KERDRANVAT Nathalie")</f>
        <v>KERDRANVAT Nathalie</v>
      </c>
      <c r="K243" t="str">
        <f ca="1">IFERROR(__xludf.DUMMYFUNCTION("""COMPUTED_VALUE"""),"superu.combrit@systeme-u.fr")</f>
        <v>superu.combrit@systeme-u.fr</v>
      </c>
      <c r="L243" t="str">
        <f ca="1">IFERROR(__xludf.DUMMYFUNCTION("""COMPUTED_VALUE"""),"")</f>
        <v/>
      </c>
      <c r="M243" t="str">
        <f ca="1">IFERROR(__xludf.DUMMYFUNCTION("""COMPUTED_VALUE"""),"99.Hors Périmetre")</f>
        <v>99.Hors Périmetre</v>
      </c>
      <c r="N243" t="str">
        <f ca="1">IFERROR(__xludf.DUMMYFUNCTION("""COMPUTED_VALUE"""),"")</f>
        <v/>
      </c>
      <c r="O243" t="str">
        <f ca="1">IFERROR(__xludf.DUMMYFUNCTION("""COMPUTED_VALUE"""),"")</f>
        <v/>
      </c>
      <c r="P243" t="str">
        <f ca="1">IFERROR(__xludf.DUMMYFUNCTION("""COMPUTED_VALUE"""),"")</f>
        <v/>
      </c>
      <c r="Q243" s="5" t="str">
        <f ca="1">IFERROR(__xludf.DUMMYFUNCTION("""COMPUTED_VALUE"""),"")</f>
        <v/>
      </c>
      <c r="R243" s="6" t="str">
        <f ca="1">IFERROR(__xludf.DUMMYFUNCTION("""COMPUTED_VALUE"""),"")</f>
        <v/>
      </c>
      <c r="S243" t="str">
        <f ca="1">IFERROR(__xludf.DUMMYFUNCTION("""COMPUTED_VALUE"""),"")</f>
        <v/>
      </c>
      <c r="T243" t="str">
        <f ca="1">IFERROR(__xludf.DUMMYFUNCTION("""COMPUTED_VALUE"""),"")</f>
        <v/>
      </c>
      <c r="U243" t="str">
        <f ca="1">IFERROR(__xludf.DUMMYFUNCTION("""COMPUTED_VALUE"""),"")</f>
        <v/>
      </c>
      <c r="V243" t="str">
        <f ca="1">IFERROR(__xludf.DUMMYFUNCTION("""COMPUTED_VALUE"""),"")</f>
        <v/>
      </c>
      <c r="W243" t="str">
        <f ca="1">IFERROR(__xludf.DUMMYFUNCTION("""COMPUTED_VALUE"""),"")</f>
        <v/>
      </c>
      <c r="X243" t="str">
        <f ca="1">IFERROR(__xludf.DUMMYFUNCTION("""COMPUTED_VALUE"""),"")</f>
        <v/>
      </c>
      <c r="Y243" t="str">
        <f ca="1">IFERROR(__xludf.DUMMYFUNCTION("""COMPUTED_VALUE"""),"")</f>
        <v/>
      </c>
      <c r="Z243" t="str">
        <f ca="1">IFERROR(__xludf.DUMMYFUNCTION("""COMPUTED_VALUE"""),"")</f>
        <v/>
      </c>
      <c r="AA243" t="str">
        <f ca="1">IFERROR(__xludf.DUMMYFUNCTION("""COMPUTED_VALUE"""),"Pas de commande")</f>
        <v>Pas de commande</v>
      </c>
      <c r="AB243" s="8" t="str">
        <f ca="1">IFERROR(__xludf.DUMMYFUNCTION("""COMPUTED_VALUE"""),"")</f>
        <v/>
      </c>
      <c r="AC243" s="8" t="str">
        <f ca="1">IFERROR(__xludf.DUMMYFUNCTION("""COMPUTED_VALUE"""),"")</f>
        <v/>
      </c>
      <c r="AD243" s="11" t="str">
        <f ca="1">IFERROR(__xludf.DUMMYFUNCTION("""COMPUTED_VALUE"""),"")</f>
        <v/>
      </c>
      <c r="AE243" t="str">
        <f ca="1">IFERROR(__xludf.DUMMYFUNCTION("""COMPUTED_VALUE"""),"")</f>
        <v/>
      </c>
    </row>
    <row r="244" spans="1:31" ht="12.75" x14ac:dyDescent="0.2">
      <c r="A244">
        <f ca="1">IFERROR(__xludf.DUMMYFUNCTION("""COMPUTED_VALUE"""),37145)</f>
        <v>37145</v>
      </c>
      <c r="B244" t="str">
        <f ca="1">IFERROR(__xludf.DUMMYFUNCTION("""COMPUTED_VALUE"""),"COMMEQUIERS")</f>
        <v>COMMEQUIERS</v>
      </c>
      <c r="C244" t="str">
        <f ca="1">IFERROR(__xludf.DUMMYFUNCTION("""COMPUTED_VALUE"""),"U Express")</f>
        <v>U Express</v>
      </c>
      <c r="D244" t="str">
        <f ca="1">IFERROR(__xludf.DUMMYFUNCTION("""COMPUTED_VALUE"""),"Coop U Enseigne Ouest")</f>
        <v>Coop U Enseigne Ouest</v>
      </c>
      <c r="E244">
        <f ca="1">IFERROR(__xludf.DUMMYFUNCTION("""COMPUTED_VALUE"""),85220)</f>
        <v>85220</v>
      </c>
      <c r="F244" t="str">
        <f ca="1">IFERROR(__xludf.DUMMYFUNCTION("""COMPUTED_VALUE"""),"28 RUE CHARLES DE GAULLE")</f>
        <v>28 RUE CHARLES DE GAULLE</v>
      </c>
      <c r="G244" t="str">
        <f ca="1">IFERROR(__xludf.DUMMYFUNCTION("""COMPUTED_VALUE"""),"02.51.54.80.79")</f>
        <v>02.51.54.80.79</v>
      </c>
      <c r="H244" t="str">
        <f ca="1">IFERROR(__xludf.DUMMYFUNCTION("""COMPUTED_VALUE"""),"SALMON Guylene")</f>
        <v>SALMON Guylene</v>
      </c>
      <c r="I244" t="str">
        <f ca="1">IFERROR(__xludf.DUMMYFUNCTION("""COMPUTED_VALUE"""),"guylene.salmon@systeme-u.fr")</f>
        <v>guylene.salmon@systeme-u.fr</v>
      </c>
      <c r="J244" t="str">
        <f ca="1">IFERROR(__xludf.DUMMYFUNCTION("""COMPUTED_VALUE"""),"")</f>
        <v/>
      </c>
      <c r="K244" t="str">
        <f ca="1">IFERROR(__xludf.DUMMYFUNCTION("""COMPUTED_VALUE"""),"")</f>
        <v/>
      </c>
      <c r="L244" t="str">
        <f ca="1">IFERROR(__xludf.DUMMYFUNCTION("""COMPUTED_VALUE"""),"")</f>
        <v/>
      </c>
      <c r="M244" t="str">
        <f ca="1">IFERROR(__xludf.DUMMYFUNCTION("""COMPUTED_VALUE"""),"99.Hors Périmetre")</f>
        <v>99.Hors Périmetre</v>
      </c>
      <c r="N244" t="str">
        <f ca="1">IFERROR(__xludf.DUMMYFUNCTION("""COMPUTED_VALUE"""),"")</f>
        <v/>
      </c>
      <c r="O244" t="str">
        <f ca="1">IFERROR(__xludf.DUMMYFUNCTION("""COMPUTED_VALUE"""),"")</f>
        <v/>
      </c>
      <c r="P244" t="str">
        <f ca="1">IFERROR(__xludf.DUMMYFUNCTION("""COMPUTED_VALUE"""),"")</f>
        <v/>
      </c>
      <c r="Q244" s="5" t="str">
        <f ca="1">IFERROR(__xludf.DUMMYFUNCTION("""COMPUTED_VALUE"""),"")</f>
        <v/>
      </c>
      <c r="R244" s="6" t="str">
        <f ca="1">IFERROR(__xludf.DUMMYFUNCTION("""COMPUTED_VALUE"""),"")</f>
        <v/>
      </c>
      <c r="S244" t="str">
        <f ca="1">IFERROR(__xludf.DUMMYFUNCTION("""COMPUTED_VALUE"""),"")</f>
        <v/>
      </c>
      <c r="T244" t="str">
        <f ca="1">IFERROR(__xludf.DUMMYFUNCTION("""COMPUTED_VALUE"""),"")</f>
        <v/>
      </c>
      <c r="U244" t="str">
        <f ca="1">IFERROR(__xludf.DUMMYFUNCTION("""COMPUTED_VALUE"""),"")</f>
        <v/>
      </c>
      <c r="V244" t="str">
        <f ca="1">IFERROR(__xludf.DUMMYFUNCTION("""COMPUTED_VALUE"""),"")</f>
        <v/>
      </c>
      <c r="W244" t="str">
        <f ca="1">IFERROR(__xludf.DUMMYFUNCTION("""COMPUTED_VALUE"""),"")</f>
        <v/>
      </c>
      <c r="X244" t="str">
        <f ca="1">IFERROR(__xludf.DUMMYFUNCTION("""COMPUTED_VALUE"""),"")</f>
        <v/>
      </c>
      <c r="Y244" t="str">
        <f ca="1">IFERROR(__xludf.DUMMYFUNCTION("""COMPUTED_VALUE"""),"")</f>
        <v/>
      </c>
      <c r="Z244" t="str">
        <f ca="1">IFERROR(__xludf.DUMMYFUNCTION("""COMPUTED_VALUE"""),"")</f>
        <v/>
      </c>
      <c r="AA244" t="str">
        <f ca="1">IFERROR(__xludf.DUMMYFUNCTION("""COMPUTED_VALUE"""),"Pas de commande")</f>
        <v>Pas de commande</v>
      </c>
      <c r="AB244" s="8" t="str">
        <f ca="1">IFERROR(__xludf.DUMMYFUNCTION("""COMPUTED_VALUE"""),"")</f>
        <v/>
      </c>
      <c r="AC244" s="8" t="str">
        <f ca="1">IFERROR(__xludf.DUMMYFUNCTION("""COMPUTED_VALUE"""),"")</f>
        <v/>
      </c>
      <c r="AD244" s="11" t="str">
        <f ca="1">IFERROR(__xludf.DUMMYFUNCTION("""COMPUTED_VALUE"""),"")</f>
        <v/>
      </c>
      <c r="AE244" t="str">
        <f ca="1">IFERROR(__xludf.DUMMYFUNCTION("""COMPUTED_VALUE"""),"")</f>
        <v/>
      </c>
    </row>
    <row r="245" spans="1:31" ht="12.75" x14ac:dyDescent="0.2">
      <c r="A245">
        <f ca="1">IFERROR(__xludf.DUMMYFUNCTION("""COMPUTED_VALUE"""),23425)</f>
        <v>23425</v>
      </c>
      <c r="B245" t="str">
        <f ca="1">IFERROR(__xludf.DUMMYFUNCTION("""COMPUTED_VALUE"""),"CONDE SUR VIRE")</f>
        <v>CONDE SUR VIRE</v>
      </c>
      <c r="C245" t="str">
        <f ca="1">IFERROR(__xludf.DUMMYFUNCTION("""COMPUTED_VALUE"""),"U Express")</f>
        <v>U Express</v>
      </c>
      <c r="D245" t="str">
        <f ca="1">IFERROR(__xludf.DUMMYFUNCTION("""COMPUTED_VALUE"""),"Coop U Enseigne NordOuest")</f>
        <v>Coop U Enseigne NordOuest</v>
      </c>
      <c r="E245">
        <f ca="1">IFERROR(__xludf.DUMMYFUNCTION("""COMPUTED_VALUE"""),50890)</f>
        <v>50890</v>
      </c>
      <c r="F245" t="str">
        <f ca="1">IFERROR(__xludf.DUMMYFUNCTION("""COMPUTED_VALUE"""),"10 RUE D'ARGANCHY")</f>
        <v>10 RUE D'ARGANCHY</v>
      </c>
      <c r="G245" t="str">
        <f ca="1">IFERROR(__xludf.DUMMYFUNCTION("""COMPUTED_VALUE"""),"02.33.05.00.03")</f>
        <v>02.33.05.00.03</v>
      </c>
      <c r="H245" t="str">
        <f ca="1">IFERROR(__xludf.DUMMYFUNCTION("""COMPUTED_VALUE"""),"RENOUF Thierry")</f>
        <v>RENOUF Thierry</v>
      </c>
      <c r="I245" t="str">
        <f ca="1">IFERROR(__xludf.DUMMYFUNCTION("""COMPUTED_VALUE"""),"thierry.renouf@systeme-u.fr")</f>
        <v>thierry.renouf@systeme-u.fr</v>
      </c>
      <c r="J245" t="str">
        <f ca="1">IFERROR(__xludf.DUMMYFUNCTION("""COMPUTED_VALUE"""),"")</f>
        <v/>
      </c>
      <c r="K245" t="str">
        <f ca="1">IFERROR(__xludf.DUMMYFUNCTION("""COMPUTED_VALUE"""),"")</f>
        <v/>
      </c>
      <c r="L245" t="str">
        <f ca="1">IFERROR(__xludf.DUMMYFUNCTION("""COMPUTED_VALUE"""),"")</f>
        <v/>
      </c>
      <c r="M245" t="str">
        <f ca="1">IFERROR(__xludf.DUMMYFUNCTION("""COMPUTED_VALUE"""),"99.Hors Périmetre")</f>
        <v>99.Hors Périmetre</v>
      </c>
      <c r="N245" t="str">
        <f ca="1">IFERROR(__xludf.DUMMYFUNCTION("""COMPUTED_VALUE"""),"")</f>
        <v/>
      </c>
      <c r="O245" t="str">
        <f ca="1">IFERROR(__xludf.DUMMYFUNCTION("""COMPUTED_VALUE"""),"")</f>
        <v/>
      </c>
      <c r="P245" t="str">
        <f ca="1">IFERROR(__xludf.DUMMYFUNCTION("""COMPUTED_VALUE"""),"")</f>
        <v/>
      </c>
      <c r="Q245" s="5" t="str">
        <f ca="1">IFERROR(__xludf.DUMMYFUNCTION("""COMPUTED_VALUE"""),"")</f>
        <v/>
      </c>
      <c r="R245" s="6" t="str">
        <f ca="1">IFERROR(__xludf.DUMMYFUNCTION("""COMPUTED_VALUE"""),"")</f>
        <v/>
      </c>
      <c r="S245" t="str">
        <f ca="1">IFERROR(__xludf.DUMMYFUNCTION("""COMPUTED_VALUE"""),"")</f>
        <v/>
      </c>
      <c r="T245" t="str">
        <f ca="1">IFERROR(__xludf.DUMMYFUNCTION("""COMPUTED_VALUE"""),"")</f>
        <v/>
      </c>
      <c r="U245" t="str">
        <f ca="1">IFERROR(__xludf.DUMMYFUNCTION("""COMPUTED_VALUE"""),"")</f>
        <v/>
      </c>
      <c r="V245" t="str">
        <f ca="1">IFERROR(__xludf.DUMMYFUNCTION("""COMPUTED_VALUE"""),"")</f>
        <v/>
      </c>
      <c r="W245" t="str">
        <f ca="1">IFERROR(__xludf.DUMMYFUNCTION("""COMPUTED_VALUE"""),"")</f>
        <v/>
      </c>
      <c r="X245" t="str">
        <f ca="1">IFERROR(__xludf.DUMMYFUNCTION("""COMPUTED_VALUE"""),"")</f>
        <v/>
      </c>
      <c r="Y245" t="str">
        <f ca="1">IFERROR(__xludf.DUMMYFUNCTION("""COMPUTED_VALUE"""),"")</f>
        <v/>
      </c>
      <c r="Z245" t="str">
        <f ca="1">IFERROR(__xludf.DUMMYFUNCTION("""COMPUTED_VALUE"""),"")</f>
        <v/>
      </c>
      <c r="AA245" t="str">
        <f ca="1">IFERROR(__xludf.DUMMYFUNCTION("""COMPUTED_VALUE"""),"Pas de commande")</f>
        <v>Pas de commande</v>
      </c>
      <c r="AB245" s="8" t="str">
        <f ca="1">IFERROR(__xludf.DUMMYFUNCTION("""COMPUTED_VALUE"""),"")</f>
        <v/>
      </c>
      <c r="AC245" s="8" t="str">
        <f ca="1">IFERROR(__xludf.DUMMYFUNCTION("""COMPUTED_VALUE"""),"")</f>
        <v/>
      </c>
      <c r="AD245" s="11" t="str">
        <f ca="1">IFERROR(__xludf.DUMMYFUNCTION("""COMPUTED_VALUE"""),"")</f>
        <v/>
      </c>
      <c r="AE245" t="str">
        <f ca="1">IFERROR(__xludf.DUMMYFUNCTION("""COMPUTED_VALUE"""),"")</f>
        <v/>
      </c>
    </row>
    <row r="246" spans="1:31" ht="12.75" x14ac:dyDescent="0.2">
      <c r="A246">
        <f ca="1">IFERROR(__xludf.DUMMYFUNCTION("""COMPUTED_VALUE"""),32275)</f>
        <v>32275</v>
      </c>
      <c r="B246" t="str">
        <f ca="1">IFERROR(__xludf.DUMMYFUNCTION("""COMPUTED_VALUE"""),"CONLIE")</f>
        <v>CONLIE</v>
      </c>
      <c r="C246" t="str">
        <f ca="1">IFERROR(__xludf.DUMMYFUNCTION("""COMPUTED_VALUE"""),"Super U")</f>
        <v>Super U</v>
      </c>
      <c r="D246" t="str">
        <f ca="1">IFERROR(__xludf.DUMMYFUNCTION("""COMPUTED_VALUE"""),"Coop U Enseigne Ouest")</f>
        <v>Coop U Enseigne Ouest</v>
      </c>
      <c r="E246">
        <f ca="1">IFERROR(__xludf.DUMMYFUNCTION("""COMPUTED_VALUE"""),72240)</f>
        <v>72240</v>
      </c>
      <c r="F246" t="str">
        <f ca="1">IFERROR(__xludf.DUMMYFUNCTION("""COMPUTED_VALUE"""),"ROUTE DU MANS")</f>
        <v>ROUTE DU MANS</v>
      </c>
      <c r="G246" t="str">
        <f ca="1">IFERROR(__xludf.DUMMYFUNCTION("""COMPUTED_VALUE"""),"02.43.20.82.60")</f>
        <v>02.43.20.82.60</v>
      </c>
      <c r="H246" t="str">
        <f ca="1">IFERROR(__xludf.DUMMYFUNCTION("""COMPUTED_VALUE"""),"DEMARET RPT SARL D.C.P. 72 Charlotte")</f>
        <v>DEMARET RPT SARL D.C.P. 72 Charlotte</v>
      </c>
      <c r="I246" t="str">
        <f ca="1">IFERROR(__xludf.DUMMYFUNCTION("""COMPUTED_VALUE"""),"charlotte.demaret@systeme-u.fr")</f>
        <v>charlotte.demaret@systeme-u.fr</v>
      </c>
      <c r="J246" t="str">
        <f ca="1">IFERROR(__xludf.DUMMYFUNCTION("""COMPUTED_VALUE"""),"Mr Bouglet")</f>
        <v>Mr Bouglet</v>
      </c>
      <c r="K246" t="str">
        <f ca="1">IFERROR(__xludf.DUMMYFUNCTION("""COMPUTED_VALUE"""),"guillaume.bouglet@systeme-u.fr")</f>
        <v>guillaume.bouglet@systeme-u.fr</v>
      </c>
      <c r="L246" t="str">
        <f ca="1">IFERROR(__xludf.DUMMYFUNCTION("""COMPUTED_VALUE"""),"")</f>
        <v/>
      </c>
      <c r="M246" t="str">
        <f ca="1">IFERROR(__xludf.DUMMYFUNCTION("""COMPUTED_VALUE"""),"99.Hors Périmetre")</f>
        <v>99.Hors Périmetre</v>
      </c>
      <c r="N246" t="str">
        <f ca="1">IFERROR(__xludf.DUMMYFUNCTION("""COMPUTED_VALUE"""),"")</f>
        <v/>
      </c>
      <c r="O246" t="str">
        <f ca="1">IFERROR(__xludf.DUMMYFUNCTION("""COMPUTED_VALUE"""),"")</f>
        <v/>
      </c>
      <c r="P246" t="str">
        <f ca="1">IFERROR(__xludf.DUMMYFUNCTION("""COMPUTED_VALUE"""),"")</f>
        <v/>
      </c>
      <c r="Q246" s="5" t="str">
        <f ca="1">IFERROR(__xludf.DUMMYFUNCTION("""COMPUTED_VALUE"""),"")</f>
        <v/>
      </c>
      <c r="R246" s="6" t="str">
        <f ca="1">IFERROR(__xludf.DUMMYFUNCTION("""COMPUTED_VALUE"""),"")</f>
        <v/>
      </c>
      <c r="S246" t="str">
        <f ca="1">IFERROR(__xludf.DUMMYFUNCTION("""COMPUTED_VALUE"""),"")</f>
        <v/>
      </c>
      <c r="T246" t="str">
        <f ca="1">IFERROR(__xludf.DUMMYFUNCTION("""COMPUTED_VALUE"""),"")</f>
        <v/>
      </c>
      <c r="U246" t="str">
        <f ca="1">IFERROR(__xludf.DUMMYFUNCTION("""COMPUTED_VALUE"""),"")</f>
        <v/>
      </c>
      <c r="V246" t="str">
        <f ca="1">IFERROR(__xludf.DUMMYFUNCTION("""COMPUTED_VALUE"""),"")</f>
        <v/>
      </c>
      <c r="W246" t="str">
        <f ca="1">IFERROR(__xludf.DUMMYFUNCTION("""COMPUTED_VALUE"""),"")</f>
        <v/>
      </c>
      <c r="X246" t="str">
        <f ca="1">IFERROR(__xludf.DUMMYFUNCTION("""COMPUTED_VALUE"""),"")</f>
        <v/>
      </c>
      <c r="Y246" t="str">
        <f ca="1">IFERROR(__xludf.DUMMYFUNCTION("""COMPUTED_VALUE"""),"")</f>
        <v/>
      </c>
      <c r="Z246" t="str">
        <f ca="1">IFERROR(__xludf.DUMMYFUNCTION("""COMPUTED_VALUE"""),"")</f>
        <v/>
      </c>
      <c r="AA246" t="str">
        <f ca="1">IFERROR(__xludf.DUMMYFUNCTION("""COMPUTED_VALUE"""),"Pas de commande")</f>
        <v>Pas de commande</v>
      </c>
      <c r="AB246" s="8" t="str">
        <f ca="1">IFERROR(__xludf.DUMMYFUNCTION("""COMPUTED_VALUE"""),"")</f>
        <v/>
      </c>
      <c r="AC246" s="8" t="str">
        <f ca="1">IFERROR(__xludf.DUMMYFUNCTION("""COMPUTED_VALUE"""),"")</f>
        <v/>
      </c>
      <c r="AD246" s="11" t="str">
        <f ca="1">IFERROR(__xludf.DUMMYFUNCTION("""COMPUTED_VALUE"""),"")</f>
        <v/>
      </c>
      <c r="AE246" t="str">
        <f ca="1">IFERROR(__xludf.DUMMYFUNCTION("""COMPUTED_VALUE"""),"")</f>
        <v/>
      </c>
    </row>
    <row r="247" spans="1:31" ht="12.75" x14ac:dyDescent="0.2">
      <c r="A247">
        <f ca="1">IFERROR(__xludf.DUMMYFUNCTION("""COMPUTED_VALUE"""),36807)</f>
        <v>36807</v>
      </c>
      <c r="B247" t="str">
        <f ca="1">IFERROR(__xludf.DUMMYFUNCTION("""COMPUTED_VALUE"""),"CONTRES")</f>
        <v>CONTRES</v>
      </c>
      <c r="C247" t="str">
        <f ca="1">IFERROR(__xludf.DUMMYFUNCTION("""COMPUTED_VALUE"""),"Super U")</f>
        <v>Super U</v>
      </c>
      <c r="D247" t="str">
        <f ca="1">IFERROR(__xludf.DUMMYFUNCTION("""COMPUTED_VALUE"""),"Coop U Enseigne Ouest")</f>
        <v>Coop U Enseigne Ouest</v>
      </c>
      <c r="E247">
        <f ca="1">IFERROR(__xludf.DUMMYFUNCTION("""COMPUTED_VALUE"""),41700)</f>
        <v>41700</v>
      </c>
      <c r="F247" t="str">
        <f ca="1">IFERROR(__xludf.DUMMYFUNCTION("""COMPUTED_VALUE"""),"69 ROUTE DE CHEVERNY")</f>
        <v>69 ROUTE DE CHEVERNY</v>
      </c>
      <c r="G247" t="str">
        <f ca="1">IFERROR(__xludf.DUMMYFUNCTION("""COMPUTED_VALUE"""),"02.54.79.59.62")</f>
        <v>02.54.79.59.62</v>
      </c>
      <c r="H247" t="str">
        <f ca="1">IFERROR(__xludf.DUMMYFUNCTION("""COMPUTED_VALUE"""),"BODIN RPT SARL DI MARQUIS Olivier")</f>
        <v>BODIN RPT SARL DI MARQUIS Olivier</v>
      </c>
      <c r="I247" t="str">
        <f ca="1">IFERROR(__xludf.DUMMYFUNCTION("""COMPUTED_VALUE"""),"olivier.bodin@systeme-u.fr")</f>
        <v>olivier.bodin@systeme-u.fr</v>
      </c>
      <c r="J247" t="str">
        <f ca="1">IFERROR(__xludf.DUMMYFUNCTION("""COMPUTED_VALUE"""),"ANTOINE Jean-Charles")</f>
        <v>ANTOINE Jean-Charles</v>
      </c>
      <c r="K247" t="str">
        <f ca="1">IFERROR(__xludf.DUMMYFUNCTION("""COMPUTED_VALUE"""),"superu.contres.direction@systeme-u.fr")</f>
        <v>superu.contres.direction@systeme-u.fr</v>
      </c>
      <c r="L247" t="str">
        <f ca="1">IFERROR(__xludf.DUMMYFUNCTION("""COMPUTED_VALUE"""),"")</f>
        <v/>
      </c>
      <c r="M247" t="str">
        <f ca="1">IFERROR(__xludf.DUMMYFUNCTION("""COMPUTED_VALUE"""),"99.Hors Périmetre")</f>
        <v>99.Hors Périmetre</v>
      </c>
      <c r="N247" t="str">
        <f ca="1">IFERROR(__xludf.DUMMYFUNCTION("""COMPUTED_VALUE"""),"")</f>
        <v/>
      </c>
      <c r="O247" t="str">
        <f ca="1">IFERROR(__xludf.DUMMYFUNCTION("""COMPUTED_VALUE"""),"")</f>
        <v/>
      </c>
      <c r="P247" t="str">
        <f ca="1">IFERROR(__xludf.DUMMYFUNCTION("""COMPUTED_VALUE"""),"")</f>
        <v/>
      </c>
      <c r="Q247" s="5" t="str">
        <f ca="1">IFERROR(__xludf.DUMMYFUNCTION("""COMPUTED_VALUE"""),"")</f>
        <v/>
      </c>
      <c r="R247" s="6" t="str">
        <f ca="1">IFERROR(__xludf.DUMMYFUNCTION("""COMPUTED_VALUE"""),"")</f>
        <v/>
      </c>
      <c r="S247" t="str">
        <f ca="1">IFERROR(__xludf.DUMMYFUNCTION("""COMPUTED_VALUE"""),"")</f>
        <v/>
      </c>
      <c r="T247" t="str">
        <f ca="1">IFERROR(__xludf.DUMMYFUNCTION("""COMPUTED_VALUE"""),"")</f>
        <v/>
      </c>
      <c r="U247" t="str">
        <f ca="1">IFERROR(__xludf.DUMMYFUNCTION("""COMPUTED_VALUE"""),"")</f>
        <v/>
      </c>
      <c r="V247" t="str">
        <f ca="1">IFERROR(__xludf.DUMMYFUNCTION("""COMPUTED_VALUE"""),"")</f>
        <v/>
      </c>
      <c r="W247" t="str">
        <f ca="1">IFERROR(__xludf.DUMMYFUNCTION("""COMPUTED_VALUE"""),"")</f>
        <v/>
      </c>
      <c r="X247" t="str">
        <f ca="1">IFERROR(__xludf.DUMMYFUNCTION("""COMPUTED_VALUE"""),"")</f>
        <v/>
      </c>
      <c r="Y247" t="str">
        <f ca="1">IFERROR(__xludf.DUMMYFUNCTION("""COMPUTED_VALUE"""),"")</f>
        <v/>
      </c>
      <c r="Z247" t="str">
        <f ca="1">IFERROR(__xludf.DUMMYFUNCTION("""COMPUTED_VALUE"""),"")</f>
        <v/>
      </c>
      <c r="AA247" t="str">
        <f ca="1">IFERROR(__xludf.DUMMYFUNCTION("""COMPUTED_VALUE"""),"Pas de commande")</f>
        <v>Pas de commande</v>
      </c>
      <c r="AB247" s="8" t="str">
        <f ca="1">IFERROR(__xludf.DUMMYFUNCTION("""COMPUTED_VALUE"""),"")</f>
        <v/>
      </c>
      <c r="AC247" s="8" t="str">
        <f ca="1">IFERROR(__xludf.DUMMYFUNCTION("""COMPUTED_VALUE"""),"")</f>
        <v/>
      </c>
      <c r="AD247" s="11" t="str">
        <f ca="1">IFERROR(__xludf.DUMMYFUNCTION("""COMPUTED_VALUE"""),"")</f>
        <v/>
      </c>
      <c r="AE247" t="str">
        <f ca="1">IFERROR(__xludf.DUMMYFUNCTION("""COMPUTED_VALUE"""),"")</f>
        <v/>
      </c>
    </row>
    <row r="248" spans="1:31" ht="12.75" x14ac:dyDescent="0.2">
      <c r="A248">
        <f ca="1">IFERROR(__xludf.DUMMYFUNCTION("""COMPUTED_VALUE"""),24456)</f>
        <v>24456</v>
      </c>
      <c r="B248" t="str">
        <f ca="1">IFERROR(__xludf.DUMMYFUNCTION("""COMPUTED_VALUE"""),"#N/A")</f>
        <v>#N/A</v>
      </c>
      <c r="C248" t="str">
        <f ca="1">IFERROR(__xludf.DUMMYFUNCTION("""COMPUTED_VALUE"""),"#N/A")</f>
        <v>#N/A</v>
      </c>
      <c r="D248" t="str">
        <f ca="1">IFERROR(__xludf.DUMMYFUNCTION("""COMPUTED_VALUE"""),"#N/A")</f>
        <v>#N/A</v>
      </c>
      <c r="E248" t="str">
        <f ca="1">IFERROR(__xludf.DUMMYFUNCTION("""COMPUTED_VALUE"""),"")</f>
        <v/>
      </c>
      <c r="F248" t="str">
        <f ca="1">IFERROR(__xludf.DUMMYFUNCTION("""COMPUTED_VALUE"""),"#N/A")</f>
        <v>#N/A</v>
      </c>
      <c r="G248" t="str">
        <f ca="1">IFERROR(__xludf.DUMMYFUNCTION("""COMPUTED_VALUE"""),"#N/A")</f>
        <v>#N/A</v>
      </c>
      <c r="H248" t="str">
        <f ca="1">IFERROR(__xludf.DUMMYFUNCTION("""COMPUTED_VALUE"""),"#N/A")</f>
        <v>#N/A</v>
      </c>
      <c r="I248" t="str">
        <f ca="1">IFERROR(__xludf.DUMMYFUNCTION("""COMPUTED_VALUE"""),"#N/A")</f>
        <v>#N/A</v>
      </c>
      <c r="J248" t="str">
        <f ca="1">IFERROR(__xludf.DUMMYFUNCTION("""COMPUTED_VALUE"""),"")</f>
        <v/>
      </c>
      <c r="K248" t="str">
        <f ca="1">IFERROR(__xludf.DUMMYFUNCTION("""COMPUTED_VALUE"""),"")</f>
        <v/>
      </c>
      <c r="L248" t="str">
        <f ca="1">IFERROR(__xludf.DUMMYFUNCTION("""COMPUTED_VALUE"""),"")</f>
        <v/>
      </c>
      <c r="M248" t="str">
        <f ca="1">IFERROR(__xludf.DUMMYFUNCTION("""COMPUTED_VALUE"""),"99.Hors Périmetre")</f>
        <v>99.Hors Périmetre</v>
      </c>
      <c r="N248" t="str">
        <f ca="1">IFERROR(__xludf.DUMMYFUNCTION("""COMPUTED_VALUE"""),"")</f>
        <v/>
      </c>
      <c r="O248" t="str">
        <f ca="1">IFERROR(__xludf.DUMMYFUNCTION("""COMPUTED_VALUE"""),"")</f>
        <v/>
      </c>
      <c r="P248" t="str">
        <f ca="1">IFERROR(__xludf.DUMMYFUNCTION("""COMPUTED_VALUE"""),"")</f>
        <v/>
      </c>
      <c r="Q248" s="5" t="str">
        <f ca="1">IFERROR(__xludf.DUMMYFUNCTION("""COMPUTED_VALUE"""),"")</f>
        <v/>
      </c>
      <c r="R248" s="6" t="str">
        <f ca="1">IFERROR(__xludf.DUMMYFUNCTION("""COMPUTED_VALUE"""),"")</f>
        <v/>
      </c>
      <c r="S248" t="str">
        <f ca="1">IFERROR(__xludf.DUMMYFUNCTION("""COMPUTED_VALUE"""),"")</f>
        <v/>
      </c>
      <c r="T248" t="str">
        <f ca="1">IFERROR(__xludf.DUMMYFUNCTION("""COMPUTED_VALUE"""),"")</f>
        <v/>
      </c>
      <c r="U248" t="str">
        <f ca="1">IFERROR(__xludf.DUMMYFUNCTION("""COMPUTED_VALUE"""),"")</f>
        <v/>
      </c>
      <c r="V248" t="str">
        <f ca="1">IFERROR(__xludf.DUMMYFUNCTION("""COMPUTED_VALUE"""),"")</f>
        <v/>
      </c>
      <c r="W248" t="str">
        <f ca="1">IFERROR(__xludf.DUMMYFUNCTION("""COMPUTED_VALUE"""),"")</f>
        <v/>
      </c>
      <c r="X248" t="str">
        <f ca="1">IFERROR(__xludf.DUMMYFUNCTION("""COMPUTED_VALUE"""),"")</f>
        <v/>
      </c>
      <c r="Y248" t="str">
        <f ca="1">IFERROR(__xludf.DUMMYFUNCTION("""COMPUTED_VALUE"""),"")</f>
        <v/>
      </c>
      <c r="Z248" t="str">
        <f ca="1">IFERROR(__xludf.DUMMYFUNCTION("""COMPUTED_VALUE"""),"")</f>
        <v/>
      </c>
      <c r="AA248" t="str">
        <f ca="1">IFERROR(__xludf.DUMMYFUNCTION("""COMPUTED_VALUE"""),"Pas de commande")</f>
        <v>Pas de commande</v>
      </c>
      <c r="AB248" s="8" t="str">
        <f ca="1">IFERROR(__xludf.DUMMYFUNCTION("""COMPUTED_VALUE"""),"")</f>
        <v/>
      </c>
      <c r="AC248" s="8" t="str">
        <f ca="1">IFERROR(__xludf.DUMMYFUNCTION("""COMPUTED_VALUE"""),"")</f>
        <v/>
      </c>
      <c r="AD248" s="11" t="str">
        <f ca="1">IFERROR(__xludf.DUMMYFUNCTION("""COMPUTED_VALUE"""),"")</f>
        <v/>
      </c>
      <c r="AE248" t="str">
        <f ca="1">IFERROR(__xludf.DUMMYFUNCTION("""COMPUTED_VALUE"""),"")</f>
        <v/>
      </c>
    </row>
    <row r="249" spans="1:31" ht="12.75" x14ac:dyDescent="0.2">
      <c r="A249">
        <f ca="1">IFERROR(__xludf.DUMMYFUNCTION("""COMPUTED_VALUE"""),24715)</f>
        <v>24715</v>
      </c>
      <c r="B249" t="str">
        <f ca="1">IFERROR(__xludf.DUMMYFUNCTION("""COMPUTED_VALUE"""),"#N/A")</f>
        <v>#N/A</v>
      </c>
      <c r="C249" t="str">
        <f ca="1">IFERROR(__xludf.DUMMYFUNCTION("""COMPUTED_VALUE"""),"#N/A")</f>
        <v>#N/A</v>
      </c>
      <c r="D249" t="str">
        <f ca="1">IFERROR(__xludf.DUMMYFUNCTION("""COMPUTED_VALUE"""),"#N/A")</f>
        <v>#N/A</v>
      </c>
      <c r="E249" t="str">
        <f ca="1">IFERROR(__xludf.DUMMYFUNCTION("""COMPUTED_VALUE"""),"")</f>
        <v/>
      </c>
      <c r="F249" t="str">
        <f ca="1">IFERROR(__xludf.DUMMYFUNCTION("""COMPUTED_VALUE"""),"#N/A")</f>
        <v>#N/A</v>
      </c>
      <c r="G249" t="str">
        <f ca="1">IFERROR(__xludf.DUMMYFUNCTION("""COMPUTED_VALUE"""),"#N/A")</f>
        <v>#N/A</v>
      </c>
      <c r="H249" t="str">
        <f ca="1">IFERROR(__xludf.DUMMYFUNCTION("""COMPUTED_VALUE"""),"#N/A")</f>
        <v>#N/A</v>
      </c>
      <c r="I249" t="str">
        <f ca="1">IFERROR(__xludf.DUMMYFUNCTION("""COMPUTED_VALUE"""),"#N/A")</f>
        <v>#N/A</v>
      </c>
      <c r="J249" t="str">
        <f ca="1">IFERROR(__xludf.DUMMYFUNCTION("""COMPUTED_VALUE"""),"Gilles EVRARD")</f>
        <v>Gilles EVRARD</v>
      </c>
      <c r="K249" t="str">
        <f ca="1">IFERROR(__xludf.DUMMYFUNCTION("""COMPUTED_VALUE"""),"gilles.evrard@syrinxpan.fr")</f>
        <v>gilles.evrard@syrinxpan.fr</v>
      </c>
      <c r="L249" t="str">
        <f ca="1">IFERROR(__xludf.DUMMYFUNCTION("""COMPUTED_VALUE"""),"")</f>
        <v/>
      </c>
      <c r="M249" t="str">
        <f ca="1">IFERROR(__xludf.DUMMYFUNCTION("""COMPUTED_VALUE"""),"99.Hors Périmetre")</f>
        <v>99.Hors Périmetre</v>
      </c>
      <c r="N249" t="str">
        <f ca="1">IFERROR(__xludf.DUMMYFUNCTION("""COMPUTED_VALUE"""),"")</f>
        <v/>
      </c>
      <c r="O249" t="str">
        <f ca="1">IFERROR(__xludf.DUMMYFUNCTION("""COMPUTED_VALUE"""),"")</f>
        <v/>
      </c>
      <c r="P249" t="str">
        <f ca="1">IFERROR(__xludf.DUMMYFUNCTION("""COMPUTED_VALUE"""),"")</f>
        <v/>
      </c>
      <c r="Q249" s="5" t="str">
        <f ca="1">IFERROR(__xludf.DUMMYFUNCTION("""COMPUTED_VALUE"""),"")</f>
        <v/>
      </c>
      <c r="R249" s="6" t="str">
        <f ca="1">IFERROR(__xludf.DUMMYFUNCTION("""COMPUTED_VALUE"""),"")</f>
        <v/>
      </c>
      <c r="S249" t="str">
        <f ca="1">IFERROR(__xludf.DUMMYFUNCTION("""COMPUTED_VALUE"""),"")</f>
        <v/>
      </c>
      <c r="T249" t="str">
        <f ca="1">IFERROR(__xludf.DUMMYFUNCTION("""COMPUTED_VALUE"""),"")</f>
        <v/>
      </c>
      <c r="U249" t="str">
        <f ca="1">IFERROR(__xludf.DUMMYFUNCTION("""COMPUTED_VALUE"""),"")</f>
        <v/>
      </c>
      <c r="V249" t="str">
        <f ca="1">IFERROR(__xludf.DUMMYFUNCTION("""COMPUTED_VALUE"""),"")</f>
        <v/>
      </c>
      <c r="W249" t="str">
        <f ca="1">IFERROR(__xludf.DUMMYFUNCTION("""COMPUTED_VALUE"""),"")</f>
        <v/>
      </c>
      <c r="X249" t="str">
        <f ca="1">IFERROR(__xludf.DUMMYFUNCTION("""COMPUTED_VALUE"""),"")</f>
        <v/>
      </c>
      <c r="Y249" t="str">
        <f ca="1">IFERROR(__xludf.DUMMYFUNCTION("""COMPUTED_VALUE"""),"")</f>
        <v/>
      </c>
      <c r="Z249" t="str">
        <f ca="1">IFERROR(__xludf.DUMMYFUNCTION("""COMPUTED_VALUE"""),"")</f>
        <v/>
      </c>
      <c r="AA249" t="str">
        <f ca="1">IFERROR(__xludf.DUMMYFUNCTION("""COMPUTED_VALUE"""),"Pas de commande")</f>
        <v>Pas de commande</v>
      </c>
      <c r="AB249" s="8" t="str">
        <f ca="1">IFERROR(__xludf.DUMMYFUNCTION("""COMPUTED_VALUE"""),"")</f>
        <v/>
      </c>
      <c r="AC249" s="8" t="str">
        <f ca="1">IFERROR(__xludf.DUMMYFUNCTION("""COMPUTED_VALUE"""),"")</f>
        <v/>
      </c>
      <c r="AD249" s="11" t="str">
        <f ca="1">IFERROR(__xludf.DUMMYFUNCTION("""COMPUTED_VALUE"""),"")</f>
        <v/>
      </c>
      <c r="AE249" t="str">
        <f ca="1">IFERROR(__xludf.DUMMYFUNCTION("""COMPUTED_VALUE"""),"")</f>
        <v/>
      </c>
    </row>
    <row r="250" spans="1:31" ht="12.75" x14ac:dyDescent="0.2">
      <c r="A250">
        <f ca="1">IFERROR(__xludf.DUMMYFUNCTION("""COMPUTED_VALUE"""),66215)</f>
        <v>66215</v>
      </c>
      <c r="B250" t="str">
        <f ca="1">IFERROR(__xludf.DUMMYFUNCTION("""COMPUTED_VALUE"""),"CORBELIN")</f>
        <v>CORBELIN</v>
      </c>
      <c r="C250" t="str">
        <f ca="1">IFERROR(__xludf.DUMMYFUNCTION("""COMPUTED_VALUE"""),"U Express")</f>
        <v>U Express</v>
      </c>
      <c r="D250" t="str">
        <f ca="1">IFERROR(__xludf.DUMMYFUNCTION("""COMPUTED_VALUE"""),"Coop U Enseigne Est")</f>
        <v>Coop U Enseigne Est</v>
      </c>
      <c r="E250">
        <f ca="1">IFERROR(__xludf.DUMMYFUNCTION("""COMPUTED_VALUE"""),38630)</f>
        <v>38630</v>
      </c>
      <c r="F250" t="str">
        <f ca="1">IFERROR(__xludf.DUMMYFUNCTION("""COMPUTED_VALUE"""),"AVENUE DES FRERES GUIGUET")</f>
        <v>AVENUE DES FRERES GUIGUET</v>
      </c>
      <c r="G250" t="str">
        <f ca="1">IFERROR(__xludf.DUMMYFUNCTION("""COMPUTED_VALUE"""),"04.37.05.00.90")</f>
        <v>04.37.05.00.90</v>
      </c>
      <c r="H250" t="str">
        <f ca="1">IFERROR(__xludf.DUMMYFUNCTION("""COMPUTED_VALUE"""),"LAUBRY Marc")</f>
        <v>LAUBRY Marc</v>
      </c>
      <c r="I250" t="str">
        <f ca="1">IFERROR(__xludf.DUMMYFUNCTION("""COMPUTED_VALUE"""),"marc.laubry@systeme-u.fr")</f>
        <v>marc.laubry@systeme-u.fr</v>
      </c>
      <c r="J250" t="str">
        <f ca="1">IFERROR(__xludf.DUMMYFUNCTION("""COMPUTED_VALUE"""),"Mme Boitte")</f>
        <v>Mme Boitte</v>
      </c>
      <c r="K250" t="str">
        <f ca="1">IFERROR(__xludf.DUMMYFUNCTION("""COMPUTED_VALUE"""),"uexpress.corbelin.direction@systeme-u.fr")</f>
        <v>uexpress.corbelin.direction@systeme-u.fr</v>
      </c>
      <c r="L250" t="str">
        <f ca="1">IFERROR(__xludf.DUMMYFUNCTION("""COMPUTED_VALUE"""),"")</f>
        <v/>
      </c>
      <c r="M250" t="str">
        <f ca="1">IFERROR(__xludf.DUMMYFUNCTION("""COMPUTED_VALUE"""),"99.Hors Périmetre")</f>
        <v>99.Hors Périmetre</v>
      </c>
      <c r="N250" t="str">
        <f ca="1">IFERROR(__xludf.DUMMYFUNCTION("""COMPUTED_VALUE"""),"")</f>
        <v/>
      </c>
      <c r="O250" t="str">
        <f ca="1">IFERROR(__xludf.DUMMYFUNCTION("""COMPUTED_VALUE"""),"")</f>
        <v/>
      </c>
      <c r="P250" t="str">
        <f ca="1">IFERROR(__xludf.DUMMYFUNCTION("""COMPUTED_VALUE"""),"")</f>
        <v/>
      </c>
      <c r="Q250" s="5" t="str">
        <f ca="1">IFERROR(__xludf.DUMMYFUNCTION("""COMPUTED_VALUE"""),"")</f>
        <v/>
      </c>
      <c r="R250" s="6" t="str">
        <f ca="1">IFERROR(__xludf.DUMMYFUNCTION("""COMPUTED_VALUE"""),"")</f>
        <v/>
      </c>
      <c r="S250" t="str">
        <f ca="1">IFERROR(__xludf.DUMMYFUNCTION("""COMPUTED_VALUE"""),"")</f>
        <v/>
      </c>
      <c r="T250" t="str">
        <f ca="1">IFERROR(__xludf.DUMMYFUNCTION("""COMPUTED_VALUE"""),"")</f>
        <v/>
      </c>
      <c r="U250" t="str">
        <f ca="1">IFERROR(__xludf.DUMMYFUNCTION("""COMPUTED_VALUE"""),"")</f>
        <v/>
      </c>
      <c r="V250" t="str">
        <f ca="1">IFERROR(__xludf.DUMMYFUNCTION("""COMPUTED_VALUE"""),"")</f>
        <v/>
      </c>
      <c r="W250" t="str">
        <f ca="1">IFERROR(__xludf.DUMMYFUNCTION("""COMPUTED_VALUE"""),"")</f>
        <v/>
      </c>
      <c r="X250" t="str">
        <f ca="1">IFERROR(__xludf.DUMMYFUNCTION("""COMPUTED_VALUE"""),"")</f>
        <v/>
      </c>
      <c r="Y250" t="str">
        <f ca="1">IFERROR(__xludf.DUMMYFUNCTION("""COMPUTED_VALUE"""),"")</f>
        <v/>
      </c>
      <c r="Z250" t="str">
        <f ca="1">IFERROR(__xludf.DUMMYFUNCTION("""COMPUTED_VALUE"""),"")</f>
        <v/>
      </c>
      <c r="AA250" t="str">
        <f ca="1">IFERROR(__xludf.DUMMYFUNCTION("""COMPUTED_VALUE"""),"Pas de commande")</f>
        <v>Pas de commande</v>
      </c>
      <c r="AB250" s="8" t="str">
        <f ca="1">IFERROR(__xludf.DUMMYFUNCTION("""COMPUTED_VALUE"""),"")</f>
        <v/>
      </c>
      <c r="AC250" s="8" t="str">
        <f ca="1">IFERROR(__xludf.DUMMYFUNCTION("""COMPUTED_VALUE"""),"")</f>
        <v/>
      </c>
      <c r="AD250" s="11" t="str">
        <f ca="1">IFERROR(__xludf.DUMMYFUNCTION("""COMPUTED_VALUE"""),"")</f>
        <v/>
      </c>
      <c r="AE250" t="str">
        <f ca="1">IFERROR(__xludf.DUMMYFUNCTION("""COMPUTED_VALUE"""),"")</f>
        <v/>
      </c>
    </row>
    <row r="251" spans="1:31" ht="12.75" x14ac:dyDescent="0.2">
      <c r="A251">
        <f ca="1">IFERROR(__xludf.DUMMYFUNCTION("""COMPUTED_VALUE"""),90670)</f>
        <v>90670</v>
      </c>
      <c r="B251" t="str">
        <f ca="1">IFERROR(__xludf.DUMMYFUNCTION("""COMPUTED_VALUE"""),"CORTE GARE")</f>
        <v>CORTE GARE</v>
      </c>
      <c r="C251" t="str">
        <f ca="1">IFERROR(__xludf.DUMMYFUNCTION("""COMPUTED_VALUE"""),"U Express")</f>
        <v>U Express</v>
      </c>
      <c r="D251" t="str">
        <f ca="1">IFERROR(__xludf.DUMMYFUNCTION("""COMPUTED_VALUE"""),"Coop MISTRAL")</f>
        <v>Coop MISTRAL</v>
      </c>
      <c r="E251">
        <f ca="1">IFERROR(__xludf.DUMMYFUNCTION("""COMPUTED_VALUE"""),20250)</f>
        <v>20250</v>
      </c>
      <c r="F251" t="str">
        <f ca="1">IFERROR(__xludf.DUMMYFUNCTION("""COMPUTED_VALUE"""),"PLACE DE LA GARE")</f>
        <v>PLACE DE LA GARE</v>
      </c>
      <c r="G251" t="str">
        <f ca="1">IFERROR(__xludf.DUMMYFUNCTION("""COMPUTED_VALUE"""),"04.95.32.25.42")</f>
        <v>04.95.32.25.42</v>
      </c>
      <c r="H251" t="str">
        <f ca="1">IFERROR(__xludf.DUMMYFUNCTION("""COMPUTED_VALUE"""),"SIMONETTI Renaud")</f>
        <v>SIMONETTI Renaud</v>
      </c>
      <c r="I251" t="str">
        <f ca="1">IFERROR(__xludf.DUMMYFUNCTION("""COMPUTED_VALUE"""),"")</f>
        <v/>
      </c>
      <c r="J251" t="str">
        <f ca="1">IFERROR(__xludf.DUMMYFUNCTION("""COMPUTED_VALUE"""),"BATTESTI Jean-Pierre")</f>
        <v>BATTESTI Jean-Pierre</v>
      </c>
      <c r="K251" t="str">
        <f ca="1">IFERROR(__xludf.DUMMYFUNCTION("""COMPUTED_VALUE"""),"uexpress.corte@mistral-u.fr,delphine.damian@lemistral.fr,helene.mina@lemistral.fr")</f>
        <v>uexpress.corte@mistral-u.fr,delphine.damian@lemistral.fr,helene.mina@lemistral.fr</v>
      </c>
      <c r="L251" t="str">
        <f ca="1">IFERROR(__xludf.DUMMYFUNCTION("""COMPUTED_VALUE"""),"")</f>
        <v/>
      </c>
      <c r="M251" t="str">
        <f ca="1">IFERROR(__xludf.DUMMYFUNCTION("""COMPUTED_VALUE"""),"99.Hors Périmetre")</f>
        <v>99.Hors Périmetre</v>
      </c>
      <c r="N251" t="str">
        <f ca="1">IFERROR(__xludf.DUMMYFUNCTION("""COMPUTED_VALUE"""),"")</f>
        <v/>
      </c>
      <c r="O251" t="str">
        <f ca="1">IFERROR(__xludf.DUMMYFUNCTION("""COMPUTED_VALUE"""),"")</f>
        <v/>
      </c>
      <c r="P251" t="str">
        <f ca="1">IFERROR(__xludf.DUMMYFUNCTION("""COMPUTED_VALUE"""),"")</f>
        <v/>
      </c>
      <c r="Q251" s="5" t="str">
        <f ca="1">IFERROR(__xludf.DUMMYFUNCTION("""COMPUTED_VALUE"""),"")</f>
        <v/>
      </c>
      <c r="R251" s="6" t="str">
        <f ca="1">IFERROR(__xludf.DUMMYFUNCTION("""COMPUTED_VALUE"""),"")</f>
        <v/>
      </c>
      <c r="S251" t="str">
        <f ca="1">IFERROR(__xludf.DUMMYFUNCTION("""COMPUTED_VALUE"""),"")</f>
        <v/>
      </c>
      <c r="T251" t="str">
        <f ca="1">IFERROR(__xludf.DUMMYFUNCTION("""COMPUTED_VALUE"""),"")</f>
        <v/>
      </c>
      <c r="U251" t="str">
        <f ca="1">IFERROR(__xludf.DUMMYFUNCTION("""COMPUTED_VALUE"""),"")</f>
        <v/>
      </c>
      <c r="V251" t="str">
        <f ca="1">IFERROR(__xludf.DUMMYFUNCTION("""COMPUTED_VALUE"""),"")</f>
        <v/>
      </c>
      <c r="W251" t="str">
        <f ca="1">IFERROR(__xludf.DUMMYFUNCTION("""COMPUTED_VALUE"""),"")</f>
        <v/>
      </c>
      <c r="X251" t="str">
        <f ca="1">IFERROR(__xludf.DUMMYFUNCTION("""COMPUTED_VALUE"""),"")</f>
        <v/>
      </c>
      <c r="Y251" t="str">
        <f ca="1">IFERROR(__xludf.DUMMYFUNCTION("""COMPUTED_VALUE"""),"")</f>
        <v/>
      </c>
      <c r="Z251" t="str">
        <f ca="1">IFERROR(__xludf.DUMMYFUNCTION("""COMPUTED_VALUE"""),"")</f>
        <v/>
      </c>
      <c r="AA251" t="str">
        <f ca="1">IFERROR(__xludf.DUMMYFUNCTION("""COMPUTED_VALUE"""),"Pas de commande")</f>
        <v>Pas de commande</v>
      </c>
      <c r="AB251" s="8" t="str">
        <f ca="1">IFERROR(__xludf.DUMMYFUNCTION("""COMPUTED_VALUE"""),"")</f>
        <v/>
      </c>
      <c r="AC251" s="8" t="str">
        <f ca="1">IFERROR(__xludf.DUMMYFUNCTION("""COMPUTED_VALUE"""),"")</f>
        <v/>
      </c>
      <c r="AD251" s="11" t="str">
        <f ca="1">IFERROR(__xludf.DUMMYFUNCTION("""COMPUTED_VALUE"""),"")</f>
        <v/>
      </c>
      <c r="AE251" t="str">
        <f ca="1">IFERROR(__xludf.DUMMYFUNCTION("""COMPUTED_VALUE"""),"")</f>
        <v/>
      </c>
    </row>
    <row r="252" spans="1:31" ht="12.75" x14ac:dyDescent="0.2">
      <c r="A252">
        <f ca="1">IFERROR(__xludf.DUMMYFUNCTION("""COMPUTED_VALUE"""),30078)</f>
        <v>30078</v>
      </c>
      <c r="B252" t="str">
        <f ca="1">IFERROR(__xludf.DUMMYFUNCTION("""COMPUTED_VALUE"""),"CORZE")</f>
        <v>CORZE</v>
      </c>
      <c r="C252" t="str">
        <f ca="1">IFERROR(__xludf.DUMMYFUNCTION("""COMPUTED_VALUE"""),"Super U")</f>
        <v>Super U</v>
      </c>
      <c r="D252" t="str">
        <f ca="1">IFERROR(__xludf.DUMMYFUNCTION("""COMPUTED_VALUE"""),"Coop U Enseigne Ouest")</f>
        <v>Coop U Enseigne Ouest</v>
      </c>
      <c r="E252">
        <f ca="1">IFERROR(__xludf.DUMMYFUNCTION("""COMPUTED_VALUE"""),49140)</f>
        <v>49140</v>
      </c>
      <c r="F252" t="str">
        <f ca="1">IFERROR(__xludf.DUMMYFUNCTION("""COMPUTED_VALUE"""),"NATIONALE 23 L'AURORE")</f>
        <v>NATIONALE 23 L'AURORE</v>
      </c>
      <c r="G252" t="str">
        <f ca="1">IFERROR(__xludf.DUMMYFUNCTION("""COMPUTED_VALUE"""),"02.41.18.22.44")</f>
        <v>02.41.18.22.44</v>
      </c>
      <c r="H252" t="str">
        <f ca="1">IFERROR(__xludf.DUMMYFUNCTION("""COMPUTED_VALUE"""),"JEANNEAU RPT LUEMAG DISTRIBUTI David")</f>
        <v>JEANNEAU RPT LUEMAG DISTRIBUTI David</v>
      </c>
      <c r="I252" t="str">
        <f ca="1">IFERROR(__xludf.DUMMYFUNCTION("""COMPUTED_VALUE"""),"david.jeanneau@systeme-u.fr")</f>
        <v>david.jeanneau@systeme-u.fr</v>
      </c>
      <c r="J252" t="str">
        <f ca="1">IFERROR(__xludf.DUMMYFUNCTION("""COMPUTED_VALUE"""),"Bretagne Sylvie ")</f>
        <v xml:space="preserve">Bretagne Sylvie </v>
      </c>
      <c r="K252" t="str">
        <f ca="1">IFERROR(__xludf.DUMMYFUNCTION("""COMPUTED_VALUE"""),"superu.corze.compta@systeme-u.fr, superu.corze.direction@systeme-u.fr")</f>
        <v>superu.corze.compta@systeme-u.fr, superu.corze.direction@systeme-u.fr</v>
      </c>
      <c r="L252" t="str">
        <f ca="1">IFERROR(__xludf.DUMMYFUNCTION("""COMPUTED_VALUE"""),"Standard")</f>
        <v>Standard</v>
      </c>
      <c r="M252" t="str">
        <f ca="1">IFERROR(__xludf.DUMMYFUNCTION("""COMPUTED_VALUE"""),"0. Non démarré")</f>
        <v>0. Non démarré</v>
      </c>
      <c r="N252" t="str">
        <f ca="1">IFERROR(__xludf.DUMMYFUNCTION("""COMPUTED_VALUE"""),"")</f>
        <v/>
      </c>
      <c r="O252" t="str">
        <f ca="1">IFERROR(__xludf.DUMMYFUNCTION("""COMPUTED_VALUE"""),"")</f>
        <v/>
      </c>
      <c r="P252" t="str">
        <f ca="1">IFERROR(__xludf.DUMMYFUNCTION("""COMPUTED_VALUE"""),"")</f>
        <v/>
      </c>
      <c r="Q252" s="5" t="str">
        <f ca="1">IFERROR(__xludf.DUMMYFUNCTION("""COMPUTED_VALUE"""),"")</f>
        <v/>
      </c>
      <c r="R252" s="6" t="str">
        <f ca="1">IFERROR(__xludf.DUMMYFUNCTION("""COMPUTED_VALUE"""),"")</f>
        <v/>
      </c>
      <c r="S252" t="str">
        <f ca="1">IFERROR(__xludf.DUMMYFUNCTION("""COMPUTED_VALUE"""),"")</f>
        <v/>
      </c>
      <c r="T252" t="str">
        <f ca="1">IFERROR(__xludf.DUMMYFUNCTION("""COMPUTED_VALUE"""),"")</f>
        <v/>
      </c>
      <c r="U252" t="str">
        <f ca="1">IFERROR(__xludf.DUMMYFUNCTION("""COMPUTED_VALUE"""),"")</f>
        <v/>
      </c>
      <c r="V252" t="str">
        <f ca="1">IFERROR(__xludf.DUMMYFUNCTION("""COMPUTED_VALUE"""),"")</f>
        <v/>
      </c>
      <c r="W252" t="str">
        <f ca="1">IFERROR(__xludf.DUMMYFUNCTION("""COMPUTED_VALUE"""),"R5")</f>
        <v>R5</v>
      </c>
      <c r="X252" t="str">
        <f ca="1">IFERROR(__xludf.DUMMYFUNCTION("""COMPUTED_VALUE"""),"Pricer")</f>
        <v>Pricer</v>
      </c>
      <c r="Y252" t="str">
        <f ca="1">IFERROR(__xludf.DUMMYFUNCTION("""COMPUTED_VALUE"""),"")</f>
        <v/>
      </c>
      <c r="Z252" t="str">
        <f ca="1">IFERROR(__xludf.DUMMYFUNCTION("""COMPUTED_VALUE"""),"")</f>
        <v/>
      </c>
      <c r="AA252" t="str">
        <f ca="1">IFERROR(__xludf.DUMMYFUNCTION("""COMPUTED_VALUE"""),"Pas de commande")</f>
        <v>Pas de commande</v>
      </c>
      <c r="AB252" s="8" t="str">
        <f ca="1">IFERROR(__xludf.DUMMYFUNCTION("""COMPUTED_VALUE"""),"")</f>
        <v/>
      </c>
      <c r="AC252" s="8" t="str">
        <f ca="1">IFERROR(__xludf.DUMMYFUNCTION("""COMPUTED_VALUE"""),"")</f>
        <v/>
      </c>
      <c r="AD252" s="11" t="str">
        <f ca="1">IFERROR(__xludf.DUMMYFUNCTION("""COMPUTED_VALUE"""),"")</f>
        <v/>
      </c>
      <c r="AE252" t="str">
        <f ca="1">IFERROR(__xludf.DUMMYFUNCTION("""COMPUTED_VALUE"""),"")</f>
        <v/>
      </c>
    </row>
    <row r="253" spans="1:31" ht="12.75" x14ac:dyDescent="0.2">
      <c r="A253">
        <f ca="1">IFERROR(__xludf.DUMMYFUNCTION("""COMPUTED_VALUE"""),32739)</f>
        <v>32739</v>
      </c>
      <c r="B253" t="str">
        <f ca="1">IFERROR(__xludf.DUMMYFUNCTION("""COMPUTED_VALUE"""),"COUERON LA CHABOSSIERE")</f>
        <v>COUERON LA CHABOSSIERE</v>
      </c>
      <c r="C253" t="str">
        <f ca="1">IFERROR(__xludf.DUMMYFUNCTION("""COMPUTED_VALUE"""),"Super U")</f>
        <v>Super U</v>
      </c>
      <c r="D253" t="str">
        <f ca="1">IFERROR(__xludf.DUMMYFUNCTION("""COMPUTED_VALUE"""),"Coop U Enseigne Ouest")</f>
        <v>Coop U Enseigne Ouest</v>
      </c>
      <c r="E253">
        <f ca="1">IFERROR(__xludf.DUMMYFUNCTION("""COMPUTED_VALUE"""),44220)</f>
        <v>44220</v>
      </c>
      <c r="F253" t="str">
        <f ca="1">IFERROR(__xludf.DUMMYFUNCTION("""COMPUTED_VALUE"""),"48, BD DE LA LIBERATION")</f>
        <v>48, BD DE LA LIBERATION</v>
      </c>
      <c r="G253" t="str">
        <f ca="1">IFERROR(__xludf.DUMMYFUNCTION("""COMPUTED_VALUE"""),"02.40.86.10.13")</f>
        <v>02.40.86.10.13</v>
      </c>
      <c r="H253" t="str">
        <f ca="1">IFERROR(__xludf.DUMMYFUNCTION("""COMPUTED_VALUE"""),"SANZ Loic")</f>
        <v>SANZ Loic</v>
      </c>
      <c r="I253" t="str">
        <f ca="1">IFERROR(__xludf.DUMMYFUNCTION("""COMPUTED_VALUE"""),"loic.sanz@systeme-u.fr")</f>
        <v>loic.sanz@systeme-u.fr</v>
      </c>
      <c r="J253" t="str">
        <f ca="1">IFERROR(__xludf.DUMMYFUNCTION("""COMPUTED_VALUE"""),"RABILLARD Manuella")</f>
        <v>RABILLARD Manuella</v>
      </c>
      <c r="K253" t="str">
        <f ca="1">IFERROR(__xludf.DUMMYFUNCTION("""COMPUTED_VALUE"""),"superu.coueronlachabossiere.gescom@systeme-u.fr")</f>
        <v>superu.coueronlachabossiere.gescom@systeme-u.fr</v>
      </c>
      <c r="L253" t="str">
        <f ca="1">IFERROR(__xludf.DUMMYFUNCTION("""COMPUTED_VALUE"""),"")</f>
        <v/>
      </c>
      <c r="M253" t="str">
        <f ca="1">IFERROR(__xludf.DUMMYFUNCTION("""COMPUTED_VALUE"""),"")</f>
        <v/>
      </c>
      <c r="N253" t="str">
        <f ca="1">IFERROR(__xludf.DUMMYFUNCTION("""COMPUTED_VALUE"""),"")</f>
        <v/>
      </c>
      <c r="O253" t="str">
        <f ca="1">IFERROR(__xludf.DUMMYFUNCTION("""COMPUTED_VALUE"""),"")</f>
        <v/>
      </c>
      <c r="P253" t="str">
        <f ca="1">IFERROR(__xludf.DUMMYFUNCTION("""COMPUTED_VALUE"""),"")</f>
        <v/>
      </c>
      <c r="Q253" s="5" t="str">
        <f ca="1">IFERROR(__xludf.DUMMYFUNCTION("""COMPUTED_VALUE"""),"")</f>
        <v/>
      </c>
      <c r="R253" s="6" t="str">
        <f ca="1">IFERROR(__xludf.DUMMYFUNCTION("""COMPUTED_VALUE"""),"")</f>
        <v/>
      </c>
      <c r="S253" t="str">
        <f ca="1">IFERROR(__xludf.DUMMYFUNCTION("""COMPUTED_VALUE"""),"")</f>
        <v/>
      </c>
      <c r="T253" t="str">
        <f ca="1">IFERROR(__xludf.DUMMYFUNCTION("""COMPUTED_VALUE"""),"")</f>
        <v/>
      </c>
      <c r="U253" t="str">
        <f ca="1">IFERROR(__xludf.DUMMYFUNCTION("""COMPUTED_VALUE"""),"")</f>
        <v/>
      </c>
      <c r="V253" t="str">
        <f ca="1">IFERROR(__xludf.DUMMYFUNCTION("""COMPUTED_VALUE"""),"")</f>
        <v/>
      </c>
      <c r="W253" t="str">
        <f ca="1">IFERROR(__xludf.DUMMYFUNCTION("""COMPUTED_VALUE"""),"R5")</f>
        <v>R5</v>
      </c>
      <c r="X253" t="str">
        <f ca="1">IFERROR(__xludf.DUMMYFUNCTION("""COMPUTED_VALUE"""),"Pricer")</f>
        <v>Pricer</v>
      </c>
      <c r="Y253" t="str">
        <f ca="1">IFERROR(__xludf.DUMMYFUNCTION("""COMPUTED_VALUE"""),"")</f>
        <v/>
      </c>
      <c r="Z253" t="str">
        <f ca="1">IFERROR(__xludf.DUMMYFUNCTION("""COMPUTED_VALUE"""),"")</f>
        <v/>
      </c>
      <c r="AA253" t="str">
        <f ca="1">IFERROR(__xludf.DUMMYFUNCTION("""COMPUTED_VALUE"""),"Pas de commande")</f>
        <v>Pas de commande</v>
      </c>
      <c r="AB253" s="8" t="str">
        <f ca="1">IFERROR(__xludf.DUMMYFUNCTION("""COMPUTED_VALUE"""),"")</f>
        <v/>
      </c>
      <c r="AC253" s="8" t="str">
        <f ca="1">IFERROR(__xludf.DUMMYFUNCTION("""COMPUTED_VALUE"""),"")</f>
        <v/>
      </c>
      <c r="AD253" s="11" t="str">
        <f ca="1">IFERROR(__xludf.DUMMYFUNCTION("""COMPUTED_VALUE"""),"")</f>
        <v/>
      </c>
      <c r="AE253" t="str">
        <f ca="1">IFERROR(__xludf.DUMMYFUNCTION("""COMPUTED_VALUE"""),"")</f>
        <v/>
      </c>
    </row>
    <row r="254" spans="1:31" ht="12.75" x14ac:dyDescent="0.2">
      <c r="A254">
        <f ca="1">IFERROR(__xludf.DUMMYFUNCTION("""COMPUTED_VALUE"""),23913)</f>
        <v>23913</v>
      </c>
      <c r="B254" t="str">
        <f ca="1">IFERROR(__xludf.DUMMYFUNCTION("""COMPUTED_VALUE"""),"COUILLY PONT AUX DAMES")</f>
        <v>COUILLY PONT AUX DAMES</v>
      </c>
      <c r="C254" t="str">
        <f ca="1">IFERROR(__xludf.DUMMYFUNCTION("""COMPUTED_VALUE"""),"Super U")</f>
        <v>Super U</v>
      </c>
      <c r="D254" t="str">
        <f ca="1">IFERROR(__xludf.DUMMYFUNCTION("""COMPUTED_VALUE"""),"Coop U Enseigne NordOuest")</f>
        <v>Coop U Enseigne NordOuest</v>
      </c>
      <c r="E254">
        <f ca="1">IFERROR(__xludf.DUMMYFUNCTION("""COMPUTED_VALUE"""),77860)</f>
        <v>77860</v>
      </c>
      <c r="F254" t="str">
        <f ca="1">IFERROR(__xludf.DUMMYFUNCTION("""COMPUTED_VALUE"""),"61 AVENUE DE L'ENSOLEILLEE")</f>
        <v>61 AVENUE DE L'ENSOLEILLEE</v>
      </c>
      <c r="G254" t="str">
        <f ca="1">IFERROR(__xludf.DUMMYFUNCTION("""COMPUTED_VALUE"""),"01.64.63.88.88")</f>
        <v>01.64.63.88.88</v>
      </c>
      <c r="H254" t="str">
        <f ca="1">IFERROR(__xludf.DUMMYFUNCTION("""COMPUTED_VALUE"""),"PROUX Stéphane")</f>
        <v>PROUX Stéphane</v>
      </c>
      <c r="I254" t="str">
        <f ca="1">IFERROR(__xludf.DUMMYFUNCTION("""COMPUTED_VALUE"""),"stephane.proux@systeme-u.fr")</f>
        <v>stephane.proux@systeme-u.fr</v>
      </c>
      <c r="J254" t="str">
        <f ca="1">IFERROR(__xludf.DUMMYFUNCTION("""COMPUTED_VALUE"""),"M. BERGERON
Mme CROIN
Mme VADDA Nadia")</f>
        <v>M. BERGERON
Mme CROIN
Mme VADDA Nadia</v>
      </c>
      <c r="K254" t="str">
        <f ca="1">IFERROR(__xludf.DUMMYFUNCTION("""COMPUTED_VALUE"""),"lolita.croin@systeme-u.fr,superu.couillypontauxdames@systeme-u.fr")</f>
        <v>lolita.croin@systeme-u.fr,superu.couillypontauxdames@systeme-u.fr</v>
      </c>
      <c r="L254" t="str">
        <f ca="1">IFERROR(__xludf.DUMMYFUNCTION("""COMPUTED_VALUE"""),"")</f>
        <v/>
      </c>
      <c r="M254" t="str">
        <f ca="1">IFERROR(__xludf.DUMMYFUNCTION("""COMPUTED_VALUE"""),"99.Hors Périmetre")</f>
        <v>99.Hors Périmetre</v>
      </c>
      <c r="N254" t="str">
        <f ca="1">IFERROR(__xludf.DUMMYFUNCTION("""COMPUTED_VALUE"""),"")</f>
        <v/>
      </c>
      <c r="O254" t="str">
        <f ca="1">IFERROR(__xludf.DUMMYFUNCTION("""COMPUTED_VALUE"""),"")</f>
        <v/>
      </c>
      <c r="P254" t="str">
        <f ca="1">IFERROR(__xludf.DUMMYFUNCTION("""COMPUTED_VALUE"""),"")</f>
        <v/>
      </c>
      <c r="Q254" s="5" t="str">
        <f ca="1">IFERROR(__xludf.DUMMYFUNCTION("""COMPUTED_VALUE"""),"")</f>
        <v/>
      </c>
      <c r="R254" s="6" t="str">
        <f ca="1">IFERROR(__xludf.DUMMYFUNCTION("""COMPUTED_VALUE"""),"")</f>
        <v/>
      </c>
      <c r="S254" t="str">
        <f ca="1">IFERROR(__xludf.DUMMYFUNCTION("""COMPUTED_VALUE"""),"")</f>
        <v/>
      </c>
      <c r="T254" t="str">
        <f ca="1">IFERROR(__xludf.DUMMYFUNCTION("""COMPUTED_VALUE"""),"")</f>
        <v/>
      </c>
      <c r="U254" t="str">
        <f ca="1">IFERROR(__xludf.DUMMYFUNCTION("""COMPUTED_VALUE"""),"")</f>
        <v/>
      </c>
      <c r="V254" t="str">
        <f ca="1">IFERROR(__xludf.DUMMYFUNCTION("""COMPUTED_VALUE"""),"")</f>
        <v/>
      </c>
      <c r="W254" t="str">
        <f ca="1">IFERROR(__xludf.DUMMYFUNCTION("""COMPUTED_VALUE"""),"")</f>
        <v/>
      </c>
      <c r="X254" t="str">
        <f ca="1">IFERROR(__xludf.DUMMYFUNCTION("""COMPUTED_VALUE"""),"")</f>
        <v/>
      </c>
      <c r="Y254" t="str">
        <f ca="1">IFERROR(__xludf.DUMMYFUNCTION("""COMPUTED_VALUE"""),"")</f>
        <v/>
      </c>
      <c r="Z254" t="str">
        <f ca="1">IFERROR(__xludf.DUMMYFUNCTION("""COMPUTED_VALUE"""),"")</f>
        <v/>
      </c>
      <c r="AA254" t="str">
        <f ca="1">IFERROR(__xludf.DUMMYFUNCTION("""COMPUTED_VALUE"""),"Pas de commande")</f>
        <v>Pas de commande</v>
      </c>
      <c r="AB254" s="8" t="str">
        <f ca="1">IFERROR(__xludf.DUMMYFUNCTION("""COMPUTED_VALUE"""),"")</f>
        <v/>
      </c>
      <c r="AC254" s="8" t="str">
        <f ca="1">IFERROR(__xludf.DUMMYFUNCTION("""COMPUTED_VALUE"""),"")</f>
        <v/>
      </c>
      <c r="AD254" s="11" t="str">
        <f ca="1">IFERROR(__xludf.DUMMYFUNCTION("""COMPUTED_VALUE"""),"")</f>
        <v/>
      </c>
      <c r="AE254" t="str">
        <f ca="1">IFERROR(__xludf.DUMMYFUNCTION("""COMPUTED_VALUE"""),"")</f>
        <v/>
      </c>
    </row>
    <row r="255" spans="1:31" ht="12.75" x14ac:dyDescent="0.2">
      <c r="A255">
        <f ca="1">IFERROR(__xludf.DUMMYFUNCTION("""COMPUTED_VALUE"""),32615)</f>
        <v>32615</v>
      </c>
      <c r="B255" t="str">
        <f ca="1">IFERROR(__xludf.DUMMYFUNCTION("""COMPUTED_VALUE"""),"COULONGES-SUR-L'AUTIZE")</f>
        <v>COULONGES-SUR-L'AUTIZE</v>
      </c>
      <c r="C255" t="str">
        <f ca="1">IFERROR(__xludf.DUMMYFUNCTION("""COMPUTED_VALUE"""),"Super U")</f>
        <v>Super U</v>
      </c>
      <c r="D255" t="str">
        <f ca="1">IFERROR(__xludf.DUMMYFUNCTION("""COMPUTED_VALUE"""),"Coop U Enseigne Ouest")</f>
        <v>Coop U Enseigne Ouest</v>
      </c>
      <c r="E255">
        <f ca="1">IFERROR(__xludf.DUMMYFUNCTION("""COMPUTED_VALUE"""),79160)</f>
        <v>79160</v>
      </c>
      <c r="F255" t="str">
        <f ca="1">IFERROR(__xludf.DUMMYFUNCTION("""COMPUTED_VALUE"""),"ROUTE DE NIORT")</f>
        <v>ROUTE DE NIORT</v>
      </c>
      <c r="G255" t="str">
        <f ca="1">IFERROR(__xludf.DUMMYFUNCTION("""COMPUTED_VALUE"""),"05.49.06.11.48")</f>
        <v>05.49.06.11.48</v>
      </c>
      <c r="H255" t="str">
        <f ca="1">IFERROR(__xludf.DUMMYFUNCTION("""COMPUTED_VALUE"""),"DUHALDE Céline")</f>
        <v>DUHALDE Céline</v>
      </c>
      <c r="I255" t="str">
        <f ca="1">IFERROR(__xludf.DUMMYFUNCTION("""COMPUTED_VALUE"""),"celine.duhalde@systeme-u.fr")</f>
        <v>celine.duhalde@systeme-u.fr</v>
      </c>
      <c r="J255" t="str">
        <f ca="1">IFERROR(__xludf.DUMMYFUNCTION("""COMPUTED_VALUE"""),"DRILLON Christelle")</f>
        <v>DRILLON Christelle</v>
      </c>
      <c r="K255" t="str">
        <f ca="1">IFERROR(__xludf.DUMMYFUNCTION("""COMPUTED_VALUE"""),"superu.coulongessurautize.gescom@systeme-u.fr")</f>
        <v>superu.coulongessurautize.gescom@systeme-u.fr</v>
      </c>
      <c r="L255" t="str">
        <f ca="1">IFERROR(__xludf.DUMMYFUNCTION("""COMPUTED_VALUE"""),"")</f>
        <v/>
      </c>
      <c r="M255" t="str">
        <f ca="1">IFERROR(__xludf.DUMMYFUNCTION("""COMPUTED_VALUE"""),"99.Hors Périmetre")</f>
        <v>99.Hors Périmetre</v>
      </c>
      <c r="N255" t="str">
        <f ca="1">IFERROR(__xludf.DUMMYFUNCTION("""COMPUTED_VALUE"""),"")</f>
        <v/>
      </c>
      <c r="O255" t="str">
        <f ca="1">IFERROR(__xludf.DUMMYFUNCTION("""COMPUTED_VALUE"""),"")</f>
        <v/>
      </c>
      <c r="P255" t="str">
        <f ca="1">IFERROR(__xludf.DUMMYFUNCTION("""COMPUTED_VALUE"""),"")</f>
        <v/>
      </c>
      <c r="Q255" s="5" t="str">
        <f ca="1">IFERROR(__xludf.DUMMYFUNCTION("""COMPUTED_VALUE"""),"")</f>
        <v/>
      </c>
      <c r="R255" s="6" t="str">
        <f ca="1">IFERROR(__xludf.DUMMYFUNCTION("""COMPUTED_VALUE"""),"")</f>
        <v/>
      </c>
      <c r="S255" t="str">
        <f ca="1">IFERROR(__xludf.DUMMYFUNCTION("""COMPUTED_VALUE"""),"")</f>
        <v/>
      </c>
      <c r="T255" t="str">
        <f ca="1">IFERROR(__xludf.DUMMYFUNCTION("""COMPUTED_VALUE"""),"")</f>
        <v/>
      </c>
      <c r="U255" t="str">
        <f ca="1">IFERROR(__xludf.DUMMYFUNCTION("""COMPUTED_VALUE"""),"")</f>
        <v/>
      </c>
      <c r="V255" t="str">
        <f ca="1">IFERROR(__xludf.DUMMYFUNCTION("""COMPUTED_VALUE"""),"")</f>
        <v/>
      </c>
      <c r="W255" t="str">
        <f ca="1">IFERROR(__xludf.DUMMYFUNCTION("""COMPUTED_VALUE"""),"")</f>
        <v/>
      </c>
      <c r="X255" t="str">
        <f ca="1">IFERROR(__xludf.DUMMYFUNCTION("""COMPUTED_VALUE"""),"")</f>
        <v/>
      </c>
      <c r="Y255" t="str">
        <f ca="1">IFERROR(__xludf.DUMMYFUNCTION("""COMPUTED_VALUE"""),"")</f>
        <v/>
      </c>
      <c r="Z255" t="str">
        <f ca="1">IFERROR(__xludf.DUMMYFUNCTION("""COMPUTED_VALUE"""),"")</f>
        <v/>
      </c>
      <c r="AA255" t="str">
        <f ca="1">IFERROR(__xludf.DUMMYFUNCTION("""COMPUTED_VALUE"""),"Pas de commande")</f>
        <v>Pas de commande</v>
      </c>
      <c r="AB255" s="8" t="str">
        <f ca="1">IFERROR(__xludf.DUMMYFUNCTION("""COMPUTED_VALUE"""),"")</f>
        <v/>
      </c>
      <c r="AC255" s="8" t="str">
        <f ca="1">IFERROR(__xludf.DUMMYFUNCTION("""COMPUTED_VALUE"""),"")</f>
        <v/>
      </c>
      <c r="AD255" s="11" t="str">
        <f ca="1">IFERROR(__xludf.DUMMYFUNCTION("""COMPUTED_VALUE"""),"")</f>
        <v/>
      </c>
      <c r="AE255" t="str">
        <f ca="1">IFERROR(__xludf.DUMMYFUNCTION("""COMPUTED_VALUE"""),"")</f>
        <v/>
      </c>
    </row>
    <row r="256" spans="1:31" ht="12.75" x14ac:dyDescent="0.2">
      <c r="A256">
        <f ca="1">IFERROR(__xludf.DUMMYFUNCTION("""COMPUTED_VALUE"""),90005)</f>
        <v>90005</v>
      </c>
      <c r="B256" t="str">
        <f ca="1">IFERROR(__xludf.DUMMYFUNCTION("""COMPUTED_VALUE"""),"COURSAN")</f>
        <v>COURSAN</v>
      </c>
      <c r="C256" t="str">
        <f ca="1">IFERROR(__xludf.DUMMYFUNCTION("""COMPUTED_VALUE"""),"Super U")</f>
        <v>Super U</v>
      </c>
      <c r="D256" t="str">
        <f ca="1">IFERROR(__xludf.DUMMYFUNCTION("""COMPUTED_VALUE"""),"Coop U Enseigne Sud")</f>
        <v>Coop U Enseigne Sud</v>
      </c>
      <c r="E256">
        <f ca="1">IFERROR(__xludf.DUMMYFUNCTION("""COMPUTED_VALUE"""),11110)</f>
        <v>11110</v>
      </c>
      <c r="F256" t="str">
        <f ca="1">IFERROR(__xludf.DUMMYFUNCTION("""COMPUTED_VALUE"""),"AVENUE DE TOULOUSE")</f>
        <v>AVENUE DE TOULOUSE</v>
      </c>
      <c r="G256" t="str">
        <f ca="1">IFERROR(__xludf.DUMMYFUNCTION("""COMPUTED_VALUE"""),"04.68.46.60.90")</f>
        <v>04.68.46.60.90</v>
      </c>
      <c r="H256" t="str">
        <f ca="1">IFERROR(__xludf.DUMMYFUNCTION("""COMPUTED_VALUE"""),"BARDAY Romuald")</f>
        <v>BARDAY Romuald</v>
      </c>
      <c r="I256" t="str">
        <f ca="1">IFERROR(__xludf.DUMMYFUNCTION("""COMPUTED_VALUE"""),"romuald.barday@systeme-u.fr")</f>
        <v>romuald.barday@systeme-u.fr</v>
      </c>
      <c r="J256" t="str">
        <f ca="1">IFERROR(__xludf.DUMMYFUNCTION("""COMPUTED_VALUE"""),"BUREU Jean-louis")</f>
        <v>BUREU Jean-louis</v>
      </c>
      <c r="K256" t="str">
        <f ca="1">IFERROR(__xludf.DUMMYFUNCTION("""COMPUTED_VALUE"""),"superu.coursan.direction@systeme-u.fr")</f>
        <v>superu.coursan.direction@systeme-u.fr</v>
      </c>
      <c r="L256" t="str">
        <f ca="1">IFERROR(__xludf.DUMMYFUNCTION("""COMPUTED_VALUE"""),"")</f>
        <v/>
      </c>
      <c r="M256" t="str">
        <f ca="1">IFERROR(__xludf.DUMMYFUNCTION("""COMPUTED_VALUE"""),"99.Hors Périmetre")</f>
        <v>99.Hors Périmetre</v>
      </c>
      <c r="N256" t="str">
        <f ca="1">IFERROR(__xludf.DUMMYFUNCTION("""COMPUTED_VALUE"""),"")</f>
        <v/>
      </c>
      <c r="O256" t="str">
        <f ca="1">IFERROR(__xludf.DUMMYFUNCTION("""COMPUTED_VALUE"""),"")</f>
        <v/>
      </c>
      <c r="P256" t="str">
        <f ca="1">IFERROR(__xludf.DUMMYFUNCTION("""COMPUTED_VALUE"""),"")</f>
        <v/>
      </c>
      <c r="Q256" s="5" t="str">
        <f ca="1">IFERROR(__xludf.DUMMYFUNCTION("""COMPUTED_VALUE"""),"")</f>
        <v/>
      </c>
      <c r="R256" s="6" t="str">
        <f ca="1">IFERROR(__xludf.DUMMYFUNCTION("""COMPUTED_VALUE"""),"")</f>
        <v/>
      </c>
      <c r="S256" t="str">
        <f ca="1">IFERROR(__xludf.DUMMYFUNCTION("""COMPUTED_VALUE"""),"")</f>
        <v/>
      </c>
      <c r="T256" t="str">
        <f ca="1">IFERROR(__xludf.DUMMYFUNCTION("""COMPUTED_VALUE"""),"")</f>
        <v/>
      </c>
      <c r="U256" t="str">
        <f ca="1">IFERROR(__xludf.DUMMYFUNCTION("""COMPUTED_VALUE"""),"")</f>
        <v/>
      </c>
      <c r="V256" t="str">
        <f ca="1">IFERROR(__xludf.DUMMYFUNCTION("""COMPUTED_VALUE"""),"")</f>
        <v/>
      </c>
      <c r="W256" t="str">
        <f ca="1">IFERROR(__xludf.DUMMYFUNCTION("""COMPUTED_VALUE"""),"")</f>
        <v/>
      </c>
      <c r="X256" t="str">
        <f ca="1">IFERROR(__xludf.DUMMYFUNCTION("""COMPUTED_VALUE"""),"")</f>
        <v/>
      </c>
      <c r="Y256" t="str">
        <f ca="1">IFERROR(__xludf.DUMMYFUNCTION("""COMPUTED_VALUE"""),"")</f>
        <v/>
      </c>
      <c r="Z256" t="str">
        <f ca="1">IFERROR(__xludf.DUMMYFUNCTION("""COMPUTED_VALUE"""),"")</f>
        <v/>
      </c>
      <c r="AA256" t="str">
        <f ca="1">IFERROR(__xludf.DUMMYFUNCTION("""COMPUTED_VALUE"""),"Pas de commande")</f>
        <v>Pas de commande</v>
      </c>
      <c r="AB256" s="8" t="str">
        <f ca="1">IFERROR(__xludf.DUMMYFUNCTION("""COMPUTED_VALUE"""),"")</f>
        <v/>
      </c>
      <c r="AC256" s="8" t="str">
        <f ca="1">IFERROR(__xludf.DUMMYFUNCTION("""COMPUTED_VALUE"""),"")</f>
        <v/>
      </c>
      <c r="AD256" s="11" t="str">
        <f ca="1">IFERROR(__xludf.DUMMYFUNCTION("""COMPUTED_VALUE"""),"")</f>
        <v/>
      </c>
      <c r="AE256" t="str">
        <f ca="1">IFERROR(__xludf.DUMMYFUNCTION("""COMPUTED_VALUE"""),"")</f>
        <v/>
      </c>
    </row>
    <row r="257" spans="1:31" ht="12.75" x14ac:dyDescent="0.2">
      <c r="A257">
        <f ca="1">IFERROR(__xludf.DUMMYFUNCTION("""COMPUTED_VALUE"""),90643)</f>
        <v>90643</v>
      </c>
      <c r="B257" t="str">
        <f ca="1">IFERROR(__xludf.DUMMYFUNCTION("""COMPUTED_VALUE"""),"COURTHEZON")</f>
        <v>COURTHEZON</v>
      </c>
      <c r="C257" t="str">
        <f ca="1">IFERROR(__xludf.DUMMYFUNCTION("""COMPUTED_VALUE"""),"U Express")</f>
        <v>U Express</v>
      </c>
      <c r="D257" t="str">
        <f ca="1">IFERROR(__xludf.DUMMYFUNCTION("""COMPUTED_VALUE"""),"Coop MISTRAL")</f>
        <v>Coop MISTRAL</v>
      </c>
      <c r="E257">
        <f ca="1">IFERROR(__xludf.DUMMYFUNCTION("""COMPUTED_VALUE"""),84350)</f>
        <v>84350</v>
      </c>
      <c r="F257" t="str">
        <f ca="1">IFERROR(__xludf.DUMMYFUNCTION("""COMPUTED_VALUE"""),"ROUTE DE CHATEAUNEUF DU PAPE")</f>
        <v>ROUTE DE CHATEAUNEUF DU PAPE</v>
      </c>
      <c r="G257" t="str">
        <f ca="1">IFERROR(__xludf.DUMMYFUNCTION("""COMPUTED_VALUE"""),"04.90.30.39.60")</f>
        <v>04.90.30.39.60</v>
      </c>
      <c r="H257" t="str">
        <f ca="1">IFERROR(__xludf.DUMMYFUNCTION("""COMPUTED_VALUE"""),"RENET Etienne")</f>
        <v>RENET Etienne</v>
      </c>
      <c r="I257" t="str">
        <f ca="1">IFERROR(__xludf.DUMMYFUNCTION("""COMPUTED_VALUE"""),"")</f>
        <v/>
      </c>
      <c r="J257" t="str">
        <f ca="1">IFERROR(__xludf.DUMMYFUNCTION("""COMPUTED_VALUE"""),"vieira paulo ")</f>
        <v xml:space="preserve">vieira paulo </v>
      </c>
      <c r="K257" t="str">
        <f ca="1">IFERROR(__xludf.DUMMYFUNCTION("""COMPUTED_VALUE"""),"delphine.damian@lemistral.fr,helene.mina@lemistral.fr, courthezon.pgc735@gmail.com, sdcourthezon@gmail.com")</f>
        <v>delphine.damian@lemistral.fr,helene.mina@lemistral.fr, courthezon.pgc735@gmail.com, sdcourthezon@gmail.com</v>
      </c>
      <c r="L257" t="str">
        <f ca="1">IFERROR(__xludf.DUMMYFUNCTION("""COMPUTED_VALUE"""),"")</f>
        <v/>
      </c>
      <c r="M257" t="str">
        <f ca="1">IFERROR(__xludf.DUMMYFUNCTION("""COMPUTED_VALUE"""),"99.Hors Périmetre")</f>
        <v>99.Hors Périmetre</v>
      </c>
      <c r="N257" t="str">
        <f ca="1">IFERROR(__xludf.DUMMYFUNCTION("""COMPUTED_VALUE"""),"")</f>
        <v/>
      </c>
      <c r="O257" t="str">
        <f ca="1">IFERROR(__xludf.DUMMYFUNCTION("""COMPUTED_VALUE"""),"")</f>
        <v/>
      </c>
      <c r="P257" t="str">
        <f ca="1">IFERROR(__xludf.DUMMYFUNCTION("""COMPUTED_VALUE"""),"")</f>
        <v/>
      </c>
      <c r="Q257" s="5" t="str">
        <f ca="1">IFERROR(__xludf.DUMMYFUNCTION("""COMPUTED_VALUE"""),"")</f>
        <v/>
      </c>
      <c r="R257" s="6" t="str">
        <f ca="1">IFERROR(__xludf.DUMMYFUNCTION("""COMPUTED_VALUE"""),"")</f>
        <v/>
      </c>
      <c r="S257" t="str">
        <f ca="1">IFERROR(__xludf.DUMMYFUNCTION("""COMPUTED_VALUE"""),"")</f>
        <v/>
      </c>
      <c r="T257" t="str">
        <f ca="1">IFERROR(__xludf.DUMMYFUNCTION("""COMPUTED_VALUE"""),"")</f>
        <v/>
      </c>
      <c r="U257" t="str">
        <f ca="1">IFERROR(__xludf.DUMMYFUNCTION("""COMPUTED_VALUE"""),"")</f>
        <v/>
      </c>
      <c r="V257" t="str">
        <f ca="1">IFERROR(__xludf.DUMMYFUNCTION("""COMPUTED_VALUE"""),"")</f>
        <v/>
      </c>
      <c r="W257" t="str">
        <f ca="1">IFERROR(__xludf.DUMMYFUNCTION("""COMPUTED_VALUE"""),"")</f>
        <v/>
      </c>
      <c r="X257" t="str">
        <f ca="1">IFERROR(__xludf.DUMMYFUNCTION("""COMPUTED_VALUE"""),"")</f>
        <v/>
      </c>
      <c r="Y257" t="str">
        <f ca="1">IFERROR(__xludf.DUMMYFUNCTION("""COMPUTED_VALUE"""),"")</f>
        <v/>
      </c>
      <c r="Z257" t="str">
        <f ca="1">IFERROR(__xludf.DUMMYFUNCTION("""COMPUTED_VALUE"""),"")</f>
        <v/>
      </c>
      <c r="AA257" t="str">
        <f ca="1">IFERROR(__xludf.DUMMYFUNCTION("""COMPUTED_VALUE"""),"Pas de commande")</f>
        <v>Pas de commande</v>
      </c>
      <c r="AB257" s="8" t="str">
        <f ca="1">IFERROR(__xludf.DUMMYFUNCTION("""COMPUTED_VALUE"""),"")</f>
        <v/>
      </c>
      <c r="AC257" s="8" t="str">
        <f ca="1">IFERROR(__xludf.DUMMYFUNCTION("""COMPUTED_VALUE"""),"")</f>
        <v/>
      </c>
      <c r="AD257" s="11" t="str">
        <f ca="1">IFERROR(__xludf.DUMMYFUNCTION("""COMPUTED_VALUE"""),"")</f>
        <v/>
      </c>
      <c r="AE257" t="str">
        <f ca="1">IFERROR(__xludf.DUMMYFUNCTION("""COMPUTED_VALUE"""),"")</f>
        <v/>
      </c>
    </row>
    <row r="258" spans="1:31" ht="12.75" x14ac:dyDescent="0.2">
      <c r="A258">
        <f ca="1">IFERROR(__xludf.DUMMYFUNCTION("""COMPUTED_VALUE"""),26505)</f>
        <v>26505</v>
      </c>
      <c r="B258" t="str">
        <f ca="1">IFERROR(__xludf.DUMMYFUNCTION("""COMPUTED_VALUE"""),"COURVILLE SUR EURE")</f>
        <v>COURVILLE SUR EURE</v>
      </c>
      <c r="C258" t="str">
        <f ca="1">IFERROR(__xludf.DUMMYFUNCTION("""COMPUTED_VALUE"""),"Super U")</f>
        <v>Super U</v>
      </c>
      <c r="D258" t="str">
        <f ca="1">IFERROR(__xludf.DUMMYFUNCTION("""COMPUTED_VALUE"""),"Coop U Enseigne NordOuest")</f>
        <v>Coop U Enseigne NordOuest</v>
      </c>
      <c r="E258">
        <f ca="1">IFERROR(__xludf.DUMMYFUNCTION("""COMPUTED_VALUE"""),28190)</f>
        <v>28190</v>
      </c>
      <c r="F258" t="str">
        <f ca="1">IFERROR(__xludf.DUMMYFUNCTION("""COMPUTED_VALUE"""),"RUE DE BEAUCE")</f>
        <v>RUE DE BEAUCE</v>
      </c>
      <c r="G258" t="str">
        <f ca="1">IFERROR(__xludf.DUMMYFUNCTION("""COMPUTED_VALUE"""),"02.37.23.20.50")</f>
        <v>02.37.23.20.50</v>
      </c>
      <c r="H258" t="str">
        <f ca="1">IFERROR(__xludf.DUMMYFUNCTION("""COMPUTED_VALUE"""),"LAIZEAU Thierry")</f>
        <v>LAIZEAU Thierry</v>
      </c>
      <c r="I258" t="str">
        <f ca="1">IFERROR(__xludf.DUMMYFUNCTION("""COMPUTED_VALUE"""),"thierry.laizeau@systeme-u.fr")</f>
        <v>thierry.laizeau@systeme-u.fr</v>
      </c>
      <c r="J258" t="str">
        <f ca="1">IFERROR(__xludf.DUMMYFUNCTION("""COMPUTED_VALUE"""),"")</f>
        <v/>
      </c>
      <c r="K258" t="str">
        <f ca="1">IFERROR(__xludf.DUMMYFUNCTION("""COMPUTED_VALUE"""),"")</f>
        <v/>
      </c>
      <c r="L258" t="str">
        <f ca="1">IFERROR(__xludf.DUMMYFUNCTION("""COMPUTED_VALUE"""),"")</f>
        <v/>
      </c>
      <c r="M258" t="str">
        <f ca="1">IFERROR(__xludf.DUMMYFUNCTION("""COMPUTED_VALUE"""),"99.Hors Périmetre")</f>
        <v>99.Hors Périmetre</v>
      </c>
      <c r="N258" t="str">
        <f ca="1">IFERROR(__xludf.DUMMYFUNCTION("""COMPUTED_VALUE"""),"")</f>
        <v/>
      </c>
      <c r="O258" t="str">
        <f ca="1">IFERROR(__xludf.DUMMYFUNCTION("""COMPUTED_VALUE"""),"")</f>
        <v/>
      </c>
      <c r="P258" t="str">
        <f ca="1">IFERROR(__xludf.DUMMYFUNCTION("""COMPUTED_VALUE"""),"")</f>
        <v/>
      </c>
      <c r="Q258" s="5" t="str">
        <f ca="1">IFERROR(__xludf.DUMMYFUNCTION("""COMPUTED_VALUE"""),"")</f>
        <v/>
      </c>
      <c r="R258" s="6" t="str">
        <f ca="1">IFERROR(__xludf.DUMMYFUNCTION("""COMPUTED_VALUE"""),"")</f>
        <v/>
      </c>
      <c r="S258" t="str">
        <f ca="1">IFERROR(__xludf.DUMMYFUNCTION("""COMPUTED_VALUE"""),"")</f>
        <v/>
      </c>
      <c r="T258" t="str">
        <f ca="1">IFERROR(__xludf.DUMMYFUNCTION("""COMPUTED_VALUE"""),"")</f>
        <v/>
      </c>
      <c r="U258" t="str">
        <f ca="1">IFERROR(__xludf.DUMMYFUNCTION("""COMPUTED_VALUE"""),"")</f>
        <v/>
      </c>
      <c r="V258" t="str">
        <f ca="1">IFERROR(__xludf.DUMMYFUNCTION("""COMPUTED_VALUE"""),"")</f>
        <v/>
      </c>
      <c r="W258" t="str">
        <f ca="1">IFERROR(__xludf.DUMMYFUNCTION("""COMPUTED_VALUE"""),"")</f>
        <v/>
      </c>
      <c r="X258" t="str">
        <f ca="1">IFERROR(__xludf.DUMMYFUNCTION("""COMPUTED_VALUE"""),"")</f>
        <v/>
      </c>
      <c r="Y258" t="str">
        <f ca="1">IFERROR(__xludf.DUMMYFUNCTION("""COMPUTED_VALUE"""),"")</f>
        <v/>
      </c>
      <c r="Z258" t="str">
        <f ca="1">IFERROR(__xludf.DUMMYFUNCTION("""COMPUTED_VALUE"""),"")</f>
        <v/>
      </c>
      <c r="AA258" t="str">
        <f ca="1">IFERROR(__xludf.DUMMYFUNCTION("""COMPUTED_VALUE"""),"Pas de commande")</f>
        <v>Pas de commande</v>
      </c>
      <c r="AB258" s="8" t="str">
        <f ca="1">IFERROR(__xludf.DUMMYFUNCTION("""COMPUTED_VALUE"""),"")</f>
        <v/>
      </c>
      <c r="AC258" s="8" t="str">
        <f ca="1">IFERROR(__xludf.DUMMYFUNCTION("""COMPUTED_VALUE"""),"")</f>
        <v/>
      </c>
      <c r="AD258" s="11" t="str">
        <f ca="1">IFERROR(__xludf.DUMMYFUNCTION("""COMPUTED_VALUE"""),"")</f>
        <v/>
      </c>
      <c r="AE258" t="str">
        <f ca="1">IFERROR(__xludf.DUMMYFUNCTION("""COMPUTED_VALUE"""),"")</f>
        <v/>
      </c>
    </row>
    <row r="259" spans="1:31" ht="12.75" x14ac:dyDescent="0.2">
      <c r="A259">
        <f ca="1">IFERROR(__xludf.DUMMYFUNCTION("""COMPUTED_VALUE"""),32068)</f>
        <v>32068</v>
      </c>
      <c r="B259" t="str">
        <f ca="1">IFERROR(__xludf.DUMMYFUNCTION("""COMPUTED_VALUE"""),"COZES")</f>
        <v>COZES</v>
      </c>
      <c r="C259" t="str">
        <f ca="1">IFERROR(__xludf.DUMMYFUNCTION("""COMPUTED_VALUE"""),"Super U")</f>
        <v>Super U</v>
      </c>
      <c r="D259" t="str">
        <f ca="1">IFERROR(__xludf.DUMMYFUNCTION("""COMPUTED_VALUE"""),"Coop Atlantique")</f>
        <v>Coop Atlantique</v>
      </c>
      <c r="E259">
        <f ca="1">IFERROR(__xludf.DUMMYFUNCTION("""COMPUTED_VALUE"""),17120)</f>
        <v>17120</v>
      </c>
      <c r="F259" t="str">
        <f ca="1">IFERROR(__xludf.DUMMYFUNCTION("""COMPUTED_VALUE"""),"30 BOULEVARD DES DANDONNEAUX")</f>
        <v>30 BOULEVARD DES DANDONNEAUX</v>
      </c>
      <c r="G259" t="str">
        <f ca="1">IFERROR(__xludf.DUMMYFUNCTION("""COMPUTED_VALUE"""),"05.46.90.85.70")</f>
        <v>05.46.90.85.70</v>
      </c>
      <c r="H259" t="str">
        <f ca="1">IFERROR(__xludf.DUMMYFUNCTION("""COMPUTED_VALUE"""),"FLAMBARD Hervé")</f>
        <v>FLAMBARD Hervé</v>
      </c>
      <c r="I259" t="str">
        <f ca="1">IFERROR(__xludf.DUMMYFUNCTION("""COMPUTED_VALUE"""),"bertrand.defontaine_coop_su_uex@systeme-u.fr")</f>
        <v>bertrand.defontaine_coop_su_uex@systeme-u.fr</v>
      </c>
      <c r="J259" t="str">
        <f ca="1">IFERROR(__xludf.DUMMYFUNCTION("""COMPUTED_VALUE"""),"Céline FAUCONNET")</f>
        <v>Céline FAUCONNET</v>
      </c>
      <c r="K259" t="str">
        <f ca="1">IFERROR(__xludf.DUMMYFUNCTION("""COMPUTED_VALUE"""),"superu.cozes.direction@systeme-u.fr,nbrigant@coop-atlantique.fr,sjaud@coop-atlantique.fr,pauge@coop-atlantique.fr")</f>
        <v>superu.cozes.direction@systeme-u.fr,nbrigant@coop-atlantique.fr,sjaud@coop-atlantique.fr,pauge@coop-atlantique.fr</v>
      </c>
      <c r="L259" t="str">
        <f ca="1">IFERROR(__xludf.DUMMYFUNCTION("""COMPUTED_VALUE"""),"Standard")</f>
        <v>Standard</v>
      </c>
      <c r="M259" t="str">
        <f ca="1">IFERROR(__xludf.DUMMYFUNCTION("""COMPUTED_VALUE"""),"0. Non démarré")</f>
        <v>0. Non démarré</v>
      </c>
      <c r="N259" t="str">
        <f ca="1">IFERROR(__xludf.DUMMYFUNCTION("""COMPUTED_VALUE"""),"")</f>
        <v/>
      </c>
      <c r="O259" t="str">
        <f ca="1">IFERROR(__xludf.DUMMYFUNCTION("""COMPUTED_VALUE"""),"")</f>
        <v/>
      </c>
      <c r="P259" t="str">
        <f ca="1">IFERROR(__xludf.DUMMYFUNCTION("""COMPUTED_VALUE"""),"")</f>
        <v/>
      </c>
      <c r="Q259" s="5" t="str">
        <f ca="1">IFERROR(__xludf.DUMMYFUNCTION("""COMPUTED_VALUE"""),"")</f>
        <v/>
      </c>
      <c r="R259" s="6" t="str">
        <f ca="1">IFERROR(__xludf.DUMMYFUNCTION("""COMPUTED_VALUE"""),"")</f>
        <v/>
      </c>
      <c r="S259" t="str">
        <f ca="1">IFERROR(__xludf.DUMMYFUNCTION("""COMPUTED_VALUE"""),"")</f>
        <v/>
      </c>
      <c r="T259" t="str">
        <f ca="1">IFERROR(__xludf.DUMMYFUNCTION("""COMPUTED_VALUE"""),"")</f>
        <v/>
      </c>
      <c r="U259" t="str">
        <f ca="1">IFERROR(__xludf.DUMMYFUNCTION("""COMPUTED_VALUE"""),"")</f>
        <v/>
      </c>
      <c r="V259" t="str">
        <f ca="1">IFERROR(__xludf.DUMMYFUNCTION("""COMPUTED_VALUE"""),"")</f>
        <v/>
      </c>
      <c r="W259" t="str">
        <f ca="1">IFERROR(__xludf.DUMMYFUNCTION("""COMPUTED_VALUE"""),"R5")</f>
        <v>R5</v>
      </c>
      <c r="X259" t="str">
        <f ca="1">IFERROR(__xludf.DUMMYFUNCTION("""COMPUTED_VALUE"""),"PC mag &lt;8Go")</f>
        <v>PC mag &lt;8Go</v>
      </c>
      <c r="Y259" t="str">
        <f ca="1">IFERROR(__xludf.DUMMYFUNCTION("""COMPUTED_VALUE"""),"")</f>
        <v/>
      </c>
      <c r="Z259" t="str">
        <f ca="1">IFERROR(__xludf.DUMMYFUNCTION("""COMPUTED_VALUE"""),"")</f>
        <v/>
      </c>
      <c r="AA259" t="str">
        <f ca="1">IFERROR(__xludf.DUMMYFUNCTION("""COMPUTED_VALUE"""),"Pas de commande")</f>
        <v>Pas de commande</v>
      </c>
      <c r="AB259" s="8" t="str">
        <f ca="1">IFERROR(__xludf.DUMMYFUNCTION("""COMPUTED_VALUE"""),"")</f>
        <v/>
      </c>
      <c r="AC259" s="8" t="str">
        <f ca="1">IFERROR(__xludf.DUMMYFUNCTION("""COMPUTED_VALUE"""),"")</f>
        <v/>
      </c>
      <c r="AD259" s="11" t="str">
        <f ca="1">IFERROR(__xludf.DUMMYFUNCTION("""COMPUTED_VALUE"""),"")</f>
        <v/>
      </c>
      <c r="AE259" t="str">
        <f ca="1">IFERROR(__xludf.DUMMYFUNCTION("""COMPUTED_VALUE"""),"")</f>
        <v/>
      </c>
    </row>
    <row r="260" spans="1:31" ht="12.75" x14ac:dyDescent="0.2">
      <c r="A260">
        <f ca="1">IFERROR(__xludf.DUMMYFUNCTION("""COMPUTED_VALUE"""),38478)</f>
        <v>38478</v>
      </c>
      <c r="B260" t="str">
        <f ca="1">IFERROR(__xludf.DUMMYFUNCTION("""COMPUTED_VALUE"""),"CRAON CENTRE")</f>
        <v>CRAON CENTRE</v>
      </c>
      <c r="C260" t="str">
        <f ca="1">IFERROR(__xludf.DUMMYFUNCTION("""COMPUTED_VALUE"""),"U Express")</f>
        <v>U Express</v>
      </c>
      <c r="D260" t="str">
        <f ca="1">IFERROR(__xludf.DUMMYFUNCTION("""COMPUTED_VALUE"""),"Coop U Enseigne Ouest")</f>
        <v>Coop U Enseigne Ouest</v>
      </c>
      <c r="E260">
        <f ca="1">IFERROR(__xludf.DUMMYFUNCTION("""COMPUTED_VALUE"""),53400)</f>
        <v>53400</v>
      </c>
      <c r="F260" t="str">
        <f ca="1">IFERROR(__xludf.DUMMYFUNCTION("""COMPUTED_VALUE"""),"3, PROMENADE CHARLES DE GAULLE")</f>
        <v>3, PROMENADE CHARLES DE GAULLE</v>
      </c>
      <c r="G260" t="str">
        <f ca="1">IFERROR(__xludf.DUMMYFUNCTION("""COMPUTED_VALUE"""),"02.43.06.15.79")</f>
        <v>02.43.06.15.79</v>
      </c>
      <c r="H260" t="str">
        <f ca="1">IFERROR(__xludf.DUMMYFUNCTION("""COMPUTED_VALUE"""),"LEROY Yannick")</f>
        <v>LEROY Yannick</v>
      </c>
      <c r="I260" t="str">
        <f ca="1">IFERROR(__xludf.DUMMYFUNCTION("""COMPUTED_VALUE"""),"yannick.leroy@systeme-u.fr")</f>
        <v>yannick.leroy@systeme-u.fr</v>
      </c>
      <c r="J260" t="str">
        <f ca="1">IFERROR(__xludf.DUMMYFUNCTION("""COMPUTED_VALUE"""),"Mme Gatineau")</f>
        <v>Mme Gatineau</v>
      </c>
      <c r="K260" t="str">
        <f ca="1">IFERROR(__xludf.DUMMYFUNCTION("""COMPUTED_VALUE"""),"uexpress.craoncentre@systeme-u.fr")</f>
        <v>uexpress.craoncentre@systeme-u.fr</v>
      </c>
      <c r="L260" t="str">
        <f ca="1">IFERROR(__xludf.DUMMYFUNCTION("""COMPUTED_VALUE"""),"")</f>
        <v/>
      </c>
      <c r="M260" t="str">
        <f ca="1">IFERROR(__xludf.DUMMYFUNCTION("""COMPUTED_VALUE"""),"99.Hors Périmetre")</f>
        <v>99.Hors Périmetre</v>
      </c>
      <c r="N260" t="str">
        <f ca="1">IFERROR(__xludf.DUMMYFUNCTION("""COMPUTED_VALUE"""),"")</f>
        <v/>
      </c>
      <c r="O260" t="str">
        <f ca="1">IFERROR(__xludf.DUMMYFUNCTION("""COMPUTED_VALUE"""),"")</f>
        <v/>
      </c>
      <c r="P260" t="str">
        <f ca="1">IFERROR(__xludf.DUMMYFUNCTION("""COMPUTED_VALUE"""),"")</f>
        <v/>
      </c>
      <c r="Q260" s="5" t="str">
        <f ca="1">IFERROR(__xludf.DUMMYFUNCTION("""COMPUTED_VALUE"""),"")</f>
        <v/>
      </c>
      <c r="R260" s="6" t="str">
        <f ca="1">IFERROR(__xludf.DUMMYFUNCTION("""COMPUTED_VALUE"""),"")</f>
        <v/>
      </c>
      <c r="S260" t="str">
        <f ca="1">IFERROR(__xludf.DUMMYFUNCTION("""COMPUTED_VALUE"""),"")</f>
        <v/>
      </c>
      <c r="T260" t="str">
        <f ca="1">IFERROR(__xludf.DUMMYFUNCTION("""COMPUTED_VALUE"""),"")</f>
        <v/>
      </c>
      <c r="U260" t="str">
        <f ca="1">IFERROR(__xludf.DUMMYFUNCTION("""COMPUTED_VALUE"""),"")</f>
        <v/>
      </c>
      <c r="V260" t="str">
        <f ca="1">IFERROR(__xludf.DUMMYFUNCTION("""COMPUTED_VALUE"""),"")</f>
        <v/>
      </c>
      <c r="W260" t="str">
        <f ca="1">IFERROR(__xludf.DUMMYFUNCTION("""COMPUTED_VALUE"""),"")</f>
        <v/>
      </c>
      <c r="X260" t="str">
        <f ca="1">IFERROR(__xludf.DUMMYFUNCTION("""COMPUTED_VALUE"""),"")</f>
        <v/>
      </c>
      <c r="Y260" t="str">
        <f ca="1">IFERROR(__xludf.DUMMYFUNCTION("""COMPUTED_VALUE"""),"")</f>
        <v/>
      </c>
      <c r="Z260" t="str">
        <f ca="1">IFERROR(__xludf.DUMMYFUNCTION("""COMPUTED_VALUE"""),"")</f>
        <v/>
      </c>
      <c r="AA260" t="str">
        <f ca="1">IFERROR(__xludf.DUMMYFUNCTION("""COMPUTED_VALUE"""),"Pas de commande")</f>
        <v>Pas de commande</v>
      </c>
      <c r="AB260" s="8" t="str">
        <f ca="1">IFERROR(__xludf.DUMMYFUNCTION("""COMPUTED_VALUE"""),"")</f>
        <v/>
      </c>
      <c r="AC260" s="8" t="str">
        <f ca="1">IFERROR(__xludf.DUMMYFUNCTION("""COMPUTED_VALUE"""),"")</f>
        <v/>
      </c>
      <c r="AD260" s="11" t="str">
        <f ca="1">IFERROR(__xludf.DUMMYFUNCTION("""COMPUTED_VALUE"""),"")</f>
        <v/>
      </c>
      <c r="AE260" t="str">
        <f ca="1">IFERROR(__xludf.DUMMYFUNCTION("""COMPUTED_VALUE"""),"")</f>
        <v/>
      </c>
    </row>
    <row r="261" spans="1:31" ht="12.75" x14ac:dyDescent="0.2">
      <c r="A261">
        <f ca="1">IFERROR(__xludf.DUMMYFUNCTION("""COMPUTED_VALUE"""),30213)</f>
        <v>30213</v>
      </c>
      <c r="B261" t="str">
        <f ca="1">IFERROR(__xludf.DUMMYFUNCTION("""COMPUTED_VALUE"""),"CRAON-ST-CLEMENT")</f>
        <v>CRAON-ST-CLEMENT</v>
      </c>
      <c r="C261" t="str">
        <f ca="1">IFERROR(__xludf.DUMMYFUNCTION("""COMPUTED_VALUE"""),"Super U")</f>
        <v>Super U</v>
      </c>
      <c r="D261" t="str">
        <f ca="1">IFERROR(__xludf.DUMMYFUNCTION("""COMPUTED_VALUE"""),"Coop U Enseigne Ouest")</f>
        <v>Coop U Enseigne Ouest</v>
      </c>
      <c r="E261">
        <f ca="1">IFERROR(__xludf.DUMMYFUNCTION("""COMPUTED_VALUE"""),53400)</f>
        <v>53400</v>
      </c>
      <c r="F261" t="str">
        <f ca="1">IFERROR(__xludf.DUMMYFUNCTION("""COMPUTED_VALUE"""),"ZONE ARTISANALE DE LA PÉPINIÈRE")</f>
        <v>ZONE ARTISANALE DE LA PÉPINIÈRE</v>
      </c>
      <c r="G261" t="str">
        <f ca="1">IFERROR(__xludf.DUMMYFUNCTION("""COMPUTED_VALUE"""),"02.43.70.97.09")</f>
        <v>02.43.70.97.09</v>
      </c>
      <c r="H261" t="str">
        <f ca="1">IFERROR(__xludf.DUMMYFUNCTION("""COMPUTED_VALUE"""),"VALLEE RPT SAS SOVAL Alain")</f>
        <v>VALLEE RPT SAS SOVAL Alain</v>
      </c>
      <c r="I261" t="str">
        <f ca="1">IFERROR(__xludf.DUMMYFUNCTION("""COMPUTED_VALUE"""),"alain.vallee@systeme-u.fr")</f>
        <v>alain.vallee@systeme-u.fr</v>
      </c>
      <c r="J261" t="str">
        <f ca="1">IFERROR(__xludf.DUMMYFUNCTION("""COMPUTED_VALUE"""),"David")</f>
        <v>David</v>
      </c>
      <c r="K261" t="str">
        <f ca="1">IFERROR(__xludf.DUMMYFUNCTION("""COMPUTED_VALUE"""),"superu.craon.bazar@systeme-u.fr")</f>
        <v>superu.craon.bazar@systeme-u.fr</v>
      </c>
      <c r="L261" t="str">
        <f ca="1">IFERROR(__xludf.DUMMYFUNCTION("""COMPUTED_VALUE"""),"")</f>
        <v/>
      </c>
      <c r="M261" t="str">
        <f ca="1">IFERROR(__xludf.DUMMYFUNCTION("""COMPUTED_VALUE"""),"99.Hors Périmetre")</f>
        <v>99.Hors Périmetre</v>
      </c>
      <c r="N261" t="str">
        <f ca="1">IFERROR(__xludf.DUMMYFUNCTION("""COMPUTED_VALUE"""),"")</f>
        <v/>
      </c>
      <c r="O261" t="str">
        <f ca="1">IFERROR(__xludf.DUMMYFUNCTION("""COMPUTED_VALUE"""),"")</f>
        <v/>
      </c>
      <c r="P261" t="str">
        <f ca="1">IFERROR(__xludf.DUMMYFUNCTION("""COMPUTED_VALUE"""),"")</f>
        <v/>
      </c>
      <c r="Q261" s="5" t="str">
        <f ca="1">IFERROR(__xludf.DUMMYFUNCTION("""COMPUTED_VALUE"""),"")</f>
        <v/>
      </c>
      <c r="R261" s="6" t="str">
        <f ca="1">IFERROR(__xludf.DUMMYFUNCTION("""COMPUTED_VALUE"""),"")</f>
        <v/>
      </c>
      <c r="S261" t="str">
        <f ca="1">IFERROR(__xludf.DUMMYFUNCTION("""COMPUTED_VALUE"""),"")</f>
        <v/>
      </c>
      <c r="T261" t="str">
        <f ca="1">IFERROR(__xludf.DUMMYFUNCTION("""COMPUTED_VALUE"""),"")</f>
        <v/>
      </c>
      <c r="U261" t="str">
        <f ca="1">IFERROR(__xludf.DUMMYFUNCTION("""COMPUTED_VALUE"""),"")</f>
        <v/>
      </c>
      <c r="V261" t="str">
        <f ca="1">IFERROR(__xludf.DUMMYFUNCTION("""COMPUTED_VALUE"""),"")</f>
        <v/>
      </c>
      <c r="W261" t="str">
        <f ca="1">IFERROR(__xludf.DUMMYFUNCTION("""COMPUTED_VALUE"""),"")</f>
        <v/>
      </c>
      <c r="X261" t="str">
        <f ca="1">IFERROR(__xludf.DUMMYFUNCTION("""COMPUTED_VALUE"""),"")</f>
        <v/>
      </c>
      <c r="Y261" t="str">
        <f ca="1">IFERROR(__xludf.DUMMYFUNCTION("""COMPUTED_VALUE"""),"")</f>
        <v/>
      </c>
      <c r="Z261" t="str">
        <f ca="1">IFERROR(__xludf.DUMMYFUNCTION("""COMPUTED_VALUE"""),"")</f>
        <v/>
      </c>
      <c r="AA261" t="str">
        <f ca="1">IFERROR(__xludf.DUMMYFUNCTION("""COMPUTED_VALUE"""),"Pas de commande")</f>
        <v>Pas de commande</v>
      </c>
      <c r="AB261" s="8" t="str">
        <f ca="1">IFERROR(__xludf.DUMMYFUNCTION("""COMPUTED_VALUE"""),"")</f>
        <v/>
      </c>
      <c r="AC261" s="8" t="str">
        <f ca="1">IFERROR(__xludf.DUMMYFUNCTION("""COMPUTED_VALUE"""),"")</f>
        <v/>
      </c>
      <c r="AD261" s="11" t="str">
        <f ca="1">IFERROR(__xludf.DUMMYFUNCTION("""COMPUTED_VALUE"""),"")</f>
        <v/>
      </c>
      <c r="AE261" t="str">
        <f ca="1">IFERROR(__xludf.DUMMYFUNCTION("""COMPUTED_VALUE"""),"")</f>
        <v/>
      </c>
    </row>
    <row r="262" spans="1:31" ht="12.75" x14ac:dyDescent="0.2">
      <c r="A262">
        <f ca="1">IFERROR(__xludf.DUMMYFUNCTION("""COMPUTED_VALUE"""),66197)</f>
        <v>66197</v>
      </c>
      <c r="B262" t="str">
        <f ca="1">IFERROR(__xludf.DUMMYFUNCTION("""COMPUTED_VALUE"""),"CRAPONNE SUR ARZON")</f>
        <v>CRAPONNE SUR ARZON</v>
      </c>
      <c r="C262" t="str">
        <f ca="1">IFERROR(__xludf.DUMMYFUNCTION("""COMPUTED_VALUE"""),"Super U")</f>
        <v>Super U</v>
      </c>
      <c r="D262" t="str">
        <f ca="1">IFERROR(__xludf.DUMMYFUNCTION("""COMPUTED_VALUE"""),"Coop U Enseigne Est")</f>
        <v>Coop U Enseigne Est</v>
      </c>
      <c r="E262">
        <f ca="1">IFERROR(__xludf.DUMMYFUNCTION("""COMPUTED_VALUE"""),43500)</f>
        <v>43500</v>
      </c>
      <c r="F262" t="str">
        <f ca="1">IFERROR(__xludf.DUMMYFUNCTION("""COMPUTED_VALUE"""),"24 RUE D'OLLIAS")</f>
        <v>24 RUE D'OLLIAS</v>
      </c>
      <c r="G262" t="str">
        <f ca="1">IFERROR(__xludf.DUMMYFUNCTION("""COMPUTED_VALUE"""),"04.71.03.36.09")</f>
        <v>04.71.03.36.09</v>
      </c>
      <c r="H262" t="str">
        <f ca="1">IFERROR(__xludf.DUMMYFUNCTION("""COMPUTED_VALUE"""),"EPIARD Stephane")</f>
        <v>EPIARD Stephane</v>
      </c>
      <c r="I262" t="str">
        <f ca="1">IFERROR(__xludf.DUMMYFUNCTION("""COMPUTED_VALUE"""),"stephane.epiard@systeme-u.fr")</f>
        <v>stephane.epiard@systeme-u.fr</v>
      </c>
      <c r="J262" t="str">
        <f ca="1">IFERROR(__xludf.DUMMYFUNCTION("""COMPUTED_VALUE"""),"BITTON YAN")</f>
        <v>BITTON YAN</v>
      </c>
      <c r="K262" t="str">
        <f ca="1">IFERROR(__xludf.DUMMYFUNCTION("""COMPUTED_VALUE"""),"superu.craponnesurarzon.direction@systeme-u.fr")</f>
        <v>superu.craponnesurarzon.direction@systeme-u.fr</v>
      </c>
      <c r="L262" t="str">
        <f ca="1">IFERROR(__xludf.DUMMYFUNCTION("""COMPUTED_VALUE"""),"")</f>
        <v/>
      </c>
      <c r="M262" t="str">
        <f ca="1">IFERROR(__xludf.DUMMYFUNCTION("""COMPUTED_VALUE"""),"99.Hors Périmetre")</f>
        <v>99.Hors Périmetre</v>
      </c>
      <c r="N262" t="str">
        <f ca="1">IFERROR(__xludf.DUMMYFUNCTION("""COMPUTED_VALUE"""),"")</f>
        <v/>
      </c>
      <c r="O262" t="str">
        <f ca="1">IFERROR(__xludf.DUMMYFUNCTION("""COMPUTED_VALUE"""),"")</f>
        <v/>
      </c>
      <c r="P262" t="str">
        <f ca="1">IFERROR(__xludf.DUMMYFUNCTION("""COMPUTED_VALUE"""),"")</f>
        <v/>
      </c>
      <c r="Q262" s="5" t="str">
        <f ca="1">IFERROR(__xludf.DUMMYFUNCTION("""COMPUTED_VALUE"""),"")</f>
        <v/>
      </c>
      <c r="R262" s="6" t="str">
        <f ca="1">IFERROR(__xludf.DUMMYFUNCTION("""COMPUTED_VALUE"""),"")</f>
        <v/>
      </c>
      <c r="S262" t="str">
        <f ca="1">IFERROR(__xludf.DUMMYFUNCTION("""COMPUTED_VALUE"""),"")</f>
        <v/>
      </c>
      <c r="T262" t="str">
        <f ca="1">IFERROR(__xludf.DUMMYFUNCTION("""COMPUTED_VALUE"""),"")</f>
        <v/>
      </c>
      <c r="U262" t="str">
        <f ca="1">IFERROR(__xludf.DUMMYFUNCTION("""COMPUTED_VALUE"""),"")</f>
        <v/>
      </c>
      <c r="V262" t="str">
        <f ca="1">IFERROR(__xludf.DUMMYFUNCTION("""COMPUTED_VALUE"""),"")</f>
        <v/>
      </c>
      <c r="W262" t="str">
        <f ca="1">IFERROR(__xludf.DUMMYFUNCTION("""COMPUTED_VALUE"""),"")</f>
        <v/>
      </c>
      <c r="X262" t="str">
        <f ca="1">IFERROR(__xludf.DUMMYFUNCTION("""COMPUTED_VALUE"""),"")</f>
        <v/>
      </c>
      <c r="Y262" t="str">
        <f ca="1">IFERROR(__xludf.DUMMYFUNCTION("""COMPUTED_VALUE"""),"")</f>
        <v/>
      </c>
      <c r="Z262" t="str">
        <f ca="1">IFERROR(__xludf.DUMMYFUNCTION("""COMPUTED_VALUE"""),"")</f>
        <v/>
      </c>
      <c r="AA262" t="str">
        <f ca="1">IFERROR(__xludf.DUMMYFUNCTION("""COMPUTED_VALUE"""),"Pas de commande")</f>
        <v>Pas de commande</v>
      </c>
      <c r="AB262" s="8" t="str">
        <f ca="1">IFERROR(__xludf.DUMMYFUNCTION("""COMPUTED_VALUE"""),"")</f>
        <v/>
      </c>
      <c r="AC262" s="8" t="str">
        <f ca="1">IFERROR(__xludf.DUMMYFUNCTION("""COMPUTED_VALUE"""),"")</f>
        <v/>
      </c>
      <c r="AD262" s="11" t="str">
        <f ca="1">IFERROR(__xludf.DUMMYFUNCTION("""COMPUTED_VALUE"""),"")</f>
        <v/>
      </c>
      <c r="AE262" t="str">
        <f ca="1">IFERROR(__xludf.DUMMYFUNCTION("""COMPUTED_VALUE"""),"")</f>
        <v/>
      </c>
    </row>
    <row r="263" spans="1:31" ht="12.75" x14ac:dyDescent="0.2">
      <c r="A263">
        <f ca="1">IFERROR(__xludf.DUMMYFUNCTION("""COMPUTED_VALUE"""),38226)</f>
        <v>38226</v>
      </c>
      <c r="B263" t="str">
        <f ca="1">IFERROR(__xludf.DUMMYFUNCTION("""COMPUTED_VALUE"""),"CROZON")</f>
        <v>CROZON</v>
      </c>
      <c r="C263" t="str">
        <f ca="1">IFERROR(__xludf.DUMMYFUNCTION("""COMPUTED_VALUE"""),"Sans enseigne")</f>
        <v>Sans enseigne</v>
      </c>
      <c r="D263" t="str">
        <f ca="1">IFERROR(__xludf.DUMMYFUNCTION("""COMPUTED_VALUE"""),"Coop U Enseigne Ouest")</f>
        <v>Coop U Enseigne Ouest</v>
      </c>
      <c r="E263">
        <f ca="1">IFERROR(__xludf.DUMMYFUNCTION("""COMPUTED_VALUE"""),29160)</f>
        <v>29160</v>
      </c>
      <c r="F263" t="str">
        <f ca="1">IFERROR(__xludf.DUMMYFUNCTION("""COMPUTED_VALUE"""),"ALLEE DES TILLEULS")</f>
        <v>ALLEE DES TILLEULS</v>
      </c>
      <c r="G263" t="str">
        <f ca="1">IFERROR(__xludf.DUMMYFUNCTION("""COMPUTED_VALUE"""),"02.29.25.02.02")</f>
        <v>02.29.25.02.02</v>
      </c>
      <c r="H263" t="str">
        <f ca="1">IFERROR(__xludf.DUMMYFUNCTION("""COMPUTED_VALUE"""),"GOUEZ Emmanuelle")</f>
        <v>GOUEZ Emmanuelle</v>
      </c>
      <c r="I263" t="str">
        <f ca="1">IFERROR(__xludf.DUMMYFUNCTION("""COMPUTED_VALUE"""),"jean-michel.gouez@systeme-u.fr")</f>
        <v>jean-michel.gouez@systeme-u.fr</v>
      </c>
      <c r="J263" t="str">
        <f ca="1">IFERROR(__xludf.DUMMYFUNCTION("""COMPUTED_VALUE"""),"Mme GOUEZ - Mme MIGNON - Mme LEBERRE																														
")</f>
        <v xml:space="preserve">Mme GOUEZ - Mme MIGNON - Mme LEBERRE																														
</v>
      </c>
      <c r="K263" t="str">
        <f ca="1">IFERROR(__xludf.DUMMYFUNCTION("""COMPUTED_VALUE"""),"morbreizh.dis@orange.fr")</f>
        <v>morbreizh.dis@orange.fr</v>
      </c>
      <c r="L263" t="str">
        <f ca="1">IFERROR(__xludf.DUMMYFUNCTION("""COMPUTED_VALUE"""),"")</f>
        <v/>
      </c>
      <c r="M263" t="str">
        <f ca="1">IFERROR(__xludf.DUMMYFUNCTION("""COMPUTED_VALUE"""),"99.Hors Périmetre")</f>
        <v>99.Hors Périmetre</v>
      </c>
      <c r="N263" t="str">
        <f ca="1">IFERROR(__xludf.DUMMYFUNCTION("""COMPUTED_VALUE"""),"")</f>
        <v/>
      </c>
      <c r="O263" t="str">
        <f ca="1">IFERROR(__xludf.DUMMYFUNCTION("""COMPUTED_VALUE"""),"")</f>
        <v/>
      </c>
      <c r="P263" t="str">
        <f ca="1">IFERROR(__xludf.DUMMYFUNCTION("""COMPUTED_VALUE"""),"")</f>
        <v/>
      </c>
      <c r="Q263" s="5" t="str">
        <f ca="1">IFERROR(__xludf.DUMMYFUNCTION("""COMPUTED_VALUE"""),"")</f>
        <v/>
      </c>
      <c r="R263" s="6" t="str">
        <f ca="1">IFERROR(__xludf.DUMMYFUNCTION("""COMPUTED_VALUE"""),"")</f>
        <v/>
      </c>
      <c r="S263" t="str">
        <f ca="1">IFERROR(__xludf.DUMMYFUNCTION("""COMPUTED_VALUE"""),"")</f>
        <v/>
      </c>
      <c r="T263" t="str">
        <f ca="1">IFERROR(__xludf.DUMMYFUNCTION("""COMPUTED_VALUE"""),"")</f>
        <v/>
      </c>
      <c r="U263" t="str">
        <f ca="1">IFERROR(__xludf.DUMMYFUNCTION("""COMPUTED_VALUE"""),"")</f>
        <v/>
      </c>
      <c r="V263" t="str">
        <f ca="1">IFERROR(__xludf.DUMMYFUNCTION("""COMPUTED_VALUE"""),"")</f>
        <v/>
      </c>
      <c r="W263" t="str">
        <f ca="1">IFERROR(__xludf.DUMMYFUNCTION("""COMPUTED_VALUE"""),"")</f>
        <v/>
      </c>
      <c r="X263" t="str">
        <f ca="1">IFERROR(__xludf.DUMMYFUNCTION("""COMPUTED_VALUE"""),"")</f>
        <v/>
      </c>
      <c r="Y263" t="str">
        <f ca="1">IFERROR(__xludf.DUMMYFUNCTION("""COMPUTED_VALUE"""),"")</f>
        <v/>
      </c>
      <c r="Z263" t="str">
        <f ca="1">IFERROR(__xludf.DUMMYFUNCTION("""COMPUTED_VALUE"""),"")</f>
        <v/>
      </c>
      <c r="AA263" t="str">
        <f ca="1">IFERROR(__xludf.DUMMYFUNCTION("""COMPUTED_VALUE"""),"Pas de commande")</f>
        <v>Pas de commande</v>
      </c>
      <c r="AB263" s="8" t="str">
        <f ca="1">IFERROR(__xludf.DUMMYFUNCTION("""COMPUTED_VALUE"""),"")</f>
        <v/>
      </c>
      <c r="AC263" s="8" t="str">
        <f ca="1">IFERROR(__xludf.DUMMYFUNCTION("""COMPUTED_VALUE"""),"")</f>
        <v/>
      </c>
      <c r="AD263" s="11" t="str">
        <f ca="1">IFERROR(__xludf.DUMMYFUNCTION("""COMPUTED_VALUE"""),"")</f>
        <v/>
      </c>
      <c r="AE263" t="str">
        <f ca="1">IFERROR(__xludf.DUMMYFUNCTION("""COMPUTED_VALUE"""),"")</f>
        <v/>
      </c>
    </row>
    <row r="264" spans="1:31" ht="12.75" x14ac:dyDescent="0.2">
      <c r="A264">
        <f ca="1">IFERROR(__xludf.DUMMYFUNCTION("""COMPUTED_VALUE"""),62081)</f>
        <v>62081</v>
      </c>
      <c r="B264" t="str">
        <f ca="1">IFERROR(__xludf.DUMMYFUNCTION("""COMPUTED_VALUE"""),"CUISEAUX")</f>
        <v>CUISEAUX</v>
      </c>
      <c r="C264" t="str">
        <f ca="1">IFERROR(__xludf.DUMMYFUNCTION("""COMPUTED_VALUE"""),"U Express")</f>
        <v>U Express</v>
      </c>
      <c r="D264" t="str">
        <f ca="1">IFERROR(__xludf.DUMMYFUNCTION("""COMPUTED_VALUE"""),"Coop U Enseigne Est")</f>
        <v>Coop U Enseigne Est</v>
      </c>
      <c r="E264">
        <f ca="1">IFERROR(__xludf.DUMMYFUNCTION("""COMPUTED_VALUE"""),71480)</f>
        <v>71480</v>
      </c>
      <c r="F264" t="str">
        <f ca="1">IFERROR(__xludf.DUMMYFUNCTION("""COMPUTED_VALUE"""),"ROUTE DE DOMMARTIN")</f>
        <v>ROUTE DE DOMMARTIN</v>
      </c>
      <c r="G264" t="str">
        <f ca="1">IFERROR(__xludf.DUMMYFUNCTION("""COMPUTED_VALUE"""),"03.85.72.78.54")</f>
        <v>03.85.72.78.54</v>
      </c>
      <c r="H264" t="str">
        <f ca="1">IFERROR(__xludf.DUMMYFUNCTION("""COMPUTED_VALUE"""),"GRAS Fabien")</f>
        <v>GRAS Fabien</v>
      </c>
      <c r="I264" t="str">
        <f ca="1">IFERROR(__xludf.DUMMYFUNCTION("""COMPUTED_VALUE"""),"fabien.gras@systeme-u.fr")</f>
        <v>fabien.gras@systeme-u.fr</v>
      </c>
      <c r="J264" t="str">
        <f ca="1">IFERROR(__xludf.DUMMYFUNCTION("""COMPUTED_VALUE"""),"")</f>
        <v/>
      </c>
      <c r="K264" t="str">
        <f ca="1">IFERROR(__xludf.DUMMYFUNCTION("""COMPUTED_VALUE"""),"")</f>
        <v/>
      </c>
      <c r="L264" t="str">
        <f ca="1">IFERROR(__xludf.DUMMYFUNCTION("""COMPUTED_VALUE"""),"")</f>
        <v/>
      </c>
      <c r="M264" t="str">
        <f ca="1">IFERROR(__xludf.DUMMYFUNCTION("""COMPUTED_VALUE"""),"99.Hors Périmetre")</f>
        <v>99.Hors Périmetre</v>
      </c>
      <c r="N264" t="str">
        <f ca="1">IFERROR(__xludf.DUMMYFUNCTION("""COMPUTED_VALUE"""),"")</f>
        <v/>
      </c>
      <c r="O264" t="str">
        <f ca="1">IFERROR(__xludf.DUMMYFUNCTION("""COMPUTED_VALUE"""),"")</f>
        <v/>
      </c>
      <c r="P264" t="str">
        <f ca="1">IFERROR(__xludf.DUMMYFUNCTION("""COMPUTED_VALUE"""),"")</f>
        <v/>
      </c>
      <c r="Q264" s="5" t="str">
        <f ca="1">IFERROR(__xludf.DUMMYFUNCTION("""COMPUTED_VALUE"""),"")</f>
        <v/>
      </c>
      <c r="R264" s="6" t="str">
        <f ca="1">IFERROR(__xludf.DUMMYFUNCTION("""COMPUTED_VALUE"""),"")</f>
        <v/>
      </c>
      <c r="S264" t="str">
        <f ca="1">IFERROR(__xludf.DUMMYFUNCTION("""COMPUTED_VALUE"""),"")</f>
        <v/>
      </c>
      <c r="T264" t="str">
        <f ca="1">IFERROR(__xludf.DUMMYFUNCTION("""COMPUTED_VALUE"""),"")</f>
        <v/>
      </c>
      <c r="U264" t="str">
        <f ca="1">IFERROR(__xludf.DUMMYFUNCTION("""COMPUTED_VALUE"""),"")</f>
        <v/>
      </c>
      <c r="V264" t="str">
        <f ca="1">IFERROR(__xludf.DUMMYFUNCTION("""COMPUTED_VALUE"""),"")</f>
        <v/>
      </c>
      <c r="W264" t="str">
        <f ca="1">IFERROR(__xludf.DUMMYFUNCTION("""COMPUTED_VALUE"""),"")</f>
        <v/>
      </c>
      <c r="X264" t="str">
        <f ca="1">IFERROR(__xludf.DUMMYFUNCTION("""COMPUTED_VALUE"""),"")</f>
        <v/>
      </c>
      <c r="Y264" t="str">
        <f ca="1">IFERROR(__xludf.DUMMYFUNCTION("""COMPUTED_VALUE"""),"")</f>
        <v/>
      </c>
      <c r="Z264" t="str">
        <f ca="1">IFERROR(__xludf.DUMMYFUNCTION("""COMPUTED_VALUE"""),"")</f>
        <v/>
      </c>
      <c r="AA264" t="str">
        <f ca="1">IFERROR(__xludf.DUMMYFUNCTION("""COMPUTED_VALUE"""),"Pas de commande")</f>
        <v>Pas de commande</v>
      </c>
      <c r="AB264" s="8" t="str">
        <f ca="1">IFERROR(__xludf.DUMMYFUNCTION("""COMPUTED_VALUE"""),"")</f>
        <v/>
      </c>
      <c r="AC264" s="8" t="str">
        <f ca="1">IFERROR(__xludf.DUMMYFUNCTION("""COMPUTED_VALUE"""),"")</f>
        <v/>
      </c>
      <c r="AD264" s="11" t="str">
        <f ca="1">IFERROR(__xludf.DUMMYFUNCTION("""COMPUTED_VALUE"""),"")</f>
        <v/>
      </c>
      <c r="AE264" t="str">
        <f ca="1">IFERROR(__xludf.DUMMYFUNCTION("""COMPUTED_VALUE"""),"")</f>
        <v/>
      </c>
    </row>
    <row r="265" spans="1:31" ht="12.75" x14ac:dyDescent="0.2">
      <c r="A265">
        <f ca="1">IFERROR(__xludf.DUMMYFUNCTION("""COMPUTED_VALUE"""),60102)</f>
        <v>60102</v>
      </c>
      <c r="B265" t="str">
        <f ca="1">IFERROR(__xludf.DUMMYFUNCTION("""COMPUTED_VALUE"""),"DANNEMARIE")</f>
        <v>DANNEMARIE</v>
      </c>
      <c r="C265" t="str">
        <f ca="1">IFERROR(__xludf.DUMMYFUNCTION("""COMPUTED_VALUE"""),"Super U")</f>
        <v>Super U</v>
      </c>
      <c r="D265" t="str">
        <f ca="1">IFERROR(__xludf.DUMMYFUNCTION("""COMPUTED_VALUE"""),"Coop U Enseigne Est")</f>
        <v>Coop U Enseigne Est</v>
      </c>
      <c r="E265">
        <f ca="1">IFERROR(__xludf.DUMMYFUNCTION("""COMPUTED_VALUE"""),68210)</f>
        <v>68210</v>
      </c>
      <c r="F265" t="str">
        <f ca="1">IFERROR(__xludf.DUMMYFUNCTION("""COMPUTED_VALUE"""),"8 RUE SAINT LEONARD.")</f>
        <v>8 RUE SAINT LEONARD.</v>
      </c>
      <c r="G265" t="str">
        <f ca="1">IFERROR(__xludf.DUMMYFUNCTION("""COMPUTED_VALUE"""),"03.89.25.00.88")</f>
        <v>03.89.25.00.88</v>
      </c>
      <c r="H265" t="str">
        <f ca="1">IFERROR(__xludf.DUMMYFUNCTION("""COMPUTED_VALUE"""),"CHEVALLOT René")</f>
        <v>CHEVALLOT René</v>
      </c>
      <c r="I265" t="str">
        <f ca="1">IFERROR(__xludf.DUMMYFUNCTION("""COMPUTED_VALUE"""),"stephanie.chevallot@systeme-u.fr")</f>
        <v>stephanie.chevallot@systeme-u.fr</v>
      </c>
      <c r="J265" t="str">
        <f ca="1">IFERROR(__xludf.DUMMYFUNCTION("""COMPUTED_VALUE"""),"Mme Chevallot")</f>
        <v>Mme Chevallot</v>
      </c>
      <c r="K265" t="str">
        <f ca="1">IFERROR(__xludf.DUMMYFUNCTION("""COMPUTED_VALUE"""),"")</f>
        <v/>
      </c>
      <c r="L265" t="str">
        <f ca="1">IFERROR(__xludf.DUMMYFUNCTION("""COMPUTED_VALUE"""),"")</f>
        <v/>
      </c>
      <c r="M265" t="str">
        <f ca="1">IFERROR(__xludf.DUMMYFUNCTION("""COMPUTED_VALUE"""),"99.Hors Périmetre")</f>
        <v>99.Hors Périmetre</v>
      </c>
      <c r="N265" t="str">
        <f ca="1">IFERROR(__xludf.DUMMYFUNCTION("""COMPUTED_VALUE"""),"")</f>
        <v/>
      </c>
      <c r="O265" t="str">
        <f ca="1">IFERROR(__xludf.DUMMYFUNCTION("""COMPUTED_VALUE"""),"")</f>
        <v/>
      </c>
      <c r="P265" t="str">
        <f ca="1">IFERROR(__xludf.DUMMYFUNCTION("""COMPUTED_VALUE"""),"")</f>
        <v/>
      </c>
      <c r="Q265" s="5" t="str">
        <f ca="1">IFERROR(__xludf.DUMMYFUNCTION("""COMPUTED_VALUE"""),"")</f>
        <v/>
      </c>
      <c r="R265" s="6" t="str">
        <f ca="1">IFERROR(__xludf.DUMMYFUNCTION("""COMPUTED_VALUE"""),"")</f>
        <v/>
      </c>
      <c r="S265" t="str">
        <f ca="1">IFERROR(__xludf.DUMMYFUNCTION("""COMPUTED_VALUE"""),"")</f>
        <v/>
      </c>
      <c r="T265" t="str">
        <f ca="1">IFERROR(__xludf.DUMMYFUNCTION("""COMPUTED_VALUE"""),"")</f>
        <v/>
      </c>
      <c r="U265" t="str">
        <f ca="1">IFERROR(__xludf.DUMMYFUNCTION("""COMPUTED_VALUE"""),"")</f>
        <v/>
      </c>
      <c r="V265" t="str">
        <f ca="1">IFERROR(__xludf.DUMMYFUNCTION("""COMPUTED_VALUE"""),"")</f>
        <v/>
      </c>
      <c r="W265" t="str">
        <f ca="1">IFERROR(__xludf.DUMMYFUNCTION("""COMPUTED_VALUE"""),"")</f>
        <v/>
      </c>
      <c r="X265" t="str">
        <f ca="1">IFERROR(__xludf.DUMMYFUNCTION("""COMPUTED_VALUE"""),"")</f>
        <v/>
      </c>
      <c r="Y265" t="str">
        <f ca="1">IFERROR(__xludf.DUMMYFUNCTION("""COMPUTED_VALUE"""),"")</f>
        <v/>
      </c>
      <c r="Z265" t="str">
        <f ca="1">IFERROR(__xludf.DUMMYFUNCTION("""COMPUTED_VALUE"""),"")</f>
        <v/>
      </c>
      <c r="AA265" t="str">
        <f ca="1">IFERROR(__xludf.DUMMYFUNCTION("""COMPUTED_VALUE"""),"Pas de commande")</f>
        <v>Pas de commande</v>
      </c>
      <c r="AB265" s="8" t="str">
        <f ca="1">IFERROR(__xludf.DUMMYFUNCTION("""COMPUTED_VALUE"""),"")</f>
        <v/>
      </c>
      <c r="AC265" s="8" t="str">
        <f ca="1">IFERROR(__xludf.DUMMYFUNCTION("""COMPUTED_VALUE"""),"")</f>
        <v/>
      </c>
      <c r="AD265" s="11" t="str">
        <f ca="1">IFERROR(__xludf.DUMMYFUNCTION("""COMPUTED_VALUE"""),"")</f>
        <v/>
      </c>
      <c r="AE265" t="str">
        <f ca="1">IFERROR(__xludf.DUMMYFUNCTION("""COMPUTED_VALUE"""),"")</f>
        <v/>
      </c>
    </row>
    <row r="266" spans="1:31" ht="12.75" x14ac:dyDescent="0.2">
      <c r="A266">
        <f ca="1">IFERROR(__xludf.DUMMYFUNCTION("""COMPUTED_VALUE"""),37692)</f>
        <v>37692</v>
      </c>
      <c r="B266" t="str">
        <f ca="1">IFERROR(__xludf.DUMMYFUNCTION("""COMPUTED_VALUE"""),"DAOULAS")</f>
        <v>DAOULAS</v>
      </c>
      <c r="C266" t="str">
        <f ca="1">IFERROR(__xludf.DUMMYFUNCTION("""COMPUTED_VALUE"""),"Super U")</f>
        <v>Super U</v>
      </c>
      <c r="D266" t="str">
        <f ca="1">IFERROR(__xludf.DUMMYFUNCTION("""COMPUTED_VALUE"""),"Coop U Enseigne Ouest")</f>
        <v>Coop U Enseigne Ouest</v>
      </c>
      <c r="E266">
        <f ca="1">IFERROR(__xludf.DUMMYFUNCTION("""COMPUTED_VALUE"""),29460)</f>
        <v>29460</v>
      </c>
      <c r="F266" t="str">
        <f ca="1">IFERROR(__xludf.DUMMYFUNCTION("""COMPUTED_VALUE"""),"ZONE DU VERN DEREDEC")</f>
        <v>ZONE DU VERN DEREDEC</v>
      </c>
      <c r="G266" t="str">
        <f ca="1">IFERROR(__xludf.DUMMYFUNCTION("""COMPUTED_VALUE"""),"02.98.25.80.28")</f>
        <v>02.98.25.80.28</v>
      </c>
      <c r="H266" t="str">
        <f ca="1">IFERROR(__xludf.DUMMYFUNCTION("""COMPUTED_VALUE"""),"CIMIER Michel")</f>
        <v>CIMIER Michel</v>
      </c>
      <c r="I266" t="str">
        <f ca="1">IFERROR(__xludf.DUMMYFUNCTION("""COMPUTED_VALUE"""),"michel.cimier@systeme-u.fr")</f>
        <v>michel.cimier@systeme-u.fr</v>
      </c>
      <c r="J266" t="str">
        <f ca="1">IFERROR(__xludf.DUMMYFUNCTION("""COMPUTED_VALUE"""),"")</f>
        <v/>
      </c>
      <c r="K266" t="str">
        <f ca="1">IFERROR(__xludf.DUMMYFUNCTION("""COMPUTED_VALUE"""),"")</f>
        <v/>
      </c>
      <c r="L266" t="str">
        <f ca="1">IFERROR(__xludf.DUMMYFUNCTION("""COMPUTED_VALUE"""),"")</f>
        <v/>
      </c>
      <c r="M266" t="str">
        <f ca="1">IFERROR(__xludf.DUMMYFUNCTION("""COMPUTED_VALUE"""),"99.Hors Périmetre")</f>
        <v>99.Hors Périmetre</v>
      </c>
      <c r="N266" t="str">
        <f ca="1">IFERROR(__xludf.DUMMYFUNCTION("""COMPUTED_VALUE"""),"")</f>
        <v/>
      </c>
      <c r="O266" t="str">
        <f ca="1">IFERROR(__xludf.DUMMYFUNCTION("""COMPUTED_VALUE"""),"")</f>
        <v/>
      </c>
      <c r="P266" t="str">
        <f ca="1">IFERROR(__xludf.DUMMYFUNCTION("""COMPUTED_VALUE"""),"")</f>
        <v/>
      </c>
      <c r="Q266" s="5" t="str">
        <f ca="1">IFERROR(__xludf.DUMMYFUNCTION("""COMPUTED_VALUE"""),"")</f>
        <v/>
      </c>
      <c r="R266" s="6" t="str">
        <f ca="1">IFERROR(__xludf.DUMMYFUNCTION("""COMPUTED_VALUE"""),"")</f>
        <v/>
      </c>
      <c r="S266" t="str">
        <f ca="1">IFERROR(__xludf.DUMMYFUNCTION("""COMPUTED_VALUE"""),"")</f>
        <v/>
      </c>
      <c r="T266" t="str">
        <f ca="1">IFERROR(__xludf.DUMMYFUNCTION("""COMPUTED_VALUE"""),"")</f>
        <v/>
      </c>
      <c r="U266" t="str">
        <f ca="1">IFERROR(__xludf.DUMMYFUNCTION("""COMPUTED_VALUE"""),"")</f>
        <v/>
      </c>
      <c r="V266" t="str">
        <f ca="1">IFERROR(__xludf.DUMMYFUNCTION("""COMPUTED_VALUE"""),"")</f>
        <v/>
      </c>
      <c r="W266" t="str">
        <f ca="1">IFERROR(__xludf.DUMMYFUNCTION("""COMPUTED_VALUE"""),"")</f>
        <v/>
      </c>
      <c r="X266" t="str">
        <f ca="1">IFERROR(__xludf.DUMMYFUNCTION("""COMPUTED_VALUE"""),"")</f>
        <v/>
      </c>
      <c r="Y266" t="str">
        <f ca="1">IFERROR(__xludf.DUMMYFUNCTION("""COMPUTED_VALUE"""),"")</f>
        <v/>
      </c>
      <c r="Z266" t="str">
        <f ca="1">IFERROR(__xludf.DUMMYFUNCTION("""COMPUTED_VALUE"""),"")</f>
        <v/>
      </c>
      <c r="AA266" t="str">
        <f ca="1">IFERROR(__xludf.DUMMYFUNCTION("""COMPUTED_VALUE"""),"Pas de commande")</f>
        <v>Pas de commande</v>
      </c>
      <c r="AB266" s="8" t="str">
        <f ca="1">IFERROR(__xludf.DUMMYFUNCTION("""COMPUTED_VALUE"""),"")</f>
        <v/>
      </c>
      <c r="AC266" s="8" t="str">
        <f ca="1">IFERROR(__xludf.DUMMYFUNCTION("""COMPUTED_VALUE"""),"")</f>
        <v/>
      </c>
      <c r="AD266" s="11" t="str">
        <f ca="1">IFERROR(__xludf.DUMMYFUNCTION("""COMPUTED_VALUE"""),"")</f>
        <v/>
      </c>
      <c r="AE266" t="str">
        <f ca="1">IFERROR(__xludf.DUMMYFUNCTION("""COMPUTED_VALUE"""),"")</f>
        <v/>
      </c>
    </row>
    <row r="267" spans="1:31" ht="12.75" x14ac:dyDescent="0.2">
      <c r="A267">
        <f ca="1">IFERROR(__xludf.DUMMYFUNCTION("""COMPUTED_VALUE"""),25614)</f>
        <v>25614</v>
      </c>
      <c r="B267" t="str">
        <f ca="1">IFERROR(__xludf.DUMMYFUNCTION("""COMPUTED_VALUE"""),"DARNETAL")</f>
        <v>DARNETAL</v>
      </c>
      <c r="C267" t="str">
        <f ca="1">IFERROR(__xludf.DUMMYFUNCTION("""COMPUTED_VALUE"""),"Super U")</f>
        <v>Super U</v>
      </c>
      <c r="D267" t="str">
        <f ca="1">IFERROR(__xludf.DUMMYFUNCTION("""COMPUTED_VALUE"""),"Coop U Enseigne NordOuest")</f>
        <v>Coop U Enseigne NordOuest</v>
      </c>
      <c r="E267">
        <f ca="1">IFERROR(__xludf.DUMMYFUNCTION("""COMPUTED_VALUE"""),76160)</f>
        <v>76160</v>
      </c>
      <c r="F267" t="str">
        <f ca="1">IFERROR(__xludf.DUMMYFUNCTION("""COMPUTED_VALUE"""),"88 RUE SADI CARNOT")</f>
        <v>88 RUE SADI CARNOT</v>
      </c>
      <c r="G267" t="str">
        <f ca="1">IFERROR(__xludf.DUMMYFUNCTION("""COMPUTED_VALUE"""),"02.35.08.06.32")</f>
        <v>02.35.08.06.32</v>
      </c>
      <c r="H267" t="str">
        <f ca="1">IFERROR(__xludf.DUMMYFUNCTION("""COMPUTED_VALUE"""),"BARRE Stéphane")</f>
        <v>BARRE Stéphane</v>
      </c>
      <c r="I267" t="str">
        <f ca="1">IFERROR(__xludf.DUMMYFUNCTION("""COMPUTED_VALUE"""),"stephane.barre@systeme-u.fr")</f>
        <v>stephane.barre@systeme-u.fr</v>
      </c>
      <c r="J267" t="str">
        <f ca="1">IFERROR(__xludf.DUMMYFUNCTION("""COMPUTED_VALUE"""),"Mme Céline Bottais (directrice)
M Lemelle")</f>
        <v>Mme Céline Bottais (directrice)
M Lemelle</v>
      </c>
      <c r="K267" t="str">
        <f ca="1">IFERROR(__xludf.DUMMYFUNCTION("""COMPUTED_VALUE"""),"superu.darnetal.direction@systeme-u.fr,philippe.cappe@coop-cnp.coop")</f>
        <v>superu.darnetal.direction@systeme-u.fr,philippe.cappe@coop-cnp.coop</v>
      </c>
      <c r="L267" t="str">
        <f ca="1">IFERROR(__xludf.DUMMYFUNCTION("""COMPUTED_VALUE"""),"Standard")</f>
        <v>Standard</v>
      </c>
      <c r="M267" t="str">
        <f ca="1">IFERROR(__xludf.DUMMYFUNCTION("""COMPUTED_VALUE"""),"0. Non démarré")</f>
        <v>0. Non démarré</v>
      </c>
      <c r="N267" t="str">
        <f ca="1">IFERROR(__xludf.DUMMYFUNCTION("""COMPUTED_VALUE"""),"")</f>
        <v/>
      </c>
      <c r="O267" t="str">
        <f ca="1">IFERROR(__xludf.DUMMYFUNCTION("""COMPUTED_VALUE"""),"")</f>
        <v/>
      </c>
      <c r="P267" t="str">
        <f ca="1">IFERROR(__xludf.DUMMYFUNCTION("""COMPUTED_VALUE"""),"")</f>
        <v/>
      </c>
      <c r="Q267" s="5" t="str">
        <f ca="1">IFERROR(__xludf.DUMMYFUNCTION("""COMPUTED_VALUE"""),"")</f>
        <v/>
      </c>
      <c r="R267" s="6" t="str">
        <f ca="1">IFERROR(__xludf.DUMMYFUNCTION("""COMPUTED_VALUE"""),"")</f>
        <v/>
      </c>
      <c r="S267" t="str">
        <f ca="1">IFERROR(__xludf.DUMMYFUNCTION("""COMPUTED_VALUE"""),"")</f>
        <v/>
      </c>
      <c r="T267" t="str">
        <f ca="1">IFERROR(__xludf.DUMMYFUNCTION("""COMPUTED_VALUE"""),"")</f>
        <v/>
      </c>
      <c r="U267" t="str">
        <f ca="1">IFERROR(__xludf.DUMMYFUNCTION("""COMPUTED_VALUE"""),"")</f>
        <v/>
      </c>
      <c r="V267" t="str">
        <f ca="1">IFERROR(__xludf.DUMMYFUNCTION("""COMPUTED_VALUE"""),"")</f>
        <v/>
      </c>
      <c r="W267" t="str">
        <f ca="1">IFERROR(__xludf.DUMMYFUNCTION("""COMPUTED_VALUE"""),"R3")</f>
        <v>R3</v>
      </c>
      <c r="X267" t="str">
        <f ca="1">IFERROR(__xludf.DUMMYFUNCTION("""COMPUTED_VALUE"""),"Pricer &lt;8Go")</f>
        <v>Pricer &lt;8Go</v>
      </c>
      <c r="Y267" t="str">
        <f ca="1">IFERROR(__xludf.DUMMYFUNCTION("""COMPUTED_VALUE"""),"")</f>
        <v/>
      </c>
      <c r="Z267" t="str">
        <f ca="1">IFERROR(__xludf.DUMMYFUNCTION("""COMPUTED_VALUE"""),"")</f>
        <v/>
      </c>
      <c r="AA267" t="str">
        <f ca="1">IFERROR(__xludf.DUMMYFUNCTION("""COMPUTED_VALUE"""),"Pas de commande")</f>
        <v>Pas de commande</v>
      </c>
      <c r="AB267" s="8" t="str">
        <f ca="1">IFERROR(__xludf.DUMMYFUNCTION("""COMPUTED_VALUE"""),"")</f>
        <v/>
      </c>
      <c r="AC267" s="8" t="str">
        <f ca="1">IFERROR(__xludf.DUMMYFUNCTION("""COMPUTED_VALUE"""),"")</f>
        <v/>
      </c>
      <c r="AD267" s="11" t="str">
        <f ca="1">IFERROR(__xludf.DUMMYFUNCTION("""COMPUTED_VALUE"""),"")</f>
        <v/>
      </c>
      <c r="AE267" t="str">
        <f ca="1">IFERROR(__xludf.DUMMYFUNCTION("""COMPUTED_VALUE"""),"")</f>
        <v/>
      </c>
    </row>
    <row r="268" spans="1:31" ht="12.75" x14ac:dyDescent="0.2">
      <c r="A268">
        <f ca="1">IFERROR(__xludf.DUMMYFUNCTION("""COMPUTED_VALUE"""),32186)</f>
        <v>32186</v>
      </c>
      <c r="B268" t="str">
        <f ca="1">IFERROR(__xludf.DUMMYFUNCTION("""COMPUTED_VALUE"""),"DERVAL")</f>
        <v>DERVAL</v>
      </c>
      <c r="C268" t="str">
        <f ca="1">IFERROR(__xludf.DUMMYFUNCTION("""COMPUTED_VALUE"""),"Super U")</f>
        <v>Super U</v>
      </c>
      <c r="D268" t="str">
        <f ca="1">IFERROR(__xludf.DUMMYFUNCTION("""COMPUTED_VALUE"""),"Coop U Enseigne Ouest")</f>
        <v>Coop U Enseigne Ouest</v>
      </c>
      <c r="E268">
        <f ca="1">IFERROR(__xludf.DUMMYFUNCTION("""COMPUTED_VALUE"""),44590)</f>
        <v>44590</v>
      </c>
      <c r="F268" t="str">
        <f ca="1">IFERROR(__xludf.DUMMYFUNCTION("""COMPUTED_VALUE"""),"48 ROUTE DE CHATEAUBRIANT")</f>
        <v>48 ROUTE DE CHATEAUBRIANT</v>
      </c>
      <c r="G268" t="str">
        <f ca="1">IFERROR(__xludf.DUMMYFUNCTION("""COMPUTED_VALUE"""),"02.40.07.07.07")</f>
        <v>02.40.07.07.07</v>
      </c>
      <c r="H268" t="str">
        <f ca="1">IFERROR(__xludf.DUMMYFUNCTION("""COMPUTED_VALUE"""),"GUERIN Christophe")</f>
        <v>GUERIN Christophe</v>
      </c>
      <c r="I268" t="str">
        <f ca="1">IFERROR(__xludf.DUMMYFUNCTION("""COMPUTED_VALUE"""),"christophe.guerin@systeme-u.fr")</f>
        <v>christophe.guerin@systeme-u.fr</v>
      </c>
      <c r="J268" t="str">
        <f ca="1">IFERROR(__xludf.DUMMYFUNCTION("""COMPUTED_VALUE"""),"")</f>
        <v/>
      </c>
      <c r="K268" t="str">
        <f ca="1">IFERROR(__xludf.DUMMYFUNCTION("""COMPUTED_VALUE"""),"")</f>
        <v/>
      </c>
      <c r="L268" t="str">
        <f ca="1">IFERROR(__xludf.DUMMYFUNCTION("""COMPUTED_VALUE"""),"")</f>
        <v/>
      </c>
      <c r="M268" t="str">
        <f ca="1">IFERROR(__xludf.DUMMYFUNCTION("""COMPUTED_VALUE"""),"99.Hors Périmetre")</f>
        <v>99.Hors Périmetre</v>
      </c>
      <c r="N268" t="str">
        <f ca="1">IFERROR(__xludf.DUMMYFUNCTION("""COMPUTED_VALUE"""),"")</f>
        <v/>
      </c>
      <c r="O268" t="str">
        <f ca="1">IFERROR(__xludf.DUMMYFUNCTION("""COMPUTED_VALUE"""),"")</f>
        <v/>
      </c>
      <c r="P268" t="str">
        <f ca="1">IFERROR(__xludf.DUMMYFUNCTION("""COMPUTED_VALUE"""),"")</f>
        <v/>
      </c>
      <c r="Q268" s="5" t="str">
        <f ca="1">IFERROR(__xludf.DUMMYFUNCTION("""COMPUTED_VALUE"""),"")</f>
        <v/>
      </c>
      <c r="R268" s="6" t="str">
        <f ca="1">IFERROR(__xludf.DUMMYFUNCTION("""COMPUTED_VALUE"""),"")</f>
        <v/>
      </c>
      <c r="S268" t="str">
        <f ca="1">IFERROR(__xludf.DUMMYFUNCTION("""COMPUTED_VALUE"""),"")</f>
        <v/>
      </c>
      <c r="T268" t="str">
        <f ca="1">IFERROR(__xludf.DUMMYFUNCTION("""COMPUTED_VALUE"""),"")</f>
        <v/>
      </c>
      <c r="U268" t="str">
        <f ca="1">IFERROR(__xludf.DUMMYFUNCTION("""COMPUTED_VALUE"""),"")</f>
        <v/>
      </c>
      <c r="V268" t="str">
        <f ca="1">IFERROR(__xludf.DUMMYFUNCTION("""COMPUTED_VALUE"""),"")</f>
        <v/>
      </c>
      <c r="W268" t="str">
        <f ca="1">IFERROR(__xludf.DUMMYFUNCTION("""COMPUTED_VALUE"""),"")</f>
        <v/>
      </c>
      <c r="X268" t="str">
        <f ca="1">IFERROR(__xludf.DUMMYFUNCTION("""COMPUTED_VALUE"""),"")</f>
        <v/>
      </c>
      <c r="Y268" t="str">
        <f ca="1">IFERROR(__xludf.DUMMYFUNCTION("""COMPUTED_VALUE"""),"")</f>
        <v/>
      </c>
      <c r="Z268" t="str">
        <f ca="1">IFERROR(__xludf.DUMMYFUNCTION("""COMPUTED_VALUE"""),"")</f>
        <v/>
      </c>
      <c r="AA268" t="str">
        <f ca="1">IFERROR(__xludf.DUMMYFUNCTION("""COMPUTED_VALUE"""),"Pas de commande")</f>
        <v>Pas de commande</v>
      </c>
      <c r="AB268" s="8" t="str">
        <f ca="1">IFERROR(__xludf.DUMMYFUNCTION("""COMPUTED_VALUE"""),"")</f>
        <v/>
      </c>
      <c r="AC268" s="8" t="str">
        <f ca="1">IFERROR(__xludf.DUMMYFUNCTION("""COMPUTED_VALUE"""),"")</f>
        <v/>
      </c>
      <c r="AD268" s="11" t="str">
        <f ca="1">IFERROR(__xludf.DUMMYFUNCTION("""COMPUTED_VALUE"""),"")</f>
        <v/>
      </c>
      <c r="AE268" t="str">
        <f ca="1">IFERROR(__xludf.DUMMYFUNCTION("""COMPUTED_VALUE"""),"")</f>
        <v/>
      </c>
    </row>
    <row r="269" spans="1:31" ht="12.75" x14ac:dyDescent="0.2">
      <c r="A269">
        <f ca="1">IFERROR(__xludf.DUMMYFUNCTION("""COMPUTED_VALUE"""),66055)</f>
        <v>66055</v>
      </c>
      <c r="B269" t="str">
        <f ca="1">IFERROR(__xludf.DUMMYFUNCTION("""COMPUTED_VALUE"""),"DETRIER LA ROCHETTE")</f>
        <v>DETRIER LA ROCHETTE</v>
      </c>
      <c r="C269" t="str">
        <f ca="1">IFERROR(__xludf.DUMMYFUNCTION("""COMPUTED_VALUE"""),"Super U")</f>
        <v>Super U</v>
      </c>
      <c r="D269" t="str">
        <f ca="1">IFERROR(__xludf.DUMMYFUNCTION("""COMPUTED_VALUE"""),"Coop U Enseigne Est")</f>
        <v>Coop U Enseigne Est</v>
      </c>
      <c r="E269">
        <f ca="1">IFERROR(__xludf.DUMMYFUNCTION("""COMPUTED_VALUE"""),73110)</f>
        <v>73110</v>
      </c>
      <c r="F269" t="str">
        <f ca="1">IFERROR(__xludf.DUMMYFUNCTION("""COMPUTED_VALUE"""),"CD 925")</f>
        <v>CD 925</v>
      </c>
      <c r="G269" t="str">
        <f ca="1">IFERROR(__xludf.DUMMYFUNCTION("""COMPUTED_VALUE"""),"04.79.25.77.11")</f>
        <v>04.79.25.77.11</v>
      </c>
      <c r="H269" t="str">
        <f ca="1">IFERROR(__xludf.DUMMYFUNCTION("""COMPUTED_VALUE"""),"D'ANGELO Fabrice")</f>
        <v>D'ANGELO Fabrice</v>
      </c>
      <c r="I269" t="str">
        <f ca="1">IFERROR(__xludf.DUMMYFUNCTION("""COMPUTED_VALUE"""),"fabrice.dangelo@systeme-u.fr")</f>
        <v>fabrice.dangelo@systeme-u.fr</v>
      </c>
      <c r="J269" t="str">
        <f ca="1">IFERROR(__xludf.DUMMYFUNCTION("""COMPUTED_VALUE"""),"")</f>
        <v/>
      </c>
      <c r="K269" t="str">
        <f ca="1">IFERROR(__xludf.DUMMYFUNCTION("""COMPUTED_VALUE"""),"")</f>
        <v/>
      </c>
      <c r="L269" t="str">
        <f ca="1">IFERROR(__xludf.DUMMYFUNCTION("""COMPUTED_VALUE"""),"")</f>
        <v/>
      </c>
      <c r="M269" t="str">
        <f ca="1">IFERROR(__xludf.DUMMYFUNCTION("""COMPUTED_VALUE"""),"99.Hors Périmetre")</f>
        <v>99.Hors Périmetre</v>
      </c>
      <c r="N269" t="str">
        <f ca="1">IFERROR(__xludf.DUMMYFUNCTION("""COMPUTED_VALUE"""),"")</f>
        <v/>
      </c>
      <c r="O269" t="str">
        <f ca="1">IFERROR(__xludf.DUMMYFUNCTION("""COMPUTED_VALUE"""),"")</f>
        <v/>
      </c>
      <c r="P269" t="str">
        <f ca="1">IFERROR(__xludf.DUMMYFUNCTION("""COMPUTED_VALUE"""),"")</f>
        <v/>
      </c>
      <c r="Q269" s="5" t="str">
        <f ca="1">IFERROR(__xludf.DUMMYFUNCTION("""COMPUTED_VALUE"""),"")</f>
        <v/>
      </c>
      <c r="R269" s="6" t="str">
        <f ca="1">IFERROR(__xludf.DUMMYFUNCTION("""COMPUTED_VALUE"""),"")</f>
        <v/>
      </c>
      <c r="S269" t="str">
        <f ca="1">IFERROR(__xludf.DUMMYFUNCTION("""COMPUTED_VALUE"""),"")</f>
        <v/>
      </c>
      <c r="T269" t="str">
        <f ca="1">IFERROR(__xludf.DUMMYFUNCTION("""COMPUTED_VALUE"""),"")</f>
        <v/>
      </c>
      <c r="U269" t="str">
        <f ca="1">IFERROR(__xludf.DUMMYFUNCTION("""COMPUTED_VALUE"""),"")</f>
        <v/>
      </c>
      <c r="V269" t="str">
        <f ca="1">IFERROR(__xludf.DUMMYFUNCTION("""COMPUTED_VALUE"""),"")</f>
        <v/>
      </c>
      <c r="W269" t="str">
        <f ca="1">IFERROR(__xludf.DUMMYFUNCTION("""COMPUTED_VALUE"""),"")</f>
        <v/>
      </c>
      <c r="X269" t="str">
        <f ca="1">IFERROR(__xludf.DUMMYFUNCTION("""COMPUTED_VALUE"""),"")</f>
        <v/>
      </c>
      <c r="Y269" t="str">
        <f ca="1">IFERROR(__xludf.DUMMYFUNCTION("""COMPUTED_VALUE"""),"")</f>
        <v/>
      </c>
      <c r="Z269" t="str">
        <f ca="1">IFERROR(__xludf.DUMMYFUNCTION("""COMPUTED_VALUE"""),"")</f>
        <v/>
      </c>
      <c r="AA269" t="str">
        <f ca="1">IFERROR(__xludf.DUMMYFUNCTION("""COMPUTED_VALUE"""),"Pas de commande")</f>
        <v>Pas de commande</v>
      </c>
      <c r="AB269" s="8" t="str">
        <f ca="1">IFERROR(__xludf.DUMMYFUNCTION("""COMPUTED_VALUE"""),"")</f>
        <v/>
      </c>
      <c r="AC269" s="8" t="str">
        <f ca="1">IFERROR(__xludf.DUMMYFUNCTION("""COMPUTED_VALUE"""),"")</f>
        <v/>
      </c>
      <c r="AD269" s="11" t="str">
        <f ca="1">IFERROR(__xludf.DUMMYFUNCTION("""COMPUTED_VALUE"""),"")</f>
        <v/>
      </c>
      <c r="AE269" t="str">
        <f ca="1">IFERROR(__xludf.DUMMYFUNCTION("""COMPUTED_VALUE"""),"")</f>
        <v/>
      </c>
    </row>
    <row r="270" spans="1:31" ht="12.75" x14ac:dyDescent="0.2">
      <c r="A270">
        <f ca="1">IFERROR(__xludf.DUMMYFUNCTION("""COMPUTED_VALUE"""),62111)</f>
        <v>62111</v>
      </c>
      <c r="B270" t="str">
        <f ca="1">IFERROR(__xludf.DUMMYFUNCTION("""COMPUTED_VALUE"""),"DEVECEY")</f>
        <v>DEVECEY</v>
      </c>
      <c r="C270" t="str">
        <f ca="1">IFERROR(__xludf.DUMMYFUNCTION("""COMPUTED_VALUE"""),"Super U")</f>
        <v>Super U</v>
      </c>
      <c r="D270" t="str">
        <f ca="1">IFERROR(__xludf.DUMMYFUNCTION("""COMPUTED_VALUE"""),"Coop U Enseigne Est")</f>
        <v>Coop U Enseigne Est</v>
      </c>
      <c r="E270">
        <f ca="1">IFERROR(__xludf.DUMMYFUNCTION("""COMPUTED_VALUE"""),25870)</f>
        <v>25870</v>
      </c>
      <c r="F270" t="str">
        <f ca="1">IFERROR(__xludf.DUMMYFUNCTION("""COMPUTED_VALUE"""),"route de BONNAY")</f>
        <v>route de BONNAY</v>
      </c>
      <c r="G270" t="str">
        <f ca="1">IFERROR(__xludf.DUMMYFUNCTION("""COMPUTED_VALUE"""),"03.81.56.84.47")</f>
        <v>03.81.56.84.47</v>
      </c>
      <c r="H270" t="str">
        <f ca="1">IFERROR(__xludf.DUMMYFUNCTION("""COMPUTED_VALUE"""),"DUPREZ Olivier")</f>
        <v>DUPREZ Olivier</v>
      </c>
      <c r="I270" t="str">
        <f ca="1">IFERROR(__xludf.DUMMYFUNCTION("""COMPUTED_VALUE"""),"olivier.duprez@systeme-u.fr")</f>
        <v>olivier.duprez@systeme-u.fr</v>
      </c>
      <c r="J270" t="str">
        <f ca="1">IFERROR(__xludf.DUMMYFUNCTION("""COMPUTED_VALUE"""),"M. De DREUX BREZÉ")</f>
        <v>M. De DREUX BREZÉ</v>
      </c>
      <c r="K270" t="str">
        <f ca="1">IFERROR(__xludf.DUMMYFUNCTION("""COMPUTED_VALUE"""),"superu.devecey.direction@systeme-u.fr")</f>
        <v>superu.devecey.direction@systeme-u.fr</v>
      </c>
      <c r="L270" t="str">
        <f ca="1">IFERROR(__xludf.DUMMYFUNCTION("""COMPUTED_VALUE"""),"")</f>
        <v/>
      </c>
      <c r="M270" t="str">
        <f ca="1">IFERROR(__xludf.DUMMYFUNCTION("""COMPUTED_VALUE"""),"99.Hors Périmetre")</f>
        <v>99.Hors Périmetre</v>
      </c>
      <c r="N270" t="str">
        <f ca="1">IFERROR(__xludf.DUMMYFUNCTION("""COMPUTED_VALUE"""),"")</f>
        <v/>
      </c>
      <c r="O270" t="str">
        <f ca="1">IFERROR(__xludf.DUMMYFUNCTION("""COMPUTED_VALUE"""),"")</f>
        <v/>
      </c>
      <c r="P270" t="str">
        <f ca="1">IFERROR(__xludf.DUMMYFUNCTION("""COMPUTED_VALUE"""),"")</f>
        <v/>
      </c>
      <c r="Q270" s="5" t="str">
        <f ca="1">IFERROR(__xludf.DUMMYFUNCTION("""COMPUTED_VALUE"""),"")</f>
        <v/>
      </c>
      <c r="R270" s="6" t="str">
        <f ca="1">IFERROR(__xludf.DUMMYFUNCTION("""COMPUTED_VALUE"""),"")</f>
        <v/>
      </c>
      <c r="S270" t="str">
        <f ca="1">IFERROR(__xludf.DUMMYFUNCTION("""COMPUTED_VALUE"""),"")</f>
        <v/>
      </c>
      <c r="T270" t="str">
        <f ca="1">IFERROR(__xludf.DUMMYFUNCTION("""COMPUTED_VALUE"""),"")</f>
        <v/>
      </c>
      <c r="U270" t="str">
        <f ca="1">IFERROR(__xludf.DUMMYFUNCTION("""COMPUTED_VALUE"""),"")</f>
        <v/>
      </c>
      <c r="V270" t="str">
        <f ca="1">IFERROR(__xludf.DUMMYFUNCTION("""COMPUTED_VALUE"""),"")</f>
        <v/>
      </c>
      <c r="W270" t="str">
        <f ca="1">IFERROR(__xludf.DUMMYFUNCTION("""COMPUTED_VALUE"""),"")</f>
        <v/>
      </c>
      <c r="X270" t="str">
        <f ca="1">IFERROR(__xludf.DUMMYFUNCTION("""COMPUTED_VALUE"""),"")</f>
        <v/>
      </c>
      <c r="Y270" t="str">
        <f ca="1">IFERROR(__xludf.DUMMYFUNCTION("""COMPUTED_VALUE"""),"")</f>
        <v/>
      </c>
      <c r="Z270" t="str">
        <f ca="1">IFERROR(__xludf.DUMMYFUNCTION("""COMPUTED_VALUE"""),"")</f>
        <v/>
      </c>
      <c r="AA270" t="str">
        <f ca="1">IFERROR(__xludf.DUMMYFUNCTION("""COMPUTED_VALUE"""),"Pas de commande")</f>
        <v>Pas de commande</v>
      </c>
      <c r="AB270" s="8" t="str">
        <f ca="1">IFERROR(__xludf.DUMMYFUNCTION("""COMPUTED_VALUE"""),"")</f>
        <v/>
      </c>
      <c r="AC270" s="8" t="str">
        <f ca="1">IFERROR(__xludf.DUMMYFUNCTION("""COMPUTED_VALUE"""),"")</f>
        <v/>
      </c>
      <c r="AD270" s="11" t="str">
        <f ca="1">IFERROR(__xludf.DUMMYFUNCTION("""COMPUTED_VALUE"""),"")</f>
        <v/>
      </c>
      <c r="AE270" t="str">
        <f ca="1">IFERROR(__xludf.DUMMYFUNCTION("""COMPUTED_VALUE"""),"")</f>
        <v/>
      </c>
    </row>
    <row r="271" spans="1:31" ht="12.75" x14ac:dyDescent="0.2">
      <c r="A271">
        <f ca="1">IFERROR(__xludf.DUMMYFUNCTION("""COMPUTED_VALUE"""),90628)</f>
        <v>90628</v>
      </c>
      <c r="B271" t="str">
        <f ca="1">IFERROR(__xludf.DUMMYFUNCTION("""COMPUTED_VALUE"""),"DIE")</f>
        <v>DIE</v>
      </c>
      <c r="C271" t="str">
        <f ca="1">IFERROR(__xludf.DUMMYFUNCTION("""COMPUTED_VALUE"""),"U Express")</f>
        <v>U Express</v>
      </c>
      <c r="D271" t="str">
        <f ca="1">IFERROR(__xludf.DUMMYFUNCTION("""COMPUTED_VALUE"""),"Coop MISTRAL")</f>
        <v>Coop MISTRAL</v>
      </c>
      <c r="E271">
        <f ca="1">IFERROR(__xludf.DUMMYFUNCTION("""COMPUTED_VALUE"""),26150)</f>
        <v>26150</v>
      </c>
      <c r="F271" t="str">
        <f ca="1">IFERROR(__xludf.DUMMYFUNCTION("""COMPUTED_VALUE"""),"77 AVENUE SADI CARNOT")</f>
        <v>77 AVENUE SADI CARNOT</v>
      </c>
      <c r="G271" t="str">
        <f ca="1">IFERROR(__xludf.DUMMYFUNCTION("""COMPUTED_VALUE"""),"04.75.22.04.87")</f>
        <v>04.75.22.04.87</v>
      </c>
      <c r="H271" t="str">
        <f ca="1">IFERROR(__xludf.DUMMYFUNCTION("""COMPUTED_VALUE"""),"GIRAUD Loic")</f>
        <v>GIRAUD Loic</v>
      </c>
      <c r="I271" t="str">
        <f ca="1">IFERROR(__xludf.DUMMYFUNCTION("""COMPUTED_VALUE"""),"uexpress.die@mistral-u.fr")</f>
        <v>uexpress.die@mistral-u.fr</v>
      </c>
      <c r="J271" t="str">
        <f ca="1">IFERROR(__xludf.DUMMYFUNCTION("""COMPUTED_VALUE"""),"")</f>
        <v/>
      </c>
      <c r="K271" t="str">
        <f ca="1">IFERROR(__xludf.DUMMYFUNCTION("""COMPUTED_VALUE"""),"delphine.damian@lemistral.fr,helene.mina@lemistral.fr")</f>
        <v>delphine.damian@lemistral.fr,helene.mina@lemistral.fr</v>
      </c>
      <c r="L271" t="str">
        <f ca="1">IFERROR(__xludf.DUMMYFUNCTION("""COMPUTED_VALUE"""),"")</f>
        <v/>
      </c>
      <c r="M271" t="str">
        <f ca="1">IFERROR(__xludf.DUMMYFUNCTION("""COMPUTED_VALUE"""),"99.Hors Périmetre")</f>
        <v>99.Hors Périmetre</v>
      </c>
      <c r="N271" t="str">
        <f ca="1">IFERROR(__xludf.DUMMYFUNCTION("""COMPUTED_VALUE"""),"")</f>
        <v/>
      </c>
      <c r="O271" t="str">
        <f ca="1">IFERROR(__xludf.DUMMYFUNCTION("""COMPUTED_VALUE"""),"")</f>
        <v/>
      </c>
      <c r="P271" t="str">
        <f ca="1">IFERROR(__xludf.DUMMYFUNCTION("""COMPUTED_VALUE"""),"")</f>
        <v/>
      </c>
      <c r="Q271" s="5" t="str">
        <f ca="1">IFERROR(__xludf.DUMMYFUNCTION("""COMPUTED_VALUE"""),"")</f>
        <v/>
      </c>
      <c r="R271" s="6" t="str">
        <f ca="1">IFERROR(__xludf.DUMMYFUNCTION("""COMPUTED_VALUE"""),"")</f>
        <v/>
      </c>
      <c r="S271" t="str">
        <f ca="1">IFERROR(__xludf.DUMMYFUNCTION("""COMPUTED_VALUE"""),"")</f>
        <v/>
      </c>
      <c r="T271" t="str">
        <f ca="1">IFERROR(__xludf.DUMMYFUNCTION("""COMPUTED_VALUE"""),"")</f>
        <v/>
      </c>
      <c r="U271" t="str">
        <f ca="1">IFERROR(__xludf.DUMMYFUNCTION("""COMPUTED_VALUE"""),"")</f>
        <v/>
      </c>
      <c r="V271" t="str">
        <f ca="1">IFERROR(__xludf.DUMMYFUNCTION("""COMPUTED_VALUE"""),"")</f>
        <v/>
      </c>
      <c r="W271" t="str">
        <f ca="1">IFERROR(__xludf.DUMMYFUNCTION("""COMPUTED_VALUE"""),"")</f>
        <v/>
      </c>
      <c r="X271" t="str">
        <f ca="1">IFERROR(__xludf.DUMMYFUNCTION("""COMPUTED_VALUE"""),"")</f>
        <v/>
      </c>
      <c r="Y271" t="str">
        <f ca="1">IFERROR(__xludf.DUMMYFUNCTION("""COMPUTED_VALUE"""),"")</f>
        <v/>
      </c>
      <c r="Z271" t="str">
        <f ca="1">IFERROR(__xludf.DUMMYFUNCTION("""COMPUTED_VALUE"""),"")</f>
        <v/>
      </c>
      <c r="AA271" t="str">
        <f ca="1">IFERROR(__xludf.DUMMYFUNCTION("""COMPUTED_VALUE"""),"Pas de commande")</f>
        <v>Pas de commande</v>
      </c>
      <c r="AB271" s="8" t="str">
        <f ca="1">IFERROR(__xludf.DUMMYFUNCTION("""COMPUTED_VALUE"""),"")</f>
        <v/>
      </c>
      <c r="AC271" s="8" t="str">
        <f ca="1">IFERROR(__xludf.DUMMYFUNCTION("""COMPUTED_VALUE"""),"")</f>
        <v/>
      </c>
      <c r="AD271" s="11" t="str">
        <f ca="1">IFERROR(__xludf.DUMMYFUNCTION("""COMPUTED_VALUE"""),"")</f>
        <v/>
      </c>
      <c r="AE271" t="str">
        <f ca="1">IFERROR(__xludf.DUMMYFUNCTION("""COMPUTED_VALUE"""),"")</f>
        <v/>
      </c>
    </row>
    <row r="272" spans="1:31" ht="12.75" x14ac:dyDescent="0.2">
      <c r="A272">
        <f ca="1">IFERROR(__xludf.DUMMYFUNCTION("""COMPUTED_VALUE"""),60747)</f>
        <v>60747</v>
      </c>
      <c r="B272" t="str">
        <f ca="1">IFERROR(__xludf.DUMMYFUNCTION("""COMPUTED_VALUE"""),"DIEMERINGEN")</f>
        <v>DIEMERINGEN</v>
      </c>
      <c r="C272" t="str">
        <f ca="1">IFERROR(__xludf.DUMMYFUNCTION("""COMPUTED_VALUE"""),"Super U")</f>
        <v>Super U</v>
      </c>
      <c r="D272" t="str">
        <f ca="1">IFERROR(__xludf.DUMMYFUNCTION("""COMPUTED_VALUE"""),"Coop U Enseigne Est")</f>
        <v>Coop U Enseigne Est</v>
      </c>
      <c r="E272">
        <f ca="1">IFERROR(__xludf.DUMMYFUNCTION("""COMPUTED_VALUE"""),67430)</f>
        <v>67430</v>
      </c>
      <c r="F272" t="str">
        <f ca="1">IFERROR(__xludf.DUMMYFUNCTION("""COMPUTED_VALUE"""),"RUE PAUL PARAY")</f>
        <v>RUE PAUL PARAY</v>
      </c>
      <c r="G272" t="str">
        <f ca="1">IFERROR(__xludf.DUMMYFUNCTION("""COMPUTED_VALUE"""),"03.88.00.48.48")</f>
        <v>03.88.00.48.48</v>
      </c>
      <c r="H272" t="str">
        <f ca="1">IFERROR(__xludf.DUMMYFUNCTION("""COMPUTED_VALUE"""),"LEROY Emmanuel")</f>
        <v>LEROY Emmanuel</v>
      </c>
      <c r="I272" t="str">
        <f ca="1">IFERROR(__xludf.DUMMYFUNCTION("""COMPUTED_VALUE"""),"superu.diemeringen.filiale@systeme-u.fr")</f>
        <v>superu.diemeringen.filiale@systeme-u.fr</v>
      </c>
      <c r="J272" t="str">
        <f ca="1">IFERROR(__xludf.DUMMYFUNCTION("""COMPUTED_VALUE"""),"")</f>
        <v/>
      </c>
      <c r="K272" t="str">
        <f ca="1">IFERROR(__xludf.DUMMYFUNCTION("""COMPUTED_VALUE"""),"")</f>
        <v/>
      </c>
      <c r="L272" t="str">
        <f ca="1">IFERROR(__xludf.DUMMYFUNCTION("""COMPUTED_VALUE"""),"")</f>
        <v/>
      </c>
      <c r="M272" t="str">
        <f ca="1">IFERROR(__xludf.DUMMYFUNCTION("""COMPUTED_VALUE"""),"99.Hors Périmetre")</f>
        <v>99.Hors Périmetre</v>
      </c>
      <c r="N272" t="str">
        <f ca="1">IFERROR(__xludf.DUMMYFUNCTION("""COMPUTED_VALUE"""),"")</f>
        <v/>
      </c>
      <c r="O272" t="str">
        <f ca="1">IFERROR(__xludf.DUMMYFUNCTION("""COMPUTED_VALUE"""),"")</f>
        <v/>
      </c>
      <c r="P272" t="str">
        <f ca="1">IFERROR(__xludf.DUMMYFUNCTION("""COMPUTED_VALUE"""),"")</f>
        <v/>
      </c>
      <c r="Q272" s="5" t="str">
        <f ca="1">IFERROR(__xludf.DUMMYFUNCTION("""COMPUTED_VALUE"""),"")</f>
        <v/>
      </c>
      <c r="R272" s="6" t="str">
        <f ca="1">IFERROR(__xludf.DUMMYFUNCTION("""COMPUTED_VALUE"""),"")</f>
        <v/>
      </c>
      <c r="S272" t="str">
        <f ca="1">IFERROR(__xludf.DUMMYFUNCTION("""COMPUTED_VALUE"""),"")</f>
        <v/>
      </c>
      <c r="T272" t="str">
        <f ca="1">IFERROR(__xludf.DUMMYFUNCTION("""COMPUTED_VALUE"""),"")</f>
        <v/>
      </c>
      <c r="U272" t="str">
        <f ca="1">IFERROR(__xludf.DUMMYFUNCTION("""COMPUTED_VALUE"""),"")</f>
        <v/>
      </c>
      <c r="V272" t="str">
        <f ca="1">IFERROR(__xludf.DUMMYFUNCTION("""COMPUTED_VALUE"""),"")</f>
        <v/>
      </c>
      <c r="W272" t="str">
        <f ca="1">IFERROR(__xludf.DUMMYFUNCTION("""COMPUTED_VALUE"""),"")</f>
        <v/>
      </c>
      <c r="X272" t="str">
        <f ca="1">IFERROR(__xludf.DUMMYFUNCTION("""COMPUTED_VALUE"""),"")</f>
        <v/>
      </c>
      <c r="Y272" t="str">
        <f ca="1">IFERROR(__xludf.DUMMYFUNCTION("""COMPUTED_VALUE"""),"")</f>
        <v/>
      </c>
      <c r="Z272" t="str">
        <f ca="1">IFERROR(__xludf.DUMMYFUNCTION("""COMPUTED_VALUE"""),"")</f>
        <v/>
      </c>
      <c r="AA272" t="str">
        <f ca="1">IFERROR(__xludf.DUMMYFUNCTION("""COMPUTED_VALUE"""),"Pas de commande")</f>
        <v>Pas de commande</v>
      </c>
      <c r="AB272" s="8" t="str">
        <f ca="1">IFERROR(__xludf.DUMMYFUNCTION("""COMPUTED_VALUE"""),"")</f>
        <v/>
      </c>
      <c r="AC272" s="8" t="str">
        <f ca="1">IFERROR(__xludf.DUMMYFUNCTION("""COMPUTED_VALUE"""),"")</f>
        <v/>
      </c>
      <c r="AD272" s="11" t="str">
        <f ca="1">IFERROR(__xludf.DUMMYFUNCTION("""COMPUTED_VALUE"""),"")</f>
        <v/>
      </c>
      <c r="AE272" t="str">
        <f ca="1">IFERROR(__xludf.DUMMYFUNCTION("""COMPUTED_VALUE"""),"")</f>
        <v/>
      </c>
    </row>
    <row r="273" spans="1:31" ht="12.75" x14ac:dyDescent="0.2">
      <c r="A273">
        <f ca="1">IFERROR(__xludf.DUMMYFUNCTION("""COMPUTED_VALUE"""),90017)</f>
        <v>90017</v>
      </c>
      <c r="B273" t="str">
        <f ca="1">IFERROR(__xludf.DUMMYFUNCTION("""COMPUTED_VALUE"""),"DIEULEFIT")</f>
        <v>DIEULEFIT</v>
      </c>
      <c r="C273" t="str">
        <f ca="1">IFERROR(__xludf.DUMMYFUNCTION("""COMPUTED_VALUE"""),"Super U")</f>
        <v>Super U</v>
      </c>
      <c r="D273" t="str">
        <f ca="1">IFERROR(__xludf.DUMMYFUNCTION("""COMPUTED_VALUE"""),"Coop U Enseigne Sud")</f>
        <v>Coop U Enseigne Sud</v>
      </c>
      <c r="E273">
        <f ca="1">IFERROR(__xludf.DUMMYFUNCTION("""COMPUTED_VALUE"""),26220)</f>
        <v>26220</v>
      </c>
      <c r="F273" t="str">
        <f ca="1">IFERROR(__xludf.DUMMYFUNCTION("""COMPUTED_VALUE"""),"NOTRE DAME DE LA CALLE")</f>
        <v>NOTRE DAME DE LA CALLE</v>
      </c>
      <c r="G273" t="str">
        <f ca="1">IFERROR(__xludf.DUMMYFUNCTION("""COMPUTED_VALUE"""),"04.75.46.85.46")</f>
        <v>04.75.46.85.46</v>
      </c>
      <c r="H273" t="str">
        <f ca="1">IFERROR(__xludf.DUMMYFUNCTION("""COMPUTED_VALUE"""),"FERNANDEZ Stephane")</f>
        <v>FERNANDEZ Stephane</v>
      </c>
      <c r="I273" t="str">
        <f ca="1">IFERROR(__xludf.DUMMYFUNCTION("""COMPUTED_VALUE"""),"stephane.fernandez@systeme-u.fr")</f>
        <v>stephane.fernandez@systeme-u.fr</v>
      </c>
      <c r="J273" t="str">
        <f ca="1">IFERROR(__xludf.DUMMYFUNCTION("""COMPUTED_VALUE"""),"FERNANDEZ Julien")</f>
        <v>FERNANDEZ Julien</v>
      </c>
      <c r="K273" t="str">
        <f ca="1">IFERROR(__xludf.DUMMYFUNCTION("""COMPUTED_VALUE"""),"superu.dieulefit.direction@systeme-u.fr")</f>
        <v>superu.dieulefit.direction@systeme-u.fr</v>
      </c>
      <c r="L273" t="str">
        <f ca="1">IFERROR(__xludf.DUMMYFUNCTION("""COMPUTED_VALUE"""),"")</f>
        <v/>
      </c>
      <c r="M273" t="str">
        <f ca="1">IFERROR(__xludf.DUMMYFUNCTION("""COMPUTED_VALUE"""),"99.Hors Périmetre")</f>
        <v>99.Hors Périmetre</v>
      </c>
      <c r="N273" t="str">
        <f ca="1">IFERROR(__xludf.DUMMYFUNCTION("""COMPUTED_VALUE"""),"")</f>
        <v/>
      </c>
      <c r="O273" t="str">
        <f ca="1">IFERROR(__xludf.DUMMYFUNCTION("""COMPUTED_VALUE"""),"")</f>
        <v/>
      </c>
      <c r="P273" t="str">
        <f ca="1">IFERROR(__xludf.DUMMYFUNCTION("""COMPUTED_VALUE"""),"")</f>
        <v/>
      </c>
      <c r="Q273" s="5" t="str">
        <f ca="1">IFERROR(__xludf.DUMMYFUNCTION("""COMPUTED_VALUE"""),"")</f>
        <v/>
      </c>
      <c r="R273" s="6" t="str">
        <f ca="1">IFERROR(__xludf.DUMMYFUNCTION("""COMPUTED_VALUE"""),"")</f>
        <v/>
      </c>
      <c r="S273" t="str">
        <f ca="1">IFERROR(__xludf.DUMMYFUNCTION("""COMPUTED_VALUE"""),"")</f>
        <v/>
      </c>
      <c r="T273" t="str">
        <f ca="1">IFERROR(__xludf.DUMMYFUNCTION("""COMPUTED_VALUE"""),"")</f>
        <v/>
      </c>
      <c r="U273" t="str">
        <f ca="1">IFERROR(__xludf.DUMMYFUNCTION("""COMPUTED_VALUE"""),"")</f>
        <v/>
      </c>
      <c r="V273" t="str">
        <f ca="1">IFERROR(__xludf.DUMMYFUNCTION("""COMPUTED_VALUE"""),"")</f>
        <v/>
      </c>
      <c r="W273" t="str">
        <f ca="1">IFERROR(__xludf.DUMMYFUNCTION("""COMPUTED_VALUE"""),"")</f>
        <v/>
      </c>
      <c r="X273" t="str">
        <f ca="1">IFERROR(__xludf.DUMMYFUNCTION("""COMPUTED_VALUE"""),"")</f>
        <v/>
      </c>
      <c r="Y273" t="str">
        <f ca="1">IFERROR(__xludf.DUMMYFUNCTION("""COMPUTED_VALUE"""),"")</f>
        <v/>
      </c>
      <c r="Z273" t="str">
        <f ca="1">IFERROR(__xludf.DUMMYFUNCTION("""COMPUTED_VALUE"""),"")</f>
        <v/>
      </c>
      <c r="AA273" t="str">
        <f ca="1">IFERROR(__xludf.DUMMYFUNCTION("""COMPUTED_VALUE"""),"Pas de commande")</f>
        <v>Pas de commande</v>
      </c>
      <c r="AB273" s="8" t="str">
        <f ca="1">IFERROR(__xludf.DUMMYFUNCTION("""COMPUTED_VALUE"""),"")</f>
        <v/>
      </c>
      <c r="AC273" s="8" t="str">
        <f ca="1">IFERROR(__xludf.DUMMYFUNCTION("""COMPUTED_VALUE"""),"")</f>
        <v/>
      </c>
      <c r="AD273" s="11" t="str">
        <f ca="1">IFERROR(__xludf.DUMMYFUNCTION("""COMPUTED_VALUE"""),"")</f>
        <v/>
      </c>
      <c r="AE273" t="str">
        <f ca="1">IFERROR(__xludf.DUMMYFUNCTION("""COMPUTED_VALUE"""),"")</f>
        <v/>
      </c>
    </row>
    <row r="274" spans="1:31" ht="12.75" x14ac:dyDescent="0.2">
      <c r="A274">
        <f ca="1">IFERROR(__xludf.DUMMYFUNCTION("""COMPUTED_VALUE"""),62065)</f>
        <v>62065</v>
      </c>
      <c r="B274" t="str">
        <f ca="1">IFERROR(__xludf.DUMMYFUNCTION("""COMPUTED_VALUE"""),"DIJON")</f>
        <v>DIJON</v>
      </c>
      <c r="C274" t="str">
        <f ca="1">IFERROR(__xludf.DUMMYFUNCTION("""COMPUTED_VALUE"""),"U Express")</f>
        <v>U Express</v>
      </c>
      <c r="D274" t="str">
        <f ca="1">IFERROR(__xludf.DUMMYFUNCTION("""COMPUTED_VALUE"""),"Coop U Enseigne Est")</f>
        <v>Coop U Enseigne Est</v>
      </c>
      <c r="E274">
        <f ca="1">IFERROR(__xludf.DUMMYFUNCTION("""COMPUTED_VALUE"""),21000)</f>
        <v>21000</v>
      </c>
      <c r="F274" t="str">
        <f ca="1">IFERROR(__xludf.DUMMYFUNCTION("""COMPUTED_VALUE"""),"1 rue A. et A. Claudot")</f>
        <v>1 rue A. et A. Claudot</v>
      </c>
      <c r="G274" t="str">
        <f ca="1">IFERROR(__xludf.DUMMYFUNCTION("""COMPUTED_VALUE"""),"03.80.67.51.80")</f>
        <v>03.80.67.51.80</v>
      </c>
      <c r="H274" t="str">
        <f ca="1">IFERROR(__xludf.DUMMYFUNCTION("""COMPUTED_VALUE"""),"TOUX Jean-Pierre")</f>
        <v>TOUX Jean-Pierre</v>
      </c>
      <c r="I274" t="str">
        <f ca="1">IFERROR(__xludf.DUMMYFUNCTION("""COMPUTED_VALUE"""),"jean-pierre.toux@systeme-u.fr")</f>
        <v>jean-pierre.toux@systeme-u.fr</v>
      </c>
      <c r="J274" t="str">
        <f ca="1">IFERROR(__xludf.DUMMYFUNCTION("""COMPUTED_VALUE"""),"")</f>
        <v/>
      </c>
      <c r="K274" t="str">
        <f ca="1">IFERROR(__xludf.DUMMYFUNCTION("""COMPUTED_VALUE"""),"")</f>
        <v/>
      </c>
      <c r="L274" t="str">
        <f ca="1">IFERROR(__xludf.DUMMYFUNCTION("""COMPUTED_VALUE"""),"")</f>
        <v/>
      </c>
      <c r="M274" t="str">
        <f ca="1">IFERROR(__xludf.DUMMYFUNCTION("""COMPUTED_VALUE"""),"99.Hors Périmetre")</f>
        <v>99.Hors Périmetre</v>
      </c>
      <c r="N274" t="str">
        <f ca="1">IFERROR(__xludf.DUMMYFUNCTION("""COMPUTED_VALUE"""),"")</f>
        <v/>
      </c>
      <c r="O274" t="str">
        <f ca="1">IFERROR(__xludf.DUMMYFUNCTION("""COMPUTED_VALUE"""),"")</f>
        <v/>
      </c>
      <c r="P274" t="str">
        <f ca="1">IFERROR(__xludf.DUMMYFUNCTION("""COMPUTED_VALUE"""),"")</f>
        <v/>
      </c>
      <c r="Q274" s="5" t="str">
        <f ca="1">IFERROR(__xludf.DUMMYFUNCTION("""COMPUTED_VALUE"""),"")</f>
        <v/>
      </c>
      <c r="R274" s="6" t="str">
        <f ca="1">IFERROR(__xludf.DUMMYFUNCTION("""COMPUTED_VALUE"""),"")</f>
        <v/>
      </c>
      <c r="S274" t="str">
        <f ca="1">IFERROR(__xludf.DUMMYFUNCTION("""COMPUTED_VALUE"""),"")</f>
        <v/>
      </c>
      <c r="T274" t="str">
        <f ca="1">IFERROR(__xludf.DUMMYFUNCTION("""COMPUTED_VALUE"""),"")</f>
        <v/>
      </c>
      <c r="U274" t="str">
        <f ca="1">IFERROR(__xludf.DUMMYFUNCTION("""COMPUTED_VALUE"""),"")</f>
        <v/>
      </c>
      <c r="V274" t="str">
        <f ca="1">IFERROR(__xludf.DUMMYFUNCTION("""COMPUTED_VALUE"""),"")</f>
        <v/>
      </c>
      <c r="W274" t="str">
        <f ca="1">IFERROR(__xludf.DUMMYFUNCTION("""COMPUTED_VALUE"""),"")</f>
        <v/>
      </c>
      <c r="X274" t="str">
        <f ca="1">IFERROR(__xludf.DUMMYFUNCTION("""COMPUTED_VALUE"""),"")</f>
        <v/>
      </c>
      <c r="Y274" t="str">
        <f ca="1">IFERROR(__xludf.DUMMYFUNCTION("""COMPUTED_VALUE"""),"")</f>
        <v/>
      </c>
      <c r="Z274" t="str">
        <f ca="1">IFERROR(__xludf.DUMMYFUNCTION("""COMPUTED_VALUE"""),"")</f>
        <v/>
      </c>
      <c r="AA274" t="str">
        <f ca="1">IFERROR(__xludf.DUMMYFUNCTION("""COMPUTED_VALUE"""),"Pas de commande")</f>
        <v>Pas de commande</v>
      </c>
      <c r="AB274" s="8" t="str">
        <f ca="1">IFERROR(__xludf.DUMMYFUNCTION("""COMPUTED_VALUE"""),"")</f>
        <v/>
      </c>
      <c r="AC274" s="8" t="str">
        <f ca="1">IFERROR(__xludf.DUMMYFUNCTION("""COMPUTED_VALUE"""),"")</f>
        <v/>
      </c>
      <c r="AD274" s="11" t="str">
        <f ca="1">IFERROR(__xludf.DUMMYFUNCTION("""COMPUTED_VALUE"""),"")</f>
        <v/>
      </c>
      <c r="AE274" t="str">
        <f ca="1">IFERROR(__xludf.DUMMYFUNCTION("""COMPUTED_VALUE"""),"")</f>
        <v/>
      </c>
    </row>
    <row r="275" spans="1:31" ht="12.75" x14ac:dyDescent="0.2">
      <c r="A275">
        <f ca="1">IFERROR(__xludf.DUMMYFUNCTION("""COMPUTED_VALUE"""),35177)</f>
        <v>35177</v>
      </c>
      <c r="B275" t="str">
        <f ca="1">IFERROR(__xludf.DUMMYFUNCTION("""COMPUTED_VALUE"""),"DOL-DE-BRETAGNE")</f>
        <v>DOL-DE-BRETAGNE</v>
      </c>
      <c r="C275" t="str">
        <f ca="1">IFERROR(__xludf.DUMMYFUNCTION("""COMPUTED_VALUE"""),"Super U")</f>
        <v>Super U</v>
      </c>
      <c r="D275" t="str">
        <f ca="1">IFERROR(__xludf.DUMMYFUNCTION("""COMPUTED_VALUE"""),"Coop U Enseigne Ouest")</f>
        <v>Coop U Enseigne Ouest</v>
      </c>
      <c r="E275">
        <f ca="1">IFERROR(__xludf.DUMMYFUNCTION("""COMPUTED_VALUE"""),35120)</f>
        <v>35120</v>
      </c>
      <c r="F275" t="str">
        <f ca="1">IFERROR(__xludf.DUMMYFUNCTION("""COMPUTED_VALUE"""),"RUE DU DOCTEUR GRINGOIRE")</f>
        <v>RUE DU DOCTEUR GRINGOIRE</v>
      </c>
      <c r="G275" t="str">
        <f ca="1">IFERROR(__xludf.DUMMYFUNCTION("""COMPUTED_VALUE"""),"02.99.48.04.86")</f>
        <v>02.99.48.04.86</v>
      </c>
      <c r="H275" t="str">
        <f ca="1">IFERROR(__xludf.DUMMYFUNCTION("""COMPUTED_VALUE"""),"DUTERTRE RPT SARL JMN INVEST Jean-Marie")</f>
        <v>DUTERTRE RPT SARL JMN INVEST Jean-Marie</v>
      </c>
      <c r="I275" t="str">
        <f ca="1">IFERROR(__xludf.DUMMYFUNCTION("""COMPUTED_VALUE"""),"jean-marie.dutertre@systeme-u.fr")</f>
        <v>jean-marie.dutertre@systeme-u.fr</v>
      </c>
      <c r="J275" t="str">
        <f ca="1">IFERROR(__xludf.DUMMYFUNCTION("""COMPUTED_VALUE"""),"Mr Guehenneuc (directeur)")</f>
        <v>Mr Guehenneuc (directeur)</v>
      </c>
      <c r="K275" t="str">
        <f ca="1">IFERROR(__xludf.DUMMYFUNCTION("""COMPUTED_VALUE"""),"superu.doldebretagne.direction@systeme-u.fr")</f>
        <v>superu.doldebretagne.direction@systeme-u.fr</v>
      </c>
      <c r="L275" t="str">
        <f ca="1">IFERROR(__xludf.DUMMYFUNCTION("""COMPUTED_VALUE"""),"")</f>
        <v/>
      </c>
      <c r="M275" t="str">
        <f ca="1">IFERROR(__xludf.DUMMYFUNCTION("""COMPUTED_VALUE"""),"99.Hors Périmetre")</f>
        <v>99.Hors Périmetre</v>
      </c>
      <c r="N275" t="str">
        <f ca="1">IFERROR(__xludf.DUMMYFUNCTION("""COMPUTED_VALUE"""),"")</f>
        <v/>
      </c>
      <c r="O275" t="str">
        <f ca="1">IFERROR(__xludf.DUMMYFUNCTION("""COMPUTED_VALUE"""),"")</f>
        <v/>
      </c>
      <c r="P275" t="str">
        <f ca="1">IFERROR(__xludf.DUMMYFUNCTION("""COMPUTED_VALUE"""),"")</f>
        <v/>
      </c>
      <c r="Q275" s="5" t="str">
        <f ca="1">IFERROR(__xludf.DUMMYFUNCTION("""COMPUTED_VALUE"""),"")</f>
        <v/>
      </c>
      <c r="R275" s="6" t="str">
        <f ca="1">IFERROR(__xludf.DUMMYFUNCTION("""COMPUTED_VALUE"""),"")</f>
        <v/>
      </c>
      <c r="S275" t="str">
        <f ca="1">IFERROR(__xludf.DUMMYFUNCTION("""COMPUTED_VALUE"""),"")</f>
        <v/>
      </c>
      <c r="T275" t="str">
        <f ca="1">IFERROR(__xludf.DUMMYFUNCTION("""COMPUTED_VALUE"""),"")</f>
        <v/>
      </c>
      <c r="U275" t="str">
        <f ca="1">IFERROR(__xludf.DUMMYFUNCTION("""COMPUTED_VALUE"""),"")</f>
        <v/>
      </c>
      <c r="V275" t="str">
        <f ca="1">IFERROR(__xludf.DUMMYFUNCTION("""COMPUTED_VALUE"""),"")</f>
        <v/>
      </c>
      <c r="W275" t="str">
        <f ca="1">IFERROR(__xludf.DUMMYFUNCTION("""COMPUTED_VALUE"""),"")</f>
        <v/>
      </c>
      <c r="X275" t="str">
        <f ca="1">IFERROR(__xludf.DUMMYFUNCTION("""COMPUTED_VALUE"""),"")</f>
        <v/>
      </c>
      <c r="Y275" t="str">
        <f ca="1">IFERROR(__xludf.DUMMYFUNCTION("""COMPUTED_VALUE"""),"")</f>
        <v/>
      </c>
      <c r="Z275" t="str">
        <f ca="1">IFERROR(__xludf.DUMMYFUNCTION("""COMPUTED_VALUE"""),"")</f>
        <v/>
      </c>
      <c r="AA275" t="str">
        <f ca="1">IFERROR(__xludf.DUMMYFUNCTION("""COMPUTED_VALUE"""),"Pas de commande")</f>
        <v>Pas de commande</v>
      </c>
      <c r="AB275" s="8" t="str">
        <f ca="1">IFERROR(__xludf.DUMMYFUNCTION("""COMPUTED_VALUE"""),"")</f>
        <v/>
      </c>
      <c r="AC275" s="8" t="str">
        <f ca="1">IFERROR(__xludf.DUMMYFUNCTION("""COMPUTED_VALUE"""),"")</f>
        <v/>
      </c>
      <c r="AD275" s="11" t="str">
        <f ca="1">IFERROR(__xludf.DUMMYFUNCTION("""COMPUTED_VALUE"""),"")</f>
        <v/>
      </c>
      <c r="AE275" t="str">
        <f ca="1">IFERROR(__xludf.DUMMYFUNCTION("""COMPUTED_VALUE"""),"")</f>
        <v/>
      </c>
    </row>
    <row r="276" spans="1:31" ht="12.75" x14ac:dyDescent="0.2">
      <c r="A276">
        <f ca="1">IFERROR(__xludf.DUMMYFUNCTION("""COMPUTED_VALUE"""),63014)</f>
        <v>63014</v>
      </c>
      <c r="B276" t="str">
        <f ca="1">IFERROR(__xludf.DUMMYFUNCTION("""COMPUTED_VALUE"""),"DOMPIERRE SUR BESBRE")</f>
        <v>DOMPIERRE SUR BESBRE</v>
      </c>
      <c r="C276" t="str">
        <f ca="1">IFERROR(__xludf.DUMMYFUNCTION("""COMPUTED_VALUE"""),"Super U")</f>
        <v>Super U</v>
      </c>
      <c r="D276" t="str">
        <f ca="1">IFERROR(__xludf.DUMMYFUNCTION("""COMPUTED_VALUE"""),"Coop U Enseigne Est")</f>
        <v>Coop U Enseigne Est</v>
      </c>
      <c r="E276">
        <f ca="1">IFERROR(__xludf.DUMMYFUNCTION("""COMPUTED_VALUE"""),3290)</f>
        <v>3290</v>
      </c>
      <c r="F276" t="str">
        <f ca="1">IFERROR(__xludf.DUMMYFUNCTION("""COMPUTED_VALUE"""),"PLACE DU COMMERCE")</f>
        <v>PLACE DU COMMERCE</v>
      </c>
      <c r="G276" t="str">
        <f ca="1">IFERROR(__xludf.DUMMYFUNCTION("""COMPUTED_VALUE"""),"04.70.34.64.85")</f>
        <v>04.70.34.64.85</v>
      </c>
      <c r="H276" t="str">
        <f ca="1">IFERROR(__xludf.DUMMYFUNCTION("""COMPUTED_VALUE"""),"CHARGROS Guy")</f>
        <v>CHARGROS Guy</v>
      </c>
      <c r="I276" t="str">
        <f ca="1">IFERROR(__xludf.DUMMYFUNCTION("""COMPUTED_VALUE"""),"guy.chargros@systeme-u.fr")</f>
        <v>guy.chargros@systeme-u.fr</v>
      </c>
      <c r="J276" t="str">
        <f ca="1">IFERROR(__xludf.DUMMYFUNCTION("""COMPUTED_VALUE"""),"")</f>
        <v/>
      </c>
      <c r="K276" t="str">
        <f ca="1">IFERROR(__xludf.DUMMYFUNCTION("""COMPUTED_VALUE"""),"")</f>
        <v/>
      </c>
      <c r="L276" t="str">
        <f ca="1">IFERROR(__xludf.DUMMYFUNCTION("""COMPUTED_VALUE"""),"")</f>
        <v/>
      </c>
      <c r="M276" t="str">
        <f ca="1">IFERROR(__xludf.DUMMYFUNCTION("""COMPUTED_VALUE"""),"99.Hors Périmetre")</f>
        <v>99.Hors Périmetre</v>
      </c>
      <c r="N276" t="str">
        <f ca="1">IFERROR(__xludf.DUMMYFUNCTION("""COMPUTED_VALUE"""),"")</f>
        <v/>
      </c>
      <c r="O276" t="str">
        <f ca="1">IFERROR(__xludf.DUMMYFUNCTION("""COMPUTED_VALUE"""),"")</f>
        <v/>
      </c>
      <c r="P276" t="str">
        <f ca="1">IFERROR(__xludf.DUMMYFUNCTION("""COMPUTED_VALUE"""),"")</f>
        <v/>
      </c>
      <c r="Q276" s="5" t="str">
        <f ca="1">IFERROR(__xludf.DUMMYFUNCTION("""COMPUTED_VALUE"""),"")</f>
        <v/>
      </c>
      <c r="R276" s="6" t="str">
        <f ca="1">IFERROR(__xludf.DUMMYFUNCTION("""COMPUTED_VALUE"""),"")</f>
        <v/>
      </c>
      <c r="S276" t="str">
        <f ca="1">IFERROR(__xludf.DUMMYFUNCTION("""COMPUTED_VALUE"""),"")</f>
        <v/>
      </c>
      <c r="T276" t="str">
        <f ca="1">IFERROR(__xludf.DUMMYFUNCTION("""COMPUTED_VALUE"""),"")</f>
        <v/>
      </c>
      <c r="U276" t="str">
        <f ca="1">IFERROR(__xludf.DUMMYFUNCTION("""COMPUTED_VALUE"""),"")</f>
        <v/>
      </c>
      <c r="V276" t="str">
        <f ca="1">IFERROR(__xludf.DUMMYFUNCTION("""COMPUTED_VALUE"""),"")</f>
        <v/>
      </c>
      <c r="W276" t="str">
        <f ca="1">IFERROR(__xludf.DUMMYFUNCTION("""COMPUTED_VALUE"""),"")</f>
        <v/>
      </c>
      <c r="X276" t="str">
        <f ca="1">IFERROR(__xludf.DUMMYFUNCTION("""COMPUTED_VALUE"""),"")</f>
        <v/>
      </c>
      <c r="Y276" t="str">
        <f ca="1">IFERROR(__xludf.DUMMYFUNCTION("""COMPUTED_VALUE"""),"")</f>
        <v/>
      </c>
      <c r="Z276" t="str">
        <f ca="1">IFERROR(__xludf.DUMMYFUNCTION("""COMPUTED_VALUE"""),"")</f>
        <v/>
      </c>
      <c r="AA276" t="str">
        <f ca="1">IFERROR(__xludf.DUMMYFUNCTION("""COMPUTED_VALUE"""),"Pas de commande")</f>
        <v>Pas de commande</v>
      </c>
      <c r="AB276" s="8" t="str">
        <f ca="1">IFERROR(__xludf.DUMMYFUNCTION("""COMPUTED_VALUE"""),"")</f>
        <v/>
      </c>
      <c r="AC276" s="8" t="str">
        <f ca="1">IFERROR(__xludf.DUMMYFUNCTION("""COMPUTED_VALUE"""),"")</f>
        <v/>
      </c>
      <c r="AD276" s="11" t="str">
        <f ca="1">IFERROR(__xludf.DUMMYFUNCTION("""COMPUTED_VALUE"""),"")</f>
        <v/>
      </c>
      <c r="AE276" t="str">
        <f ca="1">IFERROR(__xludf.DUMMYFUNCTION("""COMPUTED_VALUE"""),"")</f>
        <v/>
      </c>
    </row>
    <row r="277" spans="1:31" ht="12.75" x14ac:dyDescent="0.2">
      <c r="A277">
        <f ca="1">IFERROR(__xludf.DUMMYFUNCTION("""COMPUTED_VALUE"""),35711)</f>
        <v>35711</v>
      </c>
      <c r="B277" t="str">
        <f ca="1">IFERROR(__xludf.DUMMYFUNCTION("""COMPUTED_VALUE"""),"DOMPIERRE-SUR-MER")</f>
        <v>DOMPIERRE-SUR-MER</v>
      </c>
      <c r="C277" t="str">
        <f ca="1">IFERROR(__xludf.DUMMYFUNCTION("""COMPUTED_VALUE"""),"U Express")</f>
        <v>U Express</v>
      </c>
      <c r="D277" t="str">
        <f ca="1">IFERROR(__xludf.DUMMYFUNCTION("""COMPUTED_VALUE"""),"Coop U Enseigne Ouest")</f>
        <v>Coop U Enseigne Ouest</v>
      </c>
      <c r="E277">
        <f ca="1">IFERROR(__xludf.DUMMYFUNCTION("""COMPUTED_VALUE"""),17139)</f>
        <v>17139</v>
      </c>
      <c r="F277" t="str">
        <f ca="1">IFERROR(__xludf.DUMMYFUNCTION("""COMPUTED_VALUE"""),"1 RUE DE L'ADJUDANT GALLAND")</f>
        <v>1 RUE DE L'ADJUDANT GALLAND</v>
      </c>
      <c r="G277" t="str">
        <f ca="1">IFERROR(__xludf.DUMMYFUNCTION("""COMPUTED_VALUE"""),"05.46.35.33.21")</f>
        <v>05.46.35.33.21</v>
      </c>
      <c r="H277" t="str">
        <f ca="1">IFERROR(__xludf.DUMMYFUNCTION("""COMPUTED_VALUE"""),"BOURREAU Ludovic")</f>
        <v>BOURREAU Ludovic</v>
      </c>
      <c r="I277" t="str">
        <f ca="1">IFERROR(__xludf.DUMMYFUNCTION("""COMPUTED_VALUE"""),"ludovic.bourreau@systeme-u.fr")</f>
        <v>ludovic.bourreau@systeme-u.fr</v>
      </c>
      <c r="J277" t="str">
        <f ca="1">IFERROR(__xludf.DUMMYFUNCTION("""COMPUTED_VALUE"""),"Trichard Jacques")</f>
        <v>Trichard Jacques</v>
      </c>
      <c r="K277" t="str">
        <f ca="1">IFERROR(__xludf.DUMMYFUNCTION("""COMPUTED_VALUE"""),"uexpress.dompierresurmer.compta@systeme-u.fr")</f>
        <v>uexpress.dompierresurmer.compta@systeme-u.fr</v>
      </c>
      <c r="L277" t="str">
        <f ca="1">IFERROR(__xludf.DUMMYFUNCTION("""COMPUTED_VALUE"""),"")</f>
        <v/>
      </c>
      <c r="M277" t="str">
        <f ca="1">IFERROR(__xludf.DUMMYFUNCTION("""COMPUTED_VALUE"""),"99.Hors Périmetre")</f>
        <v>99.Hors Périmetre</v>
      </c>
      <c r="N277" t="str">
        <f ca="1">IFERROR(__xludf.DUMMYFUNCTION("""COMPUTED_VALUE"""),"")</f>
        <v/>
      </c>
      <c r="O277" t="str">
        <f ca="1">IFERROR(__xludf.DUMMYFUNCTION("""COMPUTED_VALUE"""),"")</f>
        <v/>
      </c>
      <c r="P277" t="str">
        <f ca="1">IFERROR(__xludf.DUMMYFUNCTION("""COMPUTED_VALUE"""),"")</f>
        <v/>
      </c>
      <c r="Q277" s="5" t="str">
        <f ca="1">IFERROR(__xludf.DUMMYFUNCTION("""COMPUTED_VALUE"""),"")</f>
        <v/>
      </c>
      <c r="R277" s="6" t="str">
        <f ca="1">IFERROR(__xludf.DUMMYFUNCTION("""COMPUTED_VALUE"""),"")</f>
        <v/>
      </c>
      <c r="S277" t="str">
        <f ca="1">IFERROR(__xludf.DUMMYFUNCTION("""COMPUTED_VALUE"""),"")</f>
        <v/>
      </c>
      <c r="T277" t="str">
        <f ca="1">IFERROR(__xludf.DUMMYFUNCTION("""COMPUTED_VALUE"""),"")</f>
        <v/>
      </c>
      <c r="U277" t="str">
        <f ca="1">IFERROR(__xludf.DUMMYFUNCTION("""COMPUTED_VALUE"""),"")</f>
        <v/>
      </c>
      <c r="V277" t="str">
        <f ca="1">IFERROR(__xludf.DUMMYFUNCTION("""COMPUTED_VALUE"""),"")</f>
        <v/>
      </c>
      <c r="W277" t="str">
        <f ca="1">IFERROR(__xludf.DUMMYFUNCTION("""COMPUTED_VALUE"""),"")</f>
        <v/>
      </c>
      <c r="X277" t="str">
        <f ca="1">IFERROR(__xludf.DUMMYFUNCTION("""COMPUTED_VALUE"""),"")</f>
        <v/>
      </c>
      <c r="Y277" t="str">
        <f ca="1">IFERROR(__xludf.DUMMYFUNCTION("""COMPUTED_VALUE"""),"")</f>
        <v/>
      </c>
      <c r="Z277" t="str">
        <f ca="1">IFERROR(__xludf.DUMMYFUNCTION("""COMPUTED_VALUE"""),"")</f>
        <v/>
      </c>
      <c r="AA277" t="str">
        <f ca="1">IFERROR(__xludf.DUMMYFUNCTION("""COMPUTED_VALUE"""),"Pas de commande")</f>
        <v>Pas de commande</v>
      </c>
      <c r="AB277" s="8" t="str">
        <f ca="1">IFERROR(__xludf.DUMMYFUNCTION("""COMPUTED_VALUE"""),"")</f>
        <v/>
      </c>
      <c r="AC277" s="8" t="str">
        <f ca="1">IFERROR(__xludf.DUMMYFUNCTION("""COMPUTED_VALUE"""),"")</f>
        <v/>
      </c>
      <c r="AD277" s="11" t="str">
        <f ca="1">IFERROR(__xludf.DUMMYFUNCTION("""COMPUTED_VALUE"""),"")</f>
        <v/>
      </c>
      <c r="AE277" t="str">
        <f ca="1">IFERROR(__xludf.DUMMYFUNCTION("""COMPUTED_VALUE"""),"")</f>
        <v/>
      </c>
    </row>
    <row r="278" spans="1:31" ht="12.75" x14ac:dyDescent="0.2">
      <c r="A278">
        <f ca="1">IFERROR(__xludf.DUMMYFUNCTION("""COMPUTED_VALUE"""),90518)</f>
        <v>90518</v>
      </c>
      <c r="B278" t="str">
        <f ca="1">IFERROR(__xludf.DUMMYFUNCTION("""COMPUTED_VALUE"""),"DONZERE")</f>
        <v>DONZERE</v>
      </c>
      <c r="C278" t="str">
        <f ca="1">IFERROR(__xludf.DUMMYFUNCTION("""COMPUTED_VALUE"""),"Super U")</f>
        <v>Super U</v>
      </c>
      <c r="D278" t="str">
        <f ca="1">IFERROR(__xludf.DUMMYFUNCTION("""COMPUTED_VALUE"""),"Coop U Enseigne Sud")</f>
        <v>Coop U Enseigne Sud</v>
      </c>
      <c r="E278">
        <f ca="1">IFERROR(__xludf.DUMMYFUNCTION("""COMPUTED_VALUE"""),26290)</f>
        <v>26290</v>
      </c>
      <c r="F278" t="str">
        <f ca="1">IFERROR(__xludf.DUMMYFUNCTION("""COMPUTED_VALUE"""),"280 AV JEAN MOULIN RN 7")</f>
        <v>280 AV JEAN MOULIN RN 7</v>
      </c>
      <c r="G278" t="str">
        <f ca="1">IFERROR(__xludf.DUMMYFUNCTION("""COMPUTED_VALUE"""),"04.75.50.50.00")</f>
        <v>04.75.50.50.00</v>
      </c>
      <c r="H278" t="str">
        <f ca="1">IFERROR(__xludf.DUMMYFUNCTION("""COMPUTED_VALUE"""),"CHANSON Eric")</f>
        <v>CHANSON Eric</v>
      </c>
      <c r="I278" t="str">
        <f ca="1">IFERROR(__xludf.DUMMYFUNCTION("""COMPUTED_VALUE"""),"eric.chanson@systeme-u.fr")</f>
        <v>eric.chanson@systeme-u.fr</v>
      </c>
      <c r="J278" t="str">
        <f ca="1">IFERROR(__xludf.DUMMYFUNCTION("""COMPUTED_VALUE"""),"")</f>
        <v/>
      </c>
      <c r="K278" t="str">
        <f ca="1">IFERROR(__xludf.DUMMYFUNCTION("""COMPUTED_VALUE"""),"")</f>
        <v/>
      </c>
      <c r="L278" t="str">
        <f ca="1">IFERROR(__xludf.DUMMYFUNCTION("""COMPUTED_VALUE"""),"")</f>
        <v/>
      </c>
      <c r="M278" t="str">
        <f ca="1">IFERROR(__xludf.DUMMYFUNCTION("""COMPUTED_VALUE"""),"99.Hors Périmetre")</f>
        <v>99.Hors Périmetre</v>
      </c>
      <c r="N278" t="str">
        <f ca="1">IFERROR(__xludf.DUMMYFUNCTION("""COMPUTED_VALUE"""),"")</f>
        <v/>
      </c>
      <c r="O278" t="str">
        <f ca="1">IFERROR(__xludf.DUMMYFUNCTION("""COMPUTED_VALUE"""),"")</f>
        <v/>
      </c>
      <c r="P278" t="str">
        <f ca="1">IFERROR(__xludf.DUMMYFUNCTION("""COMPUTED_VALUE"""),"")</f>
        <v/>
      </c>
      <c r="Q278" s="5" t="str">
        <f ca="1">IFERROR(__xludf.DUMMYFUNCTION("""COMPUTED_VALUE"""),"")</f>
        <v/>
      </c>
      <c r="R278" s="6" t="str">
        <f ca="1">IFERROR(__xludf.DUMMYFUNCTION("""COMPUTED_VALUE"""),"")</f>
        <v/>
      </c>
      <c r="S278" t="str">
        <f ca="1">IFERROR(__xludf.DUMMYFUNCTION("""COMPUTED_VALUE"""),"")</f>
        <v/>
      </c>
      <c r="T278" t="str">
        <f ca="1">IFERROR(__xludf.DUMMYFUNCTION("""COMPUTED_VALUE"""),"")</f>
        <v/>
      </c>
      <c r="U278" t="str">
        <f ca="1">IFERROR(__xludf.DUMMYFUNCTION("""COMPUTED_VALUE"""),"")</f>
        <v/>
      </c>
      <c r="V278" t="str">
        <f ca="1">IFERROR(__xludf.DUMMYFUNCTION("""COMPUTED_VALUE"""),"")</f>
        <v/>
      </c>
      <c r="W278" t="str">
        <f ca="1">IFERROR(__xludf.DUMMYFUNCTION("""COMPUTED_VALUE"""),"")</f>
        <v/>
      </c>
      <c r="X278" t="str">
        <f ca="1">IFERROR(__xludf.DUMMYFUNCTION("""COMPUTED_VALUE"""),"")</f>
        <v/>
      </c>
      <c r="Y278" t="str">
        <f ca="1">IFERROR(__xludf.DUMMYFUNCTION("""COMPUTED_VALUE"""),"")</f>
        <v/>
      </c>
      <c r="Z278" t="str">
        <f ca="1">IFERROR(__xludf.DUMMYFUNCTION("""COMPUTED_VALUE"""),"")</f>
        <v/>
      </c>
      <c r="AA278" t="str">
        <f ca="1">IFERROR(__xludf.DUMMYFUNCTION("""COMPUTED_VALUE"""),"Pas de commande")</f>
        <v>Pas de commande</v>
      </c>
      <c r="AB278" s="8" t="str">
        <f ca="1">IFERROR(__xludf.DUMMYFUNCTION("""COMPUTED_VALUE"""),"")</f>
        <v/>
      </c>
      <c r="AC278" s="8" t="str">
        <f ca="1">IFERROR(__xludf.DUMMYFUNCTION("""COMPUTED_VALUE"""),"")</f>
        <v/>
      </c>
      <c r="AD278" s="11" t="str">
        <f ca="1">IFERROR(__xludf.DUMMYFUNCTION("""COMPUTED_VALUE"""),"")</f>
        <v/>
      </c>
      <c r="AE278" t="str">
        <f ca="1">IFERROR(__xludf.DUMMYFUNCTION("""COMPUTED_VALUE"""),"")</f>
        <v/>
      </c>
    </row>
    <row r="279" spans="1:31" ht="12.75" x14ac:dyDescent="0.2">
      <c r="A279">
        <f ca="1">IFERROR(__xludf.DUMMYFUNCTION("""COMPUTED_VALUE"""),36122)</f>
        <v>36122</v>
      </c>
      <c r="B279" t="str">
        <f ca="1">IFERROR(__xludf.DUMMYFUNCTION("""COMPUTED_VALUE"""),"DOUE-LA-FONTAINE")</f>
        <v>DOUE-LA-FONTAINE</v>
      </c>
      <c r="C279" t="str">
        <f ca="1">IFERROR(__xludf.DUMMYFUNCTION("""COMPUTED_VALUE"""),"Super U")</f>
        <v>Super U</v>
      </c>
      <c r="D279" t="str">
        <f ca="1">IFERROR(__xludf.DUMMYFUNCTION("""COMPUTED_VALUE"""),"Coop U Enseigne Ouest")</f>
        <v>Coop U Enseigne Ouest</v>
      </c>
      <c r="E279">
        <f ca="1">IFERROR(__xludf.DUMMYFUNCTION("""COMPUTED_VALUE"""),49700)</f>
        <v>49700</v>
      </c>
      <c r="F279" t="str">
        <f ca="1">IFERROR(__xludf.DUMMYFUNCTION("""COMPUTED_VALUE"""),"BOULEVARD DU DOCTEUR LIONET")</f>
        <v>BOULEVARD DU DOCTEUR LIONET</v>
      </c>
      <c r="G279" t="str">
        <f ca="1">IFERROR(__xludf.DUMMYFUNCTION("""COMPUTED_VALUE"""),"02.41.40.19.60")</f>
        <v>02.41.40.19.60</v>
      </c>
      <c r="H279" t="str">
        <f ca="1">IFERROR(__xludf.DUMMYFUNCTION("""COMPUTED_VALUE"""),"VALLANT RPT SARL VAL N'CO François")</f>
        <v>VALLANT RPT SARL VAL N'CO François</v>
      </c>
      <c r="I279" t="str">
        <f ca="1">IFERROR(__xludf.DUMMYFUNCTION("""COMPUTED_VALUE"""),"francois.vallant@systeme-u.fr")</f>
        <v>francois.vallant@systeme-u.fr</v>
      </c>
      <c r="J279" t="str">
        <f ca="1">IFERROR(__xludf.DUMMYFUNCTION("""COMPUTED_VALUE"""),"Mme Carpentier")</f>
        <v>Mme Carpentier</v>
      </c>
      <c r="K279" t="str">
        <f ca="1">IFERROR(__xludf.DUMMYFUNCTION("""COMPUTED_VALUE"""),"superu.douelafontaine.compta@systeme-u.fr")</f>
        <v>superu.douelafontaine.compta@systeme-u.fr</v>
      </c>
      <c r="L279" t="str">
        <f ca="1">IFERROR(__xludf.DUMMYFUNCTION("""COMPUTED_VALUE"""),"")</f>
        <v/>
      </c>
      <c r="M279" t="str">
        <f ca="1">IFERROR(__xludf.DUMMYFUNCTION("""COMPUTED_VALUE"""),"99.Hors Périmetre")</f>
        <v>99.Hors Périmetre</v>
      </c>
      <c r="N279" t="str">
        <f ca="1">IFERROR(__xludf.DUMMYFUNCTION("""COMPUTED_VALUE"""),"")</f>
        <v/>
      </c>
      <c r="O279" t="str">
        <f ca="1">IFERROR(__xludf.DUMMYFUNCTION("""COMPUTED_VALUE"""),"")</f>
        <v/>
      </c>
      <c r="P279" t="str">
        <f ca="1">IFERROR(__xludf.DUMMYFUNCTION("""COMPUTED_VALUE"""),"")</f>
        <v/>
      </c>
      <c r="Q279" s="5" t="str">
        <f ca="1">IFERROR(__xludf.DUMMYFUNCTION("""COMPUTED_VALUE"""),"")</f>
        <v/>
      </c>
      <c r="R279" s="6" t="str">
        <f ca="1">IFERROR(__xludf.DUMMYFUNCTION("""COMPUTED_VALUE"""),"")</f>
        <v/>
      </c>
      <c r="S279" t="str">
        <f ca="1">IFERROR(__xludf.DUMMYFUNCTION("""COMPUTED_VALUE"""),"")</f>
        <v/>
      </c>
      <c r="T279" t="str">
        <f ca="1">IFERROR(__xludf.DUMMYFUNCTION("""COMPUTED_VALUE"""),"")</f>
        <v/>
      </c>
      <c r="U279" t="str">
        <f ca="1">IFERROR(__xludf.DUMMYFUNCTION("""COMPUTED_VALUE"""),"")</f>
        <v/>
      </c>
      <c r="V279" t="str">
        <f ca="1">IFERROR(__xludf.DUMMYFUNCTION("""COMPUTED_VALUE"""),"")</f>
        <v/>
      </c>
      <c r="W279" t="str">
        <f ca="1">IFERROR(__xludf.DUMMYFUNCTION("""COMPUTED_VALUE"""),"")</f>
        <v/>
      </c>
      <c r="X279" t="str">
        <f ca="1">IFERROR(__xludf.DUMMYFUNCTION("""COMPUTED_VALUE"""),"")</f>
        <v/>
      </c>
      <c r="Y279" t="str">
        <f ca="1">IFERROR(__xludf.DUMMYFUNCTION("""COMPUTED_VALUE"""),"")</f>
        <v/>
      </c>
      <c r="Z279" t="str">
        <f ca="1">IFERROR(__xludf.DUMMYFUNCTION("""COMPUTED_VALUE"""),"")</f>
        <v/>
      </c>
      <c r="AA279" t="str">
        <f ca="1">IFERROR(__xludf.DUMMYFUNCTION("""COMPUTED_VALUE"""),"Pas de commande")</f>
        <v>Pas de commande</v>
      </c>
      <c r="AB279" s="8" t="str">
        <f ca="1">IFERROR(__xludf.DUMMYFUNCTION("""COMPUTED_VALUE"""),"")</f>
        <v/>
      </c>
      <c r="AC279" s="8" t="str">
        <f ca="1">IFERROR(__xludf.DUMMYFUNCTION("""COMPUTED_VALUE"""),"")</f>
        <v/>
      </c>
      <c r="AD279" s="11" t="str">
        <f ca="1">IFERROR(__xludf.DUMMYFUNCTION("""COMPUTED_VALUE"""),"")</f>
        <v/>
      </c>
      <c r="AE279" t="str">
        <f ca="1">IFERROR(__xludf.DUMMYFUNCTION("""COMPUTED_VALUE"""),"")</f>
        <v/>
      </c>
    </row>
    <row r="280" spans="1:31" ht="12.75" x14ac:dyDescent="0.2">
      <c r="A280">
        <f ca="1">IFERROR(__xludf.DUMMYFUNCTION("""COMPUTED_VALUE"""),25894)</f>
        <v>25894</v>
      </c>
      <c r="B280" t="str">
        <f ca="1">IFERROR(__xludf.DUMMYFUNCTION("""COMPUTED_VALUE"""),"#N/A")</f>
        <v>#N/A</v>
      </c>
      <c r="C280" t="str">
        <f ca="1">IFERROR(__xludf.DUMMYFUNCTION("""COMPUTED_VALUE"""),"#N/A")</f>
        <v>#N/A</v>
      </c>
      <c r="D280" t="str">
        <f ca="1">IFERROR(__xludf.DUMMYFUNCTION("""COMPUTED_VALUE"""),"#N/A")</f>
        <v>#N/A</v>
      </c>
      <c r="E280" t="str">
        <f ca="1">IFERROR(__xludf.DUMMYFUNCTION("""COMPUTED_VALUE"""),"")</f>
        <v/>
      </c>
      <c r="F280" t="str">
        <f ca="1">IFERROR(__xludf.DUMMYFUNCTION("""COMPUTED_VALUE"""),"#N/A")</f>
        <v>#N/A</v>
      </c>
      <c r="G280" t="str">
        <f ca="1">IFERROR(__xludf.DUMMYFUNCTION("""COMPUTED_VALUE"""),"#N/A")</f>
        <v>#N/A</v>
      </c>
      <c r="H280" t="str">
        <f ca="1">IFERROR(__xludf.DUMMYFUNCTION("""COMPUTED_VALUE"""),"#N/A")</f>
        <v>#N/A</v>
      </c>
      <c r="I280" t="str">
        <f ca="1">IFERROR(__xludf.DUMMYFUNCTION("""COMPUTED_VALUE"""),"")</f>
        <v/>
      </c>
      <c r="J280" t="str">
        <f ca="1">IFERROR(__xludf.DUMMYFUNCTION("""COMPUTED_VALUE"""),"Mme Hameau")</f>
        <v>Mme Hameau</v>
      </c>
      <c r="K280" t="str">
        <f ca="1">IFERROR(__xludf.DUMMYFUNCTION("""COMPUTED_VALUE"""),"superu.doullens@systeme-u.fr,philippe.cappe@coop-cnp.coop, aline.hameau@coop-cnp.coop")</f>
        <v>superu.doullens@systeme-u.fr,philippe.cappe@coop-cnp.coop, aline.hameau@coop-cnp.coop</v>
      </c>
      <c r="L280" t="str">
        <f ca="1">IFERROR(__xludf.DUMMYFUNCTION("""COMPUTED_VALUE"""),"Standard")</f>
        <v>Standard</v>
      </c>
      <c r="M280" t="str">
        <f ca="1">IFERROR(__xludf.DUMMYFUNCTION("""COMPUTED_VALUE"""),"0. Non démarré")</f>
        <v>0. Non démarré</v>
      </c>
      <c r="N280" t="str">
        <f ca="1">IFERROR(__xludf.DUMMYFUNCTION("""COMPUTED_VALUE"""),"")</f>
        <v/>
      </c>
      <c r="O280" t="str">
        <f ca="1">IFERROR(__xludf.DUMMYFUNCTION("""COMPUTED_VALUE"""),"")</f>
        <v/>
      </c>
      <c r="P280" t="str">
        <f ca="1">IFERROR(__xludf.DUMMYFUNCTION("""COMPUTED_VALUE"""),"")</f>
        <v/>
      </c>
      <c r="Q280" s="5" t="str">
        <f ca="1">IFERROR(__xludf.DUMMYFUNCTION("""COMPUTED_VALUE"""),"")</f>
        <v/>
      </c>
      <c r="R280" s="6" t="str">
        <f ca="1">IFERROR(__xludf.DUMMYFUNCTION("""COMPUTED_VALUE"""),"")</f>
        <v/>
      </c>
      <c r="S280" t="str">
        <f ca="1">IFERROR(__xludf.DUMMYFUNCTION("""COMPUTED_VALUE"""),"")</f>
        <v/>
      </c>
      <c r="T280" t="str">
        <f ca="1">IFERROR(__xludf.DUMMYFUNCTION("""COMPUTED_VALUE"""),"")</f>
        <v/>
      </c>
      <c r="U280" t="str">
        <f ca="1">IFERROR(__xludf.DUMMYFUNCTION("""COMPUTED_VALUE"""),"")</f>
        <v/>
      </c>
      <c r="V280" t="str">
        <f ca="1">IFERROR(__xludf.DUMMYFUNCTION("""COMPUTED_VALUE"""),"")</f>
        <v/>
      </c>
      <c r="W280" t="str">
        <f ca="1">IFERROR(__xludf.DUMMYFUNCTION("""COMPUTED_VALUE"""),"")</f>
        <v/>
      </c>
      <c r="X280" t="str">
        <f ca="1">IFERROR(__xludf.DUMMYFUNCTION("""COMPUTED_VALUE"""),"")</f>
        <v/>
      </c>
      <c r="Y280" t="str">
        <f ca="1">IFERROR(__xludf.DUMMYFUNCTION("""COMPUTED_VALUE"""),"")</f>
        <v/>
      </c>
      <c r="Z280" t="str">
        <f ca="1">IFERROR(__xludf.DUMMYFUNCTION("""COMPUTED_VALUE"""),"")</f>
        <v/>
      </c>
      <c r="AA280" t="str">
        <f ca="1">IFERROR(__xludf.DUMMYFUNCTION("""COMPUTED_VALUE"""),"Pas de commande")</f>
        <v>Pas de commande</v>
      </c>
      <c r="AB280" s="8" t="str">
        <f ca="1">IFERROR(__xludf.DUMMYFUNCTION("""COMPUTED_VALUE"""),"")</f>
        <v/>
      </c>
      <c r="AC280" s="8" t="str">
        <f ca="1">IFERROR(__xludf.DUMMYFUNCTION("""COMPUTED_VALUE"""),"")</f>
        <v/>
      </c>
      <c r="AD280" s="11" t="str">
        <f ca="1">IFERROR(__xludf.DUMMYFUNCTION("""COMPUTED_VALUE"""),"")</f>
        <v/>
      </c>
      <c r="AE280" t="str">
        <f ca="1">IFERROR(__xludf.DUMMYFUNCTION("""COMPUTED_VALUE"""),"")</f>
        <v/>
      </c>
    </row>
    <row r="281" spans="1:31" ht="12.75" x14ac:dyDescent="0.2">
      <c r="A281">
        <f ca="1">IFERROR(__xludf.DUMMYFUNCTION("""COMPUTED_VALUE"""),28400)</f>
        <v>28400</v>
      </c>
      <c r="B281" t="str">
        <f ca="1">IFERROR(__xludf.DUMMYFUNCTION("""COMPUTED_VALUE"""),"DOURDAN")</f>
        <v>DOURDAN</v>
      </c>
      <c r="C281" t="str">
        <f ca="1">IFERROR(__xludf.DUMMYFUNCTION("""COMPUTED_VALUE"""),"U Express")</f>
        <v>U Express</v>
      </c>
      <c r="D281" t="str">
        <f ca="1">IFERROR(__xludf.DUMMYFUNCTION("""COMPUTED_VALUE"""),"Coop U Enseigne NordOuest")</f>
        <v>Coop U Enseigne NordOuest</v>
      </c>
      <c r="E281">
        <f ca="1">IFERROR(__xludf.DUMMYFUNCTION("""COMPUTED_VALUE"""),91410)</f>
        <v>91410</v>
      </c>
      <c r="F281" t="str">
        <f ca="1">IFERROR(__xludf.DUMMYFUNCTION("""COMPUTED_VALUE"""),"3 RUE SAINT PIERRE")</f>
        <v>3 RUE SAINT PIERRE</v>
      </c>
      <c r="G281" t="str">
        <f ca="1">IFERROR(__xludf.DUMMYFUNCTION("""COMPUTED_VALUE"""),"01.64.59.76.28")</f>
        <v>01.64.59.76.28</v>
      </c>
      <c r="H281" t="str">
        <f ca="1">IFERROR(__xludf.DUMMYFUNCTION("""COMPUTED_VALUE"""),"THIAU Anthony")</f>
        <v>THIAU Anthony</v>
      </c>
      <c r="I281" t="str">
        <f ca="1">IFERROR(__xludf.DUMMYFUNCTION("""COMPUTED_VALUE"""),"anthony.thiau@systeme-u.fr")</f>
        <v>anthony.thiau@systeme-u.fr</v>
      </c>
      <c r="J281" t="str">
        <f ca="1">IFERROR(__xludf.DUMMYFUNCTION("""COMPUTED_VALUE"""),"")</f>
        <v/>
      </c>
      <c r="K281" t="str">
        <f ca="1">IFERROR(__xludf.DUMMYFUNCTION("""COMPUTED_VALUE"""),"uexpress.dourdan@systeme-u.fr")</f>
        <v>uexpress.dourdan@systeme-u.fr</v>
      </c>
      <c r="L281" t="str">
        <f ca="1">IFERROR(__xludf.DUMMYFUNCTION("""COMPUTED_VALUE"""),"")</f>
        <v/>
      </c>
      <c r="M281" t="str">
        <f ca="1">IFERROR(__xludf.DUMMYFUNCTION("""COMPUTED_VALUE"""),"99.Hors Périmetre")</f>
        <v>99.Hors Périmetre</v>
      </c>
      <c r="N281" t="str">
        <f ca="1">IFERROR(__xludf.DUMMYFUNCTION("""COMPUTED_VALUE"""),"")</f>
        <v/>
      </c>
      <c r="O281" t="str">
        <f ca="1">IFERROR(__xludf.DUMMYFUNCTION("""COMPUTED_VALUE"""),"")</f>
        <v/>
      </c>
      <c r="P281" t="str">
        <f ca="1">IFERROR(__xludf.DUMMYFUNCTION("""COMPUTED_VALUE"""),"")</f>
        <v/>
      </c>
      <c r="Q281" s="5" t="str">
        <f ca="1">IFERROR(__xludf.DUMMYFUNCTION("""COMPUTED_VALUE"""),"")</f>
        <v/>
      </c>
      <c r="R281" s="6" t="str">
        <f ca="1">IFERROR(__xludf.DUMMYFUNCTION("""COMPUTED_VALUE"""),"")</f>
        <v/>
      </c>
      <c r="S281" t="str">
        <f ca="1">IFERROR(__xludf.DUMMYFUNCTION("""COMPUTED_VALUE"""),"")</f>
        <v/>
      </c>
      <c r="T281" t="str">
        <f ca="1">IFERROR(__xludf.DUMMYFUNCTION("""COMPUTED_VALUE"""),"")</f>
        <v/>
      </c>
      <c r="U281" t="str">
        <f ca="1">IFERROR(__xludf.DUMMYFUNCTION("""COMPUTED_VALUE"""),"")</f>
        <v/>
      </c>
      <c r="V281" t="str">
        <f ca="1">IFERROR(__xludf.DUMMYFUNCTION("""COMPUTED_VALUE"""),"")</f>
        <v/>
      </c>
      <c r="W281" t="str">
        <f ca="1">IFERROR(__xludf.DUMMYFUNCTION("""COMPUTED_VALUE"""),"")</f>
        <v/>
      </c>
      <c r="X281" t="str">
        <f ca="1">IFERROR(__xludf.DUMMYFUNCTION("""COMPUTED_VALUE"""),"")</f>
        <v/>
      </c>
      <c r="Y281" t="str">
        <f ca="1">IFERROR(__xludf.DUMMYFUNCTION("""COMPUTED_VALUE"""),"")</f>
        <v/>
      </c>
      <c r="Z281" t="str">
        <f ca="1">IFERROR(__xludf.DUMMYFUNCTION("""COMPUTED_VALUE"""),"")</f>
        <v/>
      </c>
      <c r="AA281" t="str">
        <f ca="1">IFERROR(__xludf.DUMMYFUNCTION("""COMPUTED_VALUE"""),"Pas de commande")</f>
        <v>Pas de commande</v>
      </c>
      <c r="AB281" s="8" t="str">
        <f ca="1">IFERROR(__xludf.DUMMYFUNCTION("""COMPUTED_VALUE"""),"")</f>
        <v/>
      </c>
      <c r="AC281" s="8" t="str">
        <f ca="1">IFERROR(__xludf.DUMMYFUNCTION("""COMPUTED_VALUE"""),"")</f>
        <v/>
      </c>
      <c r="AD281" s="11" t="str">
        <f ca="1">IFERROR(__xludf.DUMMYFUNCTION("""COMPUTED_VALUE"""),"")</f>
        <v/>
      </c>
      <c r="AE281" t="str">
        <f ca="1">IFERROR(__xludf.DUMMYFUNCTION("""COMPUTED_VALUE"""),"")</f>
        <v/>
      </c>
    </row>
    <row r="282" spans="1:31" ht="12.75" x14ac:dyDescent="0.2">
      <c r="A282">
        <f ca="1">IFERROR(__xludf.DUMMYFUNCTION("""COMPUTED_VALUE"""),21309)</f>
        <v>21309</v>
      </c>
      <c r="B282" t="str">
        <f ca="1">IFERROR(__xludf.DUMMYFUNCTION("""COMPUTED_VALUE"""),"DOUVRES LA DELIVRANDE")</f>
        <v>DOUVRES LA DELIVRANDE</v>
      </c>
      <c r="C282" t="str">
        <f ca="1">IFERROR(__xludf.DUMMYFUNCTION("""COMPUTED_VALUE"""),"Hyper U")</f>
        <v>Hyper U</v>
      </c>
      <c r="D282" t="str">
        <f ca="1">IFERROR(__xludf.DUMMYFUNCTION("""COMPUTED_VALUE"""),"Coop U Enseigne NordOuest")</f>
        <v>Coop U Enseigne NordOuest</v>
      </c>
      <c r="E282">
        <f ca="1">IFERROR(__xludf.DUMMYFUNCTION("""COMPUTED_VALUE"""),14440)</f>
        <v>14440</v>
      </c>
      <c r="F282" t="str">
        <f ca="1">IFERROR(__xludf.DUMMYFUNCTION("""COMPUTED_VALUE"""),"VOIE DES ALLIÉS")</f>
        <v>VOIE DES ALLIÉS</v>
      </c>
      <c r="G282" t="str">
        <f ca="1">IFERROR(__xludf.DUMMYFUNCTION("""COMPUTED_VALUE"""),"02.31.37.85.00")</f>
        <v>02.31.37.85.00</v>
      </c>
      <c r="H282" t="str">
        <f ca="1">IFERROR(__xludf.DUMMYFUNCTION("""COMPUTED_VALUE"""),"CARPENTIER Laurence")</f>
        <v>CARPENTIER Laurence</v>
      </c>
      <c r="I282" t="str">
        <f ca="1">IFERROR(__xludf.DUMMYFUNCTION("""COMPUTED_VALUE"""),"laurence.carpentier@systeme-u.fr")</f>
        <v>laurence.carpentier@systeme-u.fr</v>
      </c>
      <c r="J282" t="str">
        <f ca="1">IFERROR(__xludf.DUMMYFUNCTION("""COMPUTED_VALUE"""),"HALBY CHRISTOPHE")</f>
        <v>HALBY CHRISTOPHE</v>
      </c>
      <c r="K282" t="str">
        <f ca="1">IFERROR(__xludf.DUMMYFUNCTION("""COMPUTED_VALUE"""),"hyperu.douvresladelivrande.compta@systeme-u.fr")</f>
        <v>hyperu.douvresladelivrande.compta@systeme-u.fr</v>
      </c>
      <c r="L282" t="str">
        <f ca="1">IFERROR(__xludf.DUMMYFUNCTION("""COMPUTED_VALUE"""),"")</f>
        <v/>
      </c>
      <c r="M282" t="str">
        <f ca="1">IFERROR(__xludf.DUMMYFUNCTION("""COMPUTED_VALUE"""),"99.Hors Périmetre")</f>
        <v>99.Hors Périmetre</v>
      </c>
      <c r="N282" t="str">
        <f ca="1">IFERROR(__xludf.DUMMYFUNCTION("""COMPUTED_VALUE"""),"")</f>
        <v/>
      </c>
      <c r="O282" t="str">
        <f ca="1">IFERROR(__xludf.DUMMYFUNCTION("""COMPUTED_VALUE"""),"")</f>
        <v/>
      </c>
      <c r="P282" t="str">
        <f ca="1">IFERROR(__xludf.DUMMYFUNCTION("""COMPUTED_VALUE"""),"")</f>
        <v/>
      </c>
      <c r="Q282" s="5" t="str">
        <f ca="1">IFERROR(__xludf.DUMMYFUNCTION("""COMPUTED_VALUE"""),"")</f>
        <v/>
      </c>
      <c r="R282" s="6" t="str">
        <f ca="1">IFERROR(__xludf.DUMMYFUNCTION("""COMPUTED_VALUE"""),"")</f>
        <v/>
      </c>
      <c r="S282" t="str">
        <f ca="1">IFERROR(__xludf.DUMMYFUNCTION("""COMPUTED_VALUE"""),"")</f>
        <v/>
      </c>
      <c r="T282" t="str">
        <f ca="1">IFERROR(__xludf.DUMMYFUNCTION("""COMPUTED_VALUE"""),"")</f>
        <v/>
      </c>
      <c r="U282" t="str">
        <f ca="1">IFERROR(__xludf.DUMMYFUNCTION("""COMPUTED_VALUE"""),"")</f>
        <v/>
      </c>
      <c r="V282" t="str">
        <f ca="1">IFERROR(__xludf.DUMMYFUNCTION("""COMPUTED_VALUE"""),"")</f>
        <v/>
      </c>
      <c r="W282" t="str">
        <f ca="1">IFERROR(__xludf.DUMMYFUNCTION("""COMPUTED_VALUE"""),"")</f>
        <v/>
      </c>
      <c r="X282" t="str">
        <f ca="1">IFERROR(__xludf.DUMMYFUNCTION("""COMPUTED_VALUE"""),"")</f>
        <v/>
      </c>
      <c r="Y282" t="str">
        <f ca="1">IFERROR(__xludf.DUMMYFUNCTION("""COMPUTED_VALUE"""),"")</f>
        <v/>
      </c>
      <c r="Z282" t="str">
        <f ca="1">IFERROR(__xludf.DUMMYFUNCTION("""COMPUTED_VALUE"""),"")</f>
        <v/>
      </c>
      <c r="AA282" t="str">
        <f ca="1">IFERROR(__xludf.DUMMYFUNCTION("""COMPUTED_VALUE"""),"Pas de commande")</f>
        <v>Pas de commande</v>
      </c>
      <c r="AB282" s="8" t="str">
        <f ca="1">IFERROR(__xludf.DUMMYFUNCTION("""COMPUTED_VALUE"""),"")</f>
        <v/>
      </c>
      <c r="AC282" s="8" t="str">
        <f ca="1">IFERROR(__xludf.DUMMYFUNCTION("""COMPUTED_VALUE"""),"")</f>
        <v/>
      </c>
      <c r="AD282" s="11" t="str">
        <f ca="1">IFERROR(__xludf.DUMMYFUNCTION("""COMPUTED_VALUE"""),"")</f>
        <v/>
      </c>
      <c r="AE282" t="str">
        <f ca="1">IFERROR(__xludf.DUMMYFUNCTION("""COMPUTED_VALUE"""),"")</f>
        <v/>
      </c>
    </row>
    <row r="283" spans="1:31" ht="12.75" x14ac:dyDescent="0.2">
      <c r="A283">
        <f ca="1">IFERROR(__xludf.DUMMYFUNCTION("""COMPUTED_VALUE"""),21244)</f>
        <v>21244</v>
      </c>
      <c r="B283" t="str">
        <f ca="1">IFERROR(__xludf.DUMMYFUNCTION("""COMPUTED_VALUE"""),"DOZULE")</f>
        <v>DOZULE</v>
      </c>
      <c r="C283" t="str">
        <f ca="1">IFERROR(__xludf.DUMMYFUNCTION("""COMPUTED_VALUE"""),"Super U")</f>
        <v>Super U</v>
      </c>
      <c r="D283" t="str">
        <f ca="1">IFERROR(__xludf.DUMMYFUNCTION("""COMPUTED_VALUE"""),"Coop U Enseigne NordOuest")</f>
        <v>Coop U Enseigne NordOuest</v>
      </c>
      <c r="E283">
        <f ca="1">IFERROR(__xludf.DUMMYFUNCTION("""COMPUTED_VALUE"""),14430)</f>
        <v>14430</v>
      </c>
      <c r="F283" t="str">
        <f ca="1">IFERROR(__xludf.DUMMYFUNCTION("""COMPUTED_VALUE"""),"20-22 GRANDE RUE")</f>
        <v>20-22 GRANDE RUE</v>
      </c>
      <c r="G283" t="str">
        <f ca="1">IFERROR(__xludf.DUMMYFUNCTION("""COMPUTED_VALUE"""),"02.31.79.21.12")</f>
        <v>02.31.79.21.12</v>
      </c>
      <c r="H283" t="str">
        <f ca="1">IFERROR(__xludf.DUMMYFUNCTION("""COMPUTED_VALUE"""),"ANDRO Eric")</f>
        <v>ANDRO Eric</v>
      </c>
      <c r="I283" t="str">
        <f ca="1">IFERROR(__xludf.DUMMYFUNCTION("""COMPUTED_VALUE"""),"eric.andro@systeme-u.fr")</f>
        <v>eric.andro@systeme-u.fr</v>
      </c>
      <c r="J283" t="str">
        <f ca="1">IFERROR(__xludf.DUMMYFUNCTION("""COMPUTED_VALUE"""),"")</f>
        <v/>
      </c>
      <c r="K283" t="str">
        <f ca="1">IFERROR(__xludf.DUMMYFUNCTION("""COMPUTED_VALUE"""),"")</f>
        <v/>
      </c>
      <c r="L283" t="str">
        <f ca="1">IFERROR(__xludf.DUMMYFUNCTION("""COMPUTED_VALUE"""),"")</f>
        <v/>
      </c>
      <c r="M283" t="str">
        <f ca="1">IFERROR(__xludf.DUMMYFUNCTION("""COMPUTED_VALUE"""),"99.Hors Périmetre")</f>
        <v>99.Hors Périmetre</v>
      </c>
      <c r="N283" t="str">
        <f ca="1">IFERROR(__xludf.DUMMYFUNCTION("""COMPUTED_VALUE"""),"")</f>
        <v/>
      </c>
      <c r="O283" t="str">
        <f ca="1">IFERROR(__xludf.DUMMYFUNCTION("""COMPUTED_VALUE"""),"")</f>
        <v/>
      </c>
      <c r="P283" t="str">
        <f ca="1">IFERROR(__xludf.DUMMYFUNCTION("""COMPUTED_VALUE"""),"")</f>
        <v/>
      </c>
      <c r="Q283" s="5" t="str">
        <f ca="1">IFERROR(__xludf.DUMMYFUNCTION("""COMPUTED_VALUE"""),"")</f>
        <v/>
      </c>
      <c r="R283" s="6" t="str">
        <f ca="1">IFERROR(__xludf.DUMMYFUNCTION("""COMPUTED_VALUE"""),"")</f>
        <v/>
      </c>
      <c r="S283" t="str">
        <f ca="1">IFERROR(__xludf.DUMMYFUNCTION("""COMPUTED_VALUE"""),"")</f>
        <v/>
      </c>
      <c r="T283" t="str">
        <f ca="1">IFERROR(__xludf.DUMMYFUNCTION("""COMPUTED_VALUE"""),"")</f>
        <v/>
      </c>
      <c r="U283" t="str">
        <f ca="1">IFERROR(__xludf.DUMMYFUNCTION("""COMPUTED_VALUE"""),"")</f>
        <v/>
      </c>
      <c r="V283" t="str">
        <f ca="1">IFERROR(__xludf.DUMMYFUNCTION("""COMPUTED_VALUE"""),"")</f>
        <v/>
      </c>
      <c r="W283" t="str">
        <f ca="1">IFERROR(__xludf.DUMMYFUNCTION("""COMPUTED_VALUE"""),"")</f>
        <v/>
      </c>
      <c r="X283" t="str">
        <f ca="1">IFERROR(__xludf.DUMMYFUNCTION("""COMPUTED_VALUE"""),"")</f>
        <v/>
      </c>
      <c r="Y283" t="str">
        <f ca="1">IFERROR(__xludf.DUMMYFUNCTION("""COMPUTED_VALUE"""),"")</f>
        <v/>
      </c>
      <c r="Z283" t="str">
        <f ca="1">IFERROR(__xludf.DUMMYFUNCTION("""COMPUTED_VALUE"""),"")</f>
        <v/>
      </c>
      <c r="AA283" t="str">
        <f ca="1">IFERROR(__xludf.DUMMYFUNCTION("""COMPUTED_VALUE"""),"Pas de commande")</f>
        <v>Pas de commande</v>
      </c>
      <c r="AB283" s="8" t="str">
        <f ca="1">IFERROR(__xludf.DUMMYFUNCTION("""COMPUTED_VALUE"""),"")</f>
        <v/>
      </c>
      <c r="AC283" s="8" t="str">
        <f ca="1">IFERROR(__xludf.DUMMYFUNCTION("""COMPUTED_VALUE"""),"")</f>
        <v/>
      </c>
      <c r="AD283" s="11" t="str">
        <f ca="1">IFERROR(__xludf.DUMMYFUNCTION("""COMPUTED_VALUE"""),"")</f>
        <v/>
      </c>
      <c r="AE283" t="str">
        <f ca="1">IFERROR(__xludf.DUMMYFUNCTION("""COMPUTED_VALUE"""),"")</f>
        <v/>
      </c>
    </row>
    <row r="284" spans="1:31" ht="12.75" x14ac:dyDescent="0.2">
      <c r="A284">
        <f ca="1">IFERROR(__xludf.DUMMYFUNCTION("""COMPUTED_VALUE"""),23453)</f>
        <v>23453</v>
      </c>
      <c r="B284" t="str">
        <f ca="1">IFERROR(__xludf.DUMMYFUNCTION("""COMPUTED_VALUE"""),"DRAVEIL")</f>
        <v>DRAVEIL</v>
      </c>
      <c r="C284" t="str">
        <f ca="1">IFERROR(__xludf.DUMMYFUNCTION("""COMPUTED_VALUE"""),"Super U")</f>
        <v>Super U</v>
      </c>
      <c r="D284" t="str">
        <f ca="1">IFERROR(__xludf.DUMMYFUNCTION("""COMPUTED_VALUE"""),"Coop U Enseigne NordOuest")</f>
        <v>Coop U Enseigne NordOuest</v>
      </c>
      <c r="E284">
        <f ca="1">IFERROR(__xludf.DUMMYFUNCTION("""COMPUTED_VALUE"""),91210)</f>
        <v>91210</v>
      </c>
      <c r="F284" t="str">
        <f ca="1">IFERROR(__xludf.DUMMYFUNCTION("""COMPUTED_VALUE"""),"6 AVENUE DE L'EUROPE")</f>
        <v>6 AVENUE DE L'EUROPE</v>
      </c>
      <c r="G284" t="str">
        <f ca="1">IFERROR(__xludf.DUMMYFUNCTION("""COMPUTED_VALUE"""),"01.69.42.41.41")</f>
        <v>01.69.42.41.41</v>
      </c>
      <c r="H284" t="str">
        <f ca="1">IFERROR(__xludf.DUMMYFUNCTION("""COMPUTED_VALUE"""),"BRESSON Antoine")</f>
        <v>BRESSON Antoine</v>
      </c>
      <c r="I284" t="str">
        <f ca="1">IFERROR(__xludf.DUMMYFUNCTION("""COMPUTED_VALUE"""),"antoine.bresson@systeme-u.fr")</f>
        <v>antoine.bresson@systeme-u.fr</v>
      </c>
      <c r="J284" t="str">
        <f ca="1">IFERROR(__xludf.DUMMYFUNCTION("""COMPUTED_VALUE"""),"")</f>
        <v/>
      </c>
      <c r="K284" t="str">
        <f ca="1">IFERROR(__xludf.DUMMYFUNCTION("""COMPUTED_VALUE"""),"")</f>
        <v/>
      </c>
      <c r="L284" t="str">
        <f ca="1">IFERROR(__xludf.DUMMYFUNCTION("""COMPUTED_VALUE"""),"Primo")</f>
        <v>Primo</v>
      </c>
      <c r="M284" t="str">
        <f ca="1">IFERROR(__xludf.DUMMYFUNCTION("""COMPUTED_VALUE"""),"3. Migration réalisée")</f>
        <v>3. Migration réalisée</v>
      </c>
      <c r="N284" t="str">
        <f ca="1">IFERROR(__xludf.DUMMYFUNCTION("""COMPUTED_VALUE"""),"")</f>
        <v/>
      </c>
      <c r="O284" t="str">
        <f ca="1">IFERROR(__xludf.DUMMYFUNCTION("""COMPUTED_VALUE"""),"21/1 FMR : appel client pour l'informer contact : M bresson
23/01 OBO Migration réalisée")</f>
        <v>21/1 FMR : appel client pour l'informer contact : M bresson
23/01 OBO Migration réalisée</v>
      </c>
      <c r="P284">
        <f ca="1">IFERROR(__xludf.DUMMYFUNCTION("""COMPUTED_VALUE"""),4)</f>
        <v>4</v>
      </c>
      <c r="Q284" s="5" t="str">
        <f ca="1">IFERROR(__xludf.DUMMYFUNCTION("""COMPUTED_VALUE"""),"")</f>
        <v/>
      </c>
      <c r="R284" s="6">
        <f ca="1">IFERROR(__xludf.DUMMYFUNCTION("""COMPUTED_VALUE"""),43488.5833333333)</f>
        <v>43488.583333333299</v>
      </c>
      <c r="S284" t="str">
        <f ca="1">IFERROR(__xludf.DUMMYFUNCTION("""COMPUTED_VALUE"""),"MEP8518023")</f>
        <v>MEP8518023</v>
      </c>
      <c r="T284" t="str">
        <f ca="1">IFERROR(__xludf.DUMMYFUNCTION("""COMPUTED_VALUE"""),"MEP8518027")</f>
        <v>MEP8518027</v>
      </c>
      <c r="U284" t="str">
        <f ca="1">IFERROR(__xludf.DUMMYFUNCTION("""COMPUTED_VALUE"""),"")</f>
        <v/>
      </c>
      <c r="V284" t="str">
        <f ca="1">IFERROR(__xludf.DUMMYFUNCTION("""COMPUTED_VALUE"""),"10.144.148.237")</f>
        <v>10.144.148.237</v>
      </c>
      <c r="W284" t="str">
        <f ca="1">IFERROR(__xludf.DUMMYFUNCTION("""COMPUTED_VALUE"""),"R5")</f>
        <v>R5</v>
      </c>
      <c r="X284" t="str">
        <f ca="1">IFERROR(__xludf.DUMMYFUNCTION("""COMPUTED_VALUE"""),"U StoreBox")</f>
        <v>U StoreBox</v>
      </c>
      <c r="Y284" t="str">
        <f ca="1">IFERROR(__xludf.DUMMYFUNCTION("""COMPUTED_VALUE"""),"Primo")</f>
        <v>Primo</v>
      </c>
      <c r="Z284" t="str">
        <f ca="1">IFERROR(__xludf.DUMMYFUNCTION("""COMPUTED_VALUE"""),"")</f>
        <v/>
      </c>
      <c r="AA284" t="str">
        <f ca="1">IFERROR(__xludf.DUMMYFUNCTION("""COMPUTED_VALUE"""),"Terminé")</f>
        <v>Terminé</v>
      </c>
      <c r="AB284" s="8">
        <f ca="1">IFERROR(__xludf.DUMMYFUNCTION("""COMPUTED_VALUE"""),43486)</f>
        <v>43486</v>
      </c>
      <c r="AC284" s="8">
        <f ca="1">IFERROR(__xludf.DUMMYFUNCTION("""COMPUTED_VALUE"""),43488)</f>
        <v>43488</v>
      </c>
      <c r="AD284" s="11">
        <f ca="1">IFERROR(__xludf.DUMMYFUNCTION("""COMPUTED_VALUE"""),43489)</f>
        <v>43489</v>
      </c>
      <c r="AE284" t="str">
        <f ca="1">IFERROR(__xludf.DUMMYFUNCTION("""COMPUTED_VALUE"""),"")</f>
        <v/>
      </c>
    </row>
    <row r="285" spans="1:31" ht="12.75" x14ac:dyDescent="0.2">
      <c r="A285">
        <f ca="1">IFERROR(__xludf.DUMMYFUNCTION("""COMPUTED_VALUE"""),38268)</f>
        <v>38268</v>
      </c>
      <c r="B285" t="str">
        <f ca="1">IFERROR(__xludf.DUMMYFUNCTION("""COMPUTED_VALUE"""),"DUN-SUR-AURON")</f>
        <v>DUN-SUR-AURON</v>
      </c>
      <c r="C285" t="str">
        <f ca="1">IFERROR(__xludf.DUMMYFUNCTION("""COMPUTED_VALUE"""),"Super U")</f>
        <v>Super U</v>
      </c>
      <c r="D285" t="str">
        <f ca="1">IFERROR(__xludf.DUMMYFUNCTION("""COMPUTED_VALUE"""),"Coop U Enseigne Ouest")</f>
        <v>Coop U Enseigne Ouest</v>
      </c>
      <c r="E285">
        <f ca="1">IFERROR(__xludf.DUMMYFUNCTION("""COMPUTED_VALUE"""),18130)</f>
        <v>18130</v>
      </c>
      <c r="F285" t="str">
        <f ca="1">IFERROR(__xludf.DUMMYFUNCTION("""COMPUTED_VALUE"""),"14 BIS ROUTE DE BOURGES")</f>
        <v>14 BIS ROUTE DE BOURGES</v>
      </c>
      <c r="G285" t="str">
        <f ca="1">IFERROR(__xludf.DUMMYFUNCTION("""COMPUTED_VALUE"""),"02.48.59.68.68")</f>
        <v>02.48.59.68.68</v>
      </c>
      <c r="H285" t="str">
        <f ca="1">IFERROR(__xludf.DUMMYFUNCTION("""COMPUTED_VALUE"""),"MARTIN Jacky")</f>
        <v>MARTIN Jacky</v>
      </c>
      <c r="I285" t="str">
        <f ca="1">IFERROR(__xludf.DUMMYFUNCTION("""COMPUTED_VALUE"""),"jacky.martin@systeme-u.fr")</f>
        <v>jacky.martin@systeme-u.fr</v>
      </c>
      <c r="J285" t="str">
        <f ca="1">IFERROR(__xludf.DUMMYFUNCTION("""COMPUTED_VALUE"""),"")</f>
        <v/>
      </c>
      <c r="K285" t="str">
        <f ca="1">IFERROR(__xludf.DUMMYFUNCTION("""COMPUTED_VALUE"""),"")</f>
        <v/>
      </c>
      <c r="L285" t="str">
        <f ca="1">IFERROR(__xludf.DUMMYFUNCTION("""COMPUTED_VALUE"""),"")</f>
        <v/>
      </c>
      <c r="M285" t="str">
        <f ca="1">IFERROR(__xludf.DUMMYFUNCTION("""COMPUTED_VALUE"""),"99.Hors Périmetre")</f>
        <v>99.Hors Périmetre</v>
      </c>
      <c r="N285" t="str">
        <f ca="1">IFERROR(__xludf.DUMMYFUNCTION("""COMPUTED_VALUE"""),"")</f>
        <v/>
      </c>
      <c r="O285" t="str">
        <f ca="1">IFERROR(__xludf.DUMMYFUNCTION("""COMPUTED_VALUE"""),"")</f>
        <v/>
      </c>
      <c r="P285" t="str">
        <f ca="1">IFERROR(__xludf.DUMMYFUNCTION("""COMPUTED_VALUE"""),"")</f>
        <v/>
      </c>
      <c r="Q285" s="5" t="str">
        <f ca="1">IFERROR(__xludf.DUMMYFUNCTION("""COMPUTED_VALUE"""),"")</f>
        <v/>
      </c>
      <c r="R285" s="6" t="str">
        <f ca="1">IFERROR(__xludf.DUMMYFUNCTION("""COMPUTED_VALUE"""),"")</f>
        <v/>
      </c>
      <c r="S285" t="str">
        <f ca="1">IFERROR(__xludf.DUMMYFUNCTION("""COMPUTED_VALUE"""),"")</f>
        <v/>
      </c>
      <c r="T285" t="str">
        <f ca="1">IFERROR(__xludf.DUMMYFUNCTION("""COMPUTED_VALUE"""),"")</f>
        <v/>
      </c>
      <c r="U285" t="str">
        <f ca="1">IFERROR(__xludf.DUMMYFUNCTION("""COMPUTED_VALUE"""),"")</f>
        <v/>
      </c>
      <c r="V285" t="str">
        <f ca="1">IFERROR(__xludf.DUMMYFUNCTION("""COMPUTED_VALUE"""),"")</f>
        <v/>
      </c>
      <c r="W285" t="str">
        <f ca="1">IFERROR(__xludf.DUMMYFUNCTION("""COMPUTED_VALUE"""),"")</f>
        <v/>
      </c>
      <c r="X285" t="str">
        <f ca="1">IFERROR(__xludf.DUMMYFUNCTION("""COMPUTED_VALUE"""),"")</f>
        <v/>
      </c>
      <c r="Y285" t="str">
        <f ca="1">IFERROR(__xludf.DUMMYFUNCTION("""COMPUTED_VALUE"""),"")</f>
        <v/>
      </c>
      <c r="Z285" t="str">
        <f ca="1">IFERROR(__xludf.DUMMYFUNCTION("""COMPUTED_VALUE"""),"")</f>
        <v/>
      </c>
      <c r="AA285" t="str">
        <f ca="1">IFERROR(__xludf.DUMMYFUNCTION("""COMPUTED_VALUE"""),"Pas de commande")</f>
        <v>Pas de commande</v>
      </c>
      <c r="AB285" s="8" t="str">
        <f ca="1">IFERROR(__xludf.DUMMYFUNCTION("""COMPUTED_VALUE"""),"")</f>
        <v/>
      </c>
      <c r="AC285" s="8" t="str">
        <f ca="1">IFERROR(__xludf.DUMMYFUNCTION("""COMPUTED_VALUE"""),"")</f>
        <v/>
      </c>
      <c r="AD285" s="11" t="str">
        <f ca="1">IFERROR(__xludf.DUMMYFUNCTION("""COMPUTED_VALUE"""),"")</f>
        <v/>
      </c>
      <c r="AE285" t="str">
        <f ca="1">IFERROR(__xludf.DUMMYFUNCTION("""COMPUTED_VALUE"""),"")</f>
        <v/>
      </c>
    </row>
    <row r="286" spans="1:31" ht="12.75" x14ac:dyDescent="0.2">
      <c r="A286">
        <f ca="1">IFERROR(__xludf.DUMMYFUNCTION("""COMPUTED_VALUE"""),37072)</f>
        <v>37072</v>
      </c>
      <c r="B286" t="str">
        <f ca="1">IFERROR(__xludf.DUMMYFUNCTION("""COMPUTED_VALUE"""),"DURTAL")</f>
        <v>DURTAL</v>
      </c>
      <c r="C286" t="str">
        <f ca="1">IFERROR(__xludf.DUMMYFUNCTION("""COMPUTED_VALUE"""),"Super U")</f>
        <v>Super U</v>
      </c>
      <c r="D286" t="str">
        <f ca="1">IFERROR(__xludf.DUMMYFUNCTION("""COMPUTED_VALUE"""),"Coop U Enseigne Ouest")</f>
        <v>Coop U Enseigne Ouest</v>
      </c>
      <c r="E286">
        <f ca="1">IFERROR(__xludf.DUMMYFUNCTION("""COMPUTED_VALUE"""),49430)</f>
        <v>49430</v>
      </c>
      <c r="F286" t="str">
        <f ca="1">IFERROR(__xludf.DUMMYFUNCTION("""COMPUTED_VALUE"""),"13, RUE DES FRÈRES LUMIERE")</f>
        <v>13, RUE DES FRÈRES LUMIERE</v>
      </c>
      <c r="G286" t="str">
        <f ca="1">IFERROR(__xludf.DUMMYFUNCTION("""COMPUTED_VALUE"""),"02.41.76.04.04")</f>
        <v>02.41.76.04.04</v>
      </c>
      <c r="H286" t="str">
        <f ca="1">IFERROR(__xludf.DUMMYFUNCTION("""COMPUTED_VALUE"""),"OUARY RPT SAS JUGALI Yann")</f>
        <v>OUARY RPT SAS JUGALI Yann</v>
      </c>
      <c r="I286" t="str">
        <f ca="1">IFERROR(__xludf.DUMMYFUNCTION("""COMPUTED_VALUE"""),"yann.ouary@systeme-u.fr")</f>
        <v>yann.ouary@systeme-u.fr</v>
      </c>
      <c r="J286" t="str">
        <f ca="1">IFERROR(__xludf.DUMMYFUNCTION("""COMPUTED_VALUE"""),"Géraldine OUARY")</f>
        <v>Géraldine OUARY</v>
      </c>
      <c r="K286" t="str">
        <f ca="1">IFERROR(__xludf.DUMMYFUNCTION("""COMPUTED_VALUE"""),"geraldine.ouary@systeme-u.fr")</f>
        <v>geraldine.ouary@systeme-u.fr</v>
      </c>
      <c r="L286" t="str">
        <f ca="1">IFERROR(__xludf.DUMMYFUNCTION("""COMPUTED_VALUE"""),"")</f>
        <v/>
      </c>
      <c r="M286" t="str">
        <f ca="1">IFERROR(__xludf.DUMMYFUNCTION("""COMPUTED_VALUE"""),"99.Hors Périmetre")</f>
        <v>99.Hors Périmetre</v>
      </c>
      <c r="N286" t="str">
        <f ca="1">IFERROR(__xludf.DUMMYFUNCTION("""COMPUTED_VALUE"""),"")</f>
        <v/>
      </c>
      <c r="O286" t="str">
        <f ca="1">IFERROR(__xludf.DUMMYFUNCTION("""COMPUTED_VALUE"""),"")</f>
        <v/>
      </c>
      <c r="P286" t="str">
        <f ca="1">IFERROR(__xludf.DUMMYFUNCTION("""COMPUTED_VALUE"""),"")</f>
        <v/>
      </c>
      <c r="Q286" s="5" t="str">
        <f ca="1">IFERROR(__xludf.DUMMYFUNCTION("""COMPUTED_VALUE"""),"")</f>
        <v/>
      </c>
      <c r="R286" s="6" t="str">
        <f ca="1">IFERROR(__xludf.DUMMYFUNCTION("""COMPUTED_VALUE"""),"")</f>
        <v/>
      </c>
      <c r="S286" t="str">
        <f ca="1">IFERROR(__xludf.DUMMYFUNCTION("""COMPUTED_VALUE"""),"")</f>
        <v/>
      </c>
      <c r="T286" t="str">
        <f ca="1">IFERROR(__xludf.DUMMYFUNCTION("""COMPUTED_VALUE"""),"")</f>
        <v/>
      </c>
      <c r="U286" t="str">
        <f ca="1">IFERROR(__xludf.DUMMYFUNCTION("""COMPUTED_VALUE"""),"")</f>
        <v/>
      </c>
      <c r="V286" t="str">
        <f ca="1">IFERROR(__xludf.DUMMYFUNCTION("""COMPUTED_VALUE"""),"")</f>
        <v/>
      </c>
      <c r="W286" t="str">
        <f ca="1">IFERROR(__xludf.DUMMYFUNCTION("""COMPUTED_VALUE"""),"")</f>
        <v/>
      </c>
      <c r="X286" t="str">
        <f ca="1">IFERROR(__xludf.DUMMYFUNCTION("""COMPUTED_VALUE"""),"")</f>
        <v/>
      </c>
      <c r="Y286" t="str">
        <f ca="1">IFERROR(__xludf.DUMMYFUNCTION("""COMPUTED_VALUE"""),"")</f>
        <v/>
      </c>
      <c r="Z286" t="str">
        <f ca="1">IFERROR(__xludf.DUMMYFUNCTION("""COMPUTED_VALUE"""),"")</f>
        <v/>
      </c>
      <c r="AA286" t="str">
        <f ca="1">IFERROR(__xludf.DUMMYFUNCTION("""COMPUTED_VALUE"""),"Pas de commande")</f>
        <v>Pas de commande</v>
      </c>
      <c r="AB286" s="8" t="str">
        <f ca="1">IFERROR(__xludf.DUMMYFUNCTION("""COMPUTED_VALUE"""),"")</f>
        <v/>
      </c>
      <c r="AC286" s="8" t="str">
        <f ca="1">IFERROR(__xludf.DUMMYFUNCTION("""COMPUTED_VALUE"""),"")</f>
        <v/>
      </c>
      <c r="AD286" s="11" t="str">
        <f ca="1">IFERROR(__xludf.DUMMYFUNCTION("""COMPUTED_VALUE"""),"")</f>
        <v/>
      </c>
      <c r="AE286" t="str">
        <f ca="1">IFERROR(__xludf.DUMMYFUNCTION("""COMPUTED_VALUE"""),"")</f>
        <v/>
      </c>
    </row>
    <row r="287" spans="1:31" ht="12.75" x14ac:dyDescent="0.2">
      <c r="A287">
        <f ca="1">IFERROR(__xludf.DUMMYFUNCTION("""COMPUTED_VALUE"""),95133)</f>
        <v>95133</v>
      </c>
      <c r="B287" t="str">
        <f ca="1">IFERROR(__xludf.DUMMYFUNCTION("""COMPUTED_VALUE"""),"EAUNES")</f>
        <v>EAUNES</v>
      </c>
      <c r="C287" t="str">
        <f ca="1">IFERROR(__xludf.DUMMYFUNCTION("""COMPUTED_VALUE"""),"Super U")</f>
        <v>Super U</v>
      </c>
      <c r="D287" t="str">
        <f ca="1">IFERROR(__xludf.DUMMYFUNCTION("""COMPUTED_VALUE"""),"Coop U Enseigne Sud")</f>
        <v>Coop U Enseigne Sud</v>
      </c>
      <c r="E287">
        <f ca="1">IFERROR(__xludf.DUMMYFUNCTION("""COMPUTED_VALUE"""),31600)</f>
        <v>31600</v>
      </c>
      <c r="F287" t="str">
        <f ca="1">IFERROR(__xludf.DUMMYFUNCTION("""COMPUTED_VALUE"""),"ZAC DU MANDARIN")</f>
        <v>ZAC DU MANDARIN</v>
      </c>
      <c r="G287" t="str">
        <f ca="1">IFERROR(__xludf.DUMMYFUNCTION("""COMPUTED_VALUE"""),"05.62.11.58.60")</f>
        <v>05.62.11.58.60</v>
      </c>
      <c r="H287" t="str">
        <f ca="1">IFERROR(__xludf.DUMMYFUNCTION("""COMPUTED_VALUE"""),"BRULIERE Serge")</f>
        <v>BRULIERE Serge</v>
      </c>
      <c r="I287" t="str">
        <f ca="1">IFERROR(__xludf.DUMMYFUNCTION("""COMPUTED_VALUE"""),"serge.bruliere@systeme-u.fr")</f>
        <v>serge.bruliere@systeme-u.fr</v>
      </c>
      <c r="J287" t="str">
        <f ca="1">IFERROR(__xludf.DUMMYFUNCTION("""COMPUTED_VALUE"""),"MARIN Laurence")</f>
        <v>MARIN Laurence</v>
      </c>
      <c r="K287" t="str">
        <f ca="1">IFERROR(__xludf.DUMMYFUNCTION("""COMPUTED_VALUE"""),"superu.eaunes@systeme-u.fr")</f>
        <v>superu.eaunes@systeme-u.fr</v>
      </c>
      <c r="L287" t="str">
        <f ca="1">IFERROR(__xludf.DUMMYFUNCTION("""COMPUTED_VALUE"""),"")</f>
        <v/>
      </c>
      <c r="M287" t="str">
        <f ca="1">IFERROR(__xludf.DUMMYFUNCTION("""COMPUTED_VALUE"""),"")</f>
        <v/>
      </c>
      <c r="N287" t="str">
        <f ca="1">IFERROR(__xludf.DUMMYFUNCTION("""COMPUTED_VALUE"""),"")</f>
        <v/>
      </c>
      <c r="O287" t="str">
        <f ca="1">IFERROR(__xludf.DUMMYFUNCTION("""COMPUTED_VALUE"""),"")</f>
        <v/>
      </c>
      <c r="P287" t="str">
        <f ca="1">IFERROR(__xludf.DUMMYFUNCTION("""COMPUTED_VALUE"""),"")</f>
        <v/>
      </c>
      <c r="Q287" s="5" t="str">
        <f ca="1">IFERROR(__xludf.DUMMYFUNCTION("""COMPUTED_VALUE"""),"")</f>
        <v/>
      </c>
      <c r="R287" s="6" t="str">
        <f ca="1">IFERROR(__xludf.DUMMYFUNCTION("""COMPUTED_VALUE"""),"")</f>
        <v/>
      </c>
      <c r="S287" t="str">
        <f ca="1">IFERROR(__xludf.DUMMYFUNCTION("""COMPUTED_VALUE"""),"")</f>
        <v/>
      </c>
      <c r="T287" t="str">
        <f ca="1">IFERROR(__xludf.DUMMYFUNCTION("""COMPUTED_VALUE"""),"")</f>
        <v/>
      </c>
      <c r="U287" t="str">
        <f ca="1">IFERROR(__xludf.DUMMYFUNCTION("""COMPUTED_VALUE"""),"")</f>
        <v/>
      </c>
      <c r="V287" t="str">
        <f ca="1">IFERROR(__xludf.DUMMYFUNCTION("""COMPUTED_VALUE"""),"")</f>
        <v/>
      </c>
      <c r="W287" t="str">
        <f ca="1">IFERROR(__xludf.DUMMYFUNCTION("""COMPUTED_VALUE"""),"R3")</f>
        <v>R3</v>
      </c>
      <c r="X287" t="str">
        <f ca="1">IFERROR(__xludf.DUMMYFUNCTION("""COMPUTED_VALUE"""),"Toshiba")</f>
        <v>Toshiba</v>
      </c>
      <c r="Y287" t="str">
        <f ca="1">IFERROR(__xludf.DUMMYFUNCTION("""COMPUTED_VALUE"""),"")</f>
        <v/>
      </c>
      <c r="Z287" t="str">
        <f ca="1">IFERROR(__xludf.DUMMYFUNCTION("""COMPUTED_VALUE"""),"")</f>
        <v/>
      </c>
      <c r="AA287" t="str">
        <f ca="1">IFERROR(__xludf.DUMMYFUNCTION("""COMPUTED_VALUE"""),"Pas de commande")</f>
        <v>Pas de commande</v>
      </c>
      <c r="AB287" s="8" t="str">
        <f ca="1">IFERROR(__xludf.DUMMYFUNCTION("""COMPUTED_VALUE"""),"")</f>
        <v/>
      </c>
      <c r="AC287" s="8" t="str">
        <f ca="1">IFERROR(__xludf.DUMMYFUNCTION("""COMPUTED_VALUE"""),"")</f>
        <v/>
      </c>
      <c r="AD287" s="11" t="str">
        <f ca="1">IFERROR(__xludf.DUMMYFUNCTION("""COMPUTED_VALUE"""),"")</f>
        <v/>
      </c>
      <c r="AE287" t="str">
        <f ca="1">IFERROR(__xludf.DUMMYFUNCTION("""COMPUTED_VALUE"""),"")</f>
        <v/>
      </c>
    </row>
    <row r="288" spans="1:31" ht="12.75" x14ac:dyDescent="0.2">
      <c r="A288">
        <f ca="1">IFERROR(__xludf.DUMMYFUNCTION("""COMPUTED_VALUE"""),35822)</f>
        <v>35822</v>
      </c>
      <c r="B288" t="str">
        <f ca="1">IFERROR(__xludf.DUMMYFUNCTION("""COMPUTED_VALUE"""),"ECHILLAIS")</f>
        <v>ECHILLAIS</v>
      </c>
      <c r="C288" t="str">
        <f ca="1">IFERROR(__xludf.DUMMYFUNCTION("""COMPUTED_VALUE"""),"Super U")</f>
        <v>Super U</v>
      </c>
      <c r="D288" t="str">
        <f ca="1">IFERROR(__xludf.DUMMYFUNCTION("""COMPUTED_VALUE"""),"Coop U Enseigne Ouest")</f>
        <v>Coop U Enseigne Ouest</v>
      </c>
      <c r="E288">
        <f ca="1">IFERROR(__xludf.DUMMYFUNCTION("""COMPUTED_VALUE"""),17620)</f>
        <v>17620</v>
      </c>
      <c r="F288" t="str">
        <f ca="1">IFERROR(__xludf.DUMMYFUNCTION("""COMPUTED_VALUE"""),"RUE DE LA POULINE")</f>
        <v>RUE DE LA POULINE</v>
      </c>
      <c r="G288" t="str">
        <f ca="1">IFERROR(__xludf.DUMMYFUNCTION("""COMPUTED_VALUE"""),"05.46.83.50.90")</f>
        <v>05.46.83.50.90</v>
      </c>
      <c r="H288" t="str">
        <f ca="1">IFERROR(__xludf.DUMMYFUNCTION("""COMPUTED_VALUE"""),"CHAPRON Pascal")</f>
        <v>CHAPRON Pascal</v>
      </c>
      <c r="I288" t="str">
        <f ca="1">IFERROR(__xludf.DUMMYFUNCTION("""COMPUTED_VALUE"""),"pascal.chapron@systeme-u.fr")</f>
        <v>pascal.chapron@systeme-u.fr</v>
      </c>
      <c r="J288" t="str">
        <f ca="1">IFERROR(__xludf.DUMMYFUNCTION("""COMPUTED_VALUE"""),"Doré Maryline")</f>
        <v>Doré Maryline</v>
      </c>
      <c r="K288" t="str">
        <f ca="1">IFERROR(__xludf.DUMMYFUNCTION("""COMPUTED_VALUE"""),"superu.echillais@systeme-u.fr")</f>
        <v>superu.echillais@systeme-u.fr</v>
      </c>
      <c r="L288" t="str">
        <f ca="1">IFERROR(__xludf.DUMMYFUNCTION("""COMPUTED_VALUE"""),"")</f>
        <v/>
      </c>
      <c r="M288" t="str">
        <f ca="1">IFERROR(__xludf.DUMMYFUNCTION("""COMPUTED_VALUE"""),"99.Hors Périmetre")</f>
        <v>99.Hors Périmetre</v>
      </c>
      <c r="N288" t="str">
        <f ca="1">IFERROR(__xludf.DUMMYFUNCTION("""COMPUTED_VALUE"""),"")</f>
        <v/>
      </c>
      <c r="O288" t="str">
        <f ca="1">IFERROR(__xludf.DUMMYFUNCTION("""COMPUTED_VALUE"""),"")</f>
        <v/>
      </c>
      <c r="P288" t="str">
        <f ca="1">IFERROR(__xludf.DUMMYFUNCTION("""COMPUTED_VALUE"""),"")</f>
        <v/>
      </c>
      <c r="Q288" s="5" t="str">
        <f ca="1">IFERROR(__xludf.DUMMYFUNCTION("""COMPUTED_VALUE"""),"")</f>
        <v/>
      </c>
      <c r="R288" s="6" t="str">
        <f ca="1">IFERROR(__xludf.DUMMYFUNCTION("""COMPUTED_VALUE"""),"")</f>
        <v/>
      </c>
      <c r="S288" t="str">
        <f ca="1">IFERROR(__xludf.DUMMYFUNCTION("""COMPUTED_VALUE"""),"")</f>
        <v/>
      </c>
      <c r="T288" t="str">
        <f ca="1">IFERROR(__xludf.DUMMYFUNCTION("""COMPUTED_VALUE"""),"")</f>
        <v/>
      </c>
      <c r="U288" t="str">
        <f ca="1">IFERROR(__xludf.DUMMYFUNCTION("""COMPUTED_VALUE"""),"")</f>
        <v/>
      </c>
      <c r="V288" t="str">
        <f ca="1">IFERROR(__xludf.DUMMYFUNCTION("""COMPUTED_VALUE"""),"")</f>
        <v/>
      </c>
      <c r="W288" t="str">
        <f ca="1">IFERROR(__xludf.DUMMYFUNCTION("""COMPUTED_VALUE"""),"R5")</f>
        <v>R5</v>
      </c>
      <c r="X288" t="str">
        <f ca="1">IFERROR(__xludf.DUMMYFUNCTION("""COMPUTED_VALUE"""),"U StoreBox")</f>
        <v>U StoreBox</v>
      </c>
      <c r="Y288" t="str">
        <f ca="1">IFERROR(__xludf.DUMMYFUNCTION("""COMPUTED_VALUE"""),"Primo")</f>
        <v>Primo</v>
      </c>
      <c r="Z288" t="str">
        <f ca="1">IFERROR(__xludf.DUMMYFUNCTION("""COMPUTED_VALUE"""),"")</f>
        <v/>
      </c>
      <c r="AA288" t="str">
        <f ca="1">IFERROR(__xludf.DUMMYFUNCTION("""COMPUTED_VALUE"""),"Commande validée")</f>
        <v>Commande validée</v>
      </c>
      <c r="AB288" s="8" t="str">
        <f ca="1">IFERROR(__xludf.DUMMYFUNCTION("""COMPUTED_VALUE"""),"")</f>
        <v/>
      </c>
      <c r="AC288" s="8" t="str">
        <f ca="1">IFERROR(__xludf.DUMMYFUNCTION("""COMPUTED_VALUE"""),"")</f>
        <v/>
      </c>
      <c r="AD288" s="11" t="str">
        <f ca="1">IFERROR(__xludf.DUMMYFUNCTION("""COMPUTED_VALUE"""),"")</f>
        <v/>
      </c>
      <c r="AE288" t="str">
        <f ca="1">IFERROR(__xludf.DUMMYFUNCTION("""COMPUTED_VALUE"""),"")</f>
        <v/>
      </c>
    </row>
    <row r="289" spans="1:31" ht="12.75" x14ac:dyDescent="0.2">
      <c r="A289">
        <f ca="1">IFERROR(__xludf.DUMMYFUNCTION("""COMPUTED_VALUE"""),35630)</f>
        <v>35630</v>
      </c>
      <c r="B289" t="str">
        <f ca="1">IFERROR(__xludf.DUMMYFUNCTION("""COMPUTED_VALUE"""),"ECHIRE")</f>
        <v>ECHIRE</v>
      </c>
      <c r="C289" t="str">
        <f ca="1">IFERROR(__xludf.DUMMYFUNCTION("""COMPUTED_VALUE"""),"Super U")</f>
        <v>Super U</v>
      </c>
      <c r="D289" t="str">
        <f ca="1">IFERROR(__xludf.DUMMYFUNCTION("""COMPUTED_VALUE"""),"Coop U Enseigne Ouest")</f>
        <v>Coop U Enseigne Ouest</v>
      </c>
      <c r="E289">
        <f ca="1">IFERROR(__xludf.DUMMYFUNCTION("""COMPUTED_VALUE"""),79410)</f>
        <v>79410</v>
      </c>
      <c r="F289" t="str">
        <f ca="1">IFERROR(__xludf.DUMMYFUNCTION("""COMPUTED_VALUE"""),"RUE DE LA SABLIÈRE")</f>
        <v>RUE DE LA SABLIÈRE</v>
      </c>
      <c r="G289" t="str">
        <f ca="1">IFERROR(__xludf.DUMMYFUNCTION("""COMPUTED_VALUE"""),"05.49.25.70.31")</f>
        <v>05.49.25.70.31</v>
      </c>
      <c r="H289" t="str">
        <f ca="1">IFERROR(__xludf.DUMMYFUNCTION("""COMPUTED_VALUE"""),"PACAULT RPT SARL JP INVEST Julien")</f>
        <v>PACAULT RPT SARL JP INVEST Julien</v>
      </c>
      <c r="I289" t="str">
        <f ca="1">IFERROR(__xludf.DUMMYFUNCTION("""COMPUTED_VALUE"""),"julien.pacault@systeme-u.fr")</f>
        <v>julien.pacault@systeme-u.fr</v>
      </c>
      <c r="J289" t="str">
        <f ca="1">IFERROR(__xludf.DUMMYFUNCTION("""COMPUTED_VALUE"""),"")</f>
        <v/>
      </c>
      <c r="K289" t="str">
        <f ca="1">IFERROR(__xludf.DUMMYFUNCTION("""COMPUTED_VALUE"""),"")</f>
        <v/>
      </c>
      <c r="L289" t="str">
        <f ca="1">IFERROR(__xludf.DUMMYFUNCTION("""COMPUTED_VALUE"""),"")</f>
        <v/>
      </c>
      <c r="M289" t="str">
        <f ca="1">IFERROR(__xludf.DUMMYFUNCTION("""COMPUTED_VALUE"""),"99.Hors Périmetre")</f>
        <v>99.Hors Périmetre</v>
      </c>
      <c r="N289" t="str">
        <f ca="1">IFERROR(__xludf.DUMMYFUNCTION("""COMPUTED_VALUE"""),"")</f>
        <v/>
      </c>
      <c r="O289" t="str">
        <f ca="1">IFERROR(__xludf.DUMMYFUNCTION("""COMPUTED_VALUE"""),"")</f>
        <v/>
      </c>
      <c r="P289" t="str">
        <f ca="1">IFERROR(__xludf.DUMMYFUNCTION("""COMPUTED_VALUE"""),"")</f>
        <v/>
      </c>
      <c r="Q289" s="5" t="str">
        <f ca="1">IFERROR(__xludf.DUMMYFUNCTION("""COMPUTED_VALUE"""),"")</f>
        <v/>
      </c>
      <c r="R289" s="6" t="str">
        <f ca="1">IFERROR(__xludf.DUMMYFUNCTION("""COMPUTED_VALUE"""),"")</f>
        <v/>
      </c>
      <c r="S289" t="str">
        <f ca="1">IFERROR(__xludf.DUMMYFUNCTION("""COMPUTED_VALUE"""),"")</f>
        <v/>
      </c>
      <c r="T289" t="str">
        <f ca="1">IFERROR(__xludf.DUMMYFUNCTION("""COMPUTED_VALUE"""),"")</f>
        <v/>
      </c>
      <c r="U289" t="str">
        <f ca="1">IFERROR(__xludf.DUMMYFUNCTION("""COMPUTED_VALUE"""),"")</f>
        <v/>
      </c>
      <c r="V289" t="str">
        <f ca="1">IFERROR(__xludf.DUMMYFUNCTION("""COMPUTED_VALUE"""),"")</f>
        <v/>
      </c>
      <c r="W289" t="str">
        <f ca="1">IFERROR(__xludf.DUMMYFUNCTION("""COMPUTED_VALUE"""),"")</f>
        <v/>
      </c>
      <c r="X289" t="str">
        <f ca="1">IFERROR(__xludf.DUMMYFUNCTION("""COMPUTED_VALUE"""),"")</f>
        <v/>
      </c>
      <c r="Y289" t="str">
        <f ca="1">IFERROR(__xludf.DUMMYFUNCTION("""COMPUTED_VALUE"""),"")</f>
        <v/>
      </c>
      <c r="Z289" t="str">
        <f ca="1">IFERROR(__xludf.DUMMYFUNCTION("""COMPUTED_VALUE"""),"")</f>
        <v/>
      </c>
      <c r="AA289" t="str">
        <f ca="1">IFERROR(__xludf.DUMMYFUNCTION("""COMPUTED_VALUE"""),"Pas de commande")</f>
        <v>Pas de commande</v>
      </c>
      <c r="AB289" s="8" t="str">
        <f ca="1">IFERROR(__xludf.DUMMYFUNCTION("""COMPUTED_VALUE"""),"")</f>
        <v/>
      </c>
      <c r="AC289" s="8" t="str">
        <f ca="1">IFERROR(__xludf.DUMMYFUNCTION("""COMPUTED_VALUE"""),"")</f>
        <v/>
      </c>
      <c r="AD289" s="11" t="str">
        <f ca="1">IFERROR(__xludf.DUMMYFUNCTION("""COMPUTED_VALUE"""),"")</f>
        <v/>
      </c>
      <c r="AE289" t="str">
        <f ca="1">IFERROR(__xludf.DUMMYFUNCTION("""COMPUTED_VALUE"""),"")</f>
        <v/>
      </c>
    </row>
    <row r="290" spans="1:31" ht="12.75" x14ac:dyDescent="0.2">
      <c r="A290">
        <f ca="1">IFERROR(__xludf.DUMMYFUNCTION("""COMPUTED_VALUE"""),30493)</f>
        <v>30493</v>
      </c>
      <c r="B290" t="str">
        <f ca="1">IFERROR(__xludf.DUMMYFUNCTION("""COMPUTED_VALUE"""),"ECOMMOY")</f>
        <v>ECOMMOY</v>
      </c>
      <c r="C290" t="str">
        <f ca="1">IFERROR(__xludf.DUMMYFUNCTION("""COMPUTED_VALUE"""),"Hyper U")</f>
        <v>Hyper U</v>
      </c>
      <c r="D290" t="str">
        <f ca="1">IFERROR(__xludf.DUMMYFUNCTION("""COMPUTED_VALUE"""),"Coop U Enseigne Ouest")</f>
        <v>Coop U Enseigne Ouest</v>
      </c>
      <c r="E290">
        <f ca="1">IFERROR(__xludf.DUMMYFUNCTION("""COMPUTED_VALUE"""),72220)</f>
        <v>72220</v>
      </c>
      <c r="F290" t="str">
        <f ca="1">IFERROR(__xludf.DUMMYFUNCTION("""COMPUTED_VALUE"""),"ROUTE DU MANS")</f>
        <v>ROUTE DU MANS</v>
      </c>
      <c r="G290" t="str">
        <f ca="1">IFERROR(__xludf.DUMMYFUNCTION("""COMPUTED_VALUE"""),"02.43.42.16.59")</f>
        <v>02.43.42.16.59</v>
      </c>
      <c r="H290" t="str">
        <f ca="1">IFERROR(__xludf.DUMMYFUNCTION("""COMPUTED_VALUE"""),"COSNARD Nicolas")</f>
        <v>COSNARD Nicolas</v>
      </c>
      <c r="I290" t="str">
        <f ca="1">IFERROR(__xludf.DUMMYFUNCTION("""COMPUTED_VALUE"""),"nicolas.cosnard@systeme-u.fr")</f>
        <v>nicolas.cosnard@systeme-u.fr</v>
      </c>
      <c r="J290" t="str">
        <f ca="1">IFERROR(__xludf.DUMMYFUNCTION("""COMPUTED_VALUE"""),"Alleron Sarah (UPLV)
Mr Carreau (Pilote)")</f>
        <v>Alleron Sarah (UPLV)
Mr Carreau (Pilote)</v>
      </c>
      <c r="K290" t="str">
        <f ca="1">IFERROR(__xludf.DUMMYFUNCTION("""COMPUTED_VALUE"""),"hyperu.ecommoy@systeme-u.fr, hyperu.ecommoy.compta1@systeme-u.fr")</f>
        <v>hyperu.ecommoy@systeme-u.fr, hyperu.ecommoy.compta1@systeme-u.fr</v>
      </c>
      <c r="L290" t="str">
        <f ca="1">IFERROR(__xludf.DUMMYFUNCTION("""COMPUTED_VALUE"""),"")</f>
        <v/>
      </c>
      <c r="M290" t="str">
        <f ca="1">IFERROR(__xludf.DUMMYFUNCTION("""COMPUTED_VALUE"""),"99.Hors Périmetre")</f>
        <v>99.Hors Périmetre</v>
      </c>
      <c r="N290" t="str">
        <f ca="1">IFERROR(__xludf.DUMMYFUNCTION("""COMPUTED_VALUE"""),"")</f>
        <v/>
      </c>
      <c r="O290" t="str">
        <f ca="1">IFERROR(__xludf.DUMMYFUNCTION("""COMPUTED_VALUE"""),"")</f>
        <v/>
      </c>
      <c r="P290" t="str">
        <f ca="1">IFERROR(__xludf.DUMMYFUNCTION("""COMPUTED_VALUE"""),"")</f>
        <v/>
      </c>
      <c r="Q290" s="5" t="str">
        <f ca="1">IFERROR(__xludf.DUMMYFUNCTION("""COMPUTED_VALUE"""),"")</f>
        <v/>
      </c>
      <c r="R290" s="6" t="str">
        <f ca="1">IFERROR(__xludf.DUMMYFUNCTION("""COMPUTED_VALUE"""),"")</f>
        <v/>
      </c>
      <c r="S290" t="str">
        <f ca="1">IFERROR(__xludf.DUMMYFUNCTION("""COMPUTED_VALUE"""),"")</f>
        <v/>
      </c>
      <c r="T290" t="str">
        <f ca="1">IFERROR(__xludf.DUMMYFUNCTION("""COMPUTED_VALUE"""),"")</f>
        <v/>
      </c>
      <c r="U290" t="str">
        <f ca="1">IFERROR(__xludf.DUMMYFUNCTION("""COMPUTED_VALUE"""),"")</f>
        <v/>
      </c>
      <c r="V290" t="str">
        <f ca="1">IFERROR(__xludf.DUMMYFUNCTION("""COMPUTED_VALUE"""),"")</f>
        <v/>
      </c>
      <c r="W290" t="str">
        <f ca="1">IFERROR(__xludf.DUMMYFUNCTION("""COMPUTED_VALUE"""),"")</f>
        <v/>
      </c>
      <c r="X290" t="str">
        <f ca="1">IFERROR(__xludf.DUMMYFUNCTION("""COMPUTED_VALUE"""),"")</f>
        <v/>
      </c>
      <c r="Y290" t="str">
        <f ca="1">IFERROR(__xludf.DUMMYFUNCTION("""COMPUTED_VALUE"""),"")</f>
        <v/>
      </c>
      <c r="Z290" t="str">
        <f ca="1">IFERROR(__xludf.DUMMYFUNCTION("""COMPUTED_VALUE"""),"")</f>
        <v/>
      </c>
      <c r="AA290" t="str">
        <f ca="1">IFERROR(__xludf.DUMMYFUNCTION("""COMPUTED_VALUE"""),"Pas de commande")</f>
        <v>Pas de commande</v>
      </c>
      <c r="AB290" s="8" t="str">
        <f ca="1">IFERROR(__xludf.DUMMYFUNCTION("""COMPUTED_VALUE"""),"")</f>
        <v/>
      </c>
      <c r="AC290" s="8" t="str">
        <f ca="1">IFERROR(__xludf.DUMMYFUNCTION("""COMPUTED_VALUE"""),"")</f>
        <v/>
      </c>
      <c r="AD290" s="11" t="str">
        <f ca="1">IFERROR(__xludf.DUMMYFUNCTION("""COMPUTED_VALUE"""),"")</f>
        <v/>
      </c>
      <c r="AE290" t="str">
        <f ca="1">IFERROR(__xludf.DUMMYFUNCTION("""COMPUTED_VALUE"""),"")</f>
        <v/>
      </c>
    </row>
    <row r="291" spans="1:31" ht="12.75" x14ac:dyDescent="0.2">
      <c r="A291">
        <f ca="1">IFERROR(__xludf.DUMMYFUNCTION("""COMPUTED_VALUE"""),28362)</f>
        <v>28362</v>
      </c>
      <c r="B291" t="str">
        <f ca="1">IFERROR(__xludf.DUMMYFUNCTION("""COMPUTED_VALUE"""),"ECOUEN")</f>
        <v>ECOUEN</v>
      </c>
      <c r="C291" t="str">
        <f ca="1">IFERROR(__xludf.DUMMYFUNCTION("""COMPUTED_VALUE"""),"Super U")</f>
        <v>Super U</v>
      </c>
      <c r="D291" t="str">
        <f ca="1">IFERROR(__xludf.DUMMYFUNCTION("""COMPUTED_VALUE"""),"Coop U Enseigne NordOuest")</f>
        <v>Coop U Enseigne NordOuest</v>
      </c>
      <c r="E291">
        <f ca="1">IFERROR(__xludf.DUMMYFUNCTION("""COMPUTED_VALUE"""),95440)</f>
        <v>95440</v>
      </c>
      <c r="F291" t="str">
        <f ca="1">IFERROR(__xludf.DUMMYFUNCTION("""COMPUTED_VALUE"""),"56 RUE DE LA LIBERATION")</f>
        <v>56 RUE DE LA LIBERATION</v>
      </c>
      <c r="G291" t="str">
        <f ca="1">IFERROR(__xludf.DUMMYFUNCTION("""COMPUTED_VALUE"""),"01.39.90.06.97")</f>
        <v>01.39.90.06.97</v>
      </c>
      <c r="H291" t="str">
        <f ca="1">IFERROR(__xludf.DUMMYFUNCTION("""COMPUTED_VALUE"""),"DELPRAT Alain")</f>
        <v>DELPRAT Alain</v>
      </c>
      <c r="I291" t="str">
        <f ca="1">IFERROR(__xludf.DUMMYFUNCTION("""COMPUTED_VALUE"""),"alain.delprat@systeme-u.fr")</f>
        <v>alain.delprat@systeme-u.fr</v>
      </c>
      <c r="J291" t="str">
        <f ca="1">IFERROR(__xludf.DUMMYFUNCTION("""COMPUTED_VALUE"""),"Mr Ferrand")</f>
        <v>Mr Ferrand</v>
      </c>
      <c r="K291" t="str">
        <f ca="1">IFERROR(__xludf.DUMMYFUNCTION("""COMPUTED_VALUE"""),"superu.ecouen.direction@systeme-u.fr")</f>
        <v>superu.ecouen.direction@systeme-u.fr</v>
      </c>
      <c r="L291" t="str">
        <f ca="1">IFERROR(__xludf.DUMMYFUNCTION("""COMPUTED_VALUE"""),"")</f>
        <v/>
      </c>
      <c r="M291" t="str">
        <f ca="1">IFERROR(__xludf.DUMMYFUNCTION("""COMPUTED_VALUE"""),"99.Hors Périmetre")</f>
        <v>99.Hors Périmetre</v>
      </c>
      <c r="N291" t="str">
        <f ca="1">IFERROR(__xludf.DUMMYFUNCTION("""COMPUTED_VALUE"""),"")</f>
        <v/>
      </c>
      <c r="O291" t="str">
        <f ca="1">IFERROR(__xludf.DUMMYFUNCTION("""COMPUTED_VALUE"""),"")</f>
        <v/>
      </c>
      <c r="P291" t="str">
        <f ca="1">IFERROR(__xludf.DUMMYFUNCTION("""COMPUTED_VALUE"""),"")</f>
        <v/>
      </c>
      <c r="Q291" s="5" t="str">
        <f ca="1">IFERROR(__xludf.DUMMYFUNCTION("""COMPUTED_VALUE"""),"")</f>
        <v/>
      </c>
      <c r="R291" s="6" t="str">
        <f ca="1">IFERROR(__xludf.DUMMYFUNCTION("""COMPUTED_VALUE"""),"")</f>
        <v/>
      </c>
      <c r="S291" t="str">
        <f ca="1">IFERROR(__xludf.DUMMYFUNCTION("""COMPUTED_VALUE"""),"")</f>
        <v/>
      </c>
      <c r="T291" t="str">
        <f ca="1">IFERROR(__xludf.DUMMYFUNCTION("""COMPUTED_VALUE"""),"")</f>
        <v/>
      </c>
      <c r="U291" t="str">
        <f ca="1">IFERROR(__xludf.DUMMYFUNCTION("""COMPUTED_VALUE"""),"")</f>
        <v/>
      </c>
      <c r="V291" t="str">
        <f ca="1">IFERROR(__xludf.DUMMYFUNCTION("""COMPUTED_VALUE"""),"")</f>
        <v/>
      </c>
      <c r="W291" t="str">
        <f ca="1">IFERROR(__xludf.DUMMYFUNCTION("""COMPUTED_VALUE"""),"")</f>
        <v/>
      </c>
      <c r="X291" t="str">
        <f ca="1">IFERROR(__xludf.DUMMYFUNCTION("""COMPUTED_VALUE"""),"")</f>
        <v/>
      </c>
      <c r="Y291" t="str">
        <f ca="1">IFERROR(__xludf.DUMMYFUNCTION("""COMPUTED_VALUE"""),"")</f>
        <v/>
      </c>
      <c r="Z291" t="str">
        <f ca="1">IFERROR(__xludf.DUMMYFUNCTION("""COMPUTED_VALUE"""),"")</f>
        <v/>
      </c>
      <c r="AA291" t="str">
        <f ca="1">IFERROR(__xludf.DUMMYFUNCTION("""COMPUTED_VALUE"""),"Pas de commande")</f>
        <v>Pas de commande</v>
      </c>
      <c r="AB291" s="8" t="str">
        <f ca="1">IFERROR(__xludf.DUMMYFUNCTION("""COMPUTED_VALUE"""),"")</f>
        <v/>
      </c>
      <c r="AC291" s="8" t="str">
        <f ca="1">IFERROR(__xludf.DUMMYFUNCTION("""COMPUTED_VALUE"""),"")</f>
        <v/>
      </c>
      <c r="AD291" s="11" t="str">
        <f ca="1">IFERROR(__xludf.DUMMYFUNCTION("""COMPUTED_VALUE"""),"")</f>
        <v/>
      </c>
      <c r="AE291" t="str">
        <f ca="1">IFERROR(__xludf.DUMMYFUNCTION("""COMPUTED_VALUE"""),"")</f>
        <v/>
      </c>
    </row>
    <row r="292" spans="1:31" ht="12.75" x14ac:dyDescent="0.2">
      <c r="A292">
        <f ca="1">IFERROR(__xludf.DUMMYFUNCTION("""COMPUTED_VALUE"""),90231)</f>
        <v>90231</v>
      </c>
      <c r="B292" t="str">
        <f ca="1">IFERROR(__xludf.DUMMYFUNCTION("""COMPUTED_VALUE"""),"EGAT")</f>
        <v>EGAT</v>
      </c>
      <c r="C292" t="str">
        <f ca="1">IFERROR(__xludf.DUMMYFUNCTION("""COMPUTED_VALUE"""),"Super U")</f>
        <v>Super U</v>
      </c>
      <c r="D292" t="str">
        <f ca="1">IFERROR(__xludf.DUMMYFUNCTION("""COMPUTED_VALUE"""),"Coop U Enseigne Sud")</f>
        <v>Coop U Enseigne Sud</v>
      </c>
      <c r="E292">
        <f ca="1">IFERROR(__xludf.DUMMYFUNCTION("""COMPUTED_VALUE"""),66120)</f>
        <v>66120</v>
      </c>
      <c r="F292" t="str">
        <f ca="1">IFERROR(__xludf.DUMMYFUNCTION("""COMPUTED_VALUE"""),"ROND POINT D'EGAT")</f>
        <v>ROND POINT D'EGAT</v>
      </c>
      <c r="G292" t="str">
        <f ca="1">IFERROR(__xludf.DUMMYFUNCTION("""COMPUTED_VALUE"""),"04.68.30.31.11")</f>
        <v>04.68.30.31.11</v>
      </c>
      <c r="H292" t="str">
        <f ca="1">IFERROR(__xludf.DUMMYFUNCTION("""COMPUTED_VALUE"""),"LE DOUJET Daniel")</f>
        <v>LE DOUJET Daniel</v>
      </c>
      <c r="I292" t="str">
        <f ca="1">IFERROR(__xludf.DUMMYFUNCTION("""COMPUTED_VALUE"""),"francois.garcia@systeme-u.fr")</f>
        <v>francois.garcia@systeme-u.fr</v>
      </c>
      <c r="J292" t="str">
        <f ca="1">IFERROR(__xludf.DUMMYFUNCTION("""COMPUTED_VALUE"""),"Mr GARCIA")</f>
        <v>Mr GARCIA</v>
      </c>
      <c r="K292" t="str">
        <f ca="1">IFERROR(__xludf.DUMMYFUNCTION("""COMPUTED_VALUE"""),"superu.egat.direction@systeme-u.fr")</f>
        <v>superu.egat.direction@systeme-u.fr</v>
      </c>
      <c r="L292" t="str">
        <f ca="1">IFERROR(__xludf.DUMMYFUNCTION("""COMPUTED_VALUE"""),"")</f>
        <v/>
      </c>
      <c r="M292" t="str">
        <f ca="1">IFERROR(__xludf.DUMMYFUNCTION("""COMPUTED_VALUE"""),"99.Hors Périmetre")</f>
        <v>99.Hors Périmetre</v>
      </c>
      <c r="N292" t="str">
        <f ca="1">IFERROR(__xludf.DUMMYFUNCTION("""COMPUTED_VALUE"""),"")</f>
        <v/>
      </c>
      <c r="O292" t="str">
        <f ca="1">IFERROR(__xludf.DUMMYFUNCTION("""COMPUTED_VALUE"""),"")</f>
        <v/>
      </c>
      <c r="P292" t="str">
        <f ca="1">IFERROR(__xludf.DUMMYFUNCTION("""COMPUTED_VALUE"""),"")</f>
        <v/>
      </c>
      <c r="Q292" s="5" t="str">
        <f ca="1">IFERROR(__xludf.DUMMYFUNCTION("""COMPUTED_VALUE"""),"")</f>
        <v/>
      </c>
      <c r="R292" s="6" t="str">
        <f ca="1">IFERROR(__xludf.DUMMYFUNCTION("""COMPUTED_VALUE"""),"")</f>
        <v/>
      </c>
      <c r="S292" t="str">
        <f ca="1">IFERROR(__xludf.DUMMYFUNCTION("""COMPUTED_VALUE"""),"")</f>
        <v/>
      </c>
      <c r="T292" t="str">
        <f ca="1">IFERROR(__xludf.DUMMYFUNCTION("""COMPUTED_VALUE"""),"")</f>
        <v/>
      </c>
      <c r="U292" t="str">
        <f ca="1">IFERROR(__xludf.DUMMYFUNCTION("""COMPUTED_VALUE"""),"")</f>
        <v/>
      </c>
      <c r="V292" t="str">
        <f ca="1">IFERROR(__xludf.DUMMYFUNCTION("""COMPUTED_VALUE"""),"")</f>
        <v/>
      </c>
      <c r="W292" t="str">
        <f ca="1">IFERROR(__xludf.DUMMYFUNCTION("""COMPUTED_VALUE"""),"")</f>
        <v/>
      </c>
      <c r="X292" t="str">
        <f ca="1">IFERROR(__xludf.DUMMYFUNCTION("""COMPUTED_VALUE"""),"")</f>
        <v/>
      </c>
      <c r="Y292" t="str">
        <f ca="1">IFERROR(__xludf.DUMMYFUNCTION("""COMPUTED_VALUE"""),"")</f>
        <v/>
      </c>
      <c r="Z292" t="str">
        <f ca="1">IFERROR(__xludf.DUMMYFUNCTION("""COMPUTED_VALUE"""),"")</f>
        <v/>
      </c>
      <c r="AA292" t="str">
        <f ca="1">IFERROR(__xludf.DUMMYFUNCTION("""COMPUTED_VALUE"""),"Pas de commande")</f>
        <v>Pas de commande</v>
      </c>
      <c r="AB292" s="8" t="str">
        <f ca="1">IFERROR(__xludf.DUMMYFUNCTION("""COMPUTED_VALUE"""),"")</f>
        <v/>
      </c>
      <c r="AC292" s="8" t="str">
        <f ca="1">IFERROR(__xludf.DUMMYFUNCTION("""COMPUTED_VALUE"""),"")</f>
        <v/>
      </c>
      <c r="AD292" s="11" t="str">
        <f ca="1">IFERROR(__xludf.DUMMYFUNCTION("""COMPUTED_VALUE"""),"")</f>
        <v/>
      </c>
      <c r="AE292" t="str">
        <f ca="1">IFERROR(__xludf.DUMMYFUNCTION("""COMPUTED_VALUE"""),"")</f>
        <v/>
      </c>
    </row>
    <row r="293" spans="1:31" ht="12.75" x14ac:dyDescent="0.2">
      <c r="A293">
        <f ca="1">IFERROR(__xludf.DUMMYFUNCTION("""COMPUTED_VALUE"""),32069)</f>
        <v>32069</v>
      </c>
      <c r="B293" t="str">
        <f ca="1">IFERROR(__xludf.DUMMYFUNCTION("""COMPUTED_VALUE"""),"EGLETONS")</f>
        <v>EGLETONS</v>
      </c>
      <c r="C293" t="str">
        <f ca="1">IFERROR(__xludf.DUMMYFUNCTION("""COMPUTED_VALUE"""),"Super U")</f>
        <v>Super U</v>
      </c>
      <c r="D293" t="str">
        <f ca="1">IFERROR(__xludf.DUMMYFUNCTION("""COMPUTED_VALUE"""),"Coop Atlantique")</f>
        <v>Coop Atlantique</v>
      </c>
      <c r="E293">
        <f ca="1">IFERROR(__xludf.DUMMYFUNCTION("""COMPUTED_VALUE"""),19300)</f>
        <v>19300</v>
      </c>
      <c r="F293" t="str">
        <f ca="1">IFERROR(__xludf.DUMMYFUNCTION("""COMPUTED_VALUE"""),"AVENUE CHARLES DE GAULLE")</f>
        <v>AVENUE CHARLES DE GAULLE</v>
      </c>
      <c r="G293" t="str">
        <f ca="1">IFERROR(__xludf.DUMMYFUNCTION("""COMPUTED_VALUE"""),"05.55.93.99.22")</f>
        <v>05.55.93.99.22</v>
      </c>
      <c r="H293" t="str">
        <f ca="1">IFERROR(__xludf.DUMMYFUNCTION("""COMPUTED_VALUE"""),"FLAMBARD Hervé")</f>
        <v>FLAMBARD Hervé</v>
      </c>
      <c r="I293" t="str">
        <f ca="1">IFERROR(__xludf.DUMMYFUNCTION("""COMPUTED_VALUE"""),"bertrand.defontaine_coop_su_uex@systeme-u.fr")</f>
        <v>bertrand.defontaine_coop_su_uex@systeme-u.fr</v>
      </c>
      <c r="J293" t="str">
        <f ca="1">IFERROR(__xludf.DUMMYFUNCTION("""COMPUTED_VALUE"""),"Valérie PLANAS")</f>
        <v>Valérie PLANAS</v>
      </c>
      <c r="K293" t="str">
        <f ca="1">IFERROR(__xludf.DUMMYFUNCTION("""COMPUTED_VALUE"""),"superu.egletons.direction@systeme-u.fr,nbrigant@coop-atlantique.fr,sjaud@coop-atlantique.fr, tclement@coop-atlantique.fr")</f>
        <v>superu.egletons.direction@systeme-u.fr,nbrigant@coop-atlantique.fr,sjaud@coop-atlantique.fr, tclement@coop-atlantique.fr</v>
      </c>
      <c r="L293" t="str">
        <f ca="1">IFERROR(__xludf.DUMMYFUNCTION("""COMPUTED_VALUE"""),"Standard")</f>
        <v>Standard</v>
      </c>
      <c r="M293" t="str">
        <f ca="1">IFERROR(__xludf.DUMMYFUNCTION("""COMPUTED_VALUE"""),"0. Non démarré")</f>
        <v>0. Non démarré</v>
      </c>
      <c r="N293" t="str">
        <f ca="1">IFERROR(__xludf.DUMMYFUNCTION("""COMPUTED_VALUE"""),"")</f>
        <v/>
      </c>
      <c r="O293" t="str">
        <f ca="1">IFERROR(__xludf.DUMMYFUNCTION("""COMPUTED_VALUE"""),"")</f>
        <v/>
      </c>
      <c r="P293" t="str">
        <f ca="1">IFERROR(__xludf.DUMMYFUNCTION("""COMPUTED_VALUE"""),"")</f>
        <v/>
      </c>
      <c r="Q293" s="5" t="str">
        <f ca="1">IFERROR(__xludf.DUMMYFUNCTION("""COMPUTED_VALUE"""),"")</f>
        <v/>
      </c>
      <c r="R293" s="6" t="str">
        <f ca="1">IFERROR(__xludf.DUMMYFUNCTION("""COMPUTED_VALUE"""),"")</f>
        <v/>
      </c>
      <c r="S293" t="str">
        <f ca="1">IFERROR(__xludf.DUMMYFUNCTION("""COMPUTED_VALUE"""),"")</f>
        <v/>
      </c>
      <c r="T293" t="str">
        <f ca="1">IFERROR(__xludf.DUMMYFUNCTION("""COMPUTED_VALUE"""),"")</f>
        <v/>
      </c>
      <c r="U293" t="str">
        <f ca="1">IFERROR(__xludf.DUMMYFUNCTION("""COMPUTED_VALUE"""),"")</f>
        <v/>
      </c>
      <c r="V293" t="str">
        <f ca="1">IFERROR(__xludf.DUMMYFUNCTION("""COMPUTED_VALUE"""),"")</f>
        <v/>
      </c>
      <c r="W293" t="str">
        <f ca="1">IFERROR(__xludf.DUMMYFUNCTION("""COMPUTED_VALUE"""),"R5")</f>
        <v>R5</v>
      </c>
      <c r="X293" t="str">
        <f ca="1">IFERROR(__xludf.DUMMYFUNCTION("""COMPUTED_VALUE"""),"PC mag &lt;8Go")</f>
        <v>PC mag &lt;8Go</v>
      </c>
      <c r="Y293" t="str">
        <f ca="1">IFERROR(__xludf.DUMMYFUNCTION("""COMPUTED_VALUE"""),"")</f>
        <v/>
      </c>
      <c r="Z293" t="str">
        <f ca="1">IFERROR(__xludf.DUMMYFUNCTION("""COMPUTED_VALUE"""),"")</f>
        <v/>
      </c>
      <c r="AA293" t="str">
        <f ca="1">IFERROR(__xludf.DUMMYFUNCTION("""COMPUTED_VALUE"""),"Pas de commande")</f>
        <v>Pas de commande</v>
      </c>
      <c r="AB293" s="8" t="str">
        <f ca="1">IFERROR(__xludf.DUMMYFUNCTION("""COMPUTED_VALUE"""),"")</f>
        <v/>
      </c>
      <c r="AC293" s="8" t="str">
        <f ca="1">IFERROR(__xludf.DUMMYFUNCTION("""COMPUTED_VALUE"""),"")</f>
        <v/>
      </c>
      <c r="AD293" s="11" t="str">
        <f ca="1">IFERROR(__xludf.DUMMYFUNCTION("""COMPUTED_VALUE"""),"")</f>
        <v/>
      </c>
      <c r="AE293" t="str">
        <f ca="1">IFERROR(__xludf.DUMMYFUNCTION("""COMPUTED_VALUE"""),"")</f>
        <v/>
      </c>
    </row>
    <row r="294" spans="1:31" ht="12.75" x14ac:dyDescent="0.2">
      <c r="A294">
        <f ca="1">IFERROR(__xludf.DUMMYFUNCTION("""COMPUTED_VALUE"""),38224)</f>
        <v>38224</v>
      </c>
      <c r="B294" t="str">
        <f ca="1">IFERROR(__xludf.DUMMYFUNCTION("""COMPUTED_VALUE"""),"EGREVILLE")</f>
        <v>EGREVILLE</v>
      </c>
      <c r="C294" t="str">
        <f ca="1">IFERROR(__xludf.DUMMYFUNCTION("""COMPUTED_VALUE"""),"U Express")</f>
        <v>U Express</v>
      </c>
      <c r="D294" t="str">
        <f ca="1">IFERROR(__xludf.DUMMYFUNCTION("""COMPUTED_VALUE"""),"Coop U Enseigne Ouest")</f>
        <v>Coop U Enseigne Ouest</v>
      </c>
      <c r="E294">
        <f ca="1">IFERROR(__xludf.DUMMYFUNCTION("""COMPUTED_VALUE"""),77620)</f>
        <v>77620</v>
      </c>
      <c r="F294" t="str">
        <f ca="1">IFERROR(__xludf.DUMMYFUNCTION("""COMPUTED_VALUE"""),"ROUTE DE LORREZ")</f>
        <v>ROUTE DE LORREZ</v>
      </c>
      <c r="G294" t="str">
        <f ca="1">IFERROR(__xludf.DUMMYFUNCTION("""COMPUTED_VALUE"""),"01.64.29.56.42")</f>
        <v>01.64.29.56.42</v>
      </c>
      <c r="H294" t="str">
        <f ca="1">IFERROR(__xludf.DUMMYFUNCTION("""COMPUTED_VALUE"""),"DEVOUCOUX Thierry")</f>
        <v>DEVOUCOUX Thierry</v>
      </c>
      <c r="I294" t="str">
        <f ca="1">IFERROR(__xludf.DUMMYFUNCTION("""COMPUTED_VALUE"""),"thierry.devoucoux@systeme-u.fr")</f>
        <v>thierry.devoucoux@systeme-u.fr</v>
      </c>
      <c r="J294" t="str">
        <f ca="1">IFERROR(__xludf.DUMMYFUNCTION("""COMPUTED_VALUE"""),"")</f>
        <v/>
      </c>
      <c r="K294" t="str">
        <f ca="1">IFERROR(__xludf.DUMMYFUNCTION("""COMPUTED_VALUE"""),"")</f>
        <v/>
      </c>
      <c r="L294" t="str">
        <f ca="1">IFERROR(__xludf.DUMMYFUNCTION("""COMPUTED_VALUE"""),"")</f>
        <v/>
      </c>
      <c r="M294" t="str">
        <f ca="1">IFERROR(__xludf.DUMMYFUNCTION("""COMPUTED_VALUE"""),"99.Hors Périmetre")</f>
        <v>99.Hors Périmetre</v>
      </c>
      <c r="N294" t="str">
        <f ca="1">IFERROR(__xludf.DUMMYFUNCTION("""COMPUTED_VALUE"""),"")</f>
        <v/>
      </c>
      <c r="O294" t="str">
        <f ca="1">IFERROR(__xludf.DUMMYFUNCTION("""COMPUTED_VALUE"""),"")</f>
        <v/>
      </c>
      <c r="P294" t="str">
        <f ca="1">IFERROR(__xludf.DUMMYFUNCTION("""COMPUTED_VALUE"""),"")</f>
        <v/>
      </c>
      <c r="Q294" s="5" t="str">
        <f ca="1">IFERROR(__xludf.DUMMYFUNCTION("""COMPUTED_VALUE"""),"")</f>
        <v/>
      </c>
      <c r="R294" s="6" t="str">
        <f ca="1">IFERROR(__xludf.DUMMYFUNCTION("""COMPUTED_VALUE"""),"")</f>
        <v/>
      </c>
      <c r="S294" t="str">
        <f ca="1">IFERROR(__xludf.DUMMYFUNCTION("""COMPUTED_VALUE"""),"")</f>
        <v/>
      </c>
      <c r="T294" t="str">
        <f ca="1">IFERROR(__xludf.DUMMYFUNCTION("""COMPUTED_VALUE"""),"")</f>
        <v/>
      </c>
      <c r="U294" t="str">
        <f ca="1">IFERROR(__xludf.DUMMYFUNCTION("""COMPUTED_VALUE"""),"")</f>
        <v/>
      </c>
      <c r="V294" t="str">
        <f ca="1">IFERROR(__xludf.DUMMYFUNCTION("""COMPUTED_VALUE"""),"")</f>
        <v/>
      </c>
      <c r="W294" t="str">
        <f ca="1">IFERROR(__xludf.DUMMYFUNCTION("""COMPUTED_VALUE"""),"")</f>
        <v/>
      </c>
      <c r="X294" t="str">
        <f ca="1">IFERROR(__xludf.DUMMYFUNCTION("""COMPUTED_VALUE"""),"")</f>
        <v/>
      </c>
      <c r="Y294" t="str">
        <f ca="1">IFERROR(__xludf.DUMMYFUNCTION("""COMPUTED_VALUE"""),"")</f>
        <v/>
      </c>
      <c r="Z294" t="str">
        <f ca="1">IFERROR(__xludf.DUMMYFUNCTION("""COMPUTED_VALUE"""),"")</f>
        <v/>
      </c>
      <c r="AA294" t="str">
        <f ca="1">IFERROR(__xludf.DUMMYFUNCTION("""COMPUTED_VALUE"""),"Pas de commande")</f>
        <v>Pas de commande</v>
      </c>
      <c r="AB294" s="8" t="str">
        <f ca="1">IFERROR(__xludf.DUMMYFUNCTION("""COMPUTED_VALUE"""),"")</f>
        <v/>
      </c>
      <c r="AC294" s="8" t="str">
        <f ca="1">IFERROR(__xludf.DUMMYFUNCTION("""COMPUTED_VALUE"""),"")</f>
        <v/>
      </c>
      <c r="AD294" s="11" t="str">
        <f ca="1">IFERROR(__xludf.DUMMYFUNCTION("""COMPUTED_VALUE"""),"")</f>
        <v/>
      </c>
      <c r="AE294" t="str">
        <f ca="1">IFERROR(__xludf.DUMMYFUNCTION("""COMPUTED_VALUE"""),"")</f>
        <v/>
      </c>
    </row>
    <row r="295" spans="1:31" ht="12.75" x14ac:dyDescent="0.2">
      <c r="A295">
        <f ca="1">IFERROR(__xludf.DUMMYFUNCTION("""COMPUTED_VALUE"""),31511)</f>
        <v>31511</v>
      </c>
      <c r="B295" t="str">
        <f ca="1">IFERROR(__xludf.DUMMYFUNCTION("""COMPUTED_VALUE"""),"EGUZON")</f>
        <v>EGUZON</v>
      </c>
      <c r="C295" t="str">
        <f ca="1">IFERROR(__xludf.DUMMYFUNCTION("""COMPUTED_VALUE"""),"Super U")</f>
        <v>Super U</v>
      </c>
      <c r="D295" t="str">
        <f ca="1">IFERROR(__xludf.DUMMYFUNCTION("""COMPUTED_VALUE"""),"Coop U Enseigne Ouest")</f>
        <v>Coop U Enseigne Ouest</v>
      </c>
      <c r="E295">
        <f ca="1">IFERROR(__xludf.DUMMYFUNCTION("""COMPUTED_VALUE"""),36270)</f>
        <v>36270</v>
      </c>
      <c r="F295" t="str">
        <f ca="1">IFERROR(__xludf.DUMMYFUNCTION("""COMPUTED_VALUE"""),"RUE CAMILLE TOUSSAINT")</f>
        <v>RUE CAMILLE TOUSSAINT</v>
      </c>
      <c r="G295" t="str">
        <f ca="1">IFERROR(__xludf.DUMMYFUNCTION("""COMPUTED_VALUE"""),"02.54.47.46.86")</f>
        <v>02.54.47.46.86</v>
      </c>
      <c r="H295" t="str">
        <f ca="1">IFERROR(__xludf.DUMMYFUNCTION("""COMPUTED_VALUE"""),"RICHARD Jean-Paul")</f>
        <v>RICHARD Jean-Paul</v>
      </c>
      <c r="I295" t="str">
        <f ca="1">IFERROR(__xludf.DUMMYFUNCTION("""COMPUTED_VALUE"""),"jean-paul.richard@systeme-u.fr")</f>
        <v>jean-paul.richard@systeme-u.fr</v>
      </c>
      <c r="J295" t="str">
        <f ca="1">IFERROR(__xludf.DUMMYFUNCTION("""COMPUTED_VALUE"""),"Andréa SHACKLEY")</f>
        <v>Andréa SHACKLEY</v>
      </c>
      <c r="K295" t="str">
        <f ca="1">IFERROR(__xludf.DUMMYFUNCTION("""COMPUTED_VALUE"""),"superu.eguzon@systeme-u.fr")</f>
        <v>superu.eguzon@systeme-u.fr</v>
      </c>
      <c r="L295" t="str">
        <f ca="1">IFERROR(__xludf.DUMMYFUNCTION("""COMPUTED_VALUE"""),"")</f>
        <v/>
      </c>
      <c r="M295" t="str">
        <f ca="1">IFERROR(__xludf.DUMMYFUNCTION("""COMPUTED_VALUE"""),"99.Hors Périmetre")</f>
        <v>99.Hors Périmetre</v>
      </c>
      <c r="N295" t="str">
        <f ca="1">IFERROR(__xludf.DUMMYFUNCTION("""COMPUTED_VALUE"""),"")</f>
        <v/>
      </c>
      <c r="O295" t="str">
        <f ca="1">IFERROR(__xludf.DUMMYFUNCTION("""COMPUTED_VALUE"""),"")</f>
        <v/>
      </c>
      <c r="P295" t="str">
        <f ca="1">IFERROR(__xludf.DUMMYFUNCTION("""COMPUTED_VALUE"""),"")</f>
        <v/>
      </c>
      <c r="Q295" s="5" t="str">
        <f ca="1">IFERROR(__xludf.DUMMYFUNCTION("""COMPUTED_VALUE"""),"")</f>
        <v/>
      </c>
      <c r="R295" s="6" t="str">
        <f ca="1">IFERROR(__xludf.DUMMYFUNCTION("""COMPUTED_VALUE"""),"")</f>
        <v/>
      </c>
      <c r="S295" t="str">
        <f ca="1">IFERROR(__xludf.DUMMYFUNCTION("""COMPUTED_VALUE"""),"")</f>
        <v/>
      </c>
      <c r="T295" t="str">
        <f ca="1">IFERROR(__xludf.DUMMYFUNCTION("""COMPUTED_VALUE"""),"")</f>
        <v/>
      </c>
      <c r="U295" t="str">
        <f ca="1">IFERROR(__xludf.DUMMYFUNCTION("""COMPUTED_VALUE"""),"")</f>
        <v/>
      </c>
      <c r="V295" t="str">
        <f ca="1">IFERROR(__xludf.DUMMYFUNCTION("""COMPUTED_VALUE"""),"")</f>
        <v/>
      </c>
      <c r="W295" t="str">
        <f ca="1">IFERROR(__xludf.DUMMYFUNCTION("""COMPUTED_VALUE"""),"")</f>
        <v/>
      </c>
      <c r="X295" t="str">
        <f ca="1">IFERROR(__xludf.DUMMYFUNCTION("""COMPUTED_VALUE"""),"")</f>
        <v/>
      </c>
      <c r="Y295" t="str">
        <f ca="1">IFERROR(__xludf.DUMMYFUNCTION("""COMPUTED_VALUE"""),"")</f>
        <v/>
      </c>
      <c r="Z295" t="str">
        <f ca="1">IFERROR(__xludf.DUMMYFUNCTION("""COMPUTED_VALUE"""),"")</f>
        <v/>
      </c>
      <c r="AA295" t="str">
        <f ca="1">IFERROR(__xludf.DUMMYFUNCTION("""COMPUTED_VALUE"""),"Pas de commande")</f>
        <v>Pas de commande</v>
      </c>
      <c r="AB295" s="8" t="str">
        <f ca="1">IFERROR(__xludf.DUMMYFUNCTION("""COMPUTED_VALUE"""),"")</f>
        <v/>
      </c>
      <c r="AC295" s="8" t="str">
        <f ca="1">IFERROR(__xludf.DUMMYFUNCTION("""COMPUTED_VALUE"""),"")</f>
        <v/>
      </c>
      <c r="AD295" s="11" t="str">
        <f ca="1">IFERROR(__xludf.DUMMYFUNCTION("""COMPUTED_VALUE"""),"")</f>
        <v/>
      </c>
      <c r="AE295" t="str">
        <f ca="1">IFERROR(__xludf.DUMMYFUNCTION("""COMPUTED_VALUE"""),"")</f>
        <v/>
      </c>
    </row>
    <row r="296" spans="1:31" ht="12.75" x14ac:dyDescent="0.2">
      <c r="A296">
        <f ca="1">IFERROR(__xludf.DUMMYFUNCTION("""COMPUTED_VALUE"""),90282)</f>
        <v>90282</v>
      </c>
      <c r="B296" t="str">
        <f ca="1">IFERROR(__xludf.DUMMYFUNCTION("""COMPUTED_VALUE"""),"EMBRUN")</f>
        <v>EMBRUN</v>
      </c>
      <c r="C296" t="str">
        <f ca="1">IFERROR(__xludf.DUMMYFUNCTION("""COMPUTED_VALUE"""),"Super U")</f>
        <v>Super U</v>
      </c>
      <c r="D296" t="str">
        <f ca="1">IFERROR(__xludf.DUMMYFUNCTION("""COMPUTED_VALUE"""),"Coop U Enseigne Sud")</f>
        <v>Coop U Enseigne Sud</v>
      </c>
      <c r="E296">
        <f ca="1">IFERROR(__xludf.DUMMYFUNCTION("""COMPUTED_VALUE"""),5200)</f>
        <v>5200</v>
      </c>
      <c r="F296" t="str">
        <f ca="1">IFERROR(__xludf.DUMMYFUNCTION("""COMPUTED_VALUE"""),"BP 68 CC Rives de DURANCE")</f>
        <v>BP 68 CC Rives de DURANCE</v>
      </c>
      <c r="G296" t="str">
        <f ca="1">IFERROR(__xludf.DUMMYFUNCTION("""COMPUTED_VALUE"""),"04.92.43.28.50")</f>
        <v>04.92.43.28.50</v>
      </c>
      <c r="H296" t="str">
        <f ca="1">IFERROR(__xludf.DUMMYFUNCTION("""COMPUTED_VALUE"""),"VAPPEREAU Alain")</f>
        <v>VAPPEREAU Alain</v>
      </c>
      <c r="I296" t="str">
        <f ca="1">IFERROR(__xludf.DUMMYFUNCTION("""COMPUTED_VALUE"""),"alain.vappereau@systeme-u.fr")</f>
        <v>alain.vappereau@systeme-u.fr</v>
      </c>
      <c r="J296" t="str">
        <f ca="1">IFERROR(__xludf.DUMMYFUNCTION("""COMPUTED_VALUE"""),"")</f>
        <v/>
      </c>
      <c r="K296" t="str">
        <f ca="1">IFERROR(__xludf.DUMMYFUNCTION("""COMPUTED_VALUE"""),"superu.embrun.pgc@systeme-u.fr")</f>
        <v>superu.embrun.pgc@systeme-u.fr</v>
      </c>
      <c r="L296" t="str">
        <f ca="1">IFERROR(__xludf.DUMMYFUNCTION("""COMPUTED_VALUE"""),"Standard")</f>
        <v>Standard</v>
      </c>
      <c r="M296" t="str">
        <f ca="1">IFERROR(__xludf.DUMMYFUNCTION("""COMPUTED_VALUE"""),"0. Non démarré")</f>
        <v>0. Non démarré</v>
      </c>
      <c r="N296" t="str">
        <f ca="1">IFERROR(__xludf.DUMMYFUNCTION("""COMPUTED_VALUE"""),"")</f>
        <v/>
      </c>
      <c r="O296" t="str">
        <f ca="1">IFERROR(__xludf.DUMMYFUNCTION("""COMPUTED_VALUE"""),"")</f>
        <v/>
      </c>
      <c r="P296" t="str">
        <f ca="1">IFERROR(__xludf.DUMMYFUNCTION("""COMPUTED_VALUE"""),"")</f>
        <v/>
      </c>
      <c r="Q296" s="5" t="str">
        <f ca="1">IFERROR(__xludf.DUMMYFUNCTION("""COMPUTED_VALUE"""),"")</f>
        <v/>
      </c>
      <c r="R296" s="6" t="str">
        <f ca="1">IFERROR(__xludf.DUMMYFUNCTION("""COMPUTED_VALUE"""),"")</f>
        <v/>
      </c>
      <c r="S296" t="str">
        <f ca="1">IFERROR(__xludf.DUMMYFUNCTION("""COMPUTED_VALUE"""),"")</f>
        <v/>
      </c>
      <c r="T296" t="str">
        <f ca="1">IFERROR(__xludf.DUMMYFUNCTION("""COMPUTED_VALUE"""),"")</f>
        <v/>
      </c>
      <c r="U296" t="str">
        <f ca="1">IFERROR(__xludf.DUMMYFUNCTION("""COMPUTED_VALUE"""),"")</f>
        <v/>
      </c>
      <c r="V296" t="str">
        <f ca="1">IFERROR(__xludf.DUMMYFUNCTION("""COMPUTED_VALUE"""),"")</f>
        <v/>
      </c>
      <c r="W296" t="str">
        <f ca="1">IFERROR(__xludf.DUMMYFUNCTION("""COMPUTED_VALUE"""),"R5")</f>
        <v>R5</v>
      </c>
      <c r="X296" t="str">
        <f ca="1">IFERROR(__xludf.DUMMYFUNCTION("""COMPUTED_VALUE"""),"Pricer")</f>
        <v>Pricer</v>
      </c>
      <c r="Y296" t="str">
        <f ca="1">IFERROR(__xludf.DUMMYFUNCTION("""COMPUTED_VALUE"""),"")</f>
        <v/>
      </c>
      <c r="Z296" t="str">
        <f ca="1">IFERROR(__xludf.DUMMYFUNCTION("""COMPUTED_VALUE"""),"")</f>
        <v/>
      </c>
      <c r="AA296" t="str">
        <f ca="1">IFERROR(__xludf.DUMMYFUNCTION("""COMPUTED_VALUE"""),"Pas de commande")</f>
        <v>Pas de commande</v>
      </c>
      <c r="AB296" s="8" t="str">
        <f ca="1">IFERROR(__xludf.DUMMYFUNCTION("""COMPUTED_VALUE"""),"")</f>
        <v/>
      </c>
      <c r="AC296" s="8" t="str">
        <f ca="1">IFERROR(__xludf.DUMMYFUNCTION("""COMPUTED_VALUE"""),"")</f>
        <v/>
      </c>
      <c r="AD296" s="11" t="str">
        <f ca="1">IFERROR(__xludf.DUMMYFUNCTION("""COMPUTED_VALUE"""),"")</f>
        <v/>
      </c>
      <c r="AE296" t="str">
        <f ca="1">IFERROR(__xludf.DUMMYFUNCTION("""COMPUTED_VALUE"""),"")</f>
        <v/>
      </c>
    </row>
    <row r="297" spans="1:31" ht="12.75" x14ac:dyDescent="0.2">
      <c r="A297">
        <f ca="1">IFERROR(__xludf.DUMMYFUNCTION("""COMPUTED_VALUE"""),95463)</f>
        <v>95463</v>
      </c>
      <c r="B297" t="str">
        <f ca="1">IFERROR(__xludf.DUMMYFUNCTION("""COMPUTED_VALUE"""),"ENTRAYGUES")</f>
        <v>ENTRAYGUES</v>
      </c>
      <c r="C297" t="str">
        <f ca="1">IFERROR(__xludf.DUMMYFUNCTION("""COMPUTED_VALUE"""),"U Express")</f>
        <v>U Express</v>
      </c>
      <c r="D297" t="str">
        <f ca="1">IFERROR(__xludf.DUMMYFUNCTION("""COMPUTED_VALUE"""),"Coop UPSO")</f>
        <v>Coop UPSO</v>
      </c>
      <c r="E297">
        <f ca="1">IFERROR(__xludf.DUMMYFUNCTION("""COMPUTED_VALUE"""),12140)</f>
        <v>12140</v>
      </c>
      <c r="F297" t="str">
        <f ca="1">IFERROR(__xludf.DUMMYFUNCTION("""COMPUTED_VALUE"""),"3 AVENUE DE LA CORNELIE")</f>
        <v>3 AVENUE DE LA CORNELIE</v>
      </c>
      <c r="G297" t="str">
        <f ca="1">IFERROR(__xludf.DUMMYFUNCTION("""COMPUTED_VALUE"""),"05.65.48.26.74")</f>
        <v>05.65.48.26.74</v>
      </c>
      <c r="H297" t="str">
        <f ca="1">IFERROR(__xludf.DUMMYFUNCTION("""COMPUTED_VALUE"""),"PONCET Jerome et Rosette")</f>
        <v>PONCET Jerome et Rosette</v>
      </c>
      <c r="I297" t="str">
        <f ca="1">IFERROR(__xludf.DUMMYFUNCTION("""COMPUTED_VALUE"""),"uexpress.entraygues@systeme-u.fr")</f>
        <v>uexpress.entraygues@systeme-u.fr</v>
      </c>
      <c r="J297" t="str">
        <f ca="1">IFERROR(__xludf.DUMMYFUNCTION("""COMPUTED_VALUE"""),"")</f>
        <v/>
      </c>
      <c r="K297" t="str">
        <f ca="1">IFERROR(__xludf.DUMMYFUNCTION("""COMPUTED_VALUE"""),"")</f>
        <v/>
      </c>
      <c r="L297" t="str">
        <f ca="1">IFERROR(__xludf.DUMMYFUNCTION("""COMPUTED_VALUE"""),"")</f>
        <v/>
      </c>
      <c r="M297" t="str">
        <f ca="1">IFERROR(__xludf.DUMMYFUNCTION("""COMPUTED_VALUE"""),"99.Hors Périmetre")</f>
        <v>99.Hors Périmetre</v>
      </c>
      <c r="N297" t="str">
        <f ca="1">IFERROR(__xludf.DUMMYFUNCTION("""COMPUTED_VALUE"""),"")</f>
        <v/>
      </c>
      <c r="O297" t="str">
        <f ca="1">IFERROR(__xludf.DUMMYFUNCTION("""COMPUTED_VALUE"""),"")</f>
        <v/>
      </c>
      <c r="P297" t="str">
        <f ca="1">IFERROR(__xludf.DUMMYFUNCTION("""COMPUTED_VALUE"""),"")</f>
        <v/>
      </c>
      <c r="Q297" s="5" t="str">
        <f ca="1">IFERROR(__xludf.DUMMYFUNCTION("""COMPUTED_VALUE"""),"")</f>
        <v/>
      </c>
      <c r="R297" s="6" t="str">
        <f ca="1">IFERROR(__xludf.DUMMYFUNCTION("""COMPUTED_VALUE"""),"")</f>
        <v/>
      </c>
      <c r="S297" t="str">
        <f ca="1">IFERROR(__xludf.DUMMYFUNCTION("""COMPUTED_VALUE"""),"")</f>
        <v/>
      </c>
      <c r="T297" t="str">
        <f ca="1">IFERROR(__xludf.DUMMYFUNCTION("""COMPUTED_VALUE"""),"")</f>
        <v/>
      </c>
      <c r="U297" t="str">
        <f ca="1">IFERROR(__xludf.DUMMYFUNCTION("""COMPUTED_VALUE"""),"")</f>
        <v/>
      </c>
      <c r="V297" t="str">
        <f ca="1">IFERROR(__xludf.DUMMYFUNCTION("""COMPUTED_VALUE"""),"")</f>
        <v/>
      </c>
      <c r="W297" t="str">
        <f ca="1">IFERROR(__xludf.DUMMYFUNCTION("""COMPUTED_VALUE"""),"")</f>
        <v/>
      </c>
      <c r="X297" t="str">
        <f ca="1">IFERROR(__xludf.DUMMYFUNCTION("""COMPUTED_VALUE"""),"")</f>
        <v/>
      </c>
      <c r="Y297" t="str">
        <f ca="1">IFERROR(__xludf.DUMMYFUNCTION("""COMPUTED_VALUE"""),"")</f>
        <v/>
      </c>
      <c r="Z297" t="str">
        <f ca="1">IFERROR(__xludf.DUMMYFUNCTION("""COMPUTED_VALUE"""),"")</f>
        <v/>
      </c>
      <c r="AA297" t="str">
        <f ca="1">IFERROR(__xludf.DUMMYFUNCTION("""COMPUTED_VALUE"""),"Pas de commande")</f>
        <v>Pas de commande</v>
      </c>
      <c r="AB297" s="8" t="str">
        <f ca="1">IFERROR(__xludf.DUMMYFUNCTION("""COMPUTED_VALUE"""),"")</f>
        <v/>
      </c>
      <c r="AC297" s="8" t="str">
        <f ca="1">IFERROR(__xludf.DUMMYFUNCTION("""COMPUTED_VALUE"""),"")</f>
        <v/>
      </c>
      <c r="AD297" s="11" t="str">
        <f ca="1">IFERROR(__xludf.DUMMYFUNCTION("""COMPUTED_VALUE"""),"")</f>
        <v/>
      </c>
      <c r="AE297" t="str">
        <f ca="1">IFERROR(__xludf.DUMMYFUNCTION("""COMPUTED_VALUE"""),"")</f>
        <v/>
      </c>
    </row>
    <row r="298" spans="1:31" ht="12.75" x14ac:dyDescent="0.2">
      <c r="A298">
        <f ca="1">IFERROR(__xludf.DUMMYFUNCTION("""COMPUTED_VALUE"""),99221)</f>
        <v>99221</v>
      </c>
      <c r="B298" t="str">
        <f ca="1">IFERROR(__xludf.DUMMYFUNCTION("""COMPUTED_VALUE"""),"ENTRE-DEUX-IDR")</f>
        <v>ENTRE-DEUX-IDR</v>
      </c>
      <c r="C298" t="str">
        <f ca="1">IFERROR(__xludf.DUMMYFUNCTION("""COMPUTED_VALUE"""),"U Express")</f>
        <v>U Express</v>
      </c>
      <c r="D298" t="str">
        <f ca="1">IFERROR(__xludf.DUMMYFUNCTION("""COMPUTED_VALUE"""),"Coop U Enseigne Sud")</f>
        <v>Coop U Enseigne Sud</v>
      </c>
      <c r="E298">
        <f ca="1">IFERROR(__xludf.DUMMYFUNCTION("""COMPUTED_VALUE"""),97414)</f>
        <v>97414</v>
      </c>
      <c r="F298" t="str">
        <f ca="1">IFERROR(__xludf.DUMMYFUNCTION("""COMPUTED_VALUE"""),"3 RUE DU COMMERCE")</f>
        <v>3 RUE DU COMMERCE</v>
      </c>
      <c r="G298" t="str">
        <f ca="1">IFERROR(__xludf.DUMMYFUNCTION("""COMPUTED_VALUE"""),"02.62.39.51.15")</f>
        <v>02.62.39.51.15</v>
      </c>
      <c r="H298" t="str">
        <f ca="1">IFERROR(__xludf.DUMMYFUNCTION("""COMPUTED_VALUE"""),"YOUNG PIN Frederick")</f>
        <v>YOUNG PIN Frederick</v>
      </c>
      <c r="I298" t="str">
        <f ca="1">IFERROR(__xludf.DUMMYFUNCTION("""COMPUTED_VALUE"""),"frederick.young-pin@systeme-u.fr")</f>
        <v>frederick.young-pin@systeme-u.fr</v>
      </c>
      <c r="J298" t="str">
        <f ca="1">IFERROR(__xludf.DUMMYFUNCTION("""COMPUTED_VALUE"""),"")</f>
        <v/>
      </c>
      <c r="K298" t="str">
        <f ca="1">IFERROR(__xludf.DUMMYFUNCTION("""COMPUTED_VALUE"""),"")</f>
        <v/>
      </c>
      <c r="L298" t="str">
        <f ca="1">IFERROR(__xludf.DUMMYFUNCTION("""COMPUTED_VALUE"""),"")</f>
        <v/>
      </c>
      <c r="M298" t="str">
        <f ca="1">IFERROR(__xludf.DUMMYFUNCTION("""COMPUTED_VALUE"""),"99.Hors Périmetre")</f>
        <v>99.Hors Périmetre</v>
      </c>
      <c r="N298" t="str">
        <f ca="1">IFERROR(__xludf.DUMMYFUNCTION("""COMPUTED_VALUE"""),"")</f>
        <v/>
      </c>
      <c r="O298" t="str">
        <f ca="1">IFERROR(__xludf.DUMMYFUNCTION("""COMPUTED_VALUE"""),"")</f>
        <v/>
      </c>
      <c r="P298" t="str">
        <f ca="1">IFERROR(__xludf.DUMMYFUNCTION("""COMPUTED_VALUE"""),"")</f>
        <v/>
      </c>
      <c r="Q298" s="5" t="str">
        <f ca="1">IFERROR(__xludf.DUMMYFUNCTION("""COMPUTED_VALUE"""),"")</f>
        <v/>
      </c>
      <c r="R298" s="6" t="str">
        <f ca="1">IFERROR(__xludf.DUMMYFUNCTION("""COMPUTED_VALUE"""),"")</f>
        <v/>
      </c>
      <c r="S298" t="str">
        <f ca="1">IFERROR(__xludf.DUMMYFUNCTION("""COMPUTED_VALUE"""),"")</f>
        <v/>
      </c>
      <c r="T298" t="str">
        <f ca="1">IFERROR(__xludf.DUMMYFUNCTION("""COMPUTED_VALUE"""),"")</f>
        <v/>
      </c>
      <c r="U298" t="str">
        <f ca="1">IFERROR(__xludf.DUMMYFUNCTION("""COMPUTED_VALUE"""),"")</f>
        <v/>
      </c>
      <c r="V298" t="str">
        <f ca="1">IFERROR(__xludf.DUMMYFUNCTION("""COMPUTED_VALUE"""),"")</f>
        <v/>
      </c>
      <c r="W298" t="str">
        <f ca="1">IFERROR(__xludf.DUMMYFUNCTION("""COMPUTED_VALUE"""),"")</f>
        <v/>
      </c>
      <c r="X298" t="str">
        <f ca="1">IFERROR(__xludf.DUMMYFUNCTION("""COMPUTED_VALUE"""),"")</f>
        <v/>
      </c>
      <c r="Y298" t="str">
        <f ca="1">IFERROR(__xludf.DUMMYFUNCTION("""COMPUTED_VALUE"""),"")</f>
        <v/>
      </c>
      <c r="Z298" t="str">
        <f ca="1">IFERROR(__xludf.DUMMYFUNCTION("""COMPUTED_VALUE"""),"")</f>
        <v/>
      </c>
      <c r="AA298" t="str">
        <f ca="1">IFERROR(__xludf.DUMMYFUNCTION("""COMPUTED_VALUE"""),"Pas de commande")</f>
        <v>Pas de commande</v>
      </c>
      <c r="AB298" s="8" t="str">
        <f ca="1">IFERROR(__xludf.DUMMYFUNCTION("""COMPUTED_VALUE"""),"")</f>
        <v/>
      </c>
      <c r="AC298" s="8" t="str">
        <f ca="1">IFERROR(__xludf.DUMMYFUNCTION("""COMPUTED_VALUE"""),"")</f>
        <v/>
      </c>
      <c r="AD298" s="11" t="str">
        <f ca="1">IFERROR(__xludf.DUMMYFUNCTION("""COMPUTED_VALUE"""),"")</f>
        <v/>
      </c>
      <c r="AE298" t="str">
        <f ca="1">IFERROR(__xludf.DUMMYFUNCTION("""COMPUTED_VALUE"""),"")</f>
        <v/>
      </c>
    </row>
    <row r="299" spans="1:31" ht="12.75" x14ac:dyDescent="0.2">
      <c r="A299">
        <f ca="1">IFERROR(__xludf.DUMMYFUNCTION("""COMPUTED_VALUE"""),20701)</f>
        <v>20701</v>
      </c>
      <c r="B299" t="str">
        <f ca="1">IFERROR(__xludf.DUMMYFUNCTION("""COMPUTED_VALUE"""),"EQUEURDREVILLE")</f>
        <v>EQUEURDREVILLE</v>
      </c>
      <c r="C299" t="str">
        <f ca="1">IFERROR(__xludf.DUMMYFUNCTION("""COMPUTED_VALUE"""),"U Express")</f>
        <v>U Express</v>
      </c>
      <c r="D299" t="str">
        <f ca="1">IFERROR(__xludf.DUMMYFUNCTION("""COMPUTED_VALUE"""),"Coop U Enseigne NordOuest")</f>
        <v>Coop U Enseigne NordOuest</v>
      </c>
      <c r="E299">
        <f ca="1">IFERROR(__xludf.DUMMYFUNCTION("""COMPUTED_VALUE"""),50120)</f>
        <v>50120</v>
      </c>
      <c r="F299" t="str">
        <f ca="1">IFERROR(__xludf.DUMMYFUNCTION("""COMPUTED_VALUE"""),"60-66 RUE DE LA PAIX")</f>
        <v>60-66 RUE DE LA PAIX</v>
      </c>
      <c r="G299" t="str">
        <f ca="1">IFERROR(__xludf.DUMMYFUNCTION("""COMPUTED_VALUE"""),"02.33.93.86.02")</f>
        <v>02.33.93.86.02</v>
      </c>
      <c r="H299" t="str">
        <f ca="1">IFERROR(__xludf.DUMMYFUNCTION("""COMPUTED_VALUE"""),"BLONDET Renaud")</f>
        <v>BLONDET Renaud</v>
      </c>
      <c r="I299" t="str">
        <f ca="1">IFERROR(__xludf.DUMMYFUNCTION("""COMPUTED_VALUE"""),"renaud.blondet@systeme-u.fr")</f>
        <v>renaud.blondet@systeme-u.fr</v>
      </c>
      <c r="J299" t="str">
        <f ca="1">IFERROR(__xludf.DUMMYFUNCTION("""COMPUTED_VALUE"""),"Florence")</f>
        <v>Florence</v>
      </c>
      <c r="K299" t="str">
        <f ca="1">IFERROR(__xludf.DUMMYFUNCTION("""COMPUTED_VALUE"""),"uexpress.equeurdreville@systeme-u.fr,philippe.cappe@coop-cnp.coop")</f>
        <v>uexpress.equeurdreville@systeme-u.fr,philippe.cappe@coop-cnp.coop</v>
      </c>
      <c r="L299" t="str">
        <f ca="1">IFERROR(__xludf.DUMMYFUNCTION("""COMPUTED_VALUE"""),"Standard")</f>
        <v>Standard</v>
      </c>
      <c r="M299" t="str">
        <f ca="1">IFERROR(__xludf.DUMMYFUNCTION("""COMPUTED_VALUE"""),"0. Non démarré")</f>
        <v>0. Non démarré</v>
      </c>
      <c r="N299" t="str">
        <f ca="1">IFERROR(__xludf.DUMMYFUNCTION("""COMPUTED_VALUE"""),"")</f>
        <v/>
      </c>
      <c r="O299" t="str">
        <f ca="1">IFERROR(__xludf.DUMMYFUNCTION("""COMPUTED_VALUE"""),"")</f>
        <v/>
      </c>
      <c r="P299" t="str">
        <f ca="1">IFERROR(__xludf.DUMMYFUNCTION("""COMPUTED_VALUE"""),"")</f>
        <v/>
      </c>
      <c r="Q299" s="5" t="str">
        <f ca="1">IFERROR(__xludf.DUMMYFUNCTION("""COMPUTED_VALUE"""),"")</f>
        <v/>
      </c>
      <c r="R299" s="6" t="str">
        <f ca="1">IFERROR(__xludf.DUMMYFUNCTION("""COMPUTED_VALUE"""),"")</f>
        <v/>
      </c>
      <c r="S299" t="str">
        <f ca="1">IFERROR(__xludf.DUMMYFUNCTION("""COMPUTED_VALUE"""),"")</f>
        <v/>
      </c>
      <c r="T299" t="str">
        <f ca="1">IFERROR(__xludf.DUMMYFUNCTION("""COMPUTED_VALUE"""),"")</f>
        <v/>
      </c>
      <c r="U299" t="str">
        <f ca="1">IFERROR(__xludf.DUMMYFUNCTION("""COMPUTED_VALUE"""),"")</f>
        <v/>
      </c>
      <c r="V299" t="str">
        <f ca="1">IFERROR(__xludf.DUMMYFUNCTION("""COMPUTED_VALUE"""),"")</f>
        <v/>
      </c>
      <c r="W299" t="str">
        <f ca="1">IFERROR(__xludf.DUMMYFUNCTION("""COMPUTED_VALUE"""),"R3")</f>
        <v>R3</v>
      </c>
      <c r="X299" t="str">
        <f ca="1">IFERROR(__xludf.DUMMYFUNCTION("""COMPUTED_VALUE"""),"Pricer &lt;8Go")</f>
        <v>Pricer &lt;8Go</v>
      </c>
      <c r="Y299" t="str">
        <f ca="1">IFERROR(__xludf.DUMMYFUNCTION("""COMPUTED_VALUE"""),"")</f>
        <v/>
      </c>
      <c r="Z299" t="str">
        <f ca="1">IFERROR(__xludf.DUMMYFUNCTION("""COMPUTED_VALUE"""),"")</f>
        <v/>
      </c>
      <c r="AA299" t="str">
        <f ca="1">IFERROR(__xludf.DUMMYFUNCTION("""COMPUTED_VALUE"""),"Pas de commande")</f>
        <v>Pas de commande</v>
      </c>
      <c r="AB299" s="8" t="str">
        <f ca="1">IFERROR(__xludf.DUMMYFUNCTION("""COMPUTED_VALUE"""),"")</f>
        <v/>
      </c>
      <c r="AC299" s="8" t="str">
        <f ca="1">IFERROR(__xludf.DUMMYFUNCTION("""COMPUTED_VALUE"""),"")</f>
        <v/>
      </c>
      <c r="AD299" s="11" t="str">
        <f ca="1">IFERROR(__xludf.DUMMYFUNCTION("""COMPUTED_VALUE"""),"")</f>
        <v/>
      </c>
      <c r="AE299" t="str">
        <f ca="1">IFERROR(__xludf.DUMMYFUNCTION("""COMPUTED_VALUE"""),"")</f>
        <v/>
      </c>
    </row>
    <row r="300" spans="1:31" ht="12.75" x14ac:dyDescent="0.2">
      <c r="A300">
        <f ca="1">IFERROR(__xludf.DUMMYFUNCTION("""COMPUTED_VALUE"""),28737)</f>
        <v>28737</v>
      </c>
      <c r="B300" t="str">
        <f ca="1">IFERROR(__xludf.DUMMYFUNCTION("""COMPUTED_VALUE"""),"ERAGNY SUR OISE")</f>
        <v>ERAGNY SUR OISE</v>
      </c>
      <c r="C300" t="str">
        <f ca="1">IFERROR(__xludf.DUMMYFUNCTION("""COMPUTED_VALUE"""),"Super U")</f>
        <v>Super U</v>
      </c>
      <c r="D300" t="str">
        <f ca="1">IFERROR(__xludf.DUMMYFUNCTION("""COMPUTED_VALUE"""),"Coop U Enseigne NordOuest")</f>
        <v>Coop U Enseigne NordOuest</v>
      </c>
      <c r="E300">
        <f ca="1">IFERROR(__xludf.DUMMYFUNCTION("""COMPUTED_VALUE"""),95610)</f>
        <v>95610</v>
      </c>
      <c r="F300" t="str">
        <f ca="1">IFERROR(__xludf.DUMMYFUNCTION("""COMPUTED_VALUE"""),"1 RUE DU BAS NOYER")</f>
        <v>1 RUE DU BAS NOYER</v>
      </c>
      <c r="G300" t="str">
        <f ca="1">IFERROR(__xludf.DUMMYFUNCTION("""COMPUTED_VALUE"""),"01.34.40.11.50")</f>
        <v>01.34.40.11.50</v>
      </c>
      <c r="H300" t="str">
        <f ca="1">IFERROR(__xludf.DUMMYFUNCTION("""COMPUTED_VALUE"""),"FERRAND Alain")</f>
        <v>FERRAND Alain</v>
      </c>
      <c r="I300" t="str">
        <f ca="1">IFERROR(__xludf.DUMMYFUNCTION("""COMPUTED_VALUE"""),"alain.ferrand@systeme-u.fr")</f>
        <v>alain.ferrand@systeme-u.fr</v>
      </c>
      <c r="J300" t="str">
        <f ca="1">IFERROR(__xludf.DUMMYFUNCTION("""COMPUTED_VALUE"""),"")</f>
        <v/>
      </c>
      <c r="K300" t="str">
        <f ca="1">IFERROR(__xludf.DUMMYFUNCTION("""COMPUTED_VALUE"""),"")</f>
        <v/>
      </c>
      <c r="L300" t="str">
        <f ca="1">IFERROR(__xludf.DUMMYFUNCTION("""COMPUTED_VALUE"""),"")</f>
        <v/>
      </c>
      <c r="M300" t="str">
        <f ca="1">IFERROR(__xludf.DUMMYFUNCTION("""COMPUTED_VALUE"""),"99.Hors Périmetre")</f>
        <v>99.Hors Périmetre</v>
      </c>
      <c r="N300" t="str">
        <f ca="1">IFERROR(__xludf.DUMMYFUNCTION("""COMPUTED_VALUE"""),"")</f>
        <v/>
      </c>
      <c r="O300" t="str">
        <f ca="1">IFERROR(__xludf.DUMMYFUNCTION("""COMPUTED_VALUE"""),"")</f>
        <v/>
      </c>
      <c r="P300" t="str">
        <f ca="1">IFERROR(__xludf.DUMMYFUNCTION("""COMPUTED_VALUE"""),"")</f>
        <v/>
      </c>
      <c r="Q300" s="5" t="str">
        <f ca="1">IFERROR(__xludf.DUMMYFUNCTION("""COMPUTED_VALUE"""),"")</f>
        <v/>
      </c>
      <c r="R300" s="6" t="str">
        <f ca="1">IFERROR(__xludf.DUMMYFUNCTION("""COMPUTED_VALUE"""),"")</f>
        <v/>
      </c>
      <c r="S300" t="str">
        <f ca="1">IFERROR(__xludf.DUMMYFUNCTION("""COMPUTED_VALUE"""),"")</f>
        <v/>
      </c>
      <c r="T300" t="str">
        <f ca="1">IFERROR(__xludf.DUMMYFUNCTION("""COMPUTED_VALUE"""),"")</f>
        <v/>
      </c>
      <c r="U300" t="str">
        <f ca="1">IFERROR(__xludf.DUMMYFUNCTION("""COMPUTED_VALUE"""),"")</f>
        <v/>
      </c>
      <c r="V300" t="str">
        <f ca="1">IFERROR(__xludf.DUMMYFUNCTION("""COMPUTED_VALUE"""),"")</f>
        <v/>
      </c>
      <c r="W300" t="str">
        <f ca="1">IFERROR(__xludf.DUMMYFUNCTION("""COMPUTED_VALUE"""),"")</f>
        <v/>
      </c>
      <c r="X300" t="str">
        <f ca="1">IFERROR(__xludf.DUMMYFUNCTION("""COMPUTED_VALUE"""),"")</f>
        <v/>
      </c>
      <c r="Y300" t="str">
        <f ca="1">IFERROR(__xludf.DUMMYFUNCTION("""COMPUTED_VALUE"""),"")</f>
        <v/>
      </c>
      <c r="Z300" t="str">
        <f ca="1">IFERROR(__xludf.DUMMYFUNCTION("""COMPUTED_VALUE"""),"")</f>
        <v/>
      </c>
      <c r="AA300" t="str">
        <f ca="1">IFERROR(__xludf.DUMMYFUNCTION("""COMPUTED_VALUE"""),"Pas de commande")</f>
        <v>Pas de commande</v>
      </c>
      <c r="AB300" s="8" t="str">
        <f ca="1">IFERROR(__xludf.DUMMYFUNCTION("""COMPUTED_VALUE"""),"")</f>
        <v/>
      </c>
      <c r="AC300" s="8" t="str">
        <f ca="1">IFERROR(__xludf.DUMMYFUNCTION("""COMPUTED_VALUE"""),"")</f>
        <v/>
      </c>
      <c r="AD300" s="11" t="str">
        <f ca="1">IFERROR(__xludf.DUMMYFUNCTION("""COMPUTED_VALUE"""),"")</f>
        <v/>
      </c>
      <c r="AE300" t="str">
        <f ca="1">IFERROR(__xludf.DUMMYFUNCTION("""COMPUTED_VALUE"""),"")</f>
        <v/>
      </c>
    </row>
    <row r="301" spans="1:31" ht="12.75" x14ac:dyDescent="0.2">
      <c r="A301">
        <f ca="1">IFERROR(__xludf.DUMMYFUNCTION("""COMPUTED_VALUE"""),30337)</f>
        <v>30337</v>
      </c>
      <c r="B301" t="str">
        <f ca="1">IFERROR(__xludf.DUMMYFUNCTION("""COMPUTED_VALUE"""),"ERNEE")</f>
        <v>ERNEE</v>
      </c>
      <c r="C301" t="str">
        <f ca="1">IFERROR(__xludf.DUMMYFUNCTION("""COMPUTED_VALUE"""),"Super U")</f>
        <v>Super U</v>
      </c>
      <c r="D301" t="str">
        <f ca="1">IFERROR(__xludf.DUMMYFUNCTION("""COMPUTED_VALUE"""),"Coop U Enseigne Ouest")</f>
        <v>Coop U Enseigne Ouest</v>
      </c>
      <c r="E301">
        <f ca="1">IFERROR(__xludf.DUMMYFUNCTION("""COMPUTED_VALUE"""),53500)</f>
        <v>53500</v>
      </c>
      <c r="F301" t="str">
        <f ca="1">IFERROR(__xludf.DUMMYFUNCTION("""COMPUTED_VALUE"""),"LES SEMONDIÈRES")</f>
        <v>LES SEMONDIÈRES</v>
      </c>
      <c r="G301" t="str">
        <f ca="1">IFERROR(__xludf.DUMMYFUNCTION("""COMPUTED_VALUE"""),"02.43.05.77.40")</f>
        <v>02.43.05.77.40</v>
      </c>
      <c r="H301" t="str">
        <f ca="1">IFERROR(__xludf.DUMMYFUNCTION("""COMPUTED_VALUE"""),"DUVERGER RPT SARL INAXENE Josselin")</f>
        <v>DUVERGER RPT SARL INAXENE Josselin</v>
      </c>
      <c r="I301" t="str">
        <f ca="1">IFERROR(__xludf.DUMMYFUNCTION("""COMPUTED_VALUE"""),"josselin.duverger@systeme-u.fr")</f>
        <v>josselin.duverger@systeme-u.fr</v>
      </c>
      <c r="J301" t="str">
        <f ca="1">IFERROR(__xludf.DUMMYFUNCTION("""COMPUTED_VALUE"""),"Mme Besnier (UPLV)")</f>
        <v>Mme Besnier (UPLV)</v>
      </c>
      <c r="K301" t="str">
        <f ca="1">IFERROR(__xludf.DUMMYFUNCTION("""COMPUTED_VALUE"""),"superu.ernee.gescom@systeme-u.fr")</f>
        <v>superu.ernee.gescom@systeme-u.fr</v>
      </c>
      <c r="L301" t="str">
        <f ca="1">IFERROR(__xludf.DUMMYFUNCTION("""COMPUTED_VALUE"""),"")</f>
        <v/>
      </c>
      <c r="M301" t="str">
        <f ca="1">IFERROR(__xludf.DUMMYFUNCTION("""COMPUTED_VALUE"""),"99.Hors Périmetre")</f>
        <v>99.Hors Périmetre</v>
      </c>
      <c r="N301" t="str">
        <f ca="1">IFERROR(__xludf.DUMMYFUNCTION("""COMPUTED_VALUE"""),"")</f>
        <v/>
      </c>
      <c r="O301" t="str">
        <f ca="1">IFERROR(__xludf.DUMMYFUNCTION("""COMPUTED_VALUE"""),"")</f>
        <v/>
      </c>
      <c r="P301" t="str">
        <f ca="1">IFERROR(__xludf.DUMMYFUNCTION("""COMPUTED_VALUE"""),"")</f>
        <v/>
      </c>
      <c r="Q301" s="5" t="str">
        <f ca="1">IFERROR(__xludf.DUMMYFUNCTION("""COMPUTED_VALUE"""),"")</f>
        <v/>
      </c>
      <c r="R301" s="6" t="str">
        <f ca="1">IFERROR(__xludf.DUMMYFUNCTION("""COMPUTED_VALUE"""),"")</f>
        <v/>
      </c>
      <c r="S301" t="str">
        <f ca="1">IFERROR(__xludf.DUMMYFUNCTION("""COMPUTED_VALUE"""),"")</f>
        <v/>
      </c>
      <c r="T301" t="str">
        <f ca="1">IFERROR(__xludf.DUMMYFUNCTION("""COMPUTED_VALUE"""),"")</f>
        <v/>
      </c>
      <c r="U301" t="str">
        <f ca="1">IFERROR(__xludf.DUMMYFUNCTION("""COMPUTED_VALUE"""),"")</f>
        <v/>
      </c>
      <c r="V301" t="str">
        <f ca="1">IFERROR(__xludf.DUMMYFUNCTION("""COMPUTED_VALUE"""),"")</f>
        <v/>
      </c>
      <c r="W301" t="str">
        <f ca="1">IFERROR(__xludf.DUMMYFUNCTION("""COMPUTED_VALUE"""),"")</f>
        <v/>
      </c>
      <c r="X301" t="str">
        <f ca="1">IFERROR(__xludf.DUMMYFUNCTION("""COMPUTED_VALUE"""),"")</f>
        <v/>
      </c>
      <c r="Y301" t="str">
        <f ca="1">IFERROR(__xludf.DUMMYFUNCTION("""COMPUTED_VALUE"""),"")</f>
        <v/>
      </c>
      <c r="Z301" t="str">
        <f ca="1">IFERROR(__xludf.DUMMYFUNCTION("""COMPUTED_VALUE"""),"")</f>
        <v/>
      </c>
      <c r="AA301" t="str">
        <f ca="1">IFERROR(__xludf.DUMMYFUNCTION("""COMPUTED_VALUE"""),"Pas de commande")</f>
        <v>Pas de commande</v>
      </c>
      <c r="AB301" s="8" t="str">
        <f ca="1">IFERROR(__xludf.DUMMYFUNCTION("""COMPUTED_VALUE"""),"")</f>
        <v/>
      </c>
      <c r="AC301" s="8" t="str">
        <f ca="1">IFERROR(__xludf.DUMMYFUNCTION("""COMPUTED_VALUE"""),"")</f>
        <v/>
      </c>
      <c r="AD301" s="11" t="str">
        <f ca="1">IFERROR(__xludf.DUMMYFUNCTION("""COMPUTED_VALUE"""),"")</f>
        <v/>
      </c>
      <c r="AE301" t="str">
        <f ca="1">IFERROR(__xludf.DUMMYFUNCTION("""COMPUTED_VALUE"""),"")</f>
        <v/>
      </c>
    </row>
    <row r="302" spans="1:31" ht="12.75" x14ac:dyDescent="0.2">
      <c r="A302">
        <f ca="1">IFERROR(__xludf.DUMMYFUNCTION("""COMPUTED_VALUE"""),33875)</f>
        <v>33875</v>
      </c>
      <c r="B302" t="str">
        <f ca="1">IFERROR(__xludf.DUMMYFUNCTION("""COMPUTED_VALUE"""),"ERQUY")</f>
        <v>ERQUY</v>
      </c>
      <c r="C302" t="str">
        <f ca="1">IFERROR(__xludf.DUMMYFUNCTION("""COMPUTED_VALUE"""),"Super U")</f>
        <v>Super U</v>
      </c>
      <c r="D302" t="str">
        <f ca="1">IFERROR(__xludf.DUMMYFUNCTION("""COMPUTED_VALUE"""),"Coop U Enseigne Ouest")</f>
        <v>Coop U Enseigne Ouest</v>
      </c>
      <c r="E302">
        <f ca="1">IFERROR(__xludf.DUMMYFUNCTION("""COMPUTED_VALUE"""),22430)</f>
        <v>22430</v>
      </c>
      <c r="F302" t="str">
        <f ca="1">IFERROR(__xludf.DUMMYFUNCTION("""COMPUTED_VALUE"""),"LES JEANNETTES")</f>
        <v>LES JEANNETTES</v>
      </c>
      <c r="G302" t="str">
        <f ca="1">IFERROR(__xludf.DUMMYFUNCTION("""COMPUTED_VALUE"""),"02.96.72.02.72")</f>
        <v>02.96.72.02.72</v>
      </c>
      <c r="H302" t="str">
        <f ca="1">IFERROR(__xludf.DUMMYFUNCTION("""COMPUTED_VALUE"""),"LAIGO RPT SARL HOLDING LAIGO Frédéric")</f>
        <v>LAIGO RPT SARL HOLDING LAIGO Frédéric</v>
      </c>
      <c r="I302" t="str">
        <f ca="1">IFERROR(__xludf.DUMMYFUNCTION("""COMPUTED_VALUE"""),"frederic.laigo@systeme-u.fr")</f>
        <v>frederic.laigo@systeme-u.fr</v>
      </c>
      <c r="J302" t="str">
        <f ca="1">IFERROR(__xludf.DUMMYFUNCTION("""COMPUTED_VALUE"""),"LONCLE Stéphanie")</f>
        <v>LONCLE Stéphanie</v>
      </c>
      <c r="K302" t="str">
        <f ca="1">IFERROR(__xludf.DUMMYFUNCTION("""COMPUTED_VALUE"""),"superu.erquy@systeme-u.fr")</f>
        <v>superu.erquy@systeme-u.fr</v>
      </c>
      <c r="L302" t="str">
        <f ca="1">IFERROR(__xludf.DUMMYFUNCTION("""COMPUTED_VALUE"""),"")</f>
        <v/>
      </c>
      <c r="M302" t="str">
        <f ca="1">IFERROR(__xludf.DUMMYFUNCTION("""COMPUTED_VALUE"""),"99.Hors Périmetre")</f>
        <v>99.Hors Périmetre</v>
      </c>
      <c r="N302" t="str">
        <f ca="1">IFERROR(__xludf.DUMMYFUNCTION("""COMPUTED_VALUE"""),"")</f>
        <v/>
      </c>
      <c r="O302" t="str">
        <f ca="1">IFERROR(__xludf.DUMMYFUNCTION("""COMPUTED_VALUE"""),"")</f>
        <v/>
      </c>
      <c r="P302" t="str">
        <f ca="1">IFERROR(__xludf.DUMMYFUNCTION("""COMPUTED_VALUE"""),"")</f>
        <v/>
      </c>
      <c r="Q302" s="5" t="str">
        <f ca="1">IFERROR(__xludf.DUMMYFUNCTION("""COMPUTED_VALUE"""),"")</f>
        <v/>
      </c>
      <c r="R302" s="6" t="str">
        <f ca="1">IFERROR(__xludf.DUMMYFUNCTION("""COMPUTED_VALUE"""),"")</f>
        <v/>
      </c>
      <c r="S302" t="str">
        <f ca="1">IFERROR(__xludf.DUMMYFUNCTION("""COMPUTED_VALUE"""),"")</f>
        <v/>
      </c>
      <c r="T302" t="str">
        <f ca="1">IFERROR(__xludf.DUMMYFUNCTION("""COMPUTED_VALUE"""),"")</f>
        <v/>
      </c>
      <c r="U302" t="str">
        <f ca="1">IFERROR(__xludf.DUMMYFUNCTION("""COMPUTED_VALUE"""),"")</f>
        <v/>
      </c>
      <c r="V302" t="str">
        <f ca="1">IFERROR(__xludf.DUMMYFUNCTION("""COMPUTED_VALUE"""),"")</f>
        <v/>
      </c>
      <c r="W302" t="str">
        <f ca="1">IFERROR(__xludf.DUMMYFUNCTION("""COMPUTED_VALUE"""),"")</f>
        <v/>
      </c>
      <c r="X302" t="str">
        <f ca="1">IFERROR(__xludf.DUMMYFUNCTION("""COMPUTED_VALUE"""),"")</f>
        <v/>
      </c>
      <c r="Y302" t="str">
        <f ca="1">IFERROR(__xludf.DUMMYFUNCTION("""COMPUTED_VALUE"""),"")</f>
        <v/>
      </c>
      <c r="Z302" t="str">
        <f ca="1">IFERROR(__xludf.DUMMYFUNCTION("""COMPUTED_VALUE"""),"")</f>
        <v/>
      </c>
      <c r="AA302" t="str">
        <f ca="1">IFERROR(__xludf.DUMMYFUNCTION("""COMPUTED_VALUE"""),"Pas de commande")</f>
        <v>Pas de commande</v>
      </c>
      <c r="AB302" s="8" t="str">
        <f ca="1">IFERROR(__xludf.DUMMYFUNCTION("""COMPUTED_VALUE"""),"")</f>
        <v/>
      </c>
      <c r="AC302" s="8" t="str">
        <f ca="1">IFERROR(__xludf.DUMMYFUNCTION("""COMPUTED_VALUE"""),"")</f>
        <v/>
      </c>
      <c r="AD302" s="11" t="str">
        <f ca="1">IFERROR(__xludf.DUMMYFUNCTION("""COMPUTED_VALUE"""),"")</f>
        <v/>
      </c>
      <c r="AE302" t="str">
        <f ca="1">IFERROR(__xludf.DUMMYFUNCTION("""COMPUTED_VALUE"""),"")</f>
        <v/>
      </c>
    </row>
    <row r="303" spans="1:31" ht="12.75" x14ac:dyDescent="0.2">
      <c r="A303">
        <f ca="1">IFERROR(__xludf.DUMMYFUNCTION("""COMPUTED_VALUE"""),60017)</f>
        <v>60017</v>
      </c>
      <c r="B303" t="str">
        <f ca="1">IFERROR(__xludf.DUMMYFUNCTION("""COMPUTED_VALUE"""),"ESCHAU")</f>
        <v>ESCHAU</v>
      </c>
      <c r="C303" t="str">
        <f ca="1">IFERROR(__xludf.DUMMYFUNCTION("""COMPUTED_VALUE"""),"Super U")</f>
        <v>Super U</v>
      </c>
      <c r="D303" t="str">
        <f ca="1">IFERROR(__xludf.DUMMYFUNCTION("""COMPUTED_VALUE"""),"Coop U Enseigne Est")</f>
        <v>Coop U Enseigne Est</v>
      </c>
      <c r="E303">
        <f ca="1">IFERROR(__xludf.DUMMYFUNCTION("""COMPUTED_VALUE"""),67114)</f>
        <v>67114</v>
      </c>
      <c r="F303" t="str">
        <f ca="1">IFERROR(__xludf.DUMMYFUNCTION("""COMPUTED_VALUE"""),"25 rue du Tramway")</f>
        <v>25 rue du Tramway</v>
      </c>
      <c r="G303" t="str">
        <f ca="1">IFERROR(__xludf.DUMMYFUNCTION("""COMPUTED_VALUE"""),"03.88.64.91.92")</f>
        <v>03.88.64.91.92</v>
      </c>
      <c r="H303" t="str">
        <f ca="1">IFERROR(__xludf.DUMMYFUNCTION("""COMPUTED_VALUE"""),"HIRSCHNER Richard")</f>
        <v>HIRSCHNER Richard</v>
      </c>
      <c r="I303" t="str">
        <f ca="1">IFERROR(__xludf.DUMMYFUNCTION("""COMPUTED_VALUE"""),"richard.hirschner@systeme-u.fr")</f>
        <v>richard.hirschner@systeme-u.fr</v>
      </c>
      <c r="J303" t="str">
        <f ca="1">IFERROR(__xludf.DUMMYFUNCTION("""COMPUTED_VALUE"""),"MEYER Alexandre")</f>
        <v>MEYER Alexandre</v>
      </c>
      <c r="K303" t="str">
        <f ca="1">IFERROR(__xludf.DUMMYFUNCTION("""COMPUTED_VALUE"""),"superu.eschau.services@systeme-u.fr")</f>
        <v>superu.eschau.services@systeme-u.fr</v>
      </c>
      <c r="L303" t="str">
        <f ca="1">IFERROR(__xludf.DUMMYFUNCTION("""COMPUTED_VALUE"""),"Standard")</f>
        <v>Standard</v>
      </c>
      <c r="M303" t="str">
        <f ca="1">IFERROR(__xludf.DUMMYFUNCTION("""COMPUTED_VALUE"""),"0. Non démarré")</f>
        <v>0. Non démarré</v>
      </c>
      <c r="N303" t="str">
        <f ca="1">IFERROR(__xludf.DUMMYFUNCTION("""COMPUTED_VALUE"""),"")</f>
        <v/>
      </c>
      <c r="O303" t="str">
        <f ca="1">IFERROR(__xludf.DUMMYFUNCTION("""COMPUTED_VALUE"""),"")</f>
        <v/>
      </c>
      <c r="P303" t="str">
        <f ca="1">IFERROR(__xludf.DUMMYFUNCTION("""COMPUTED_VALUE"""),"")</f>
        <v/>
      </c>
      <c r="Q303" s="5" t="str">
        <f ca="1">IFERROR(__xludf.DUMMYFUNCTION("""COMPUTED_VALUE"""),"")</f>
        <v/>
      </c>
      <c r="R303" s="6" t="str">
        <f ca="1">IFERROR(__xludf.DUMMYFUNCTION("""COMPUTED_VALUE"""),"")</f>
        <v/>
      </c>
      <c r="S303" t="str">
        <f ca="1">IFERROR(__xludf.DUMMYFUNCTION("""COMPUTED_VALUE"""),"")</f>
        <v/>
      </c>
      <c r="T303" t="str">
        <f ca="1">IFERROR(__xludf.DUMMYFUNCTION("""COMPUTED_VALUE"""),"")</f>
        <v/>
      </c>
      <c r="U303" t="str">
        <f ca="1">IFERROR(__xludf.DUMMYFUNCTION("""COMPUTED_VALUE"""),"")</f>
        <v/>
      </c>
      <c r="V303" t="str">
        <f ca="1">IFERROR(__xludf.DUMMYFUNCTION("""COMPUTED_VALUE"""),"")</f>
        <v/>
      </c>
      <c r="W303" t="str">
        <f ca="1">IFERROR(__xludf.DUMMYFUNCTION("""COMPUTED_VALUE"""),"R5")</f>
        <v>R5</v>
      </c>
      <c r="X303" t="str">
        <f ca="1">IFERROR(__xludf.DUMMYFUNCTION("""COMPUTED_VALUE"""),"Pricer")</f>
        <v>Pricer</v>
      </c>
      <c r="Y303" t="str">
        <f ca="1">IFERROR(__xludf.DUMMYFUNCTION("""COMPUTED_VALUE"""),"")</f>
        <v/>
      </c>
      <c r="Z303" t="str">
        <f ca="1">IFERROR(__xludf.DUMMYFUNCTION("""COMPUTED_VALUE"""),"")</f>
        <v/>
      </c>
      <c r="AA303" t="str">
        <f ca="1">IFERROR(__xludf.DUMMYFUNCTION("""COMPUTED_VALUE"""),"Pas de commande")</f>
        <v>Pas de commande</v>
      </c>
      <c r="AB303" s="8" t="str">
        <f ca="1">IFERROR(__xludf.DUMMYFUNCTION("""COMPUTED_VALUE"""),"")</f>
        <v/>
      </c>
      <c r="AC303" s="8" t="str">
        <f ca="1">IFERROR(__xludf.DUMMYFUNCTION("""COMPUTED_VALUE"""),"")</f>
        <v/>
      </c>
      <c r="AD303" s="11" t="str">
        <f ca="1">IFERROR(__xludf.DUMMYFUNCTION("""COMPUTED_VALUE"""),"")</f>
        <v/>
      </c>
      <c r="AE303" t="str">
        <f ca="1">IFERROR(__xludf.DUMMYFUNCTION("""COMPUTED_VALUE"""),"")</f>
        <v/>
      </c>
    </row>
    <row r="304" spans="1:31" ht="12.75" x14ac:dyDescent="0.2">
      <c r="A304">
        <f ca="1">IFERROR(__xludf.DUMMYFUNCTION("""COMPUTED_VALUE"""),90504)</f>
        <v>90504</v>
      </c>
      <c r="B304" t="str">
        <f ca="1">IFERROR(__xludf.DUMMYFUNCTION("""COMPUTED_VALUE"""),"ESPALION")</f>
        <v>ESPALION</v>
      </c>
      <c r="C304" t="str">
        <f ca="1">IFERROR(__xludf.DUMMYFUNCTION("""COMPUTED_VALUE"""),"Super U")</f>
        <v>Super U</v>
      </c>
      <c r="D304" t="str">
        <f ca="1">IFERROR(__xludf.DUMMYFUNCTION("""COMPUTED_VALUE"""),"Coop U Enseigne Sud")</f>
        <v>Coop U Enseigne Sud</v>
      </c>
      <c r="E304">
        <f ca="1">IFERROR(__xludf.DUMMYFUNCTION("""COMPUTED_VALUE"""),12500)</f>
        <v>12500</v>
      </c>
      <c r="F304" t="str">
        <f ca="1">IFERROR(__xludf.DUMMYFUNCTION("""COMPUTED_VALUE"""),"LA BOUYSSE AVENUE D ESTAING")</f>
        <v>LA BOUYSSE AVENUE D ESTAING</v>
      </c>
      <c r="G304" t="str">
        <f ca="1">IFERROR(__xludf.DUMMYFUNCTION("""COMPUTED_VALUE"""),"05.65.44.05.32")</f>
        <v>05.65.44.05.32</v>
      </c>
      <c r="H304" t="str">
        <f ca="1">IFERROR(__xludf.DUMMYFUNCTION("""COMPUTED_VALUE"""),"NEYROLLES Michel")</f>
        <v>NEYROLLES Michel</v>
      </c>
      <c r="I304" t="str">
        <f ca="1">IFERROR(__xludf.DUMMYFUNCTION("""COMPUTED_VALUE"""),"michel.neyrolles@systeme-u.fr")</f>
        <v>michel.neyrolles@systeme-u.fr</v>
      </c>
      <c r="J304" t="str">
        <f ca="1">IFERROR(__xludf.DUMMYFUNCTION("""COMPUTED_VALUE"""),"Pouillaude Guillaume")</f>
        <v>Pouillaude Guillaume</v>
      </c>
      <c r="K304" t="str">
        <f ca="1">IFERROR(__xludf.DUMMYFUNCTION("""COMPUTED_VALUE"""),"superu.espalion@systeme-u.fr,superu.espalion.compta@systeme-u.fr,superu.espalion.direction@systeme-u.fr")</f>
        <v>superu.espalion@systeme-u.fr,superu.espalion.compta@systeme-u.fr,superu.espalion.direction@systeme-u.fr</v>
      </c>
      <c r="L304" t="str">
        <f ca="1">IFERROR(__xludf.DUMMYFUNCTION("""COMPUTED_VALUE"""),"")</f>
        <v/>
      </c>
      <c r="M304" t="str">
        <f ca="1">IFERROR(__xludf.DUMMYFUNCTION("""COMPUTED_VALUE"""),"")</f>
        <v/>
      </c>
      <c r="N304" t="str">
        <f ca="1">IFERROR(__xludf.DUMMYFUNCTION("""COMPUTED_VALUE"""),"")</f>
        <v/>
      </c>
      <c r="O304" t="str">
        <f ca="1">IFERROR(__xludf.DUMMYFUNCTION("""COMPUTED_VALUE"""),"")</f>
        <v/>
      </c>
      <c r="P304" t="str">
        <f ca="1">IFERROR(__xludf.DUMMYFUNCTION("""COMPUTED_VALUE"""),"")</f>
        <v/>
      </c>
      <c r="Q304" s="5" t="str">
        <f ca="1">IFERROR(__xludf.DUMMYFUNCTION("""COMPUTED_VALUE"""),"")</f>
        <v/>
      </c>
      <c r="R304" s="6" t="str">
        <f ca="1">IFERROR(__xludf.DUMMYFUNCTION("""COMPUTED_VALUE"""),"")</f>
        <v/>
      </c>
      <c r="S304" t="str">
        <f ca="1">IFERROR(__xludf.DUMMYFUNCTION("""COMPUTED_VALUE"""),"")</f>
        <v/>
      </c>
      <c r="T304" t="str">
        <f ca="1">IFERROR(__xludf.DUMMYFUNCTION("""COMPUTED_VALUE"""),"")</f>
        <v/>
      </c>
      <c r="U304" t="str">
        <f ca="1">IFERROR(__xludf.DUMMYFUNCTION("""COMPUTED_VALUE"""),"")</f>
        <v/>
      </c>
      <c r="V304" t="str">
        <f ca="1">IFERROR(__xludf.DUMMYFUNCTION("""COMPUTED_VALUE"""),"")</f>
        <v/>
      </c>
      <c r="W304" t="str">
        <f ca="1">IFERROR(__xludf.DUMMYFUNCTION("""COMPUTED_VALUE"""),"R5")</f>
        <v>R5</v>
      </c>
      <c r="X304" t="str">
        <f ca="1">IFERROR(__xludf.DUMMYFUNCTION("""COMPUTED_VALUE"""),"Pricer")</f>
        <v>Pricer</v>
      </c>
      <c r="Y304" t="str">
        <f ca="1">IFERROR(__xludf.DUMMYFUNCTION("""COMPUTED_VALUE"""),"")</f>
        <v/>
      </c>
      <c r="Z304" t="str">
        <f ca="1">IFERROR(__xludf.DUMMYFUNCTION("""COMPUTED_VALUE"""),"")</f>
        <v/>
      </c>
      <c r="AA304" t="str">
        <f ca="1">IFERROR(__xludf.DUMMYFUNCTION("""COMPUTED_VALUE"""),"Pas de commande")</f>
        <v>Pas de commande</v>
      </c>
      <c r="AB304" s="8" t="str">
        <f ca="1">IFERROR(__xludf.DUMMYFUNCTION("""COMPUTED_VALUE"""),"")</f>
        <v/>
      </c>
      <c r="AC304" s="8" t="str">
        <f ca="1">IFERROR(__xludf.DUMMYFUNCTION("""COMPUTED_VALUE"""),"")</f>
        <v/>
      </c>
      <c r="AD304" s="11" t="str">
        <f ca="1">IFERROR(__xludf.DUMMYFUNCTION("""COMPUTED_VALUE"""),"")</f>
        <v/>
      </c>
      <c r="AE304" t="str">
        <f ca="1">IFERROR(__xludf.DUMMYFUNCTION("""COMPUTED_VALUE"""),"")</f>
        <v/>
      </c>
    </row>
    <row r="305" spans="1:31" ht="12.75" x14ac:dyDescent="0.2">
      <c r="A305">
        <f ca="1">IFERROR(__xludf.DUMMYFUNCTION("""COMPUTED_VALUE"""),69180)</f>
        <v>69180</v>
      </c>
      <c r="B305" t="str">
        <f ca="1">IFERROR(__xludf.DUMMYFUNCTION("""COMPUTED_VALUE"""),"ESSERT")</f>
        <v>ESSERT</v>
      </c>
      <c r="C305" t="str">
        <f ca="1">IFERROR(__xludf.DUMMYFUNCTION("""COMPUTED_VALUE"""),"Super U")</f>
        <v>Super U</v>
      </c>
      <c r="D305" t="str">
        <f ca="1">IFERROR(__xludf.DUMMYFUNCTION("""COMPUTED_VALUE"""),"Coop U Enseigne Est")</f>
        <v>Coop U Enseigne Est</v>
      </c>
      <c r="E305">
        <f ca="1">IFERROR(__xludf.DUMMYFUNCTION("""COMPUTED_VALUE"""),90850)</f>
        <v>90850</v>
      </c>
      <c r="F305" t="str">
        <f ca="1">IFERROR(__xludf.DUMMYFUNCTION("""COMPUTED_VALUE"""),"Rue Prévert")</f>
        <v>Rue Prévert</v>
      </c>
      <c r="G305" t="str">
        <f ca="1">IFERROR(__xludf.DUMMYFUNCTION("""COMPUTED_VALUE"""),"03.84.21.51.55")</f>
        <v>03.84.21.51.55</v>
      </c>
      <c r="H305" t="str">
        <f ca="1">IFERROR(__xludf.DUMMYFUNCTION("""COMPUTED_VALUE"""),"JEANROY Eric")</f>
        <v>JEANROY Eric</v>
      </c>
      <c r="I305" t="str">
        <f ca="1">IFERROR(__xludf.DUMMYFUNCTION("""COMPUTED_VALUE"""),"eric.jeanroy@systeme-u.fr")</f>
        <v>eric.jeanroy@systeme-u.fr</v>
      </c>
      <c r="J305" t="str">
        <f ca="1">IFERROR(__xludf.DUMMYFUNCTION("""COMPUTED_VALUE"""),"")</f>
        <v/>
      </c>
      <c r="K305" t="str">
        <f ca="1">IFERROR(__xludf.DUMMYFUNCTION("""COMPUTED_VALUE"""),"")</f>
        <v/>
      </c>
      <c r="L305" t="str">
        <f ca="1">IFERROR(__xludf.DUMMYFUNCTION("""COMPUTED_VALUE"""),"Standard")</f>
        <v>Standard</v>
      </c>
      <c r="M305" t="str">
        <f ca="1">IFERROR(__xludf.DUMMYFUNCTION("""COMPUTED_VALUE"""),"0. Non démarré")</f>
        <v>0. Non démarré</v>
      </c>
      <c r="N305" t="str">
        <f ca="1">IFERROR(__xludf.DUMMYFUNCTION("""COMPUTED_VALUE"""),"")</f>
        <v/>
      </c>
      <c r="O305" t="str">
        <f ca="1">IFERROR(__xludf.DUMMYFUNCTION("""COMPUTED_VALUE"""),"")</f>
        <v/>
      </c>
      <c r="P305" t="str">
        <f ca="1">IFERROR(__xludf.DUMMYFUNCTION("""COMPUTED_VALUE"""),"")</f>
        <v/>
      </c>
      <c r="Q305" s="5" t="str">
        <f ca="1">IFERROR(__xludf.DUMMYFUNCTION("""COMPUTED_VALUE"""),"")</f>
        <v/>
      </c>
      <c r="R305" s="6" t="str">
        <f ca="1">IFERROR(__xludf.DUMMYFUNCTION("""COMPUTED_VALUE"""),"")</f>
        <v/>
      </c>
      <c r="S305" t="str">
        <f ca="1">IFERROR(__xludf.DUMMYFUNCTION("""COMPUTED_VALUE"""),"")</f>
        <v/>
      </c>
      <c r="T305" t="str">
        <f ca="1">IFERROR(__xludf.DUMMYFUNCTION("""COMPUTED_VALUE"""),"")</f>
        <v/>
      </c>
      <c r="U305" t="str">
        <f ca="1">IFERROR(__xludf.DUMMYFUNCTION("""COMPUTED_VALUE"""),"")</f>
        <v/>
      </c>
      <c r="V305" t="str">
        <f ca="1">IFERROR(__xludf.DUMMYFUNCTION("""COMPUTED_VALUE"""),"")</f>
        <v/>
      </c>
      <c r="W305" t="str">
        <f ca="1">IFERROR(__xludf.DUMMYFUNCTION("""COMPUTED_VALUE"""),"R5")</f>
        <v>R5</v>
      </c>
      <c r="X305" t="str">
        <f ca="1">IFERROR(__xludf.DUMMYFUNCTION("""COMPUTED_VALUE"""),"Pricer")</f>
        <v>Pricer</v>
      </c>
      <c r="Y305" t="str">
        <f ca="1">IFERROR(__xludf.DUMMYFUNCTION("""COMPUTED_VALUE"""),"")</f>
        <v/>
      </c>
      <c r="Z305" t="str">
        <f ca="1">IFERROR(__xludf.DUMMYFUNCTION("""COMPUTED_VALUE"""),"")</f>
        <v/>
      </c>
      <c r="AA305" t="str">
        <f ca="1">IFERROR(__xludf.DUMMYFUNCTION("""COMPUTED_VALUE"""),"Pas de commande")</f>
        <v>Pas de commande</v>
      </c>
      <c r="AB305" s="8" t="str">
        <f ca="1">IFERROR(__xludf.DUMMYFUNCTION("""COMPUTED_VALUE"""),"")</f>
        <v/>
      </c>
      <c r="AC305" s="8" t="str">
        <f ca="1">IFERROR(__xludf.DUMMYFUNCTION("""COMPUTED_VALUE"""),"")</f>
        <v/>
      </c>
      <c r="AD305" s="11" t="str">
        <f ca="1">IFERROR(__xludf.DUMMYFUNCTION("""COMPUTED_VALUE"""),"")</f>
        <v/>
      </c>
      <c r="AE305" t="str">
        <f ca="1">IFERROR(__xludf.DUMMYFUNCTION("""COMPUTED_VALUE"""),"")</f>
        <v/>
      </c>
    </row>
    <row r="306" spans="1:31" ht="12.75" x14ac:dyDescent="0.2">
      <c r="A306">
        <f ca="1">IFERROR(__xludf.DUMMYFUNCTION("""COMPUTED_VALUE"""),99200)</f>
        <v>99200</v>
      </c>
      <c r="B306" t="str">
        <f ca="1">IFERROR(__xludf.DUMMYFUNCTION("""COMPUTED_VALUE"""),"ETANG-SALE-IDR")</f>
        <v>ETANG-SALE-IDR</v>
      </c>
      <c r="C306" t="str">
        <f ca="1">IFERROR(__xludf.DUMMYFUNCTION("""COMPUTED_VALUE"""),"Super U")</f>
        <v>Super U</v>
      </c>
      <c r="D306" t="str">
        <f ca="1">IFERROR(__xludf.DUMMYFUNCTION("""COMPUTED_VALUE"""),"Coop U Enseigne Sud")</f>
        <v>Coop U Enseigne Sud</v>
      </c>
      <c r="E306">
        <f ca="1">IFERROR(__xludf.DUMMYFUNCTION("""COMPUTED_VALUE"""),97427)</f>
        <v>97427</v>
      </c>
      <c r="F306" t="str">
        <f ca="1">IFERROR(__xludf.DUMMYFUNCTION("""COMPUTED_VALUE"""),"22 RUE DU PERE VAN BERLO")</f>
        <v>22 RUE DU PERE VAN BERLO</v>
      </c>
      <c r="G306" t="str">
        <f ca="1">IFERROR(__xludf.DUMMYFUNCTION("""COMPUTED_VALUE"""),"02.62.26.59.70")</f>
        <v>02.62.26.59.70</v>
      </c>
      <c r="H306" t="str">
        <f ca="1">IFERROR(__xludf.DUMMYFUNCTION("""COMPUTED_VALUE"""),"YONG WAI MAN Roland et Joseph")</f>
        <v>YONG WAI MAN Roland et Joseph</v>
      </c>
      <c r="I306" t="str">
        <f ca="1">IFERROR(__xludf.DUMMYFUNCTION("""COMPUTED_VALUE"""),"joel.yong@systeme-u.fr")</f>
        <v>joel.yong@systeme-u.fr</v>
      </c>
      <c r="J306" t="str">
        <f ca="1">IFERROR(__xludf.DUMMYFUNCTION("""COMPUTED_VALUE"""),"YONG Bernard")</f>
        <v>YONG Bernard</v>
      </c>
      <c r="K306" t="str">
        <f ca="1">IFERROR(__xludf.DUMMYFUNCTION("""COMPUTED_VALUE"""),"bernard.yong@systeme-u.fr")</f>
        <v>bernard.yong@systeme-u.fr</v>
      </c>
      <c r="L306" t="str">
        <f ca="1">IFERROR(__xludf.DUMMYFUNCTION("""COMPUTED_VALUE"""),"")</f>
        <v/>
      </c>
      <c r="M306" t="str">
        <f ca="1">IFERROR(__xludf.DUMMYFUNCTION("""COMPUTED_VALUE"""),"99.Hors Périmetre")</f>
        <v>99.Hors Périmetre</v>
      </c>
      <c r="N306" t="str">
        <f ca="1">IFERROR(__xludf.DUMMYFUNCTION("""COMPUTED_VALUE"""),"")</f>
        <v/>
      </c>
      <c r="O306" t="str">
        <f ca="1">IFERROR(__xludf.DUMMYFUNCTION("""COMPUTED_VALUE"""),"")</f>
        <v/>
      </c>
      <c r="P306" t="str">
        <f ca="1">IFERROR(__xludf.DUMMYFUNCTION("""COMPUTED_VALUE"""),"")</f>
        <v/>
      </c>
      <c r="Q306" s="5" t="str">
        <f ca="1">IFERROR(__xludf.DUMMYFUNCTION("""COMPUTED_VALUE"""),"")</f>
        <v/>
      </c>
      <c r="R306" s="6" t="str">
        <f ca="1">IFERROR(__xludf.DUMMYFUNCTION("""COMPUTED_VALUE"""),"")</f>
        <v/>
      </c>
      <c r="S306" t="str">
        <f ca="1">IFERROR(__xludf.DUMMYFUNCTION("""COMPUTED_VALUE"""),"")</f>
        <v/>
      </c>
      <c r="T306" t="str">
        <f ca="1">IFERROR(__xludf.DUMMYFUNCTION("""COMPUTED_VALUE"""),"")</f>
        <v/>
      </c>
      <c r="U306" t="str">
        <f ca="1">IFERROR(__xludf.DUMMYFUNCTION("""COMPUTED_VALUE"""),"")</f>
        <v/>
      </c>
      <c r="V306" t="str">
        <f ca="1">IFERROR(__xludf.DUMMYFUNCTION("""COMPUTED_VALUE"""),"")</f>
        <v/>
      </c>
      <c r="W306" t="str">
        <f ca="1">IFERROR(__xludf.DUMMYFUNCTION("""COMPUTED_VALUE"""),"")</f>
        <v/>
      </c>
      <c r="X306" t="str">
        <f ca="1">IFERROR(__xludf.DUMMYFUNCTION("""COMPUTED_VALUE"""),"")</f>
        <v/>
      </c>
      <c r="Y306" t="str">
        <f ca="1">IFERROR(__xludf.DUMMYFUNCTION("""COMPUTED_VALUE"""),"")</f>
        <v/>
      </c>
      <c r="Z306" t="str">
        <f ca="1">IFERROR(__xludf.DUMMYFUNCTION("""COMPUTED_VALUE"""),"")</f>
        <v/>
      </c>
      <c r="AA306" t="str">
        <f ca="1">IFERROR(__xludf.DUMMYFUNCTION("""COMPUTED_VALUE"""),"Pas de commande")</f>
        <v>Pas de commande</v>
      </c>
      <c r="AB306" s="8" t="str">
        <f ca="1">IFERROR(__xludf.DUMMYFUNCTION("""COMPUTED_VALUE"""),"")</f>
        <v/>
      </c>
      <c r="AC306" s="8" t="str">
        <f ca="1">IFERROR(__xludf.DUMMYFUNCTION("""COMPUTED_VALUE"""),"")</f>
        <v/>
      </c>
      <c r="AD306" s="11" t="str">
        <f ca="1">IFERROR(__xludf.DUMMYFUNCTION("""COMPUTED_VALUE"""),"")</f>
        <v/>
      </c>
      <c r="AE306" t="str">
        <f ca="1">IFERROR(__xludf.DUMMYFUNCTION("""COMPUTED_VALUE"""),"")</f>
        <v/>
      </c>
    </row>
    <row r="307" spans="1:31" ht="12.75" x14ac:dyDescent="0.2">
      <c r="A307">
        <f ca="1">IFERROR(__xludf.DUMMYFUNCTION("""COMPUTED_VALUE"""),22712)</f>
        <v>22712</v>
      </c>
      <c r="B307" t="str">
        <f ca="1">IFERROR(__xludf.DUMMYFUNCTION("""COMPUTED_VALUE"""),"ETREPAGNY")</f>
        <v>ETREPAGNY</v>
      </c>
      <c r="C307" t="str">
        <f ca="1">IFERROR(__xludf.DUMMYFUNCTION("""COMPUTED_VALUE"""),"Super U")</f>
        <v>Super U</v>
      </c>
      <c r="D307" t="str">
        <f ca="1">IFERROR(__xludf.DUMMYFUNCTION("""COMPUTED_VALUE"""),"Coop U Enseigne NordOuest")</f>
        <v>Coop U Enseigne NordOuest</v>
      </c>
      <c r="E307">
        <f ca="1">IFERROR(__xludf.DUMMYFUNCTION("""COMPUTED_VALUE"""),27150)</f>
        <v>27150</v>
      </c>
      <c r="F307" t="str">
        <f ca="1">IFERROR(__xludf.DUMMYFUNCTION("""COMPUTED_VALUE"""),"1 RUE TURGOT")</f>
        <v>1 RUE TURGOT</v>
      </c>
      <c r="G307" t="str">
        <f ca="1">IFERROR(__xludf.DUMMYFUNCTION("""COMPUTED_VALUE"""),"02.32.27.20.40")</f>
        <v>02.32.27.20.40</v>
      </c>
      <c r="H307" t="str">
        <f ca="1">IFERROR(__xludf.DUMMYFUNCTION("""COMPUTED_VALUE"""),"JOIMEL Thierry")</f>
        <v>JOIMEL Thierry</v>
      </c>
      <c r="I307" t="str">
        <f ca="1">IFERROR(__xludf.DUMMYFUNCTION("""COMPUTED_VALUE"""),"thierry.joimel@systeme-u.fr")</f>
        <v>thierry.joimel@systeme-u.fr</v>
      </c>
      <c r="J307" t="str">
        <f ca="1">IFERROR(__xludf.DUMMYFUNCTION("""COMPUTED_VALUE"""),"M RAYER Nicolas")</f>
        <v>M RAYER Nicolas</v>
      </c>
      <c r="K307" t="str">
        <f ca="1">IFERROR(__xludf.DUMMYFUNCTION("""COMPUTED_VALUE"""),"superu.etrepagny.direction@systeme-u.fr")</f>
        <v>superu.etrepagny.direction@systeme-u.fr</v>
      </c>
      <c r="L307" t="str">
        <f ca="1">IFERROR(__xludf.DUMMYFUNCTION("""COMPUTED_VALUE"""),"")</f>
        <v/>
      </c>
      <c r="M307" t="str">
        <f ca="1">IFERROR(__xludf.DUMMYFUNCTION("""COMPUTED_VALUE"""),"99.Hors Périmetre")</f>
        <v>99.Hors Périmetre</v>
      </c>
      <c r="N307" t="str">
        <f ca="1">IFERROR(__xludf.DUMMYFUNCTION("""COMPUTED_VALUE"""),"")</f>
        <v/>
      </c>
      <c r="O307" t="str">
        <f ca="1">IFERROR(__xludf.DUMMYFUNCTION("""COMPUTED_VALUE"""),"")</f>
        <v/>
      </c>
      <c r="P307" t="str">
        <f ca="1">IFERROR(__xludf.DUMMYFUNCTION("""COMPUTED_VALUE"""),"")</f>
        <v/>
      </c>
      <c r="Q307" s="5" t="str">
        <f ca="1">IFERROR(__xludf.DUMMYFUNCTION("""COMPUTED_VALUE"""),"")</f>
        <v/>
      </c>
      <c r="R307" s="6" t="str">
        <f ca="1">IFERROR(__xludf.DUMMYFUNCTION("""COMPUTED_VALUE"""),"")</f>
        <v/>
      </c>
      <c r="S307" t="str">
        <f ca="1">IFERROR(__xludf.DUMMYFUNCTION("""COMPUTED_VALUE"""),"")</f>
        <v/>
      </c>
      <c r="T307" t="str">
        <f ca="1">IFERROR(__xludf.DUMMYFUNCTION("""COMPUTED_VALUE"""),"")</f>
        <v/>
      </c>
      <c r="U307" t="str">
        <f ca="1">IFERROR(__xludf.DUMMYFUNCTION("""COMPUTED_VALUE"""),"")</f>
        <v/>
      </c>
      <c r="V307" t="str">
        <f ca="1">IFERROR(__xludf.DUMMYFUNCTION("""COMPUTED_VALUE"""),"")</f>
        <v/>
      </c>
      <c r="W307" t="str">
        <f ca="1">IFERROR(__xludf.DUMMYFUNCTION("""COMPUTED_VALUE"""),"")</f>
        <v/>
      </c>
      <c r="X307" t="str">
        <f ca="1">IFERROR(__xludf.DUMMYFUNCTION("""COMPUTED_VALUE"""),"")</f>
        <v/>
      </c>
      <c r="Y307" t="str">
        <f ca="1">IFERROR(__xludf.DUMMYFUNCTION("""COMPUTED_VALUE"""),"")</f>
        <v/>
      </c>
      <c r="Z307" t="str">
        <f ca="1">IFERROR(__xludf.DUMMYFUNCTION("""COMPUTED_VALUE"""),"")</f>
        <v/>
      </c>
      <c r="AA307" t="str">
        <f ca="1">IFERROR(__xludf.DUMMYFUNCTION("""COMPUTED_VALUE"""),"Pas de commande")</f>
        <v>Pas de commande</v>
      </c>
      <c r="AB307" s="8" t="str">
        <f ca="1">IFERROR(__xludf.DUMMYFUNCTION("""COMPUTED_VALUE"""),"")</f>
        <v/>
      </c>
      <c r="AC307" s="8" t="str">
        <f ca="1">IFERROR(__xludf.DUMMYFUNCTION("""COMPUTED_VALUE"""),"")</f>
        <v/>
      </c>
      <c r="AD307" s="11" t="str">
        <f ca="1">IFERROR(__xludf.DUMMYFUNCTION("""COMPUTED_VALUE"""),"")</f>
        <v/>
      </c>
      <c r="AE307" t="str">
        <f ca="1">IFERROR(__xludf.DUMMYFUNCTION("""COMPUTED_VALUE"""),"")</f>
        <v/>
      </c>
    </row>
    <row r="308" spans="1:31" ht="12.75" x14ac:dyDescent="0.2">
      <c r="A308">
        <f ca="1">IFERROR(__xludf.DUMMYFUNCTION("""COMPUTED_VALUE"""),34025)</f>
        <v>34025</v>
      </c>
      <c r="B308" t="str">
        <f ca="1">IFERROR(__xludf.DUMMYFUNCTION("""COMPUTED_VALUE"""),"EVAUX-LES-BAINS")</f>
        <v>EVAUX-LES-BAINS</v>
      </c>
      <c r="C308" t="str">
        <f ca="1">IFERROR(__xludf.DUMMYFUNCTION("""COMPUTED_VALUE"""),"U Express")</f>
        <v>U Express</v>
      </c>
      <c r="D308" t="str">
        <f ca="1">IFERROR(__xludf.DUMMYFUNCTION("""COMPUTED_VALUE"""),"Coop U Enseigne Ouest")</f>
        <v>Coop U Enseigne Ouest</v>
      </c>
      <c r="E308">
        <f ca="1">IFERROR(__xludf.DUMMYFUNCTION("""COMPUTED_VALUE"""),23110)</f>
        <v>23110</v>
      </c>
      <c r="F308" t="str">
        <f ca="1">IFERROR(__xludf.DUMMYFUNCTION("""COMPUTED_VALUE"""),"55, AVENUE DE LA RÉPUBLIQUE")</f>
        <v>55, AVENUE DE LA RÉPUBLIQUE</v>
      </c>
      <c r="G308" t="str">
        <f ca="1">IFERROR(__xludf.DUMMYFUNCTION("""COMPUTED_VALUE"""),"05.55.65.50.69")</f>
        <v>05.55.65.50.69</v>
      </c>
      <c r="H308" t="str">
        <f ca="1">IFERROR(__xludf.DUMMYFUNCTION("""COMPUTED_VALUE"""),"PATRAUD Abel")</f>
        <v>PATRAUD Abel</v>
      </c>
      <c r="I308" t="str">
        <f ca="1">IFERROR(__xludf.DUMMYFUNCTION("""COMPUTED_VALUE"""),"abel.patraud@systeme-u.fr")</f>
        <v>abel.patraud@systeme-u.fr</v>
      </c>
      <c r="J308" t="str">
        <f ca="1">IFERROR(__xludf.DUMMYFUNCTION("""COMPUTED_VALUE"""),"")</f>
        <v/>
      </c>
      <c r="K308" t="str">
        <f ca="1">IFERROR(__xludf.DUMMYFUNCTION("""COMPUTED_VALUE"""),"")</f>
        <v/>
      </c>
      <c r="L308" t="str">
        <f ca="1">IFERROR(__xludf.DUMMYFUNCTION("""COMPUTED_VALUE"""),"")</f>
        <v/>
      </c>
      <c r="M308" t="str">
        <f ca="1">IFERROR(__xludf.DUMMYFUNCTION("""COMPUTED_VALUE"""),"99.Hors Périmetre")</f>
        <v>99.Hors Périmetre</v>
      </c>
      <c r="N308" t="str">
        <f ca="1">IFERROR(__xludf.DUMMYFUNCTION("""COMPUTED_VALUE"""),"")</f>
        <v/>
      </c>
      <c r="O308" t="str">
        <f ca="1">IFERROR(__xludf.DUMMYFUNCTION("""COMPUTED_VALUE"""),"")</f>
        <v/>
      </c>
      <c r="P308" t="str">
        <f ca="1">IFERROR(__xludf.DUMMYFUNCTION("""COMPUTED_VALUE"""),"")</f>
        <v/>
      </c>
      <c r="Q308" s="5" t="str">
        <f ca="1">IFERROR(__xludf.DUMMYFUNCTION("""COMPUTED_VALUE"""),"")</f>
        <v/>
      </c>
      <c r="R308" s="6" t="str">
        <f ca="1">IFERROR(__xludf.DUMMYFUNCTION("""COMPUTED_VALUE"""),"")</f>
        <v/>
      </c>
      <c r="S308" t="str">
        <f ca="1">IFERROR(__xludf.DUMMYFUNCTION("""COMPUTED_VALUE"""),"")</f>
        <v/>
      </c>
      <c r="T308" t="str">
        <f ca="1">IFERROR(__xludf.DUMMYFUNCTION("""COMPUTED_VALUE"""),"")</f>
        <v/>
      </c>
      <c r="U308" t="str">
        <f ca="1">IFERROR(__xludf.DUMMYFUNCTION("""COMPUTED_VALUE"""),"")</f>
        <v/>
      </c>
      <c r="V308" t="str">
        <f ca="1">IFERROR(__xludf.DUMMYFUNCTION("""COMPUTED_VALUE"""),"")</f>
        <v/>
      </c>
      <c r="W308" t="str">
        <f ca="1">IFERROR(__xludf.DUMMYFUNCTION("""COMPUTED_VALUE"""),"")</f>
        <v/>
      </c>
      <c r="X308" t="str">
        <f ca="1">IFERROR(__xludf.DUMMYFUNCTION("""COMPUTED_VALUE"""),"")</f>
        <v/>
      </c>
      <c r="Y308" t="str">
        <f ca="1">IFERROR(__xludf.DUMMYFUNCTION("""COMPUTED_VALUE"""),"")</f>
        <v/>
      </c>
      <c r="Z308" t="str">
        <f ca="1">IFERROR(__xludf.DUMMYFUNCTION("""COMPUTED_VALUE"""),"")</f>
        <v/>
      </c>
      <c r="AA308" t="str">
        <f ca="1">IFERROR(__xludf.DUMMYFUNCTION("""COMPUTED_VALUE"""),"Pas de commande")</f>
        <v>Pas de commande</v>
      </c>
      <c r="AB308" s="8" t="str">
        <f ca="1">IFERROR(__xludf.DUMMYFUNCTION("""COMPUTED_VALUE"""),"")</f>
        <v/>
      </c>
      <c r="AC308" s="8" t="str">
        <f ca="1">IFERROR(__xludf.DUMMYFUNCTION("""COMPUTED_VALUE"""),"")</f>
        <v/>
      </c>
      <c r="AD308" s="11" t="str">
        <f ca="1">IFERROR(__xludf.DUMMYFUNCTION("""COMPUTED_VALUE"""),"")</f>
        <v/>
      </c>
      <c r="AE308" t="str">
        <f ca="1">IFERROR(__xludf.DUMMYFUNCTION("""COMPUTED_VALUE"""),"")</f>
        <v/>
      </c>
    </row>
    <row r="309" spans="1:31" ht="12.75" x14ac:dyDescent="0.2">
      <c r="A309">
        <f ca="1">IFERROR(__xludf.DUMMYFUNCTION("""COMPUTED_VALUE"""),25487)</f>
        <v>25487</v>
      </c>
      <c r="B309" t="str">
        <f ca="1">IFERROR(__xludf.DUMMYFUNCTION("""COMPUTED_VALUE"""),"EVREUX")</f>
        <v>EVREUX</v>
      </c>
      <c r="C309" t="str">
        <f ca="1">IFERROR(__xludf.DUMMYFUNCTION("""COMPUTED_VALUE"""),"Super U")</f>
        <v>Super U</v>
      </c>
      <c r="D309" t="str">
        <f ca="1">IFERROR(__xludf.DUMMYFUNCTION("""COMPUTED_VALUE"""),"Coop U Enseigne NordOuest")</f>
        <v>Coop U Enseigne NordOuest</v>
      </c>
      <c r="E309">
        <f ca="1">IFERROR(__xludf.DUMMYFUNCTION("""COMPUTED_VALUE"""),27000)</f>
        <v>27000</v>
      </c>
      <c r="F309" t="str">
        <f ca="1">IFERROR(__xludf.DUMMYFUNCTION("""COMPUTED_VALUE"""),"4 PLACE DE LA RÉPUBLIQUE")</f>
        <v>4 PLACE DE LA RÉPUBLIQUE</v>
      </c>
      <c r="G309" t="str">
        <f ca="1">IFERROR(__xludf.DUMMYFUNCTION("""COMPUTED_VALUE"""),"02.32.39.31.00")</f>
        <v>02.32.39.31.00</v>
      </c>
      <c r="H309" t="str">
        <f ca="1">IFERROR(__xludf.DUMMYFUNCTION("""COMPUTED_VALUE"""),"DEMAEGDT Arnaud")</f>
        <v>DEMAEGDT Arnaud</v>
      </c>
      <c r="I309" t="str">
        <f ca="1">IFERROR(__xludf.DUMMYFUNCTION("""COMPUTED_VALUE"""),"arnaud.demaegdt@systeme-u.fr")</f>
        <v>arnaud.demaegdt@systeme-u.fr</v>
      </c>
      <c r="J309" t="str">
        <f ca="1">IFERROR(__xludf.DUMMYFUNCTION("""COMPUTED_VALUE"""),"David MANUEL")</f>
        <v>David MANUEL</v>
      </c>
      <c r="K309" t="str">
        <f ca="1">IFERROR(__xludf.DUMMYFUNCTION("""COMPUTED_VALUE"""),"superu.evreux.direction@systeme-u.fr")</f>
        <v>superu.evreux.direction@systeme-u.fr</v>
      </c>
      <c r="L309" t="str">
        <f ca="1">IFERROR(__xludf.DUMMYFUNCTION("""COMPUTED_VALUE"""),"")</f>
        <v/>
      </c>
      <c r="M309" t="str">
        <f ca="1">IFERROR(__xludf.DUMMYFUNCTION("""COMPUTED_VALUE"""),"99.Hors Périmetre")</f>
        <v>99.Hors Périmetre</v>
      </c>
      <c r="N309" t="str">
        <f ca="1">IFERROR(__xludf.DUMMYFUNCTION("""COMPUTED_VALUE"""),"")</f>
        <v/>
      </c>
      <c r="O309" t="str">
        <f ca="1">IFERROR(__xludf.DUMMYFUNCTION("""COMPUTED_VALUE"""),"")</f>
        <v/>
      </c>
      <c r="P309" t="str">
        <f ca="1">IFERROR(__xludf.DUMMYFUNCTION("""COMPUTED_VALUE"""),"")</f>
        <v/>
      </c>
      <c r="Q309" s="5" t="str">
        <f ca="1">IFERROR(__xludf.DUMMYFUNCTION("""COMPUTED_VALUE"""),"")</f>
        <v/>
      </c>
      <c r="R309" s="6" t="str">
        <f ca="1">IFERROR(__xludf.DUMMYFUNCTION("""COMPUTED_VALUE"""),"")</f>
        <v/>
      </c>
      <c r="S309" t="str">
        <f ca="1">IFERROR(__xludf.DUMMYFUNCTION("""COMPUTED_VALUE"""),"")</f>
        <v/>
      </c>
      <c r="T309" t="str">
        <f ca="1">IFERROR(__xludf.DUMMYFUNCTION("""COMPUTED_VALUE"""),"")</f>
        <v/>
      </c>
      <c r="U309" t="str">
        <f ca="1">IFERROR(__xludf.DUMMYFUNCTION("""COMPUTED_VALUE"""),"")</f>
        <v/>
      </c>
      <c r="V309" t="str">
        <f ca="1">IFERROR(__xludf.DUMMYFUNCTION("""COMPUTED_VALUE"""),"")</f>
        <v/>
      </c>
      <c r="W309" t="str">
        <f ca="1">IFERROR(__xludf.DUMMYFUNCTION("""COMPUTED_VALUE"""),"")</f>
        <v/>
      </c>
      <c r="X309" t="str">
        <f ca="1">IFERROR(__xludf.DUMMYFUNCTION("""COMPUTED_VALUE"""),"")</f>
        <v/>
      </c>
      <c r="Y309" t="str">
        <f ca="1">IFERROR(__xludf.DUMMYFUNCTION("""COMPUTED_VALUE"""),"")</f>
        <v/>
      </c>
      <c r="Z309" t="str">
        <f ca="1">IFERROR(__xludf.DUMMYFUNCTION("""COMPUTED_VALUE"""),"")</f>
        <v/>
      </c>
      <c r="AA309" t="str">
        <f ca="1">IFERROR(__xludf.DUMMYFUNCTION("""COMPUTED_VALUE"""),"Pas de commande")</f>
        <v>Pas de commande</v>
      </c>
      <c r="AB309" s="8" t="str">
        <f ca="1">IFERROR(__xludf.DUMMYFUNCTION("""COMPUTED_VALUE"""),"")</f>
        <v/>
      </c>
      <c r="AC309" s="8" t="str">
        <f ca="1">IFERROR(__xludf.DUMMYFUNCTION("""COMPUTED_VALUE"""),"")</f>
        <v/>
      </c>
      <c r="AD309" s="11" t="str">
        <f ca="1">IFERROR(__xludf.DUMMYFUNCTION("""COMPUTED_VALUE"""),"")</f>
        <v/>
      </c>
      <c r="AE309" t="str">
        <f ca="1">IFERROR(__xludf.DUMMYFUNCTION("""COMPUTED_VALUE"""),"")</f>
        <v/>
      </c>
    </row>
    <row r="310" spans="1:31" ht="12.75" x14ac:dyDescent="0.2">
      <c r="A310">
        <f ca="1">IFERROR(__xludf.DUMMYFUNCTION("""COMPUTED_VALUE"""),36335)</f>
        <v>36335</v>
      </c>
      <c r="B310" t="str">
        <f ca="1">IFERROR(__xludf.DUMMYFUNCTION("""COMPUTED_VALUE"""),"EVRON")</f>
        <v>EVRON</v>
      </c>
      <c r="C310" t="str">
        <f ca="1">IFERROR(__xludf.DUMMYFUNCTION("""COMPUTED_VALUE"""),"Super U")</f>
        <v>Super U</v>
      </c>
      <c r="D310" t="str">
        <f ca="1">IFERROR(__xludf.DUMMYFUNCTION("""COMPUTED_VALUE"""),"Coop U Enseigne Ouest")</f>
        <v>Coop U Enseigne Ouest</v>
      </c>
      <c r="E310">
        <f ca="1">IFERROR(__xludf.DUMMYFUNCTION("""COMPUTED_VALUE"""),53600)</f>
        <v>53600</v>
      </c>
      <c r="F310" t="str">
        <f ca="1">IFERROR(__xludf.DUMMYFUNCTION("""COMPUTED_VALUE"""),"ROUTE DE LAVAL")</f>
        <v>ROUTE DE LAVAL</v>
      </c>
      <c r="G310" t="str">
        <f ca="1">IFERROR(__xludf.DUMMYFUNCTION("""COMPUTED_VALUE"""),"02.43.01.34.82")</f>
        <v>02.43.01.34.82</v>
      </c>
      <c r="H310" t="str">
        <f ca="1">IFERROR(__xludf.DUMMYFUNCTION("""COMPUTED_VALUE"""),"LECHAT RPT SARL HELIOS Hubert")</f>
        <v>LECHAT RPT SARL HELIOS Hubert</v>
      </c>
      <c r="I310" t="str">
        <f ca="1">IFERROR(__xludf.DUMMYFUNCTION("""COMPUTED_VALUE"""),"nathalie.lechat@systeme-u.fr")</f>
        <v>nathalie.lechat@systeme-u.fr</v>
      </c>
      <c r="J310" t="str">
        <f ca="1">IFERROR(__xludf.DUMMYFUNCTION("""COMPUTED_VALUE"""),"FERANDIN JEREMY")</f>
        <v>FERANDIN JEREMY</v>
      </c>
      <c r="K310" t="str">
        <f ca="1">IFERROR(__xludf.DUMMYFUNCTION("""COMPUTED_VALUE"""),"superu.evron.administratif@systeme-u.fr")</f>
        <v>superu.evron.administratif@systeme-u.fr</v>
      </c>
      <c r="L310" t="str">
        <f ca="1">IFERROR(__xludf.DUMMYFUNCTION("""COMPUTED_VALUE"""),"")</f>
        <v/>
      </c>
      <c r="M310" t="str">
        <f ca="1">IFERROR(__xludf.DUMMYFUNCTION("""COMPUTED_VALUE"""),"99.Hors Périmetre")</f>
        <v>99.Hors Périmetre</v>
      </c>
      <c r="N310" t="str">
        <f ca="1">IFERROR(__xludf.DUMMYFUNCTION("""COMPUTED_VALUE"""),"")</f>
        <v/>
      </c>
      <c r="O310" t="str">
        <f ca="1">IFERROR(__xludf.DUMMYFUNCTION("""COMPUTED_VALUE"""),"")</f>
        <v/>
      </c>
      <c r="P310" t="str">
        <f ca="1">IFERROR(__xludf.DUMMYFUNCTION("""COMPUTED_VALUE"""),"")</f>
        <v/>
      </c>
      <c r="Q310" s="5" t="str">
        <f ca="1">IFERROR(__xludf.DUMMYFUNCTION("""COMPUTED_VALUE"""),"")</f>
        <v/>
      </c>
      <c r="R310" s="6" t="str">
        <f ca="1">IFERROR(__xludf.DUMMYFUNCTION("""COMPUTED_VALUE"""),"")</f>
        <v/>
      </c>
      <c r="S310" t="str">
        <f ca="1">IFERROR(__xludf.DUMMYFUNCTION("""COMPUTED_VALUE"""),"")</f>
        <v/>
      </c>
      <c r="T310" t="str">
        <f ca="1">IFERROR(__xludf.DUMMYFUNCTION("""COMPUTED_VALUE"""),"")</f>
        <v/>
      </c>
      <c r="U310" t="str">
        <f ca="1">IFERROR(__xludf.DUMMYFUNCTION("""COMPUTED_VALUE"""),"")</f>
        <v/>
      </c>
      <c r="V310" t="str">
        <f ca="1">IFERROR(__xludf.DUMMYFUNCTION("""COMPUTED_VALUE"""),"")</f>
        <v/>
      </c>
      <c r="W310" t="str">
        <f ca="1">IFERROR(__xludf.DUMMYFUNCTION("""COMPUTED_VALUE"""),"")</f>
        <v/>
      </c>
      <c r="X310" t="str">
        <f ca="1">IFERROR(__xludf.DUMMYFUNCTION("""COMPUTED_VALUE"""),"")</f>
        <v/>
      </c>
      <c r="Y310" t="str">
        <f ca="1">IFERROR(__xludf.DUMMYFUNCTION("""COMPUTED_VALUE"""),"")</f>
        <v/>
      </c>
      <c r="Z310" t="str">
        <f ca="1">IFERROR(__xludf.DUMMYFUNCTION("""COMPUTED_VALUE"""),"")</f>
        <v/>
      </c>
      <c r="AA310" t="str">
        <f ca="1">IFERROR(__xludf.DUMMYFUNCTION("""COMPUTED_VALUE"""),"Pas de commande")</f>
        <v>Pas de commande</v>
      </c>
      <c r="AB310" s="8" t="str">
        <f ca="1">IFERROR(__xludf.DUMMYFUNCTION("""COMPUTED_VALUE"""),"")</f>
        <v/>
      </c>
      <c r="AC310" s="8" t="str">
        <f ca="1">IFERROR(__xludf.DUMMYFUNCTION("""COMPUTED_VALUE"""),"")</f>
        <v/>
      </c>
      <c r="AD310" s="11" t="str">
        <f ca="1">IFERROR(__xludf.DUMMYFUNCTION("""COMPUTED_VALUE"""),"")</f>
        <v/>
      </c>
      <c r="AE310" t="str">
        <f ca="1">IFERROR(__xludf.DUMMYFUNCTION("""COMPUTED_VALUE"""),"")</f>
        <v/>
      </c>
    </row>
    <row r="311" spans="1:31" ht="12.75" x14ac:dyDescent="0.2">
      <c r="A311">
        <f ca="1">IFERROR(__xludf.DUMMYFUNCTION("""COMPUTED_VALUE"""),38187)</f>
        <v>38187</v>
      </c>
      <c r="B311" t="str">
        <f ca="1">IFERROR(__xludf.DUMMYFUNCTION("""COMPUTED_VALUE"""),"EVRON")</f>
        <v>EVRON</v>
      </c>
      <c r="C311" t="str">
        <f ca="1">IFERROR(__xludf.DUMMYFUNCTION("""COMPUTED_VALUE"""),"U Express")</f>
        <v>U Express</v>
      </c>
      <c r="D311" t="str">
        <f ca="1">IFERROR(__xludf.DUMMYFUNCTION("""COMPUTED_VALUE"""),"Coop U Enseigne Ouest")</f>
        <v>Coop U Enseigne Ouest</v>
      </c>
      <c r="E311">
        <f ca="1">IFERROR(__xludf.DUMMYFUNCTION("""COMPUTED_VALUE"""),53600)</f>
        <v>53600</v>
      </c>
      <c r="F311" t="str">
        <f ca="1">IFERROR(__xludf.DUMMYFUNCTION("""COMPUTED_VALUE"""),"ROUTE DE SILLÉ LE GUILLAUME")</f>
        <v>ROUTE DE SILLÉ LE GUILLAUME</v>
      </c>
      <c r="G311" t="str">
        <f ca="1">IFERROR(__xludf.DUMMYFUNCTION("""COMPUTED_VALUE"""),"02.43.01.64.95")</f>
        <v>02.43.01.64.95</v>
      </c>
      <c r="H311" t="str">
        <f ca="1">IFERROR(__xludf.DUMMYFUNCTION("""COMPUTED_VALUE"""),"LECHAT Hubert")</f>
        <v>LECHAT Hubert</v>
      </c>
      <c r="I311" t="str">
        <f ca="1">IFERROR(__xludf.DUMMYFUNCTION("""COMPUTED_VALUE"""),"hubert.lechat@systeme-u.fr")</f>
        <v>hubert.lechat@systeme-u.fr</v>
      </c>
      <c r="J311" t="str">
        <f ca="1">IFERROR(__xludf.DUMMYFUNCTION("""COMPUTED_VALUE"""),"")</f>
        <v/>
      </c>
      <c r="K311" t="str">
        <f ca="1">IFERROR(__xludf.DUMMYFUNCTION("""COMPUTED_VALUE"""),"")</f>
        <v/>
      </c>
      <c r="L311" t="str">
        <f ca="1">IFERROR(__xludf.DUMMYFUNCTION("""COMPUTED_VALUE"""),"")</f>
        <v/>
      </c>
      <c r="M311" t="str">
        <f ca="1">IFERROR(__xludf.DUMMYFUNCTION("""COMPUTED_VALUE"""),"99.Hors Périmetre")</f>
        <v>99.Hors Périmetre</v>
      </c>
      <c r="N311" t="str">
        <f ca="1">IFERROR(__xludf.DUMMYFUNCTION("""COMPUTED_VALUE"""),"")</f>
        <v/>
      </c>
      <c r="O311" t="str">
        <f ca="1">IFERROR(__xludf.DUMMYFUNCTION("""COMPUTED_VALUE"""),"")</f>
        <v/>
      </c>
      <c r="P311" t="str">
        <f ca="1">IFERROR(__xludf.DUMMYFUNCTION("""COMPUTED_VALUE"""),"")</f>
        <v/>
      </c>
      <c r="Q311" s="5" t="str">
        <f ca="1">IFERROR(__xludf.DUMMYFUNCTION("""COMPUTED_VALUE"""),"")</f>
        <v/>
      </c>
      <c r="R311" s="6" t="str">
        <f ca="1">IFERROR(__xludf.DUMMYFUNCTION("""COMPUTED_VALUE"""),"")</f>
        <v/>
      </c>
      <c r="S311" t="str">
        <f ca="1">IFERROR(__xludf.DUMMYFUNCTION("""COMPUTED_VALUE"""),"")</f>
        <v/>
      </c>
      <c r="T311" t="str">
        <f ca="1">IFERROR(__xludf.DUMMYFUNCTION("""COMPUTED_VALUE"""),"")</f>
        <v/>
      </c>
      <c r="U311" t="str">
        <f ca="1">IFERROR(__xludf.DUMMYFUNCTION("""COMPUTED_VALUE"""),"")</f>
        <v/>
      </c>
      <c r="V311" t="str">
        <f ca="1">IFERROR(__xludf.DUMMYFUNCTION("""COMPUTED_VALUE"""),"")</f>
        <v/>
      </c>
      <c r="W311" t="str">
        <f ca="1">IFERROR(__xludf.DUMMYFUNCTION("""COMPUTED_VALUE"""),"")</f>
        <v/>
      </c>
      <c r="X311" t="str">
        <f ca="1">IFERROR(__xludf.DUMMYFUNCTION("""COMPUTED_VALUE"""),"")</f>
        <v/>
      </c>
      <c r="Y311" t="str">
        <f ca="1">IFERROR(__xludf.DUMMYFUNCTION("""COMPUTED_VALUE"""),"")</f>
        <v/>
      </c>
      <c r="Z311" t="str">
        <f ca="1">IFERROR(__xludf.DUMMYFUNCTION("""COMPUTED_VALUE"""),"")</f>
        <v/>
      </c>
      <c r="AA311" t="str">
        <f ca="1">IFERROR(__xludf.DUMMYFUNCTION("""COMPUTED_VALUE"""),"Pas de commande")</f>
        <v>Pas de commande</v>
      </c>
      <c r="AB311" s="8" t="str">
        <f ca="1">IFERROR(__xludf.DUMMYFUNCTION("""COMPUTED_VALUE"""),"")</f>
        <v/>
      </c>
      <c r="AC311" s="8" t="str">
        <f ca="1">IFERROR(__xludf.DUMMYFUNCTION("""COMPUTED_VALUE"""),"")</f>
        <v/>
      </c>
      <c r="AD311" s="11" t="str">
        <f ca="1">IFERROR(__xludf.DUMMYFUNCTION("""COMPUTED_VALUE"""),"")</f>
        <v/>
      </c>
      <c r="AE311" t="str">
        <f ca="1">IFERROR(__xludf.DUMMYFUNCTION("""COMPUTED_VALUE"""),"")</f>
        <v/>
      </c>
    </row>
    <row r="312" spans="1:31" ht="12.75" x14ac:dyDescent="0.2">
      <c r="A312">
        <f ca="1">IFERROR(__xludf.DUMMYFUNCTION("""COMPUTED_VALUE"""),90600)</f>
        <v>90600</v>
      </c>
      <c r="B312" t="str">
        <f ca="1">IFERROR(__xludf.DUMMYFUNCTION("""COMPUTED_VALUE"""),"EYRAGUES")</f>
        <v>EYRAGUES</v>
      </c>
      <c r="C312" t="str">
        <f ca="1">IFERROR(__xludf.DUMMYFUNCTION("""COMPUTED_VALUE"""),"U Express")</f>
        <v>U Express</v>
      </c>
      <c r="D312" t="str">
        <f ca="1">IFERROR(__xludf.DUMMYFUNCTION("""COMPUTED_VALUE"""),"Coop MISTRAL")</f>
        <v>Coop MISTRAL</v>
      </c>
      <c r="E312">
        <f ca="1">IFERROR(__xludf.DUMMYFUNCTION("""COMPUTED_VALUE"""),13630)</f>
        <v>13630</v>
      </c>
      <c r="F312" t="str">
        <f ca="1">IFERROR(__xludf.DUMMYFUNCTION("""COMPUTED_VALUE"""),"149 LES ALLÉES")</f>
        <v>149 LES ALLÉES</v>
      </c>
      <c r="G312" t="str">
        <f ca="1">IFERROR(__xludf.DUMMYFUNCTION("""COMPUTED_VALUE"""),"04.90.94.00.31")</f>
        <v>04.90.94.00.31</v>
      </c>
      <c r="H312" t="str">
        <f ca="1">IFERROR(__xludf.DUMMYFUNCTION("""COMPUTED_VALUE"""),"MARCEL David")</f>
        <v>MARCEL David</v>
      </c>
      <c r="I312" t="str">
        <f ca="1">IFERROR(__xludf.DUMMYFUNCTION("""COMPUTED_VALUE"""),"uexpress.eyragues@orange.fr")</f>
        <v>uexpress.eyragues@orange.fr</v>
      </c>
      <c r="J312" t="str">
        <f ca="1">IFERROR(__xludf.DUMMYFUNCTION("""COMPUTED_VALUE"""),"")</f>
        <v/>
      </c>
      <c r="K312" t="str">
        <f ca="1">IFERROR(__xludf.DUMMYFUNCTION("""COMPUTED_VALUE"""),"delphine.damian@lemistral.fr,helene.mina@lemistral.fr")</f>
        <v>delphine.damian@lemistral.fr,helene.mina@lemistral.fr</v>
      </c>
      <c r="L312" t="str">
        <f ca="1">IFERROR(__xludf.DUMMYFUNCTION("""COMPUTED_VALUE"""),"")</f>
        <v/>
      </c>
      <c r="M312" t="str">
        <f ca="1">IFERROR(__xludf.DUMMYFUNCTION("""COMPUTED_VALUE"""),"99.Hors Périmetre")</f>
        <v>99.Hors Périmetre</v>
      </c>
      <c r="N312" t="str">
        <f ca="1">IFERROR(__xludf.DUMMYFUNCTION("""COMPUTED_VALUE"""),"")</f>
        <v/>
      </c>
      <c r="O312" t="str">
        <f ca="1">IFERROR(__xludf.DUMMYFUNCTION("""COMPUTED_VALUE"""),"")</f>
        <v/>
      </c>
      <c r="P312" t="str">
        <f ca="1">IFERROR(__xludf.DUMMYFUNCTION("""COMPUTED_VALUE"""),"")</f>
        <v/>
      </c>
      <c r="Q312" s="5" t="str">
        <f ca="1">IFERROR(__xludf.DUMMYFUNCTION("""COMPUTED_VALUE"""),"")</f>
        <v/>
      </c>
      <c r="R312" s="6" t="str">
        <f ca="1">IFERROR(__xludf.DUMMYFUNCTION("""COMPUTED_VALUE"""),"")</f>
        <v/>
      </c>
      <c r="S312" t="str">
        <f ca="1">IFERROR(__xludf.DUMMYFUNCTION("""COMPUTED_VALUE"""),"")</f>
        <v/>
      </c>
      <c r="T312" t="str">
        <f ca="1">IFERROR(__xludf.DUMMYFUNCTION("""COMPUTED_VALUE"""),"")</f>
        <v/>
      </c>
      <c r="U312" t="str">
        <f ca="1">IFERROR(__xludf.DUMMYFUNCTION("""COMPUTED_VALUE"""),"")</f>
        <v/>
      </c>
      <c r="V312" t="str">
        <f ca="1">IFERROR(__xludf.DUMMYFUNCTION("""COMPUTED_VALUE"""),"")</f>
        <v/>
      </c>
      <c r="W312" t="str">
        <f ca="1">IFERROR(__xludf.DUMMYFUNCTION("""COMPUTED_VALUE"""),"")</f>
        <v/>
      </c>
      <c r="X312" t="str">
        <f ca="1">IFERROR(__xludf.DUMMYFUNCTION("""COMPUTED_VALUE"""),"")</f>
        <v/>
      </c>
      <c r="Y312" t="str">
        <f ca="1">IFERROR(__xludf.DUMMYFUNCTION("""COMPUTED_VALUE"""),"")</f>
        <v/>
      </c>
      <c r="Z312" t="str">
        <f ca="1">IFERROR(__xludf.DUMMYFUNCTION("""COMPUTED_VALUE"""),"")</f>
        <v/>
      </c>
      <c r="AA312" t="str">
        <f ca="1">IFERROR(__xludf.DUMMYFUNCTION("""COMPUTED_VALUE"""),"Pas de commande")</f>
        <v>Pas de commande</v>
      </c>
      <c r="AB312" s="8" t="str">
        <f ca="1">IFERROR(__xludf.DUMMYFUNCTION("""COMPUTED_VALUE"""),"")</f>
        <v/>
      </c>
      <c r="AC312" s="8" t="str">
        <f ca="1">IFERROR(__xludf.DUMMYFUNCTION("""COMPUTED_VALUE"""),"")</f>
        <v/>
      </c>
      <c r="AD312" s="11" t="str">
        <f ca="1">IFERROR(__xludf.DUMMYFUNCTION("""COMPUTED_VALUE"""),"")</f>
        <v/>
      </c>
      <c r="AE312" t="str">
        <f ca="1">IFERROR(__xludf.DUMMYFUNCTION("""COMPUTED_VALUE"""),"")</f>
        <v/>
      </c>
    </row>
    <row r="313" spans="1:31" ht="12.75" x14ac:dyDescent="0.2">
      <c r="A313">
        <f ca="1">IFERROR(__xludf.DUMMYFUNCTION("""COMPUTED_VALUE"""),95524)</f>
        <v>95524</v>
      </c>
      <c r="B313" t="str">
        <f ca="1">IFERROR(__xludf.DUMMYFUNCTION("""COMPUTED_VALUE"""),"EYSINES")</f>
        <v>EYSINES</v>
      </c>
      <c r="C313" t="str">
        <f ca="1">IFERROR(__xludf.DUMMYFUNCTION("""COMPUTED_VALUE"""),"Super U")</f>
        <v>Super U</v>
      </c>
      <c r="D313" t="str">
        <f ca="1">IFERROR(__xludf.DUMMYFUNCTION("""COMPUTED_VALUE"""),"Coop U Enseigne Sud")</f>
        <v>Coop U Enseigne Sud</v>
      </c>
      <c r="E313">
        <f ca="1">IFERROR(__xludf.DUMMYFUNCTION("""COMPUTED_VALUE"""),33320)</f>
        <v>33320</v>
      </c>
      <c r="F313" t="str">
        <f ca="1">IFERROR(__xludf.DUMMYFUNCTION("""COMPUTED_VALUE"""),"3 ALLEE DE L EUROPE")</f>
        <v>3 ALLEE DE L EUROPE</v>
      </c>
      <c r="G313" t="str">
        <f ca="1">IFERROR(__xludf.DUMMYFUNCTION("""COMPUTED_VALUE"""),"05.56.28.92.58")</f>
        <v>05.56.28.92.58</v>
      </c>
      <c r="H313" t="str">
        <f ca="1">IFERROR(__xludf.DUMMYFUNCTION("""COMPUTED_VALUE"""),"HOUDAYER Jean-Luc")</f>
        <v>HOUDAYER Jean-Luc</v>
      </c>
      <c r="I313" t="str">
        <f ca="1">IFERROR(__xludf.DUMMYFUNCTION("""COMPUTED_VALUE"""),"jean-luc.houdayer@systeme-u.fr")</f>
        <v>jean-luc.houdayer@systeme-u.fr</v>
      </c>
      <c r="J313" t="str">
        <f ca="1">IFERROR(__xludf.DUMMYFUNCTION("""COMPUTED_VALUE"""),"Mme Oliviera ou Mme Lalande")</f>
        <v>Mme Oliviera ou Mme Lalande</v>
      </c>
      <c r="K313" t="str">
        <f ca="1">IFERROR(__xludf.DUMMYFUNCTION("""COMPUTED_VALUE"""),"superu.Eysines@systeme-u.fr")</f>
        <v>superu.Eysines@systeme-u.fr</v>
      </c>
      <c r="L313" t="str">
        <f ca="1">IFERROR(__xludf.DUMMYFUNCTION("""COMPUTED_VALUE"""),"")</f>
        <v/>
      </c>
      <c r="M313" t="str">
        <f ca="1">IFERROR(__xludf.DUMMYFUNCTION("""COMPUTED_VALUE"""),"99.Hors Périmetre")</f>
        <v>99.Hors Périmetre</v>
      </c>
      <c r="N313" t="str">
        <f ca="1">IFERROR(__xludf.DUMMYFUNCTION("""COMPUTED_VALUE"""),"")</f>
        <v/>
      </c>
      <c r="O313" t="str">
        <f ca="1">IFERROR(__xludf.DUMMYFUNCTION("""COMPUTED_VALUE"""),"")</f>
        <v/>
      </c>
      <c r="P313" t="str">
        <f ca="1">IFERROR(__xludf.DUMMYFUNCTION("""COMPUTED_VALUE"""),"")</f>
        <v/>
      </c>
      <c r="Q313" s="5" t="str">
        <f ca="1">IFERROR(__xludf.DUMMYFUNCTION("""COMPUTED_VALUE"""),"")</f>
        <v/>
      </c>
      <c r="R313" s="6" t="str">
        <f ca="1">IFERROR(__xludf.DUMMYFUNCTION("""COMPUTED_VALUE"""),"")</f>
        <v/>
      </c>
      <c r="S313" t="str">
        <f ca="1">IFERROR(__xludf.DUMMYFUNCTION("""COMPUTED_VALUE"""),"")</f>
        <v/>
      </c>
      <c r="T313" t="str">
        <f ca="1">IFERROR(__xludf.DUMMYFUNCTION("""COMPUTED_VALUE"""),"")</f>
        <v/>
      </c>
      <c r="U313" t="str">
        <f ca="1">IFERROR(__xludf.DUMMYFUNCTION("""COMPUTED_VALUE"""),"")</f>
        <v/>
      </c>
      <c r="V313" t="str">
        <f ca="1">IFERROR(__xludf.DUMMYFUNCTION("""COMPUTED_VALUE"""),"")</f>
        <v/>
      </c>
      <c r="W313" t="str">
        <f ca="1">IFERROR(__xludf.DUMMYFUNCTION("""COMPUTED_VALUE"""),"")</f>
        <v/>
      </c>
      <c r="X313" t="str">
        <f ca="1">IFERROR(__xludf.DUMMYFUNCTION("""COMPUTED_VALUE"""),"")</f>
        <v/>
      </c>
      <c r="Y313" t="str">
        <f ca="1">IFERROR(__xludf.DUMMYFUNCTION("""COMPUTED_VALUE"""),"")</f>
        <v/>
      </c>
      <c r="Z313" t="str">
        <f ca="1">IFERROR(__xludf.DUMMYFUNCTION("""COMPUTED_VALUE"""),"")</f>
        <v/>
      </c>
      <c r="AA313" t="str">
        <f ca="1">IFERROR(__xludf.DUMMYFUNCTION("""COMPUTED_VALUE"""),"Pas de commande")</f>
        <v>Pas de commande</v>
      </c>
      <c r="AB313" s="8" t="str">
        <f ca="1">IFERROR(__xludf.DUMMYFUNCTION("""COMPUTED_VALUE"""),"")</f>
        <v/>
      </c>
      <c r="AC313" s="8" t="str">
        <f ca="1">IFERROR(__xludf.DUMMYFUNCTION("""COMPUTED_VALUE"""),"")</f>
        <v/>
      </c>
      <c r="AD313" s="11" t="str">
        <f ca="1">IFERROR(__xludf.DUMMYFUNCTION("""COMPUTED_VALUE"""),"")</f>
        <v/>
      </c>
      <c r="AE313" t="str">
        <f ca="1">IFERROR(__xludf.DUMMYFUNCTION("""COMPUTED_VALUE"""),"")</f>
        <v/>
      </c>
    </row>
    <row r="314" spans="1:31" ht="12.75" x14ac:dyDescent="0.2">
      <c r="A314">
        <f ca="1">IFERROR(__xludf.DUMMYFUNCTION("""COMPUTED_VALUE"""),95626)</f>
        <v>95626</v>
      </c>
      <c r="B314" t="str">
        <f ca="1">IFERROR(__xludf.DUMMYFUNCTION("""COMPUTED_VALUE"""),"FARGUES ST HILAIRE")</f>
        <v>FARGUES ST HILAIRE</v>
      </c>
      <c r="C314" t="str">
        <f ca="1">IFERROR(__xludf.DUMMYFUNCTION("""COMPUTED_VALUE"""),"Super U")</f>
        <v>Super U</v>
      </c>
      <c r="D314" t="str">
        <f ca="1">IFERROR(__xludf.DUMMYFUNCTION("""COMPUTED_VALUE"""),"Coop U Enseigne Sud")</f>
        <v>Coop U Enseigne Sud</v>
      </c>
      <c r="E314">
        <f ca="1">IFERROR(__xludf.DUMMYFUNCTION("""COMPUTED_VALUE"""),33370)</f>
        <v>33370</v>
      </c>
      <c r="F314" t="str">
        <f ca="1">IFERROR(__xludf.DUMMYFUNCTION("""COMPUTED_VALUE"""),"BOIS MENU VAL LAURENCE")</f>
        <v>BOIS MENU VAL LAURENCE</v>
      </c>
      <c r="G314" t="str">
        <f ca="1">IFERROR(__xludf.DUMMYFUNCTION("""COMPUTED_VALUE"""),"05.56.68.33.33")</f>
        <v>05.56.68.33.33</v>
      </c>
      <c r="H314" t="str">
        <f ca="1">IFERROR(__xludf.DUMMYFUNCTION("""COMPUTED_VALUE"""),"COTTINAUD Adrien")</f>
        <v>COTTINAUD Adrien</v>
      </c>
      <c r="I314" t="str">
        <f ca="1">IFERROR(__xludf.DUMMYFUNCTION("""COMPUTED_VALUE"""),"adrien.cottinaud@systeme-u.fr")</f>
        <v>adrien.cottinaud@systeme-u.fr</v>
      </c>
      <c r="J314" t="str">
        <f ca="1">IFERROR(__xludf.DUMMYFUNCTION("""COMPUTED_VALUE"""),"provost sandrine")</f>
        <v>provost sandrine</v>
      </c>
      <c r="K314" t="str">
        <f ca="1">IFERROR(__xludf.DUMMYFUNCTION("""COMPUTED_VALUE"""),"superu.farguessainthilaire.compta@systeme-u.fr,superu.sandrine@gmail.com")</f>
        <v>superu.farguessainthilaire.compta@systeme-u.fr,superu.sandrine@gmail.com</v>
      </c>
      <c r="L314" t="str">
        <f ca="1">IFERROR(__xludf.DUMMYFUNCTION("""COMPUTED_VALUE"""),"")</f>
        <v/>
      </c>
      <c r="M314" t="str">
        <f ca="1">IFERROR(__xludf.DUMMYFUNCTION("""COMPUTED_VALUE"""),"99.Hors Périmetre")</f>
        <v>99.Hors Périmetre</v>
      </c>
      <c r="N314" t="str">
        <f ca="1">IFERROR(__xludf.DUMMYFUNCTION("""COMPUTED_VALUE"""),"")</f>
        <v/>
      </c>
      <c r="O314" t="str">
        <f ca="1">IFERROR(__xludf.DUMMYFUNCTION("""COMPUTED_VALUE"""),"")</f>
        <v/>
      </c>
      <c r="P314" t="str">
        <f ca="1">IFERROR(__xludf.DUMMYFUNCTION("""COMPUTED_VALUE"""),"")</f>
        <v/>
      </c>
      <c r="Q314" s="5" t="str">
        <f ca="1">IFERROR(__xludf.DUMMYFUNCTION("""COMPUTED_VALUE"""),"")</f>
        <v/>
      </c>
      <c r="R314" s="6" t="str">
        <f ca="1">IFERROR(__xludf.DUMMYFUNCTION("""COMPUTED_VALUE"""),"")</f>
        <v/>
      </c>
      <c r="S314" t="str">
        <f ca="1">IFERROR(__xludf.DUMMYFUNCTION("""COMPUTED_VALUE"""),"")</f>
        <v/>
      </c>
      <c r="T314" t="str">
        <f ca="1">IFERROR(__xludf.DUMMYFUNCTION("""COMPUTED_VALUE"""),"")</f>
        <v/>
      </c>
      <c r="U314" t="str">
        <f ca="1">IFERROR(__xludf.DUMMYFUNCTION("""COMPUTED_VALUE"""),"")</f>
        <v/>
      </c>
      <c r="V314" t="str">
        <f ca="1">IFERROR(__xludf.DUMMYFUNCTION("""COMPUTED_VALUE"""),"")</f>
        <v/>
      </c>
      <c r="W314" t="str">
        <f ca="1">IFERROR(__xludf.DUMMYFUNCTION("""COMPUTED_VALUE"""),"")</f>
        <v/>
      </c>
      <c r="X314" t="str">
        <f ca="1">IFERROR(__xludf.DUMMYFUNCTION("""COMPUTED_VALUE"""),"")</f>
        <v/>
      </c>
      <c r="Y314" t="str">
        <f ca="1">IFERROR(__xludf.DUMMYFUNCTION("""COMPUTED_VALUE"""),"")</f>
        <v/>
      </c>
      <c r="Z314" t="str">
        <f ca="1">IFERROR(__xludf.DUMMYFUNCTION("""COMPUTED_VALUE"""),"")</f>
        <v/>
      </c>
      <c r="AA314" t="str">
        <f ca="1">IFERROR(__xludf.DUMMYFUNCTION("""COMPUTED_VALUE"""),"Pas de commande")</f>
        <v>Pas de commande</v>
      </c>
      <c r="AB314" s="8" t="str">
        <f ca="1">IFERROR(__xludf.DUMMYFUNCTION("""COMPUTED_VALUE"""),"")</f>
        <v/>
      </c>
      <c r="AC314" s="8" t="str">
        <f ca="1">IFERROR(__xludf.DUMMYFUNCTION("""COMPUTED_VALUE"""),"")</f>
        <v/>
      </c>
      <c r="AD314" s="11" t="str">
        <f ca="1">IFERROR(__xludf.DUMMYFUNCTION("""COMPUTED_VALUE"""),"")</f>
        <v/>
      </c>
      <c r="AE314" t="str">
        <f ca="1">IFERROR(__xludf.DUMMYFUNCTION("""COMPUTED_VALUE"""),"")</f>
        <v/>
      </c>
    </row>
    <row r="315" spans="1:31" ht="12.75" x14ac:dyDescent="0.2">
      <c r="A315">
        <f ca="1">IFERROR(__xludf.DUMMYFUNCTION("""COMPUTED_VALUE"""),68505)</f>
        <v>68505</v>
      </c>
      <c r="B315" t="str">
        <f ca="1">IFERROR(__xludf.DUMMYFUNCTION("""COMPUTED_VALUE"""),"FAULQUEMONT")</f>
        <v>FAULQUEMONT</v>
      </c>
      <c r="C315" t="str">
        <f ca="1">IFERROR(__xludf.DUMMYFUNCTION("""COMPUTED_VALUE"""),"Super U")</f>
        <v>Super U</v>
      </c>
      <c r="D315" t="str">
        <f ca="1">IFERROR(__xludf.DUMMYFUNCTION("""COMPUTED_VALUE"""),"Coop U Enseigne Est")</f>
        <v>Coop U Enseigne Est</v>
      </c>
      <c r="E315">
        <f ca="1">IFERROR(__xludf.DUMMYFUNCTION("""COMPUTED_VALUE"""),57380)</f>
        <v>57380</v>
      </c>
      <c r="F315" t="str">
        <f ca="1">IFERROR(__xludf.DUMMYFUNCTION("""COMPUTED_VALUE"""),"42 RUE DE CREHANGE")</f>
        <v>42 RUE DE CREHANGE</v>
      </c>
      <c r="G315" t="str">
        <f ca="1">IFERROR(__xludf.DUMMYFUNCTION("""COMPUTED_VALUE"""),"03.87.00.36.40")</f>
        <v>03.87.00.36.40</v>
      </c>
      <c r="H315" t="str">
        <f ca="1">IFERROR(__xludf.DUMMYFUNCTION("""COMPUTED_VALUE"""),"WEBER Mathieu")</f>
        <v>WEBER Mathieu</v>
      </c>
      <c r="I315" t="str">
        <f ca="1">IFERROR(__xludf.DUMMYFUNCTION("""COMPUTED_VALUE"""),"mathieu.weber@systeme-u.fr")</f>
        <v>mathieu.weber@systeme-u.fr</v>
      </c>
      <c r="J315" t="str">
        <f ca="1">IFERROR(__xludf.DUMMYFUNCTION("""COMPUTED_VALUE"""),"")</f>
        <v/>
      </c>
      <c r="K315" t="str">
        <f ca="1">IFERROR(__xludf.DUMMYFUNCTION("""COMPUTED_VALUE"""),"")</f>
        <v/>
      </c>
      <c r="L315" t="str">
        <f ca="1">IFERROR(__xludf.DUMMYFUNCTION("""COMPUTED_VALUE"""),"")</f>
        <v/>
      </c>
      <c r="M315" t="str">
        <f ca="1">IFERROR(__xludf.DUMMYFUNCTION("""COMPUTED_VALUE"""),"99.Hors Périmetre")</f>
        <v>99.Hors Périmetre</v>
      </c>
      <c r="N315" t="str">
        <f ca="1">IFERROR(__xludf.DUMMYFUNCTION("""COMPUTED_VALUE"""),"")</f>
        <v/>
      </c>
      <c r="O315" t="str">
        <f ca="1">IFERROR(__xludf.DUMMYFUNCTION("""COMPUTED_VALUE"""),"")</f>
        <v/>
      </c>
      <c r="P315" t="str">
        <f ca="1">IFERROR(__xludf.DUMMYFUNCTION("""COMPUTED_VALUE"""),"")</f>
        <v/>
      </c>
      <c r="Q315" s="5" t="str">
        <f ca="1">IFERROR(__xludf.DUMMYFUNCTION("""COMPUTED_VALUE"""),"")</f>
        <v/>
      </c>
      <c r="R315" s="6" t="str">
        <f ca="1">IFERROR(__xludf.DUMMYFUNCTION("""COMPUTED_VALUE"""),"")</f>
        <v/>
      </c>
      <c r="S315" t="str">
        <f ca="1">IFERROR(__xludf.DUMMYFUNCTION("""COMPUTED_VALUE"""),"")</f>
        <v/>
      </c>
      <c r="T315" t="str">
        <f ca="1">IFERROR(__xludf.DUMMYFUNCTION("""COMPUTED_VALUE"""),"")</f>
        <v/>
      </c>
      <c r="U315" t="str">
        <f ca="1">IFERROR(__xludf.DUMMYFUNCTION("""COMPUTED_VALUE"""),"")</f>
        <v/>
      </c>
      <c r="V315" t="str">
        <f ca="1">IFERROR(__xludf.DUMMYFUNCTION("""COMPUTED_VALUE"""),"")</f>
        <v/>
      </c>
      <c r="W315" t="str">
        <f ca="1">IFERROR(__xludf.DUMMYFUNCTION("""COMPUTED_VALUE"""),"")</f>
        <v/>
      </c>
      <c r="X315" t="str">
        <f ca="1">IFERROR(__xludf.DUMMYFUNCTION("""COMPUTED_VALUE"""),"")</f>
        <v/>
      </c>
      <c r="Y315" t="str">
        <f ca="1">IFERROR(__xludf.DUMMYFUNCTION("""COMPUTED_VALUE"""),"")</f>
        <v/>
      </c>
      <c r="Z315" t="str">
        <f ca="1">IFERROR(__xludf.DUMMYFUNCTION("""COMPUTED_VALUE"""),"")</f>
        <v/>
      </c>
      <c r="AA315" t="str">
        <f ca="1">IFERROR(__xludf.DUMMYFUNCTION("""COMPUTED_VALUE"""),"Pas de commande")</f>
        <v>Pas de commande</v>
      </c>
      <c r="AB315" s="8" t="str">
        <f ca="1">IFERROR(__xludf.DUMMYFUNCTION("""COMPUTED_VALUE"""),"")</f>
        <v/>
      </c>
      <c r="AC315" s="8" t="str">
        <f ca="1">IFERROR(__xludf.DUMMYFUNCTION("""COMPUTED_VALUE"""),"")</f>
        <v/>
      </c>
      <c r="AD315" s="11" t="str">
        <f ca="1">IFERROR(__xludf.DUMMYFUNCTION("""COMPUTED_VALUE"""),"")</f>
        <v/>
      </c>
      <c r="AE315" t="str">
        <f ca="1">IFERROR(__xludf.DUMMYFUNCTION("""COMPUTED_VALUE"""),"")</f>
        <v/>
      </c>
    </row>
    <row r="316" spans="1:31" ht="12.75" x14ac:dyDescent="0.2">
      <c r="A316">
        <f ca="1">IFERROR(__xludf.DUMMYFUNCTION("""COMPUTED_VALUE"""),21473)</f>
        <v>21473</v>
      </c>
      <c r="B316" t="str">
        <f ca="1">IFERROR(__xludf.DUMMYFUNCTION("""COMPUTED_VALUE"""),"FAUVILLE EN CAUX")</f>
        <v>FAUVILLE EN CAUX</v>
      </c>
      <c r="C316" t="str">
        <f ca="1">IFERROR(__xludf.DUMMYFUNCTION("""COMPUTED_VALUE"""),"Super U")</f>
        <v>Super U</v>
      </c>
      <c r="D316" t="str">
        <f ca="1">IFERROR(__xludf.DUMMYFUNCTION("""COMPUTED_VALUE"""),"Coop U Enseigne NordOuest")</f>
        <v>Coop U Enseigne NordOuest</v>
      </c>
      <c r="E316">
        <f ca="1">IFERROR(__xludf.DUMMYFUNCTION("""COMPUTED_VALUE"""),76640)</f>
        <v>76640</v>
      </c>
      <c r="F316" t="str">
        <f ca="1">IFERROR(__xludf.DUMMYFUNCTION("""COMPUTED_VALUE"""),"RUE DE L'EUROPE")</f>
        <v>RUE DE L'EUROPE</v>
      </c>
      <c r="G316" t="str">
        <f ca="1">IFERROR(__xludf.DUMMYFUNCTION("""COMPUTED_VALUE"""),"02.35.56.58.18")</f>
        <v>02.35.56.58.18</v>
      </c>
      <c r="H316" t="str">
        <f ca="1">IFERROR(__xludf.DUMMYFUNCTION("""COMPUTED_VALUE"""),"TRIGUEL Sonia")</f>
        <v>TRIGUEL Sonia</v>
      </c>
      <c r="I316" t="str">
        <f ca="1">IFERROR(__xludf.DUMMYFUNCTION("""COMPUTED_VALUE"""),"sonia.triguel@systeme-u.fr")</f>
        <v>sonia.triguel@systeme-u.fr</v>
      </c>
      <c r="J316" t="str">
        <f ca="1">IFERROR(__xludf.DUMMYFUNCTION("""COMPUTED_VALUE"""),"M. Stéphane Menant")</f>
        <v>M. Stéphane Menant</v>
      </c>
      <c r="K316" t="str">
        <f ca="1">IFERROR(__xludf.DUMMYFUNCTION("""COMPUTED_VALUE"""),"stephane.menant@systeme-u.fr")</f>
        <v>stephane.menant@systeme-u.fr</v>
      </c>
      <c r="L316" t="str">
        <f ca="1">IFERROR(__xludf.DUMMYFUNCTION("""COMPUTED_VALUE"""),"")</f>
        <v/>
      </c>
      <c r="M316" t="str">
        <f ca="1">IFERROR(__xludf.DUMMYFUNCTION("""COMPUTED_VALUE"""),"99.Hors Périmetre")</f>
        <v>99.Hors Périmetre</v>
      </c>
      <c r="N316" t="str">
        <f ca="1">IFERROR(__xludf.DUMMYFUNCTION("""COMPUTED_VALUE"""),"")</f>
        <v/>
      </c>
      <c r="O316" t="str">
        <f ca="1">IFERROR(__xludf.DUMMYFUNCTION("""COMPUTED_VALUE"""),"")</f>
        <v/>
      </c>
      <c r="P316" t="str">
        <f ca="1">IFERROR(__xludf.DUMMYFUNCTION("""COMPUTED_VALUE"""),"")</f>
        <v/>
      </c>
      <c r="Q316" s="5" t="str">
        <f ca="1">IFERROR(__xludf.DUMMYFUNCTION("""COMPUTED_VALUE"""),"")</f>
        <v/>
      </c>
      <c r="R316" s="6" t="str">
        <f ca="1">IFERROR(__xludf.DUMMYFUNCTION("""COMPUTED_VALUE"""),"")</f>
        <v/>
      </c>
      <c r="S316" t="str">
        <f ca="1">IFERROR(__xludf.DUMMYFUNCTION("""COMPUTED_VALUE"""),"")</f>
        <v/>
      </c>
      <c r="T316" t="str">
        <f ca="1">IFERROR(__xludf.DUMMYFUNCTION("""COMPUTED_VALUE"""),"")</f>
        <v/>
      </c>
      <c r="U316" t="str">
        <f ca="1">IFERROR(__xludf.DUMMYFUNCTION("""COMPUTED_VALUE"""),"")</f>
        <v/>
      </c>
      <c r="V316" t="str">
        <f ca="1">IFERROR(__xludf.DUMMYFUNCTION("""COMPUTED_VALUE"""),"")</f>
        <v/>
      </c>
      <c r="W316" t="str">
        <f ca="1">IFERROR(__xludf.DUMMYFUNCTION("""COMPUTED_VALUE"""),"")</f>
        <v/>
      </c>
      <c r="X316" t="str">
        <f ca="1">IFERROR(__xludf.DUMMYFUNCTION("""COMPUTED_VALUE"""),"")</f>
        <v/>
      </c>
      <c r="Y316" t="str">
        <f ca="1">IFERROR(__xludf.DUMMYFUNCTION("""COMPUTED_VALUE"""),"")</f>
        <v/>
      </c>
      <c r="Z316" t="str">
        <f ca="1">IFERROR(__xludf.DUMMYFUNCTION("""COMPUTED_VALUE"""),"")</f>
        <v/>
      </c>
      <c r="AA316" t="str">
        <f ca="1">IFERROR(__xludf.DUMMYFUNCTION("""COMPUTED_VALUE"""),"Pas de commande")</f>
        <v>Pas de commande</v>
      </c>
      <c r="AB316" s="8" t="str">
        <f ca="1">IFERROR(__xludf.DUMMYFUNCTION("""COMPUTED_VALUE"""),"")</f>
        <v/>
      </c>
      <c r="AC316" s="8" t="str">
        <f ca="1">IFERROR(__xludf.DUMMYFUNCTION("""COMPUTED_VALUE"""),"")</f>
        <v/>
      </c>
      <c r="AD316" s="11" t="str">
        <f ca="1">IFERROR(__xludf.DUMMYFUNCTION("""COMPUTED_VALUE"""),"")</f>
        <v/>
      </c>
      <c r="AE316" t="str">
        <f ca="1">IFERROR(__xludf.DUMMYFUNCTION("""COMPUTED_VALUE"""),"")</f>
        <v/>
      </c>
    </row>
    <row r="317" spans="1:31" ht="12.75" x14ac:dyDescent="0.2">
      <c r="A317">
        <f ca="1">IFERROR(__xludf.DUMMYFUNCTION("""COMPUTED_VALUE"""),60101)</f>
        <v>60101</v>
      </c>
      <c r="B317" t="str">
        <f ca="1">IFERROR(__xludf.DUMMYFUNCTION("""COMPUTED_VALUE"""),"FELLERING")</f>
        <v>FELLERING</v>
      </c>
      <c r="C317" t="str">
        <f ca="1">IFERROR(__xludf.DUMMYFUNCTION("""COMPUTED_VALUE"""),"U Express")</f>
        <v>U Express</v>
      </c>
      <c r="D317" t="str">
        <f ca="1">IFERROR(__xludf.DUMMYFUNCTION("""COMPUTED_VALUE"""),"Coop U Enseigne Est")</f>
        <v>Coop U Enseigne Est</v>
      </c>
      <c r="E317">
        <f ca="1">IFERROR(__xludf.DUMMYFUNCTION("""COMPUTED_VALUE"""),68470)</f>
        <v>68470</v>
      </c>
      <c r="F317" t="str">
        <f ca="1">IFERROR(__xludf.DUMMYFUNCTION("""COMPUTED_VALUE"""),"2 RUE DES FABRIQUES")</f>
        <v>2 RUE DES FABRIQUES</v>
      </c>
      <c r="G317" t="str">
        <f ca="1">IFERROR(__xludf.DUMMYFUNCTION("""COMPUTED_VALUE"""),"03.89.82.60.61")</f>
        <v>03.89.82.60.61</v>
      </c>
      <c r="H317" t="str">
        <f ca="1">IFERROR(__xludf.DUMMYFUNCTION("""COMPUTED_VALUE"""),"ABRUZZI Elric")</f>
        <v>ABRUZZI Elric</v>
      </c>
      <c r="I317" t="str">
        <f ca="1">IFERROR(__xludf.DUMMYFUNCTION("""COMPUTED_VALUE"""),"elric.abruzzi@systeme-u.fr")</f>
        <v>elric.abruzzi@systeme-u.fr</v>
      </c>
      <c r="J317" t="str">
        <f ca="1">IFERROR(__xludf.DUMMYFUNCTION("""COMPUTED_VALUE"""),"Mme Brunner")</f>
        <v>Mme Brunner</v>
      </c>
      <c r="K317" t="str">
        <f ca="1">IFERROR(__xludf.DUMMYFUNCTION("""COMPUTED_VALUE"""),"uexpress.fellering.direction@systeme-u.fr")</f>
        <v>uexpress.fellering.direction@systeme-u.fr</v>
      </c>
      <c r="L317" t="str">
        <f ca="1">IFERROR(__xludf.DUMMYFUNCTION("""COMPUTED_VALUE"""),"")</f>
        <v/>
      </c>
      <c r="M317" t="str">
        <f ca="1">IFERROR(__xludf.DUMMYFUNCTION("""COMPUTED_VALUE"""),"99.Hors Périmetre")</f>
        <v>99.Hors Périmetre</v>
      </c>
      <c r="N317" t="str">
        <f ca="1">IFERROR(__xludf.DUMMYFUNCTION("""COMPUTED_VALUE"""),"")</f>
        <v/>
      </c>
      <c r="O317" t="str">
        <f ca="1">IFERROR(__xludf.DUMMYFUNCTION("""COMPUTED_VALUE"""),"")</f>
        <v/>
      </c>
      <c r="P317" t="str">
        <f ca="1">IFERROR(__xludf.DUMMYFUNCTION("""COMPUTED_VALUE"""),"")</f>
        <v/>
      </c>
      <c r="Q317" s="5" t="str">
        <f ca="1">IFERROR(__xludf.DUMMYFUNCTION("""COMPUTED_VALUE"""),"")</f>
        <v/>
      </c>
      <c r="R317" s="6" t="str">
        <f ca="1">IFERROR(__xludf.DUMMYFUNCTION("""COMPUTED_VALUE"""),"")</f>
        <v/>
      </c>
      <c r="S317" t="str">
        <f ca="1">IFERROR(__xludf.DUMMYFUNCTION("""COMPUTED_VALUE"""),"")</f>
        <v/>
      </c>
      <c r="T317" t="str">
        <f ca="1">IFERROR(__xludf.DUMMYFUNCTION("""COMPUTED_VALUE"""),"")</f>
        <v/>
      </c>
      <c r="U317" t="str">
        <f ca="1">IFERROR(__xludf.DUMMYFUNCTION("""COMPUTED_VALUE"""),"")</f>
        <v/>
      </c>
      <c r="V317" t="str">
        <f ca="1">IFERROR(__xludf.DUMMYFUNCTION("""COMPUTED_VALUE"""),"")</f>
        <v/>
      </c>
      <c r="W317" t="str">
        <f ca="1">IFERROR(__xludf.DUMMYFUNCTION("""COMPUTED_VALUE"""),"")</f>
        <v/>
      </c>
      <c r="X317" t="str">
        <f ca="1">IFERROR(__xludf.DUMMYFUNCTION("""COMPUTED_VALUE"""),"")</f>
        <v/>
      </c>
      <c r="Y317" t="str">
        <f ca="1">IFERROR(__xludf.DUMMYFUNCTION("""COMPUTED_VALUE"""),"")</f>
        <v/>
      </c>
      <c r="Z317" t="str">
        <f ca="1">IFERROR(__xludf.DUMMYFUNCTION("""COMPUTED_VALUE"""),"")</f>
        <v/>
      </c>
      <c r="AA317" t="str">
        <f ca="1">IFERROR(__xludf.DUMMYFUNCTION("""COMPUTED_VALUE"""),"Pas de commande")</f>
        <v>Pas de commande</v>
      </c>
      <c r="AB317" s="8" t="str">
        <f ca="1">IFERROR(__xludf.DUMMYFUNCTION("""COMPUTED_VALUE"""),"")</f>
        <v/>
      </c>
      <c r="AC317" s="8" t="str">
        <f ca="1">IFERROR(__xludf.DUMMYFUNCTION("""COMPUTED_VALUE"""),"")</f>
        <v/>
      </c>
      <c r="AD317" s="11" t="str">
        <f ca="1">IFERROR(__xludf.DUMMYFUNCTION("""COMPUTED_VALUE"""),"")</f>
        <v/>
      </c>
      <c r="AE317" t="str">
        <f ca="1">IFERROR(__xludf.DUMMYFUNCTION("""COMPUTED_VALUE"""),"")</f>
        <v/>
      </c>
    </row>
    <row r="318" spans="1:31" ht="12.75" x14ac:dyDescent="0.2">
      <c r="A318">
        <f ca="1">IFERROR(__xludf.DUMMYFUNCTION("""COMPUTED_VALUE"""),21880)</f>
        <v>21880</v>
      </c>
      <c r="B318" t="str">
        <f ca="1">IFERROR(__xludf.DUMMYFUNCTION("""COMPUTED_VALUE"""),"FERE EN TARDENOIS")</f>
        <v>FERE EN TARDENOIS</v>
      </c>
      <c r="C318" t="str">
        <f ca="1">IFERROR(__xludf.DUMMYFUNCTION("""COMPUTED_VALUE"""),"Super U")</f>
        <v>Super U</v>
      </c>
      <c r="D318" t="str">
        <f ca="1">IFERROR(__xludf.DUMMYFUNCTION("""COMPUTED_VALUE"""),"Coop U Enseigne NordOuest")</f>
        <v>Coop U Enseigne NordOuest</v>
      </c>
      <c r="E318">
        <f ca="1">IFERROR(__xludf.DUMMYFUNCTION("""COMPUTED_VALUE"""),2130)</f>
        <v>2130</v>
      </c>
      <c r="F318" t="str">
        <f ca="1">IFERROR(__xludf.DUMMYFUNCTION("""COMPUTED_VALUE"""),"RUE DU STADE")</f>
        <v>RUE DU STADE</v>
      </c>
      <c r="G318" t="str">
        <f ca="1">IFERROR(__xludf.DUMMYFUNCTION("""COMPUTED_VALUE"""),"03.23.82.57.30")</f>
        <v>03.23.82.57.30</v>
      </c>
      <c r="H318" t="str">
        <f ca="1">IFERROR(__xludf.DUMMYFUNCTION("""COMPUTED_VALUE"""),"OLIVIER Jean-Roch")</f>
        <v>OLIVIER Jean-Roch</v>
      </c>
      <c r="I318" t="str">
        <f ca="1">IFERROR(__xludf.DUMMYFUNCTION("""COMPUTED_VALUE"""),"jean-roch.olivier@systeme-u.fr")</f>
        <v>jean-roch.olivier@systeme-u.fr</v>
      </c>
      <c r="J318" t="str">
        <f ca="1">IFERROR(__xludf.DUMMYFUNCTION("""COMPUTED_VALUE"""),"Lambot Sandrine")</f>
        <v>Lambot Sandrine</v>
      </c>
      <c r="K318" t="str">
        <f ca="1">IFERROR(__xludf.DUMMYFUNCTION("""COMPUTED_VALUE"""),"superu.fereentardenois@systeme-u.fr")</f>
        <v>superu.fereentardenois@systeme-u.fr</v>
      </c>
      <c r="L318" t="str">
        <f ca="1">IFERROR(__xludf.DUMMYFUNCTION("""COMPUTED_VALUE"""),"")</f>
        <v/>
      </c>
      <c r="M318" t="str">
        <f ca="1">IFERROR(__xludf.DUMMYFUNCTION("""COMPUTED_VALUE"""),"99.Hors Périmetre")</f>
        <v>99.Hors Périmetre</v>
      </c>
      <c r="N318" t="str">
        <f ca="1">IFERROR(__xludf.DUMMYFUNCTION("""COMPUTED_VALUE"""),"")</f>
        <v/>
      </c>
      <c r="O318" t="str">
        <f ca="1">IFERROR(__xludf.DUMMYFUNCTION("""COMPUTED_VALUE"""),"")</f>
        <v/>
      </c>
      <c r="P318" t="str">
        <f ca="1">IFERROR(__xludf.DUMMYFUNCTION("""COMPUTED_VALUE"""),"")</f>
        <v/>
      </c>
      <c r="Q318" s="5" t="str">
        <f ca="1">IFERROR(__xludf.DUMMYFUNCTION("""COMPUTED_VALUE"""),"")</f>
        <v/>
      </c>
      <c r="R318" s="6" t="str">
        <f ca="1">IFERROR(__xludf.DUMMYFUNCTION("""COMPUTED_VALUE"""),"")</f>
        <v/>
      </c>
      <c r="S318" t="str">
        <f ca="1">IFERROR(__xludf.DUMMYFUNCTION("""COMPUTED_VALUE"""),"")</f>
        <v/>
      </c>
      <c r="T318" t="str">
        <f ca="1">IFERROR(__xludf.DUMMYFUNCTION("""COMPUTED_VALUE"""),"")</f>
        <v/>
      </c>
      <c r="U318" t="str">
        <f ca="1">IFERROR(__xludf.DUMMYFUNCTION("""COMPUTED_VALUE"""),"")</f>
        <v/>
      </c>
      <c r="V318" t="str">
        <f ca="1">IFERROR(__xludf.DUMMYFUNCTION("""COMPUTED_VALUE"""),"")</f>
        <v/>
      </c>
      <c r="W318" t="str">
        <f ca="1">IFERROR(__xludf.DUMMYFUNCTION("""COMPUTED_VALUE"""),"")</f>
        <v/>
      </c>
      <c r="X318" t="str">
        <f ca="1">IFERROR(__xludf.DUMMYFUNCTION("""COMPUTED_VALUE"""),"")</f>
        <v/>
      </c>
      <c r="Y318" t="str">
        <f ca="1">IFERROR(__xludf.DUMMYFUNCTION("""COMPUTED_VALUE"""),"")</f>
        <v/>
      </c>
      <c r="Z318" t="str">
        <f ca="1">IFERROR(__xludf.DUMMYFUNCTION("""COMPUTED_VALUE"""),"")</f>
        <v/>
      </c>
      <c r="AA318" t="str">
        <f ca="1">IFERROR(__xludf.DUMMYFUNCTION("""COMPUTED_VALUE"""),"Pas de commande")</f>
        <v>Pas de commande</v>
      </c>
      <c r="AB318" s="8" t="str">
        <f ca="1">IFERROR(__xludf.DUMMYFUNCTION("""COMPUTED_VALUE"""),"")</f>
        <v/>
      </c>
      <c r="AC318" s="8" t="str">
        <f ca="1">IFERROR(__xludf.DUMMYFUNCTION("""COMPUTED_VALUE"""),"")</f>
        <v/>
      </c>
      <c r="AD318" s="11" t="str">
        <f ca="1">IFERROR(__xludf.DUMMYFUNCTION("""COMPUTED_VALUE"""),"")</f>
        <v/>
      </c>
      <c r="AE318" t="str">
        <f ca="1">IFERROR(__xludf.DUMMYFUNCTION("""COMPUTED_VALUE"""),"")</f>
        <v/>
      </c>
    </row>
    <row r="319" spans="1:31" ht="12.75" x14ac:dyDescent="0.2">
      <c r="A319">
        <f ca="1">IFERROR(__xludf.DUMMYFUNCTION("""COMPUTED_VALUE"""),24731)</f>
        <v>24731</v>
      </c>
      <c r="B319" t="str">
        <f ca="1">IFERROR(__xludf.DUMMYFUNCTION("""COMPUTED_VALUE"""),"FERRIÈRES EN BRAY")</f>
        <v>FERRIÈRES EN BRAY</v>
      </c>
      <c r="C319" t="str">
        <f ca="1">IFERROR(__xludf.DUMMYFUNCTION("""COMPUTED_VALUE"""),"Super U")</f>
        <v>Super U</v>
      </c>
      <c r="D319" t="str">
        <f ca="1">IFERROR(__xludf.DUMMYFUNCTION("""COMPUTED_VALUE"""),"Coop U Enseigne NordOuest")</f>
        <v>Coop U Enseigne NordOuest</v>
      </c>
      <c r="E319">
        <f ca="1">IFERROR(__xludf.DUMMYFUNCTION("""COMPUTED_VALUE"""),76220)</f>
        <v>76220</v>
      </c>
      <c r="F319" t="str">
        <f ca="1">IFERROR(__xludf.DUMMYFUNCTION("""COMPUTED_VALUE"""),"PROMENADE DU PAYS DE BRAY")</f>
        <v>PROMENADE DU PAYS DE BRAY</v>
      </c>
      <c r="G319" t="str">
        <f ca="1">IFERROR(__xludf.DUMMYFUNCTION("""COMPUTED_VALUE"""),"02.35.09.72.72")</f>
        <v>02.35.09.72.72</v>
      </c>
      <c r="H319" t="str">
        <f ca="1">IFERROR(__xludf.DUMMYFUNCTION("""COMPUTED_VALUE"""),"CARON Stéphane")</f>
        <v>CARON Stéphane</v>
      </c>
      <c r="I319" t="str">
        <f ca="1">IFERROR(__xludf.DUMMYFUNCTION("""COMPUTED_VALUE"""),"stephane.caron@systeme-u.fr")</f>
        <v>stephane.caron@systeme-u.fr</v>
      </c>
      <c r="J319" t="str">
        <f ca="1">IFERROR(__xludf.DUMMYFUNCTION("""COMPUTED_VALUE"""),"Christopher Quillet")</f>
        <v>Christopher Quillet</v>
      </c>
      <c r="K319" t="str">
        <f ca="1">IFERROR(__xludf.DUMMYFUNCTION("""COMPUTED_VALUE"""),"superu.ferrieresenbray.direction@systeme-u.fr")</f>
        <v>superu.ferrieresenbray.direction@systeme-u.fr</v>
      </c>
      <c r="L319" t="str">
        <f ca="1">IFERROR(__xludf.DUMMYFUNCTION("""COMPUTED_VALUE"""),"")</f>
        <v/>
      </c>
      <c r="M319" t="str">
        <f ca="1">IFERROR(__xludf.DUMMYFUNCTION("""COMPUTED_VALUE"""),"99.Hors Périmetre")</f>
        <v>99.Hors Périmetre</v>
      </c>
      <c r="N319" t="str">
        <f ca="1">IFERROR(__xludf.DUMMYFUNCTION("""COMPUTED_VALUE"""),"")</f>
        <v/>
      </c>
      <c r="O319" t="str">
        <f ca="1">IFERROR(__xludf.DUMMYFUNCTION("""COMPUTED_VALUE"""),"")</f>
        <v/>
      </c>
      <c r="P319" t="str">
        <f ca="1">IFERROR(__xludf.DUMMYFUNCTION("""COMPUTED_VALUE"""),"")</f>
        <v/>
      </c>
      <c r="Q319" s="5" t="str">
        <f ca="1">IFERROR(__xludf.DUMMYFUNCTION("""COMPUTED_VALUE"""),"")</f>
        <v/>
      </c>
      <c r="R319" s="6" t="str">
        <f ca="1">IFERROR(__xludf.DUMMYFUNCTION("""COMPUTED_VALUE"""),"")</f>
        <v/>
      </c>
      <c r="S319" t="str">
        <f ca="1">IFERROR(__xludf.DUMMYFUNCTION("""COMPUTED_VALUE"""),"")</f>
        <v/>
      </c>
      <c r="T319" t="str">
        <f ca="1">IFERROR(__xludf.DUMMYFUNCTION("""COMPUTED_VALUE"""),"")</f>
        <v/>
      </c>
      <c r="U319" t="str">
        <f ca="1">IFERROR(__xludf.DUMMYFUNCTION("""COMPUTED_VALUE"""),"")</f>
        <v/>
      </c>
      <c r="V319" t="str">
        <f ca="1">IFERROR(__xludf.DUMMYFUNCTION("""COMPUTED_VALUE"""),"")</f>
        <v/>
      </c>
      <c r="W319" t="str">
        <f ca="1">IFERROR(__xludf.DUMMYFUNCTION("""COMPUTED_VALUE"""),"")</f>
        <v/>
      </c>
      <c r="X319" t="str">
        <f ca="1">IFERROR(__xludf.DUMMYFUNCTION("""COMPUTED_VALUE"""),"")</f>
        <v/>
      </c>
      <c r="Y319" t="str">
        <f ca="1">IFERROR(__xludf.DUMMYFUNCTION("""COMPUTED_VALUE"""),"")</f>
        <v/>
      </c>
      <c r="Z319" t="str">
        <f ca="1">IFERROR(__xludf.DUMMYFUNCTION("""COMPUTED_VALUE"""),"")</f>
        <v/>
      </c>
      <c r="AA319" t="str">
        <f ca="1">IFERROR(__xludf.DUMMYFUNCTION("""COMPUTED_VALUE"""),"Pas de commande")</f>
        <v>Pas de commande</v>
      </c>
      <c r="AB319" s="8" t="str">
        <f ca="1">IFERROR(__xludf.DUMMYFUNCTION("""COMPUTED_VALUE"""),"")</f>
        <v/>
      </c>
      <c r="AC319" s="8" t="str">
        <f ca="1">IFERROR(__xludf.DUMMYFUNCTION("""COMPUTED_VALUE"""),"")</f>
        <v/>
      </c>
      <c r="AD319" s="11" t="str">
        <f ca="1">IFERROR(__xludf.DUMMYFUNCTION("""COMPUTED_VALUE"""),"")</f>
        <v/>
      </c>
      <c r="AE319" t="str">
        <f ca="1">IFERROR(__xludf.DUMMYFUNCTION("""COMPUTED_VALUE"""),"")</f>
        <v/>
      </c>
    </row>
    <row r="320" spans="1:31" ht="12.75" x14ac:dyDescent="0.2">
      <c r="A320">
        <f ca="1">IFERROR(__xludf.DUMMYFUNCTION("""COMPUTED_VALUE"""),60700)</f>
        <v>60700</v>
      </c>
      <c r="B320" t="str">
        <f ca="1">IFERROR(__xludf.DUMMYFUNCTION("""COMPUTED_VALUE"""),"FESSENHEIM")</f>
        <v>FESSENHEIM</v>
      </c>
      <c r="C320" t="str">
        <f ca="1">IFERROR(__xludf.DUMMYFUNCTION("""COMPUTED_VALUE"""),"Super U")</f>
        <v>Super U</v>
      </c>
      <c r="D320" t="str">
        <f ca="1">IFERROR(__xludf.DUMMYFUNCTION("""COMPUTED_VALUE"""),"Coop U Enseigne Est")</f>
        <v>Coop U Enseigne Est</v>
      </c>
      <c r="E320">
        <f ca="1">IFERROR(__xludf.DUMMYFUNCTION("""COMPUTED_VALUE"""),68740)</f>
        <v>68740</v>
      </c>
      <c r="F320" t="str">
        <f ca="1">IFERROR(__xludf.DUMMYFUNCTION("""COMPUTED_VALUE"""),"Rue de la 1ère Armée")</f>
        <v>Rue de la 1ère Armée</v>
      </c>
      <c r="G320" t="str">
        <f ca="1">IFERROR(__xludf.DUMMYFUNCTION("""COMPUTED_VALUE"""),"03.89.83.78.50")</f>
        <v>03.89.83.78.50</v>
      </c>
      <c r="H320" t="str">
        <f ca="1">IFERROR(__xludf.DUMMYFUNCTION("""COMPUTED_VALUE"""),"SCHELCHER Dominique")</f>
        <v>SCHELCHER Dominique</v>
      </c>
      <c r="I320" t="str">
        <f ca="1">IFERROR(__xludf.DUMMYFUNCTION("""COMPUTED_VALUE"""),"dominique.schelcher@systeme-u.fr")</f>
        <v>dominique.schelcher@systeme-u.fr</v>
      </c>
      <c r="J320" t="str">
        <f ca="1">IFERROR(__xludf.DUMMYFUNCTION("""COMPUTED_VALUE"""),"M. PORCU")</f>
        <v>M. PORCU</v>
      </c>
      <c r="K320" t="str">
        <f ca="1">IFERROR(__xludf.DUMMYFUNCTION("""COMPUTED_VALUE"""),"olivier.porcu@systeme-u.fr")</f>
        <v>olivier.porcu@systeme-u.fr</v>
      </c>
      <c r="L320" t="str">
        <f ca="1">IFERROR(__xludf.DUMMYFUNCTION("""COMPUTED_VALUE"""),"")</f>
        <v/>
      </c>
      <c r="M320" t="str">
        <f ca="1">IFERROR(__xludf.DUMMYFUNCTION("""COMPUTED_VALUE"""),"99.Hors Périmetre")</f>
        <v>99.Hors Périmetre</v>
      </c>
      <c r="N320" t="str">
        <f ca="1">IFERROR(__xludf.DUMMYFUNCTION("""COMPUTED_VALUE"""),"")</f>
        <v/>
      </c>
      <c r="O320" t="str">
        <f ca="1">IFERROR(__xludf.DUMMYFUNCTION("""COMPUTED_VALUE"""),"")</f>
        <v/>
      </c>
      <c r="P320" t="str">
        <f ca="1">IFERROR(__xludf.DUMMYFUNCTION("""COMPUTED_VALUE"""),"")</f>
        <v/>
      </c>
      <c r="Q320" s="5" t="str">
        <f ca="1">IFERROR(__xludf.DUMMYFUNCTION("""COMPUTED_VALUE"""),"")</f>
        <v/>
      </c>
      <c r="R320" s="6" t="str">
        <f ca="1">IFERROR(__xludf.DUMMYFUNCTION("""COMPUTED_VALUE"""),"")</f>
        <v/>
      </c>
      <c r="S320" t="str">
        <f ca="1">IFERROR(__xludf.DUMMYFUNCTION("""COMPUTED_VALUE"""),"")</f>
        <v/>
      </c>
      <c r="T320" t="str">
        <f ca="1">IFERROR(__xludf.DUMMYFUNCTION("""COMPUTED_VALUE"""),"")</f>
        <v/>
      </c>
      <c r="U320" t="str">
        <f ca="1">IFERROR(__xludf.DUMMYFUNCTION("""COMPUTED_VALUE"""),"")</f>
        <v/>
      </c>
      <c r="V320" t="str">
        <f ca="1">IFERROR(__xludf.DUMMYFUNCTION("""COMPUTED_VALUE"""),"")</f>
        <v/>
      </c>
      <c r="W320" t="str">
        <f ca="1">IFERROR(__xludf.DUMMYFUNCTION("""COMPUTED_VALUE"""),"")</f>
        <v/>
      </c>
      <c r="X320" t="str">
        <f ca="1">IFERROR(__xludf.DUMMYFUNCTION("""COMPUTED_VALUE"""),"")</f>
        <v/>
      </c>
      <c r="Y320" t="str">
        <f ca="1">IFERROR(__xludf.DUMMYFUNCTION("""COMPUTED_VALUE"""),"")</f>
        <v/>
      </c>
      <c r="Z320" t="str">
        <f ca="1">IFERROR(__xludf.DUMMYFUNCTION("""COMPUTED_VALUE"""),"")</f>
        <v/>
      </c>
      <c r="AA320" t="str">
        <f ca="1">IFERROR(__xludf.DUMMYFUNCTION("""COMPUTED_VALUE"""),"Pas de commande")</f>
        <v>Pas de commande</v>
      </c>
      <c r="AB320" s="8" t="str">
        <f ca="1">IFERROR(__xludf.DUMMYFUNCTION("""COMPUTED_VALUE"""),"")</f>
        <v/>
      </c>
      <c r="AC320" s="8" t="str">
        <f ca="1">IFERROR(__xludf.DUMMYFUNCTION("""COMPUTED_VALUE"""),"")</f>
        <v/>
      </c>
      <c r="AD320" s="11" t="str">
        <f ca="1">IFERROR(__xludf.DUMMYFUNCTION("""COMPUTED_VALUE"""),"")</f>
        <v/>
      </c>
      <c r="AE320" t="str">
        <f ca="1">IFERROR(__xludf.DUMMYFUNCTION("""COMPUTED_VALUE"""),"")</f>
        <v/>
      </c>
    </row>
    <row r="321" spans="1:31" ht="12.75" x14ac:dyDescent="0.2">
      <c r="A321">
        <f ca="1">IFERROR(__xludf.DUMMYFUNCTION("""COMPUTED_VALUE"""),35460)</f>
        <v>35460</v>
      </c>
      <c r="B321" t="str">
        <f ca="1">IFERROR(__xludf.DUMMYFUNCTION("""COMPUTED_VALUE"""),"FEYTIAT")</f>
        <v>FEYTIAT</v>
      </c>
      <c r="C321" t="str">
        <f ca="1">IFERROR(__xludf.DUMMYFUNCTION("""COMPUTED_VALUE"""),"Super U")</f>
        <v>Super U</v>
      </c>
      <c r="D321" t="str">
        <f ca="1">IFERROR(__xludf.DUMMYFUNCTION("""COMPUTED_VALUE"""),"Coop U Enseigne Ouest")</f>
        <v>Coop U Enseigne Ouest</v>
      </c>
      <c r="E321">
        <f ca="1">IFERROR(__xludf.DUMMYFUNCTION("""COMPUTED_VALUE"""),87220)</f>
        <v>87220</v>
      </c>
      <c r="F321" t="str">
        <f ca="1">IFERROR(__xludf.DUMMYFUNCTION("""COMPUTED_VALUE"""),"CENTRE COMM LE MAS CERISE")</f>
        <v>CENTRE COMM LE MAS CERISE</v>
      </c>
      <c r="G321" t="str">
        <f ca="1">IFERROR(__xludf.DUMMYFUNCTION("""COMPUTED_VALUE"""),"05.55.00.26.17")</f>
        <v>05.55.00.26.17</v>
      </c>
      <c r="H321" t="str">
        <f ca="1">IFERROR(__xludf.DUMMYFUNCTION("""COMPUTED_VALUE"""),"ONILLION Guillaume")</f>
        <v>ONILLION Guillaume</v>
      </c>
      <c r="I321" t="str">
        <f ca="1">IFERROR(__xludf.DUMMYFUNCTION("""COMPUTED_VALUE"""),"guillaume.onillion@systeme-u.fr")</f>
        <v>guillaume.onillion@systeme-u.fr</v>
      </c>
      <c r="J321" t="str">
        <f ca="1">IFERROR(__xludf.DUMMYFUNCTION("""COMPUTED_VALUE"""),"Mme Faucher")</f>
        <v>Mme Faucher</v>
      </c>
      <c r="K321" t="str">
        <f ca="1">IFERROR(__xludf.DUMMYFUNCTION("""COMPUTED_VALUE"""),"superu.feytiat.locationu@systeme-u.fr")</f>
        <v>superu.feytiat.locationu@systeme-u.fr</v>
      </c>
      <c r="L321" t="str">
        <f ca="1">IFERROR(__xludf.DUMMYFUNCTION("""COMPUTED_VALUE"""),"Standard")</f>
        <v>Standard</v>
      </c>
      <c r="M321" t="str">
        <f ca="1">IFERROR(__xludf.DUMMYFUNCTION("""COMPUTED_VALUE"""),"0. Non démarré")</f>
        <v>0. Non démarré</v>
      </c>
      <c r="N321" t="str">
        <f ca="1">IFERROR(__xludf.DUMMYFUNCTION("""COMPUTED_VALUE"""),"")</f>
        <v/>
      </c>
      <c r="O321" t="str">
        <f ca="1">IFERROR(__xludf.DUMMYFUNCTION("""COMPUTED_VALUE"""),"")</f>
        <v/>
      </c>
      <c r="P321" t="str">
        <f ca="1">IFERROR(__xludf.DUMMYFUNCTION("""COMPUTED_VALUE"""),"")</f>
        <v/>
      </c>
      <c r="Q321" s="5" t="str">
        <f ca="1">IFERROR(__xludf.DUMMYFUNCTION("""COMPUTED_VALUE"""),"")</f>
        <v/>
      </c>
      <c r="R321" s="6" t="str">
        <f ca="1">IFERROR(__xludf.DUMMYFUNCTION("""COMPUTED_VALUE"""),"")</f>
        <v/>
      </c>
      <c r="S321" t="str">
        <f ca="1">IFERROR(__xludf.DUMMYFUNCTION("""COMPUTED_VALUE"""),"")</f>
        <v/>
      </c>
      <c r="T321" t="str">
        <f ca="1">IFERROR(__xludf.DUMMYFUNCTION("""COMPUTED_VALUE"""),"")</f>
        <v/>
      </c>
      <c r="U321" t="str">
        <f ca="1">IFERROR(__xludf.DUMMYFUNCTION("""COMPUTED_VALUE"""),"")</f>
        <v/>
      </c>
      <c r="V321" t="str">
        <f ca="1">IFERROR(__xludf.DUMMYFUNCTION("""COMPUTED_VALUE"""),"")</f>
        <v/>
      </c>
      <c r="W321" t="str">
        <f ca="1">IFERROR(__xludf.DUMMYFUNCTION("""COMPUTED_VALUE"""),"R5")</f>
        <v>R5</v>
      </c>
      <c r="X321" t="str">
        <f ca="1">IFERROR(__xludf.DUMMYFUNCTION("""COMPUTED_VALUE"""),"Pricer")</f>
        <v>Pricer</v>
      </c>
      <c r="Y321" t="str">
        <f ca="1">IFERROR(__xludf.DUMMYFUNCTION("""COMPUTED_VALUE"""),"")</f>
        <v/>
      </c>
      <c r="Z321" t="str">
        <f ca="1">IFERROR(__xludf.DUMMYFUNCTION("""COMPUTED_VALUE"""),"")</f>
        <v/>
      </c>
      <c r="AA321" t="str">
        <f ca="1">IFERROR(__xludf.DUMMYFUNCTION("""COMPUTED_VALUE"""),"Pas de commande")</f>
        <v>Pas de commande</v>
      </c>
      <c r="AB321" s="8" t="str">
        <f ca="1">IFERROR(__xludf.DUMMYFUNCTION("""COMPUTED_VALUE"""),"")</f>
        <v/>
      </c>
      <c r="AC321" s="8" t="str">
        <f ca="1">IFERROR(__xludf.DUMMYFUNCTION("""COMPUTED_VALUE"""),"")</f>
        <v/>
      </c>
      <c r="AD321" s="11" t="str">
        <f ca="1">IFERROR(__xludf.DUMMYFUNCTION("""COMPUTED_VALUE"""),"")</f>
        <v/>
      </c>
      <c r="AE321" t="str">
        <f ca="1">IFERROR(__xludf.DUMMYFUNCTION("""COMPUTED_VALUE"""),"")</f>
        <v/>
      </c>
    </row>
    <row r="322" spans="1:31" ht="12.75" x14ac:dyDescent="0.2">
      <c r="A322">
        <f ca="1">IFERROR(__xludf.DUMMYFUNCTION("""COMPUTED_VALUE"""),66015)</f>
        <v>66015</v>
      </c>
      <c r="B322" t="str">
        <f ca="1">IFERROR(__xludf.DUMMYFUNCTION("""COMPUTED_VALUE"""),"FEYZIN")</f>
        <v>FEYZIN</v>
      </c>
      <c r="C322" t="str">
        <f ca="1">IFERROR(__xludf.DUMMYFUNCTION("""COMPUTED_VALUE"""),"U Express")</f>
        <v>U Express</v>
      </c>
      <c r="D322" t="str">
        <f ca="1">IFERROR(__xludf.DUMMYFUNCTION("""COMPUTED_VALUE"""),"Coop U Enseigne Est")</f>
        <v>Coop U Enseigne Est</v>
      </c>
      <c r="E322">
        <f ca="1">IFERROR(__xludf.DUMMYFUNCTION("""COMPUTED_VALUE"""),69320)</f>
        <v>69320</v>
      </c>
      <c r="F322" t="str">
        <f ca="1">IFERROR(__xludf.DUMMYFUNCTION("""COMPUTED_VALUE"""),"6 place Louis Grenier")</f>
        <v>6 place Louis Grenier</v>
      </c>
      <c r="G322" t="str">
        <f ca="1">IFERROR(__xludf.DUMMYFUNCTION("""COMPUTED_VALUE"""),"04.78.67.52.40")</f>
        <v>04.78.67.52.40</v>
      </c>
      <c r="H322" t="str">
        <f ca="1">IFERROR(__xludf.DUMMYFUNCTION("""COMPUTED_VALUE"""),"PERCHE RPT SAS CRISLO Christian")</f>
        <v>PERCHE RPT SAS CRISLO Christian</v>
      </c>
      <c r="I322" t="str">
        <f ca="1">IFERROR(__xludf.DUMMYFUNCTION("""COMPUTED_VALUE"""),"christian.perche@systeme-u.fr")</f>
        <v>christian.perche@systeme-u.fr</v>
      </c>
      <c r="J322" t="str">
        <f ca="1">IFERROR(__xludf.DUMMYFUNCTION("""COMPUTED_VALUE"""),"")</f>
        <v/>
      </c>
      <c r="K322" t="str">
        <f ca="1">IFERROR(__xludf.DUMMYFUNCTION("""COMPUTED_VALUE"""),"uexpress.feyzin.direction@systeme-u.fr")</f>
        <v>uexpress.feyzin.direction@systeme-u.fr</v>
      </c>
      <c r="L322" t="str">
        <f ca="1">IFERROR(__xludf.DUMMYFUNCTION("""COMPUTED_VALUE"""),"")</f>
        <v/>
      </c>
      <c r="M322" t="str">
        <f ca="1">IFERROR(__xludf.DUMMYFUNCTION("""COMPUTED_VALUE"""),"99.Hors Périmetre")</f>
        <v>99.Hors Périmetre</v>
      </c>
      <c r="N322" t="str">
        <f ca="1">IFERROR(__xludf.DUMMYFUNCTION("""COMPUTED_VALUE"""),"")</f>
        <v/>
      </c>
      <c r="O322" t="str">
        <f ca="1">IFERROR(__xludf.DUMMYFUNCTION("""COMPUTED_VALUE"""),"")</f>
        <v/>
      </c>
      <c r="P322" t="str">
        <f ca="1">IFERROR(__xludf.DUMMYFUNCTION("""COMPUTED_VALUE"""),"")</f>
        <v/>
      </c>
      <c r="Q322" s="5" t="str">
        <f ca="1">IFERROR(__xludf.DUMMYFUNCTION("""COMPUTED_VALUE"""),"")</f>
        <v/>
      </c>
      <c r="R322" s="6" t="str">
        <f ca="1">IFERROR(__xludf.DUMMYFUNCTION("""COMPUTED_VALUE"""),"")</f>
        <v/>
      </c>
      <c r="S322" t="str">
        <f ca="1">IFERROR(__xludf.DUMMYFUNCTION("""COMPUTED_VALUE"""),"")</f>
        <v/>
      </c>
      <c r="T322" t="str">
        <f ca="1">IFERROR(__xludf.DUMMYFUNCTION("""COMPUTED_VALUE"""),"")</f>
        <v/>
      </c>
      <c r="U322" t="str">
        <f ca="1">IFERROR(__xludf.DUMMYFUNCTION("""COMPUTED_VALUE"""),"")</f>
        <v/>
      </c>
      <c r="V322" t="str">
        <f ca="1">IFERROR(__xludf.DUMMYFUNCTION("""COMPUTED_VALUE"""),"")</f>
        <v/>
      </c>
      <c r="W322" t="str">
        <f ca="1">IFERROR(__xludf.DUMMYFUNCTION("""COMPUTED_VALUE"""),"")</f>
        <v/>
      </c>
      <c r="X322" t="str">
        <f ca="1">IFERROR(__xludf.DUMMYFUNCTION("""COMPUTED_VALUE"""),"")</f>
        <v/>
      </c>
      <c r="Y322" t="str">
        <f ca="1">IFERROR(__xludf.DUMMYFUNCTION("""COMPUTED_VALUE"""),"")</f>
        <v/>
      </c>
      <c r="Z322" t="str">
        <f ca="1">IFERROR(__xludf.DUMMYFUNCTION("""COMPUTED_VALUE"""),"")</f>
        <v/>
      </c>
      <c r="AA322" t="str">
        <f ca="1">IFERROR(__xludf.DUMMYFUNCTION("""COMPUTED_VALUE"""),"Pas de commande")</f>
        <v>Pas de commande</v>
      </c>
      <c r="AB322" s="8" t="str">
        <f ca="1">IFERROR(__xludf.DUMMYFUNCTION("""COMPUTED_VALUE"""),"")</f>
        <v/>
      </c>
      <c r="AC322" s="8" t="str">
        <f ca="1">IFERROR(__xludf.DUMMYFUNCTION("""COMPUTED_VALUE"""),"")</f>
        <v/>
      </c>
      <c r="AD322" s="11" t="str">
        <f ca="1">IFERROR(__xludf.DUMMYFUNCTION("""COMPUTED_VALUE"""),"")</f>
        <v/>
      </c>
      <c r="AE322" t="str">
        <f ca="1">IFERROR(__xludf.DUMMYFUNCTION("""COMPUTED_VALUE"""),"")</f>
        <v/>
      </c>
    </row>
    <row r="323" spans="1:31" ht="12.75" x14ac:dyDescent="0.2">
      <c r="A323">
        <f ca="1">IFERROR(__xludf.DUMMYFUNCTION("""COMPUTED_VALUE"""),90535)</f>
        <v>90535</v>
      </c>
      <c r="B323" t="str">
        <f ca="1">IFERROR(__xludf.DUMMYFUNCTION("""COMPUTED_VALUE"""),"FLASSANS ISSOLE")</f>
        <v>FLASSANS ISSOLE</v>
      </c>
      <c r="C323" t="str">
        <f ca="1">IFERROR(__xludf.DUMMYFUNCTION("""COMPUTED_VALUE"""),"Super U")</f>
        <v>Super U</v>
      </c>
      <c r="D323" t="str">
        <f ca="1">IFERROR(__xludf.DUMMYFUNCTION("""COMPUTED_VALUE"""),"Coop U Enseigne Sud")</f>
        <v>Coop U Enseigne Sud</v>
      </c>
      <c r="E323">
        <f ca="1">IFERROR(__xludf.DUMMYFUNCTION("""COMPUTED_VALUE"""),83340)</f>
        <v>83340</v>
      </c>
      <c r="F323" t="str">
        <f ca="1">IFERROR(__xludf.DUMMYFUNCTION("""COMPUTED_VALUE"""),"LE PEYROUAS RD 13")</f>
        <v>LE PEYROUAS RD 13</v>
      </c>
      <c r="G323" t="str">
        <f ca="1">IFERROR(__xludf.DUMMYFUNCTION("""COMPUTED_VALUE"""),"04.94.37.63.70")</f>
        <v>04.94.37.63.70</v>
      </c>
      <c r="H323" t="str">
        <f ca="1">IFERROR(__xludf.DUMMYFUNCTION("""COMPUTED_VALUE"""),"DUBUS Thibaut")</f>
        <v>DUBUS Thibaut</v>
      </c>
      <c r="I323" t="str">
        <f ca="1">IFERROR(__xludf.DUMMYFUNCTION("""COMPUTED_VALUE"""),"thibaut.dubus@systeme-u.fr")</f>
        <v>thibaut.dubus@systeme-u.fr</v>
      </c>
      <c r="J323" t="str">
        <f ca="1">IFERROR(__xludf.DUMMYFUNCTION("""COMPUTED_VALUE"""),"Mme DUBUS")</f>
        <v>Mme DUBUS</v>
      </c>
      <c r="K323" t="str">
        <f ca="1">IFERROR(__xludf.DUMMYFUNCTION("""COMPUTED_VALUE"""),"superu.flassans.compta@systeme-u.fr")</f>
        <v>superu.flassans.compta@systeme-u.fr</v>
      </c>
      <c r="L323" t="str">
        <f ca="1">IFERROR(__xludf.DUMMYFUNCTION("""COMPUTED_VALUE"""),"Standard")</f>
        <v>Standard</v>
      </c>
      <c r="M323" t="str">
        <f ca="1">IFERROR(__xludf.DUMMYFUNCTION("""COMPUTED_VALUE"""),"0. Non démarré")</f>
        <v>0. Non démarré</v>
      </c>
      <c r="N323" t="str">
        <f ca="1">IFERROR(__xludf.DUMMYFUNCTION("""COMPUTED_VALUE"""),"")</f>
        <v/>
      </c>
      <c r="O323" t="str">
        <f ca="1">IFERROR(__xludf.DUMMYFUNCTION("""COMPUTED_VALUE"""),"")</f>
        <v/>
      </c>
      <c r="P323" t="str">
        <f ca="1">IFERROR(__xludf.DUMMYFUNCTION("""COMPUTED_VALUE"""),"")</f>
        <v/>
      </c>
      <c r="Q323" s="5" t="str">
        <f ca="1">IFERROR(__xludf.DUMMYFUNCTION("""COMPUTED_VALUE"""),"")</f>
        <v/>
      </c>
      <c r="R323" s="6" t="str">
        <f ca="1">IFERROR(__xludf.DUMMYFUNCTION("""COMPUTED_VALUE"""),"")</f>
        <v/>
      </c>
      <c r="S323" t="str">
        <f ca="1">IFERROR(__xludf.DUMMYFUNCTION("""COMPUTED_VALUE"""),"")</f>
        <v/>
      </c>
      <c r="T323" t="str">
        <f ca="1">IFERROR(__xludf.DUMMYFUNCTION("""COMPUTED_VALUE"""),"")</f>
        <v/>
      </c>
      <c r="U323" t="str">
        <f ca="1">IFERROR(__xludf.DUMMYFUNCTION("""COMPUTED_VALUE"""),"")</f>
        <v/>
      </c>
      <c r="V323" t="str">
        <f ca="1">IFERROR(__xludf.DUMMYFUNCTION("""COMPUTED_VALUE"""),"")</f>
        <v/>
      </c>
      <c r="W323" t="str">
        <f ca="1">IFERROR(__xludf.DUMMYFUNCTION("""COMPUTED_VALUE"""),"R5")</f>
        <v>R5</v>
      </c>
      <c r="X323" t="str">
        <f ca="1">IFERROR(__xludf.DUMMYFUNCTION("""COMPUTED_VALUE"""),"Pricer")</f>
        <v>Pricer</v>
      </c>
      <c r="Y323" t="str">
        <f ca="1">IFERROR(__xludf.DUMMYFUNCTION("""COMPUTED_VALUE"""),"")</f>
        <v/>
      </c>
      <c r="Z323" t="str">
        <f ca="1">IFERROR(__xludf.DUMMYFUNCTION("""COMPUTED_VALUE"""),"")</f>
        <v/>
      </c>
      <c r="AA323" t="str">
        <f ca="1">IFERROR(__xludf.DUMMYFUNCTION("""COMPUTED_VALUE"""),"Pas de commande")</f>
        <v>Pas de commande</v>
      </c>
      <c r="AB323" s="8" t="str">
        <f ca="1">IFERROR(__xludf.DUMMYFUNCTION("""COMPUTED_VALUE"""),"")</f>
        <v/>
      </c>
      <c r="AC323" s="8" t="str">
        <f ca="1">IFERROR(__xludf.DUMMYFUNCTION("""COMPUTED_VALUE"""),"")</f>
        <v/>
      </c>
      <c r="AD323" s="11" t="str">
        <f ca="1">IFERROR(__xludf.DUMMYFUNCTION("""COMPUTED_VALUE"""),"")</f>
        <v/>
      </c>
      <c r="AE323" t="str">
        <f ca="1">IFERROR(__xludf.DUMMYFUNCTION("""COMPUTED_VALUE"""),"")</f>
        <v/>
      </c>
    </row>
    <row r="324" spans="1:31" ht="12.75" x14ac:dyDescent="0.2">
      <c r="A324">
        <f ca="1">IFERROR(__xludf.DUMMYFUNCTION("""COMPUTED_VALUE"""),22879)</f>
        <v>22879</v>
      </c>
      <c r="B324" t="str">
        <f ca="1">IFERROR(__xludf.DUMMYFUNCTION("""COMPUTED_VALUE"""),"FLIXECOURT")</f>
        <v>FLIXECOURT</v>
      </c>
      <c r="C324" t="str">
        <f ca="1">IFERROR(__xludf.DUMMYFUNCTION("""COMPUTED_VALUE"""),"Super U")</f>
        <v>Super U</v>
      </c>
      <c r="D324" t="str">
        <f ca="1">IFERROR(__xludf.DUMMYFUNCTION("""COMPUTED_VALUE"""),"Coop U Enseigne NordOuest")</f>
        <v>Coop U Enseigne NordOuest</v>
      </c>
      <c r="E324">
        <f ca="1">IFERROR(__xludf.DUMMYFUNCTION("""COMPUTED_VALUE"""),80420)</f>
        <v>80420</v>
      </c>
      <c r="F324" t="str">
        <f ca="1">IFERROR(__xludf.DUMMYFUNCTION("""COMPUTED_VALUE"""),"ZAC DES HAUTS DU VAL DE NIEVRE")</f>
        <v>ZAC DES HAUTS DU VAL DE NIEVRE</v>
      </c>
      <c r="G324" t="str">
        <f ca="1">IFERROR(__xludf.DUMMYFUNCTION("""COMPUTED_VALUE"""),"03.22.40.30.60")</f>
        <v>03.22.40.30.60</v>
      </c>
      <c r="H324" t="str">
        <f ca="1">IFERROR(__xludf.DUMMYFUNCTION("""COMPUTED_VALUE"""),"DIERICK (PORTAGE) Sébastien")</f>
        <v>DIERICK (PORTAGE) Sébastien</v>
      </c>
      <c r="I324" t="str">
        <f ca="1">IFERROR(__xludf.DUMMYFUNCTION("""COMPUTED_VALUE"""),"sebastien.dierick@systeme-u.fr")</f>
        <v>sebastien.dierick@systeme-u.fr</v>
      </c>
      <c r="J324" t="str">
        <f ca="1">IFERROR(__xludf.DUMMYFUNCTION("""COMPUTED_VALUE"""),"MADELAINE Jérome")</f>
        <v>MADELAINE Jérome</v>
      </c>
      <c r="K324" t="str">
        <f ca="1">IFERROR(__xludf.DUMMYFUNCTION("""COMPUTED_VALUE"""),"jerome.madelaine@systeme-u.fr")</f>
        <v>jerome.madelaine@systeme-u.fr</v>
      </c>
      <c r="L324" t="str">
        <f ca="1">IFERROR(__xludf.DUMMYFUNCTION("""COMPUTED_VALUE"""),"")</f>
        <v/>
      </c>
      <c r="M324" t="str">
        <f ca="1">IFERROR(__xludf.DUMMYFUNCTION("""COMPUTED_VALUE"""),"99.Hors Périmetre")</f>
        <v>99.Hors Périmetre</v>
      </c>
      <c r="N324" t="str">
        <f ca="1">IFERROR(__xludf.DUMMYFUNCTION("""COMPUTED_VALUE"""),"")</f>
        <v/>
      </c>
      <c r="O324" t="str">
        <f ca="1">IFERROR(__xludf.DUMMYFUNCTION("""COMPUTED_VALUE"""),"")</f>
        <v/>
      </c>
      <c r="P324" t="str">
        <f ca="1">IFERROR(__xludf.DUMMYFUNCTION("""COMPUTED_VALUE"""),"")</f>
        <v/>
      </c>
      <c r="Q324" s="5" t="str">
        <f ca="1">IFERROR(__xludf.DUMMYFUNCTION("""COMPUTED_VALUE"""),"")</f>
        <v/>
      </c>
      <c r="R324" s="6" t="str">
        <f ca="1">IFERROR(__xludf.DUMMYFUNCTION("""COMPUTED_VALUE"""),"")</f>
        <v/>
      </c>
      <c r="S324" t="str">
        <f ca="1">IFERROR(__xludf.DUMMYFUNCTION("""COMPUTED_VALUE"""),"")</f>
        <v/>
      </c>
      <c r="T324" t="str">
        <f ca="1">IFERROR(__xludf.DUMMYFUNCTION("""COMPUTED_VALUE"""),"")</f>
        <v/>
      </c>
      <c r="U324" t="str">
        <f ca="1">IFERROR(__xludf.DUMMYFUNCTION("""COMPUTED_VALUE"""),"")</f>
        <v/>
      </c>
      <c r="V324" t="str">
        <f ca="1">IFERROR(__xludf.DUMMYFUNCTION("""COMPUTED_VALUE"""),"")</f>
        <v/>
      </c>
      <c r="W324" t="str">
        <f ca="1">IFERROR(__xludf.DUMMYFUNCTION("""COMPUTED_VALUE"""),"")</f>
        <v/>
      </c>
      <c r="X324" t="str">
        <f ca="1">IFERROR(__xludf.DUMMYFUNCTION("""COMPUTED_VALUE"""),"")</f>
        <v/>
      </c>
      <c r="Y324" t="str">
        <f ca="1">IFERROR(__xludf.DUMMYFUNCTION("""COMPUTED_VALUE"""),"")</f>
        <v/>
      </c>
      <c r="Z324" t="str">
        <f ca="1">IFERROR(__xludf.DUMMYFUNCTION("""COMPUTED_VALUE"""),"")</f>
        <v/>
      </c>
      <c r="AA324" t="str">
        <f ca="1">IFERROR(__xludf.DUMMYFUNCTION("""COMPUTED_VALUE"""),"Pas de commande")</f>
        <v>Pas de commande</v>
      </c>
      <c r="AB324" s="8" t="str">
        <f ca="1">IFERROR(__xludf.DUMMYFUNCTION("""COMPUTED_VALUE"""),"")</f>
        <v/>
      </c>
      <c r="AC324" s="8" t="str">
        <f ca="1">IFERROR(__xludf.DUMMYFUNCTION("""COMPUTED_VALUE"""),"")</f>
        <v/>
      </c>
      <c r="AD324" s="11" t="str">
        <f ca="1">IFERROR(__xludf.DUMMYFUNCTION("""COMPUTED_VALUE"""),"")</f>
        <v/>
      </c>
      <c r="AE324" t="str">
        <f ca="1">IFERROR(__xludf.DUMMYFUNCTION("""COMPUTED_VALUE"""),"")</f>
        <v/>
      </c>
    </row>
    <row r="325" spans="1:31" ht="12.75" x14ac:dyDescent="0.2">
      <c r="A325">
        <f ca="1">IFERROR(__xludf.DUMMYFUNCTION("""COMPUTED_VALUE"""),96953)</f>
        <v>96953</v>
      </c>
      <c r="B325" t="str">
        <f ca="1">IFERROR(__xludf.DUMMYFUNCTION("""COMPUTED_VALUE"""),"FONBEAUZARD")</f>
        <v>FONBEAUZARD</v>
      </c>
      <c r="C325" t="str">
        <f ca="1">IFERROR(__xludf.DUMMYFUNCTION("""COMPUTED_VALUE"""),"Super U")</f>
        <v>Super U</v>
      </c>
      <c r="D325" t="str">
        <f ca="1">IFERROR(__xludf.DUMMYFUNCTION("""COMPUTED_VALUE"""),"Coop U Enseigne Sud")</f>
        <v>Coop U Enseigne Sud</v>
      </c>
      <c r="E325">
        <f ca="1">IFERROR(__xludf.DUMMYFUNCTION("""COMPUTED_VALUE"""),31140)</f>
        <v>31140</v>
      </c>
      <c r="F325" t="str">
        <f ca="1">IFERROR(__xludf.DUMMYFUNCTION("""COMPUTED_VALUE"""),"121 ROUTE DE BESSIERES")</f>
        <v>121 ROUTE DE BESSIERES</v>
      </c>
      <c r="G325" t="str">
        <f ca="1">IFERROR(__xludf.DUMMYFUNCTION("""COMPUTED_VALUE"""),"05.62.79.88.18")</f>
        <v>05.62.79.88.18</v>
      </c>
      <c r="H325" t="str">
        <f ca="1">IFERROR(__xludf.DUMMYFUNCTION("""COMPUTED_VALUE"""),"PELISSIER &amp; TREUIL Thomas &amp; Cyril")</f>
        <v>PELISSIER &amp; TREUIL Thomas &amp; Cyril</v>
      </c>
      <c r="I325" t="str">
        <f ca="1">IFERROR(__xludf.DUMMYFUNCTION("""COMPUTED_VALUE"""),"cyril.treuil@systeme-u.fr")</f>
        <v>cyril.treuil@systeme-u.fr</v>
      </c>
      <c r="J325" t="str">
        <f ca="1">IFERROR(__xludf.DUMMYFUNCTION("""COMPUTED_VALUE"""),"PELISSIER Thomas")</f>
        <v>PELISSIER Thomas</v>
      </c>
      <c r="K325" t="str">
        <f ca="1">IFERROR(__xludf.DUMMYFUNCTION("""COMPUTED_VALUE"""),"Thomas.PELISSIER@systeme-u.fr, superu.fonbeauzard.compta@systeme-u.fr")</f>
        <v>Thomas.PELISSIER@systeme-u.fr, superu.fonbeauzard.compta@systeme-u.fr</v>
      </c>
      <c r="L325" t="str">
        <f ca="1">IFERROR(__xludf.DUMMYFUNCTION("""COMPUTED_VALUE"""),"")</f>
        <v/>
      </c>
      <c r="M325" t="str">
        <f ca="1">IFERROR(__xludf.DUMMYFUNCTION("""COMPUTED_VALUE"""),"99.Hors Périmetre")</f>
        <v>99.Hors Périmetre</v>
      </c>
      <c r="N325" t="str">
        <f ca="1">IFERROR(__xludf.DUMMYFUNCTION("""COMPUTED_VALUE"""),"")</f>
        <v/>
      </c>
      <c r="O325" t="str">
        <f ca="1">IFERROR(__xludf.DUMMYFUNCTION("""COMPUTED_VALUE"""),"")</f>
        <v/>
      </c>
      <c r="P325" t="str">
        <f ca="1">IFERROR(__xludf.DUMMYFUNCTION("""COMPUTED_VALUE"""),"")</f>
        <v/>
      </c>
      <c r="Q325" s="5" t="str">
        <f ca="1">IFERROR(__xludf.DUMMYFUNCTION("""COMPUTED_VALUE"""),"")</f>
        <v/>
      </c>
      <c r="R325" s="6" t="str">
        <f ca="1">IFERROR(__xludf.DUMMYFUNCTION("""COMPUTED_VALUE"""),"")</f>
        <v/>
      </c>
      <c r="S325" t="str">
        <f ca="1">IFERROR(__xludf.DUMMYFUNCTION("""COMPUTED_VALUE"""),"")</f>
        <v/>
      </c>
      <c r="T325" t="str">
        <f ca="1">IFERROR(__xludf.DUMMYFUNCTION("""COMPUTED_VALUE"""),"")</f>
        <v/>
      </c>
      <c r="U325" t="str">
        <f ca="1">IFERROR(__xludf.DUMMYFUNCTION("""COMPUTED_VALUE"""),"")</f>
        <v/>
      </c>
      <c r="V325" t="str">
        <f ca="1">IFERROR(__xludf.DUMMYFUNCTION("""COMPUTED_VALUE"""),"")</f>
        <v/>
      </c>
      <c r="W325" t="str">
        <f ca="1">IFERROR(__xludf.DUMMYFUNCTION("""COMPUTED_VALUE"""),"")</f>
        <v/>
      </c>
      <c r="X325" t="str">
        <f ca="1">IFERROR(__xludf.DUMMYFUNCTION("""COMPUTED_VALUE"""),"")</f>
        <v/>
      </c>
      <c r="Y325" t="str">
        <f ca="1">IFERROR(__xludf.DUMMYFUNCTION("""COMPUTED_VALUE"""),"")</f>
        <v/>
      </c>
      <c r="Z325" t="str">
        <f ca="1">IFERROR(__xludf.DUMMYFUNCTION("""COMPUTED_VALUE"""),"")</f>
        <v/>
      </c>
      <c r="AA325" t="str">
        <f ca="1">IFERROR(__xludf.DUMMYFUNCTION("""COMPUTED_VALUE"""),"Pas de commande")</f>
        <v>Pas de commande</v>
      </c>
      <c r="AB325" s="8" t="str">
        <f ca="1">IFERROR(__xludf.DUMMYFUNCTION("""COMPUTED_VALUE"""),"")</f>
        <v/>
      </c>
      <c r="AC325" s="8" t="str">
        <f ca="1">IFERROR(__xludf.DUMMYFUNCTION("""COMPUTED_VALUE"""),"")</f>
        <v/>
      </c>
      <c r="AD325" s="11" t="str">
        <f ca="1">IFERROR(__xludf.DUMMYFUNCTION("""COMPUTED_VALUE"""),"")</f>
        <v/>
      </c>
      <c r="AE325" t="str">
        <f ca="1">IFERROR(__xludf.DUMMYFUNCTION("""COMPUTED_VALUE"""),"")</f>
        <v/>
      </c>
    </row>
    <row r="326" spans="1:31" ht="12.75" x14ac:dyDescent="0.2">
      <c r="A326">
        <f ca="1">IFERROR(__xludf.DUMMYFUNCTION("""COMPUTED_VALUE"""),22941)</f>
        <v>22941</v>
      </c>
      <c r="B326" t="str">
        <f ca="1">IFERROR(__xludf.DUMMYFUNCTION("""COMPUTED_VALUE"""),"FONTENAY LE FLEURY")</f>
        <v>FONTENAY LE FLEURY</v>
      </c>
      <c r="C326" t="str">
        <f ca="1">IFERROR(__xludf.DUMMYFUNCTION("""COMPUTED_VALUE"""),"Super U")</f>
        <v>Super U</v>
      </c>
      <c r="D326" t="str">
        <f ca="1">IFERROR(__xludf.DUMMYFUNCTION("""COMPUTED_VALUE"""),"Coop U Enseigne NordOuest")</f>
        <v>Coop U Enseigne NordOuest</v>
      </c>
      <c r="E326">
        <f ca="1">IFERROR(__xludf.DUMMYFUNCTION("""COMPUTED_VALUE"""),78330)</f>
        <v>78330</v>
      </c>
      <c r="F326" t="str">
        <f ca="1">IFERROR(__xludf.DUMMYFUNCTION("""COMPUTED_VALUE"""),"30 RUE DE LA DÉMENERIE")</f>
        <v>30 RUE DE LA DÉMENERIE</v>
      </c>
      <c r="G326" t="str">
        <f ca="1">IFERROR(__xludf.DUMMYFUNCTION("""COMPUTED_VALUE"""),"01.30.07.11.70")</f>
        <v>01.30.07.11.70</v>
      </c>
      <c r="H326" t="str">
        <f ca="1">IFERROR(__xludf.DUMMYFUNCTION("""COMPUTED_VALUE"""),"DECRÉ Bertrand")</f>
        <v>DECRÉ Bertrand</v>
      </c>
      <c r="I326" t="str">
        <f ca="1">IFERROR(__xludf.DUMMYFUNCTION("""COMPUTED_VALUE"""),"bertrand.decre@systeme-u.fr")</f>
        <v>bertrand.decre@systeme-u.fr</v>
      </c>
      <c r="J326" t="str">
        <f ca="1">IFERROR(__xludf.DUMMYFUNCTION("""COMPUTED_VALUE"""),"ROIGNAN Alexis")</f>
        <v>ROIGNAN Alexis</v>
      </c>
      <c r="K326" t="str">
        <f ca="1">IFERROR(__xludf.DUMMYFUNCTION("""COMPUTED_VALUE"""),"superu.fontenaylefleury@systeme-u.fr")</f>
        <v>superu.fontenaylefleury@systeme-u.fr</v>
      </c>
      <c r="L326" t="str">
        <f ca="1">IFERROR(__xludf.DUMMYFUNCTION("""COMPUTED_VALUE"""),"")</f>
        <v/>
      </c>
      <c r="M326" t="str">
        <f ca="1">IFERROR(__xludf.DUMMYFUNCTION("""COMPUTED_VALUE"""),"99.Hors Périmetre")</f>
        <v>99.Hors Périmetre</v>
      </c>
      <c r="N326" t="str">
        <f ca="1">IFERROR(__xludf.DUMMYFUNCTION("""COMPUTED_VALUE"""),"")</f>
        <v/>
      </c>
      <c r="O326" t="str">
        <f ca="1">IFERROR(__xludf.DUMMYFUNCTION("""COMPUTED_VALUE"""),"")</f>
        <v/>
      </c>
      <c r="P326" t="str">
        <f ca="1">IFERROR(__xludf.DUMMYFUNCTION("""COMPUTED_VALUE"""),"")</f>
        <v/>
      </c>
      <c r="Q326" s="5" t="str">
        <f ca="1">IFERROR(__xludf.DUMMYFUNCTION("""COMPUTED_VALUE"""),"")</f>
        <v/>
      </c>
      <c r="R326" s="6" t="str">
        <f ca="1">IFERROR(__xludf.DUMMYFUNCTION("""COMPUTED_VALUE"""),"")</f>
        <v/>
      </c>
      <c r="S326" t="str">
        <f ca="1">IFERROR(__xludf.DUMMYFUNCTION("""COMPUTED_VALUE"""),"")</f>
        <v/>
      </c>
      <c r="T326" t="str">
        <f ca="1">IFERROR(__xludf.DUMMYFUNCTION("""COMPUTED_VALUE"""),"")</f>
        <v/>
      </c>
      <c r="U326" t="str">
        <f ca="1">IFERROR(__xludf.DUMMYFUNCTION("""COMPUTED_VALUE"""),"")</f>
        <v/>
      </c>
      <c r="V326" t="str">
        <f ca="1">IFERROR(__xludf.DUMMYFUNCTION("""COMPUTED_VALUE"""),"")</f>
        <v/>
      </c>
      <c r="W326" t="str">
        <f ca="1">IFERROR(__xludf.DUMMYFUNCTION("""COMPUTED_VALUE"""),"")</f>
        <v/>
      </c>
      <c r="X326" t="str">
        <f ca="1">IFERROR(__xludf.DUMMYFUNCTION("""COMPUTED_VALUE"""),"")</f>
        <v/>
      </c>
      <c r="Y326" t="str">
        <f ca="1">IFERROR(__xludf.DUMMYFUNCTION("""COMPUTED_VALUE"""),"")</f>
        <v/>
      </c>
      <c r="Z326" t="str">
        <f ca="1">IFERROR(__xludf.DUMMYFUNCTION("""COMPUTED_VALUE"""),"")</f>
        <v/>
      </c>
      <c r="AA326" t="str">
        <f ca="1">IFERROR(__xludf.DUMMYFUNCTION("""COMPUTED_VALUE"""),"Pas de commande")</f>
        <v>Pas de commande</v>
      </c>
      <c r="AB326" s="8" t="str">
        <f ca="1">IFERROR(__xludf.DUMMYFUNCTION("""COMPUTED_VALUE"""),"")</f>
        <v/>
      </c>
      <c r="AC326" s="8" t="str">
        <f ca="1">IFERROR(__xludf.DUMMYFUNCTION("""COMPUTED_VALUE"""),"")</f>
        <v/>
      </c>
      <c r="AD326" s="11" t="str">
        <f ca="1">IFERROR(__xludf.DUMMYFUNCTION("""COMPUTED_VALUE"""),"")</f>
        <v/>
      </c>
      <c r="AE326" t="str">
        <f ca="1">IFERROR(__xludf.DUMMYFUNCTION("""COMPUTED_VALUE"""),"")</f>
        <v/>
      </c>
    </row>
    <row r="327" spans="1:31" ht="12.75" x14ac:dyDescent="0.2">
      <c r="A327">
        <f ca="1">IFERROR(__xludf.DUMMYFUNCTION("""COMPUTED_VALUE"""),30442)</f>
        <v>30442</v>
      </c>
      <c r="B327" t="str">
        <f ca="1">IFERROR(__xludf.DUMMYFUNCTION("""COMPUTED_VALUE"""),"FONTENAY-LE COMTE")</f>
        <v>FONTENAY-LE COMTE</v>
      </c>
      <c r="C327" t="str">
        <f ca="1">IFERROR(__xludf.DUMMYFUNCTION("""COMPUTED_VALUE"""),"Hyper U")</f>
        <v>Hyper U</v>
      </c>
      <c r="D327" t="str">
        <f ca="1">IFERROR(__xludf.DUMMYFUNCTION("""COMPUTED_VALUE"""),"Coop U Enseigne Ouest")</f>
        <v>Coop U Enseigne Ouest</v>
      </c>
      <c r="E327">
        <f ca="1">IFERROR(__xludf.DUMMYFUNCTION("""COMPUTED_VALUE"""),85200)</f>
        <v>85200</v>
      </c>
      <c r="F327" t="str">
        <f ca="1">IFERROR(__xludf.DUMMYFUNCTION("""COMPUTED_VALUE"""),"ROUTE DE LA ROCHELLE")</f>
        <v>ROUTE DE LA ROCHELLE</v>
      </c>
      <c r="G327" t="str">
        <f ca="1">IFERROR(__xludf.DUMMYFUNCTION("""COMPUTED_VALUE"""),"02.51.69.19.47")</f>
        <v>02.51.69.19.47</v>
      </c>
      <c r="H327" t="str">
        <f ca="1">IFERROR(__xludf.DUMMYFUNCTION("""COMPUTED_VALUE"""),"BERNARD Colette")</f>
        <v>BERNARD Colette</v>
      </c>
      <c r="I327" t="str">
        <f ca="1">IFERROR(__xludf.DUMMYFUNCTION("""COMPUTED_VALUE"""),"colette.bernard@systeme-u.fr")</f>
        <v>colette.bernard@systeme-u.fr</v>
      </c>
      <c r="J327" t="str">
        <f ca="1">IFERROR(__xludf.DUMMYFUNCTION("""COMPUTED_VALUE"""),"THIBAUD Jacky")</f>
        <v>THIBAUD Jacky</v>
      </c>
      <c r="K327" t="str">
        <f ca="1">IFERROR(__xludf.DUMMYFUNCTION("""COMPUTED_VALUE"""),"jacky.thibaud@systeme-u.fr")</f>
        <v>jacky.thibaud@systeme-u.fr</v>
      </c>
      <c r="L327" t="str">
        <f ca="1">IFERROR(__xludf.DUMMYFUNCTION("""COMPUTED_VALUE"""),"")</f>
        <v/>
      </c>
      <c r="M327" t="str">
        <f ca="1">IFERROR(__xludf.DUMMYFUNCTION("""COMPUTED_VALUE"""),"99.Hors Périmetre")</f>
        <v>99.Hors Périmetre</v>
      </c>
      <c r="N327" t="str">
        <f ca="1">IFERROR(__xludf.DUMMYFUNCTION("""COMPUTED_VALUE"""),"")</f>
        <v/>
      </c>
      <c r="O327" t="str">
        <f ca="1">IFERROR(__xludf.DUMMYFUNCTION("""COMPUTED_VALUE"""),"")</f>
        <v/>
      </c>
      <c r="P327" t="str">
        <f ca="1">IFERROR(__xludf.DUMMYFUNCTION("""COMPUTED_VALUE"""),"")</f>
        <v/>
      </c>
      <c r="Q327" s="5" t="str">
        <f ca="1">IFERROR(__xludf.DUMMYFUNCTION("""COMPUTED_VALUE"""),"")</f>
        <v/>
      </c>
      <c r="R327" s="6" t="str">
        <f ca="1">IFERROR(__xludf.DUMMYFUNCTION("""COMPUTED_VALUE"""),"")</f>
        <v/>
      </c>
      <c r="S327" t="str">
        <f ca="1">IFERROR(__xludf.DUMMYFUNCTION("""COMPUTED_VALUE"""),"")</f>
        <v/>
      </c>
      <c r="T327" t="str">
        <f ca="1">IFERROR(__xludf.DUMMYFUNCTION("""COMPUTED_VALUE"""),"")</f>
        <v/>
      </c>
      <c r="U327" t="str">
        <f ca="1">IFERROR(__xludf.DUMMYFUNCTION("""COMPUTED_VALUE"""),"")</f>
        <v/>
      </c>
      <c r="V327" t="str">
        <f ca="1">IFERROR(__xludf.DUMMYFUNCTION("""COMPUTED_VALUE"""),"")</f>
        <v/>
      </c>
      <c r="W327" t="str">
        <f ca="1">IFERROR(__xludf.DUMMYFUNCTION("""COMPUTED_VALUE"""),"")</f>
        <v/>
      </c>
      <c r="X327" t="str">
        <f ca="1">IFERROR(__xludf.DUMMYFUNCTION("""COMPUTED_VALUE"""),"")</f>
        <v/>
      </c>
      <c r="Y327" t="str">
        <f ca="1">IFERROR(__xludf.DUMMYFUNCTION("""COMPUTED_VALUE"""),"")</f>
        <v/>
      </c>
      <c r="Z327" t="str">
        <f ca="1">IFERROR(__xludf.DUMMYFUNCTION("""COMPUTED_VALUE"""),"")</f>
        <v/>
      </c>
      <c r="AA327" t="str">
        <f ca="1">IFERROR(__xludf.DUMMYFUNCTION("""COMPUTED_VALUE"""),"Pas de commande")</f>
        <v>Pas de commande</v>
      </c>
      <c r="AB327" s="8" t="str">
        <f ca="1">IFERROR(__xludf.DUMMYFUNCTION("""COMPUTED_VALUE"""),"")</f>
        <v/>
      </c>
      <c r="AC327" s="8" t="str">
        <f ca="1">IFERROR(__xludf.DUMMYFUNCTION("""COMPUTED_VALUE"""),"")</f>
        <v/>
      </c>
      <c r="AD327" s="11" t="str">
        <f ca="1">IFERROR(__xludf.DUMMYFUNCTION("""COMPUTED_VALUE"""),"")</f>
        <v/>
      </c>
      <c r="AE327" t="str">
        <f ca="1">IFERROR(__xludf.DUMMYFUNCTION("""COMPUTED_VALUE"""),"")</f>
        <v/>
      </c>
    </row>
    <row r="328" spans="1:31" ht="12.75" x14ac:dyDescent="0.2">
      <c r="A328">
        <f ca="1">IFERROR(__xludf.DUMMYFUNCTION("""COMPUTED_VALUE"""),65080)</f>
        <v>65080</v>
      </c>
      <c r="B328" t="str">
        <f ca="1">IFERROR(__xludf.DUMMYFUNCTION("""COMPUTED_VALUE"""),"FONTOY")</f>
        <v>FONTOY</v>
      </c>
      <c r="C328" t="str">
        <f ca="1">IFERROR(__xludf.DUMMYFUNCTION("""COMPUTED_VALUE"""),"Super U")</f>
        <v>Super U</v>
      </c>
      <c r="D328" t="str">
        <f ca="1">IFERROR(__xludf.DUMMYFUNCTION("""COMPUTED_VALUE"""),"Coop U Enseigne Est")</f>
        <v>Coop U Enseigne Est</v>
      </c>
      <c r="E328">
        <f ca="1">IFERROR(__xludf.DUMMYFUNCTION("""COMPUTED_VALUE"""),57650)</f>
        <v>57650</v>
      </c>
      <c r="F328" t="str">
        <f ca="1">IFERROR(__xludf.DUMMYFUNCTION("""COMPUTED_VALUE"""),"CD 59")</f>
        <v>CD 59</v>
      </c>
      <c r="G328" t="str">
        <f ca="1">IFERROR(__xludf.DUMMYFUNCTION("""COMPUTED_VALUE"""),"03.82.84.94.94")</f>
        <v>03.82.84.94.94</v>
      </c>
      <c r="H328" t="str">
        <f ca="1">IFERROR(__xludf.DUMMYFUNCTION("""COMPUTED_VALUE"""),"PIGUET Stéphane")</f>
        <v>PIGUET Stéphane</v>
      </c>
      <c r="I328" t="str">
        <f ca="1">IFERROR(__xludf.DUMMYFUNCTION("""COMPUTED_VALUE"""),"stephane.piguet@systeme-u.fr")</f>
        <v>stephane.piguet@systeme-u.fr</v>
      </c>
      <c r="J328" t="str">
        <f ca="1">IFERROR(__xludf.DUMMYFUNCTION("""COMPUTED_VALUE"""),"ARNAUD HAMMER")</f>
        <v>ARNAUD HAMMER</v>
      </c>
      <c r="K328" t="str">
        <f ca="1">IFERROR(__xludf.DUMMYFUNCTION("""COMPUTED_VALUE"""),"superu.fontoy.direction@systeme-u.fr")</f>
        <v>superu.fontoy.direction@systeme-u.fr</v>
      </c>
      <c r="L328" t="str">
        <f ca="1">IFERROR(__xludf.DUMMYFUNCTION("""COMPUTED_VALUE"""),"")</f>
        <v/>
      </c>
      <c r="M328" t="str">
        <f ca="1">IFERROR(__xludf.DUMMYFUNCTION("""COMPUTED_VALUE"""),"99.Hors Périmetre")</f>
        <v>99.Hors Périmetre</v>
      </c>
      <c r="N328" t="str">
        <f ca="1">IFERROR(__xludf.DUMMYFUNCTION("""COMPUTED_VALUE"""),"")</f>
        <v/>
      </c>
      <c r="O328" t="str">
        <f ca="1">IFERROR(__xludf.DUMMYFUNCTION("""COMPUTED_VALUE"""),"")</f>
        <v/>
      </c>
      <c r="P328" t="str">
        <f ca="1">IFERROR(__xludf.DUMMYFUNCTION("""COMPUTED_VALUE"""),"")</f>
        <v/>
      </c>
      <c r="Q328" s="5" t="str">
        <f ca="1">IFERROR(__xludf.DUMMYFUNCTION("""COMPUTED_VALUE"""),"")</f>
        <v/>
      </c>
      <c r="R328" s="6" t="str">
        <f ca="1">IFERROR(__xludf.DUMMYFUNCTION("""COMPUTED_VALUE"""),"")</f>
        <v/>
      </c>
      <c r="S328" t="str">
        <f ca="1">IFERROR(__xludf.DUMMYFUNCTION("""COMPUTED_VALUE"""),"")</f>
        <v/>
      </c>
      <c r="T328" t="str">
        <f ca="1">IFERROR(__xludf.DUMMYFUNCTION("""COMPUTED_VALUE"""),"")</f>
        <v/>
      </c>
      <c r="U328" t="str">
        <f ca="1">IFERROR(__xludf.DUMMYFUNCTION("""COMPUTED_VALUE"""),"")</f>
        <v/>
      </c>
      <c r="V328" t="str">
        <f ca="1">IFERROR(__xludf.DUMMYFUNCTION("""COMPUTED_VALUE"""),"")</f>
        <v/>
      </c>
      <c r="W328" t="str">
        <f ca="1">IFERROR(__xludf.DUMMYFUNCTION("""COMPUTED_VALUE"""),"")</f>
        <v/>
      </c>
      <c r="X328" t="str">
        <f ca="1">IFERROR(__xludf.DUMMYFUNCTION("""COMPUTED_VALUE"""),"")</f>
        <v/>
      </c>
      <c r="Y328" t="str">
        <f ca="1">IFERROR(__xludf.DUMMYFUNCTION("""COMPUTED_VALUE"""),"")</f>
        <v/>
      </c>
      <c r="Z328" t="str">
        <f ca="1">IFERROR(__xludf.DUMMYFUNCTION("""COMPUTED_VALUE"""),"")</f>
        <v/>
      </c>
      <c r="AA328" t="str">
        <f ca="1">IFERROR(__xludf.DUMMYFUNCTION("""COMPUTED_VALUE"""),"Pas de commande")</f>
        <v>Pas de commande</v>
      </c>
      <c r="AB328" s="8" t="str">
        <f ca="1">IFERROR(__xludf.DUMMYFUNCTION("""COMPUTED_VALUE"""),"")</f>
        <v/>
      </c>
      <c r="AC328" s="8" t="str">
        <f ca="1">IFERROR(__xludf.DUMMYFUNCTION("""COMPUTED_VALUE"""),"")</f>
        <v/>
      </c>
      <c r="AD328" s="11" t="str">
        <f ca="1">IFERROR(__xludf.DUMMYFUNCTION("""COMPUTED_VALUE"""),"")</f>
        <v/>
      </c>
      <c r="AE328" t="str">
        <f ca="1">IFERROR(__xludf.DUMMYFUNCTION("""COMPUTED_VALUE"""),"")</f>
        <v/>
      </c>
    </row>
    <row r="329" spans="1:31" ht="12.75" x14ac:dyDescent="0.2">
      <c r="A329">
        <f ca="1">IFERROR(__xludf.DUMMYFUNCTION("""COMPUTED_VALUE"""),34863)</f>
        <v>34863</v>
      </c>
      <c r="B329" t="str">
        <f ca="1">IFERROR(__xludf.DUMMYFUNCTION("""COMPUTED_VALUE"""),"FORT DE FRANCE")</f>
        <v>FORT DE FRANCE</v>
      </c>
      <c r="C329" t="str">
        <f ca="1">IFERROR(__xludf.DUMMYFUNCTION("""COMPUTED_VALUE"""),"Hyper U")</f>
        <v>Hyper U</v>
      </c>
      <c r="D329" t="str">
        <f ca="1">IFERROR(__xludf.DUMMYFUNCTION("""COMPUTED_VALUE"""),"Coop U Enseigne Ouest")</f>
        <v>Coop U Enseigne Ouest</v>
      </c>
      <c r="E329">
        <f ca="1">IFERROR(__xludf.DUMMYFUNCTION("""COMPUTED_VALUE"""),97200)</f>
        <v>97200</v>
      </c>
      <c r="F329" t="str">
        <f ca="1">IFERROR(__xludf.DUMMYFUNCTION("""COMPUTED_VALUE"""),"CENTRE COMMERCIAL LE ROND POINT")</f>
        <v>CENTRE COMMERCIAL LE ROND POINT</v>
      </c>
      <c r="G329" t="str">
        <f ca="1">IFERROR(__xludf.DUMMYFUNCTION("""COMPUTED_VALUE"""),"05.96.72.15.00")</f>
        <v>05.96.72.15.00</v>
      </c>
      <c r="H329" t="str">
        <f ca="1">IFERROR(__xludf.DUMMYFUNCTION("""COMPUTED_VALUE"""),"PARFAIT Robert")</f>
        <v>PARFAIT Robert</v>
      </c>
      <c r="I329" t="str">
        <f ca="1">IFERROR(__xludf.DUMMYFUNCTION("""COMPUTED_VALUE"""),"robert.parfait@systeme-u.fr")</f>
        <v>robert.parfait@systeme-u.fr</v>
      </c>
      <c r="J329" t="str">
        <f ca="1">IFERROR(__xludf.DUMMYFUNCTION("""COMPUTED_VALUE"""),"ALBERT Julie")</f>
        <v>ALBERT Julie</v>
      </c>
      <c r="K329" t="str">
        <f ca="1">IFERROR(__xludf.DUMMYFUNCTION("""COMPUTED_VALUE"""),"julie.albert@uantilles.com,martine.crevecoeur@systeme-u.fr")</f>
        <v>julie.albert@uantilles.com,martine.crevecoeur@systeme-u.fr</v>
      </c>
      <c r="L329" t="str">
        <f ca="1">IFERROR(__xludf.DUMMYFUNCTION("""COMPUTED_VALUE"""),"")</f>
        <v/>
      </c>
      <c r="M329" t="str">
        <f ca="1">IFERROR(__xludf.DUMMYFUNCTION("""COMPUTED_VALUE"""),"99.Hors Périmetre")</f>
        <v>99.Hors Périmetre</v>
      </c>
      <c r="N329" t="str">
        <f ca="1">IFERROR(__xludf.DUMMYFUNCTION("""COMPUTED_VALUE"""),"")</f>
        <v/>
      </c>
      <c r="O329" t="str">
        <f ca="1">IFERROR(__xludf.DUMMYFUNCTION("""COMPUTED_VALUE"""),"")</f>
        <v/>
      </c>
      <c r="P329" t="str">
        <f ca="1">IFERROR(__xludf.DUMMYFUNCTION("""COMPUTED_VALUE"""),"")</f>
        <v/>
      </c>
      <c r="Q329" s="5" t="str">
        <f ca="1">IFERROR(__xludf.DUMMYFUNCTION("""COMPUTED_VALUE"""),"")</f>
        <v/>
      </c>
      <c r="R329" s="6" t="str">
        <f ca="1">IFERROR(__xludf.DUMMYFUNCTION("""COMPUTED_VALUE"""),"")</f>
        <v/>
      </c>
      <c r="S329" t="str">
        <f ca="1">IFERROR(__xludf.DUMMYFUNCTION("""COMPUTED_VALUE"""),"")</f>
        <v/>
      </c>
      <c r="T329" t="str">
        <f ca="1">IFERROR(__xludf.DUMMYFUNCTION("""COMPUTED_VALUE"""),"")</f>
        <v/>
      </c>
      <c r="U329" t="str">
        <f ca="1">IFERROR(__xludf.DUMMYFUNCTION("""COMPUTED_VALUE"""),"")</f>
        <v/>
      </c>
      <c r="V329" t="str">
        <f ca="1">IFERROR(__xludf.DUMMYFUNCTION("""COMPUTED_VALUE"""),"")</f>
        <v/>
      </c>
      <c r="W329" t="str">
        <f ca="1">IFERROR(__xludf.DUMMYFUNCTION("""COMPUTED_VALUE"""),"")</f>
        <v/>
      </c>
      <c r="X329" t="str">
        <f ca="1">IFERROR(__xludf.DUMMYFUNCTION("""COMPUTED_VALUE"""),"")</f>
        <v/>
      </c>
      <c r="Y329" t="str">
        <f ca="1">IFERROR(__xludf.DUMMYFUNCTION("""COMPUTED_VALUE"""),"")</f>
        <v/>
      </c>
      <c r="Z329" t="str">
        <f ca="1">IFERROR(__xludf.DUMMYFUNCTION("""COMPUTED_VALUE"""),"")</f>
        <v/>
      </c>
      <c r="AA329" t="str">
        <f ca="1">IFERROR(__xludf.DUMMYFUNCTION("""COMPUTED_VALUE"""),"Pas de commande")</f>
        <v>Pas de commande</v>
      </c>
      <c r="AB329" s="8" t="str">
        <f ca="1">IFERROR(__xludf.DUMMYFUNCTION("""COMPUTED_VALUE"""),"")</f>
        <v/>
      </c>
      <c r="AC329" s="8" t="str">
        <f ca="1">IFERROR(__xludf.DUMMYFUNCTION("""COMPUTED_VALUE"""),"")</f>
        <v/>
      </c>
      <c r="AD329" s="11" t="str">
        <f ca="1">IFERROR(__xludf.DUMMYFUNCTION("""COMPUTED_VALUE"""),"")</f>
        <v/>
      </c>
      <c r="AE329" t="str">
        <f ca="1">IFERROR(__xludf.DUMMYFUNCTION("""COMPUTED_VALUE"""),"")</f>
        <v/>
      </c>
    </row>
    <row r="330" spans="1:31" ht="12.75" x14ac:dyDescent="0.2">
      <c r="A330">
        <f ca="1">IFERROR(__xludf.DUMMYFUNCTION("""COMPUTED_VALUE"""),38152)</f>
        <v>38152</v>
      </c>
      <c r="B330" t="str">
        <f ca="1">IFERROR(__xludf.DUMMYFUNCTION("""COMPUTED_VALUE"""),"FOUESNANT")</f>
        <v>FOUESNANT</v>
      </c>
      <c r="C330" t="str">
        <f ca="1">IFERROR(__xludf.DUMMYFUNCTION("""COMPUTED_VALUE"""),"U Express")</f>
        <v>U Express</v>
      </c>
      <c r="D330" t="str">
        <f ca="1">IFERROR(__xludf.DUMMYFUNCTION("""COMPUTED_VALUE"""),"Coop U Enseigne Ouest")</f>
        <v>Coop U Enseigne Ouest</v>
      </c>
      <c r="E330">
        <f ca="1">IFERROR(__xludf.DUMMYFUNCTION("""COMPUTED_VALUE"""),29170)</f>
        <v>29170</v>
      </c>
      <c r="F330" t="str">
        <f ca="1">IFERROR(__xludf.DUMMYFUNCTION("""COMPUTED_VALUE"""),"4 RUE DE KERNEVELECK")</f>
        <v>4 RUE DE KERNEVELECK</v>
      </c>
      <c r="G330" t="str">
        <f ca="1">IFERROR(__xludf.DUMMYFUNCTION("""COMPUTED_VALUE"""),"02.98.50.98.60")</f>
        <v>02.98.50.98.60</v>
      </c>
      <c r="H330" t="str">
        <f ca="1">IFERROR(__xludf.DUMMYFUNCTION("""COMPUTED_VALUE"""),"CABALLINA RPT SARL CABALLINA Bruno")</f>
        <v>CABALLINA RPT SARL CABALLINA Bruno</v>
      </c>
      <c r="I330" t="str">
        <f ca="1">IFERROR(__xludf.DUMMYFUNCTION("""COMPUTED_VALUE"""),"bruno.caballina@systeme-u.fr")</f>
        <v>bruno.caballina@systeme-u.fr</v>
      </c>
      <c r="J330" t="str">
        <f ca="1">IFERROR(__xludf.DUMMYFUNCTION("""COMPUTED_VALUE"""),"")</f>
        <v/>
      </c>
      <c r="K330" t="str">
        <f ca="1">IFERROR(__xludf.DUMMYFUNCTION("""COMPUTED_VALUE"""),"")</f>
        <v/>
      </c>
      <c r="L330" t="str">
        <f ca="1">IFERROR(__xludf.DUMMYFUNCTION("""COMPUTED_VALUE"""),"")</f>
        <v/>
      </c>
      <c r="M330" t="str">
        <f ca="1">IFERROR(__xludf.DUMMYFUNCTION("""COMPUTED_VALUE"""),"99.Hors Périmetre")</f>
        <v>99.Hors Périmetre</v>
      </c>
      <c r="N330" t="str">
        <f ca="1">IFERROR(__xludf.DUMMYFUNCTION("""COMPUTED_VALUE"""),"")</f>
        <v/>
      </c>
      <c r="O330" t="str">
        <f ca="1">IFERROR(__xludf.DUMMYFUNCTION("""COMPUTED_VALUE"""),"")</f>
        <v/>
      </c>
      <c r="P330" t="str">
        <f ca="1">IFERROR(__xludf.DUMMYFUNCTION("""COMPUTED_VALUE"""),"")</f>
        <v/>
      </c>
      <c r="Q330" s="5" t="str">
        <f ca="1">IFERROR(__xludf.DUMMYFUNCTION("""COMPUTED_VALUE"""),"")</f>
        <v/>
      </c>
      <c r="R330" s="6" t="str">
        <f ca="1">IFERROR(__xludf.DUMMYFUNCTION("""COMPUTED_VALUE"""),"")</f>
        <v/>
      </c>
      <c r="S330" t="str">
        <f ca="1">IFERROR(__xludf.DUMMYFUNCTION("""COMPUTED_VALUE"""),"")</f>
        <v/>
      </c>
      <c r="T330" t="str">
        <f ca="1">IFERROR(__xludf.DUMMYFUNCTION("""COMPUTED_VALUE"""),"")</f>
        <v/>
      </c>
      <c r="U330" t="str">
        <f ca="1">IFERROR(__xludf.DUMMYFUNCTION("""COMPUTED_VALUE"""),"")</f>
        <v/>
      </c>
      <c r="V330" t="str">
        <f ca="1">IFERROR(__xludf.DUMMYFUNCTION("""COMPUTED_VALUE"""),"")</f>
        <v/>
      </c>
      <c r="W330" t="str">
        <f ca="1">IFERROR(__xludf.DUMMYFUNCTION("""COMPUTED_VALUE"""),"")</f>
        <v/>
      </c>
      <c r="X330" t="str">
        <f ca="1">IFERROR(__xludf.DUMMYFUNCTION("""COMPUTED_VALUE"""),"")</f>
        <v/>
      </c>
      <c r="Y330" t="str">
        <f ca="1">IFERROR(__xludf.DUMMYFUNCTION("""COMPUTED_VALUE"""),"")</f>
        <v/>
      </c>
      <c r="Z330" t="str">
        <f ca="1">IFERROR(__xludf.DUMMYFUNCTION("""COMPUTED_VALUE"""),"")</f>
        <v/>
      </c>
      <c r="AA330" t="str">
        <f ca="1">IFERROR(__xludf.DUMMYFUNCTION("""COMPUTED_VALUE"""),"Pas de commande")</f>
        <v>Pas de commande</v>
      </c>
      <c r="AB330" s="8" t="str">
        <f ca="1">IFERROR(__xludf.DUMMYFUNCTION("""COMPUTED_VALUE"""),"")</f>
        <v/>
      </c>
      <c r="AC330" s="8" t="str">
        <f ca="1">IFERROR(__xludf.DUMMYFUNCTION("""COMPUTED_VALUE"""),"")</f>
        <v/>
      </c>
      <c r="AD330" s="11" t="str">
        <f ca="1">IFERROR(__xludf.DUMMYFUNCTION("""COMPUTED_VALUE"""),"")</f>
        <v/>
      </c>
      <c r="AE330" t="str">
        <f ca="1">IFERROR(__xludf.DUMMYFUNCTION("""COMPUTED_VALUE"""),"")</f>
        <v/>
      </c>
    </row>
    <row r="331" spans="1:31" ht="12.75" x14ac:dyDescent="0.2">
      <c r="A331">
        <f ca="1">IFERROR(__xludf.DUMMYFUNCTION("""COMPUTED_VALUE"""),30889)</f>
        <v>30889</v>
      </c>
      <c r="B331" t="str">
        <f ca="1">IFERROR(__xludf.DUMMYFUNCTION("""COMPUTED_VALUE"""),"FOURAS")</f>
        <v>FOURAS</v>
      </c>
      <c r="C331" t="str">
        <f ca="1">IFERROR(__xludf.DUMMYFUNCTION("""COMPUTED_VALUE"""),"Super U")</f>
        <v>Super U</v>
      </c>
      <c r="D331" t="str">
        <f ca="1">IFERROR(__xludf.DUMMYFUNCTION("""COMPUTED_VALUE"""),"Coop U Enseigne Ouest")</f>
        <v>Coop U Enseigne Ouest</v>
      </c>
      <c r="E331">
        <f ca="1">IFERROR(__xludf.DUMMYFUNCTION("""COMPUTED_VALUE"""),17450)</f>
        <v>17450</v>
      </c>
      <c r="F331" t="str">
        <f ca="1">IFERROR(__xludf.DUMMYFUNCTION("""COMPUTED_VALUE"""),"9, RUE DIEU ME GARDE")</f>
        <v>9, RUE DIEU ME GARDE</v>
      </c>
      <c r="G331" t="str">
        <f ca="1">IFERROR(__xludf.DUMMYFUNCTION("""COMPUTED_VALUE"""),"05.46.83.50.00")</f>
        <v>05.46.83.50.00</v>
      </c>
      <c r="H331" t="str">
        <f ca="1">IFERROR(__xludf.DUMMYFUNCTION("""COMPUTED_VALUE"""),"BERTEAUD RPT SARL FANBERO Muriel")</f>
        <v>BERTEAUD RPT SARL FANBERO Muriel</v>
      </c>
      <c r="I331" t="str">
        <f ca="1">IFERROR(__xludf.DUMMYFUNCTION("""COMPUTED_VALUE"""),"renaud-loic.berteaud@systeme-u.fr")</f>
        <v>renaud-loic.berteaud@systeme-u.fr</v>
      </c>
      <c r="J331" t="str">
        <f ca="1">IFERROR(__xludf.DUMMYFUNCTION("""COMPUTED_VALUE"""),"")</f>
        <v/>
      </c>
      <c r="K331" t="str">
        <f ca="1">IFERROR(__xludf.DUMMYFUNCTION("""COMPUTED_VALUE"""),"")</f>
        <v/>
      </c>
      <c r="L331" t="str">
        <f ca="1">IFERROR(__xludf.DUMMYFUNCTION("""COMPUTED_VALUE"""),"")</f>
        <v/>
      </c>
      <c r="M331" t="str">
        <f ca="1">IFERROR(__xludf.DUMMYFUNCTION("""COMPUTED_VALUE"""),"99.Hors Périmetre")</f>
        <v>99.Hors Périmetre</v>
      </c>
      <c r="N331" t="str">
        <f ca="1">IFERROR(__xludf.DUMMYFUNCTION("""COMPUTED_VALUE"""),"")</f>
        <v/>
      </c>
      <c r="O331" t="str">
        <f ca="1">IFERROR(__xludf.DUMMYFUNCTION("""COMPUTED_VALUE"""),"")</f>
        <v/>
      </c>
      <c r="P331" t="str">
        <f ca="1">IFERROR(__xludf.DUMMYFUNCTION("""COMPUTED_VALUE"""),"")</f>
        <v/>
      </c>
      <c r="Q331" s="5" t="str">
        <f ca="1">IFERROR(__xludf.DUMMYFUNCTION("""COMPUTED_VALUE"""),"")</f>
        <v/>
      </c>
      <c r="R331" s="6" t="str">
        <f ca="1">IFERROR(__xludf.DUMMYFUNCTION("""COMPUTED_VALUE"""),"")</f>
        <v/>
      </c>
      <c r="S331" t="str">
        <f ca="1">IFERROR(__xludf.DUMMYFUNCTION("""COMPUTED_VALUE"""),"")</f>
        <v/>
      </c>
      <c r="T331" t="str">
        <f ca="1">IFERROR(__xludf.DUMMYFUNCTION("""COMPUTED_VALUE"""),"")</f>
        <v/>
      </c>
      <c r="U331" t="str">
        <f ca="1">IFERROR(__xludf.DUMMYFUNCTION("""COMPUTED_VALUE"""),"")</f>
        <v/>
      </c>
      <c r="V331" t="str">
        <f ca="1">IFERROR(__xludf.DUMMYFUNCTION("""COMPUTED_VALUE"""),"")</f>
        <v/>
      </c>
      <c r="W331" t="str">
        <f ca="1">IFERROR(__xludf.DUMMYFUNCTION("""COMPUTED_VALUE"""),"")</f>
        <v/>
      </c>
      <c r="X331" t="str">
        <f ca="1">IFERROR(__xludf.DUMMYFUNCTION("""COMPUTED_VALUE"""),"")</f>
        <v/>
      </c>
      <c r="Y331" t="str">
        <f ca="1">IFERROR(__xludf.DUMMYFUNCTION("""COMPUTED_VALUE"""),"")</f>
        <v/>
      </c>
      <c r="Z331" t="str">
        <f ca="1">IFERROR(__xludf.DUMMYFUNCTION("""COMPUTED_VALUE"""),"")</f>
        <v/>
      </c>
      <c r="AA331" t="str">
        <f ca="1">IFERROR(__xludf.DUMMYFUNCTION("""COMPUTED_VALUE"""),"Pas de commande")</f>
        <v>Pas de commande</v>
      </c>
      <c r="AB331" s="8" t="str">
        <f ca="1">IFERROR(__xludf.DUMMYFUNCTION("""COMPUTED_VALUE"""),"")</f>
        <v/>
      </c>
      <c r="AC331" s="8" t="str">
        <f ca="1">IFERROR(__xludf.DUMMYFUNCTION("""COMPUTED_VALUE"""),"")</f>
        <v/>
      </c>
      <c r="AD331" s="11" t="str">
        <f ca="1">IFERROR(__xludf.DUMMYFUNCTION("""COMPUTED_VALUE"""),"")</f>
        <v/>
      </c>
      <c r="AE331" t="str">
        <f ca="1">IFERROR(__xludf.DUMMYFUNCTION("""COMPUTED_VALUE"""),"")</f>
        <v/>
      </c>
    </row>
    <row r="332" spans="1:31" ht="12.75" x14ac:dyDescent="0.2">
      <c r="A332">
        <f ca="1">IFERROR(__xludf.DUMMYFUNCTION("""COMPUTED_VALUE"""),25576)</f>
        <v>25576</v>
      </c>
      <c r="B332" t="str">
        <f ca="1">IFERROR(__xludf.DUMMYFUNCTION("""COMPUTED_VALUE"""),"FRANQUEVILLE ST PIERRE")</f>
        <v>FRANQUEVILLE ST PIERRE</v>
      </c>
      <c r="C332" t="str">
        <f ca="1">IFERROR(__xludf.DUMMYFUNCTION("""COMPUTED_VALUE"""),"Super U")</f>
        <v>Super U</v>
      </c>
      <c r="D332" t="str">
        <f ca="1">IFERROR(__xludf.DUMMYFUNCTION("""COMPUTED_VALUE"""),"Coop U Enseigne NordOuest")</f>
        <v>Coop U Enseigne NordOuest</v>
      </c>
      <c r="E332">
        <f ca="1">IFERROR(__xludf.DUMMYFUNCTION("""COMPUTED_VALUE"""),76520)</f>
        <v>76520</v>
      </c>
      <c r="F332" t="str">
        <f ca="1">IFERROR(__xludf.DUMMYFUNCTION("""COMPUTED_VALUE"""),"RUE DU CANIVET")</f>
        <v>RUE DU CANIVET</v>
      </c>
      <c r="G332" t="str">
        <f ca="1">IFERROR(__xludf.DUMMYFUNCTION("""COMPUTED_VALUE"""),"02.35.61.51.13")</f>
        <v>02.35.61.51.13</v>
      </c>
      <c r="H332" t="str">
        <f ca="1">IFERROR(__xludf.DUMMYFUNCTION("""COMPUTED_VALUE"""),"JOIMEL Thierry")</f>
        <v>JOIMEL Thierry</v>
      </c>
      <c r="I332" t="str">
        <f ca="1">IFERROR(__xludf.DUMMYFUNCTION("""COMPUTED_VALUE"""),"thierry.joimel@systeme-u.fr")</f>
        <v>thierry.joimel@systeme-u.fr</v>
      </c>
      <c r="J332" t="str">
        <f ca="1">IFERROR(__xludf.DUMMYFUNCTION("""COMPUTED_VALUE"""),"M. Barrat")</f>
        <v>M. Barrat</v>
      </c>
      <c r="K332" t="str">
        <f ca="1">IFERROR(__xludf.DUMMYFUNCTION("""COMPUTED_VALUE"""),"superu.franquevillesaintpierre@systeme-u.fr")</f>
        <v>superu.franquevillesaintpierre@systeme-u.fr</v>
      </c>
      <c r="L332" t="str">
        <f ca="1">IFERROR(__xludf.DUMMYFUNCTION("""COMPUTED_VALUE"""),"")</f>
        <v/>
      </c>
      <c r="M332" t="str">
        <f ca="1">IFERROR(__xludf.DUMMYFUNCTION("""COMPUTED_VALUE"""),"99.Hors Périmetre")</f>
        <v>99.Hors Périmetre</v>
      </c>
      <c r="N332" t="str">
        <f ca="1">IFERROR(__xludf.DUMMYFUNCTION("""COMPUTED_VALUE"""),"")</f>
        <v/>
      </c>
      <c r="O332" t="str">
        <f ca="1">IFERROR(__xludf.DUMMYFUNCTION("""COMPUTED_VALUE"""),"")</f>
        <v/>
      </c>
      <c r="P332" t="str">
        <f ca="1">IFERROR(__xludf.DUMMYFUNCTION("""COMPUTED_VALUE"""),"")</f>
        <v/>
      </c>
      <c r="Q332" s="5" t="str">
        <f ca="1">IFERROR(__xludf.DUMMYFUNCTION("""COMPUTED_VALUE"""),"")</f>
        <v/>
      </c>
      <c r="R332" s="6" t="str">
        <f ca="1">IFERROR(__xludf.DUMMYFUNCTION("""COMPUTED_VALUE"""),"")</f>
        <v/>
      </c>
      <c r="S332" t="str">
        <f ca="1">IFERROR(__xludf.DUMMYFUNCTION("""COMPUTED_VALUE"""),"")</f>
        <v/>
      </c>
      <c r="T332" t="str">
        <f ca="1">IFERROR(__xludf.DUMMYFUNCTION("""COMPUTED_VALUE"""),"")</f>
        <v/>
      </c>
      <c r="U332" t="str">
        <f ca="1">IFERROR(__xludf.DUMMYFUNCTION("""COMPUTED_VALUE"""),"")</f>
        <v/>
      </c>
      <c r="V332" t="str">
        <f ca="1">IFERROR(__xludf.DUMMYFUNCTION("""COMPUTED_VALUE"""),"")</f>
        <v/>
      </c>
      <c r="W332" t="str">
        <f ca="1">IFERROR(__xludf.DUMMYFUNCTION("""COMPUTED_VALUE"""),"")</f>
        <v/>
      </c>
      <c r="X332" t="str">
        <f ca="1">IFERROR(__xludf.DUMMYFUNCTION("""COMPUTED_VALUE"""),"")</f>
        <v/>
      </c>
      <c r="Y332" t="str">
        <f ca="1">IFERROR(__xludf.DUMMYFUNCTION("""COMPUTED_VALUE"""),"")</f>
        <v/>
      </c>
      <c r="Z332" t="str">
        <f ca="1">IFERROR(__xludf.DUMMYFUNCTION("""COMPUTED_VALUE"""),"")</f>
        <v/>
      </c>
      <c r="AA332" t="str">
        <f ca="1">IFERROR(__xludf.DUMMYFUNCTION("""COMPUTED_VALUE"""),"Pas de commande")</f>
        <v>Pas de commande</v>
      </c>
      <c r="AB332" s="8" t="str">
        <f ca="1">IFERROR(__xludf.DUMMYFUNCTION("""COMPUTED_VALUE"""),"")</f>
        <v/>
      </c>
      <c r="AC332" s="8" t="str">
        <f ca="1">IFERROR(__xludf.DUMMYFUNCTION("""COMPUTED_VALUE"""),"")</f>
        <v/>
      </c>
      <c r="AD332" s="11" t="str">
        <f ca="1">IFERROR(__xludf.DUMMYFUNCTION("""COMPUTED_VALUE"""),"")</f>
        <v/>
      </c>
      <c r="AE332" t="str">
        <f ca="1">IFERROR(__xludf.DUMMYFUNCTION("""COMPUTED_VALUE"""),"")</f>
        <v/>
      </c>
    </row>
    <row r="333" spans="1:31" ht="12.75" x14ac:dyDescent="0.2">
      <c r="A333">
        <f ca="1">IFERROR(__xludf.DUMMYFUNCTION("""COMPUTED_VALUE"""),62086)</f>
        <v>62086</v>
      </c>
      <c r="B333" t="str">
        <f ca="1">IFERROR(__xludf.DUMMYFUNCTION("""COMPUTED_VALUE"""),"FRASNE")</f>
        <v>FRASNE</v>
      </c>
      <c r="C333" t="str">
        <f ca="1">IFERROR(__xludf.DUMMYFUNCTION("""COMPUTED_VALUE"""),"Super U")</f>
        <v>Super U</v>
      </c>
      <c r="D333" t="str">
        <f ca="1">IFERROR(__xludf.DUMMYFUNCTION("""COMPUTED_VALUE"""),"Coop U Enseigne Est")</f>
        <v>Coop U Enseigne Est</v>
      </c>
      <c r="E333">
        <f ca="1">IFERROR(__xludf.DUMMYFUNCTION("""COMPUTED_VALUE"""),25560)</f>
        <v>25560</v>
      </c>
      <c r="F333" t="str">
        <f ca="1">IFERROR(__xludf.DUMMYFUNCTION("""COMPUTED_VALUE"""),"Grande rue")</f>
        <v>Grande rue</v>
      </c>
      <c r="G333" t="str">
        <f ca="1">IFERROR(__xludf.DUMMYFUNCTION("""COMPUTED_VALUE"""),"03.81.89.78.78")</f>
        <v>03.81.89.78.78</v>
      </c>
      <c r="H333" t="str">
        <f ca="1">IFERROR(__xludf.DUMMYFUNCTION("""COMPUTED_VALUE"""),"MAGDELAINE Nadine")</f>
        <v>MAGDELAINE Nadine</v>
      </c>
      <c r="I333" t="str">
        <f ca="1">IFERROR(__xludf.DUMMYFUNCTION("""COMPUTED_VALUE"""),"nadine.magdelaine@systeme-u.fr")</f>
        <v>nadine.magdelaine@systeme-u.fr</v>
      </c>
      <c r="J333" t="str">
        <f ca="1">IFERROR(__xludf.DUMMYFUNCTION("""COMPUTED_VALUE"""),"Mme MAGDELAINE")</f>
        <v>Mme MAGDELAINE</v>
      </c>
      <c r="K333" t="str">
        <f ca="1">IFERROR(__xludf.DUMMYFUNCTION("""COMPUTED_VALUE"""),"superu.frasne.direction@systeme-u.fr")</f>
        <v>superu.frasne.direction@systeme-u.fr</v>
      </c>
      <c r="L333" t="str">
        <f ca="1">IFERROR(__xludf.DUMMYFUNCTION("""COMPUTED_VALUE"""),"")</f>
        <v/>
      </c>
      <c r="M333" t="str">
        <f ca="1">IFERROR(__xludf.DUMMYFUNCTION("""COMPUTED_VALUE"""),"99.Hors Périmetre")</f>
        <v>99.Hors Périmetre</v>
      </c>
      <c r="N333" t="str">
        <f ca="1">IFERROR(__xludf.DUMMYFUNCTION("""COMPUTED_VALUE"""),"")</f>
        <v/>
      </c>
      <c r="O333" t="str">
        <f ca="1">IFERROR(__xludf.DUMMYFUNCTION("""COMPUTED_VALUE"""),"")</f>
        <v/>
      </c>
      <c r="P333" t="str">
        <f ca="1">IFERROR(__xludf.DUMMYFUNCTION("""COMPUTED_VALUE"""),"")</f>
        <v/>
      </c>
      <c r="Q333" s="5" t="str">
        <f ca="1">IFERROR(__xludf.DUMMYFUNCTION("""COMPUTED_VALUE"""),"")</f>
        <v/>
      </c>
      <c r="R333" s="6" t="str">
        <f ca="1">IFERROR(__xludf.DUMMYFUNCTION("""COMPUTED_VALUE"""),"")</f>
        <v/>
      </c>
      <c r="S333" t="str">
        <f ca="1">IFERROR(__xludf.DUMMYFUNCTION("""COMPUTED_VALUE"""),"")</f>
        <v/>
      </c>
      <c r="T333" t="str">
        <f ca="1">IFERROR(__xludf.DUMMYFUNCTION("""COMPUTED_VALUE"""),"")</f>
        <v/>
      </c>
      <c r="U333" t="str">
        <f ca="1">IFERROR(__xludf.DUMMYFUNCTION("""COMPUTED_VALUE"""),"")</f>
        <v/>
      </c>
      <c r="V333" t="str">
        <f ca="1">IFERROR(__xludf.DUMMYFUNCTION("""COMPUTED_VALUE"""),"")</f>
        <v/>
      </c>
      <c r="W333" t="str">
        <f ca="1">IFERROR(__xludf.DUMMYFUNCTION("""COMPUTED_VALUE"""),"")</f>
        <v/>
      </c>
      <c r="X333" t="str">
        <f ca="1">IFERROR(__xludf.DUMMYFUNCTION("""COMPUTED_VALUE"""),"")</f>
        <v/>
      </c>
      <c r="Y333" t="str">
        <f ca="1">IFERROR(__xludf.DUMMYFUNCTION("""COMPUTED_VALUE"""),"")</f>
        <v/>
      </c>
      <c r="Z333" t="str">
        <f ca="1">IFERROR(__xludf.DUMMYFUNCTION("""COMPUTED_VALUE"""),"")</f>
        <v/>
      </c>
      <c r="AA333" t="str">
        <f ca="1">IFERROR(__xludf.DUMMYFUNCTION("""COMPUTED_VALUE"""),"Pas de commande")</f>
        <v>Pas de commande</v>
      </c>
      <c r="AB333" s="8" t="str">
        <f ca="1">IFERROR(__xludf.DUMMYFUNCTION("""COMPUTED_VALUE"""),"")</f>
        <v/>
      </c>
      <c r="AC333" s="8" t="str">
        <f ca="1">IFERROR(__xludf.DUMMYFUNCTION("""COMPUTED_VALUE"""),"")</f>
        <v/>
      </c>
      <c r="AD333" s="11" t="str">
        <f ca="1">IFERROR(__xludf.DUMMYFUNCTION("""COMPUTED_VALUE"""),"")</f>
        <v/>
      </c>
      <c r="AE333" t="str">
        <f ca="1">IFERROR(__xludf.DUMMYFUNCTION("""COMPUTED_VALUE"""),"")</f>
        <v/>
      </c>
    </row>
    <row r="334" spans="1:31" ht="12.75" x14ac:dyDescent="0.2">
      <c r="A334">
        <f ca="1">IFERROR(__xludf.DUMMYFUNCTION("""COMPUTED_VALUE"""),38206)</f>
        <v>38206</v>
      </c>
      <c r="B334" t="str">
        <f ca="1">IFERROR(__xludf.DUMMYFUNCTION("""COMPUTED_VALUE"""),"FRESNAY-SUR-SARTHE")</f>
        <v>FRESNAY-SUR-SARTHE</v>
      </c>
      <c r="C334" t="str">
        <f ca="1">IFERROR(__xludf.DUMMYFUNCTION("""COMPUTED_VALUE"""),"Super U")</f>
        <v>Super U</v>
      </c>
      <c r="D334" t="str">
        <f ca="1">IFERROR(__xludf.DUMMYFUNCTION("""COMPUTED_VALUE"""),"Coop U Enseigne Ouest")</f>
        <v>Coop U Enseigne Ouest</v>
      </c>
      <c r="E334">
        <f ca="1">IFERROR(__xludf.DUMMYFUNCTION("""COMPUTED_VALUE"""),72130)</f>
        <v>72130</v>
      </c>
      <c r="F334" t="str">
        <f ca="1">IFERROR(__xludf.DUMMYFUNCTION("""COMPUTED_VALUE"""),"RUE ABBÉ LELIÈVRE")</f>
        <v>RUE ABBÉ LELIÈVRE</v>
      </c>
      <c r="G334" t="str">
        <f ca="1">IFERROR(__xludf.DUMMYFUNCTION("""COMPUTED_VALUE"""),"02.43.33.27.06")</f>
        <v>02.43.33.27.06</v>
      </c>
      <c r="H334" t="str">
        <f ca="1">IFERROR(__xludf.DUMMYFUNCTION("""COMPUTED_VALUE"""),"COURANT RPT SARL DESBLON Christian")</f>
        <v>COURANT RPT SARL DESBLON Christian</v>
      </c>
      <c r="I334" t="str">
        <f ca="1">IFERROR(__xludf.DUMMYFUNCTION("""COMPUTED_VALUE"""),"christian.courant@systeme-u.fr")</f>
        <v>christian.courant@systeme-u.fr</v>
      </c>
      <c r="J334" t="str">
        <f ca="1">IFERROR(__xludf.DUMMYFUNCTION("""COMPUTED_VALUE"""),"")</f>
        <v/>
      </c>
      <c r="K334" t="str">
        <f ca="1">IFERROR(__xludf.DUMMYFUNCTION("""COMPUTED_VALUE"""),"")</f>
        <v/>
      </c>
      <c r="L334" t="str">
        <f ca="1">IFERROR(__xludf.DUMMYFUNCTION("""COMPUTED_VALUE"""),"")</f>
        <v/>
      </c>
      <c r="M334" t="str">
        <f ca="1">IFERROR(__xludf.DUMMYFUNCTION("""COMPUTED_VALUE"""),"99.Hors Périmetre")</f>
        <v>99.Hors Périmetre</v>
      </c>
      <c r="N334" t="str">
        <f ca="1">IFERROR(__xludf.DUMMYFUNCTION("""COMPUTED_VALUE"""),"")</f>
        <v/>
      </c>
      <c r="O334" t="str">
        <f ca="1">IFERROR(__xludf.DUMMYFUNCTION("""COMPUTED_VALUE"""),"")</f>
        <v/>
      </c>
      <c r="P334" t="str">
        <f ca="1">IFERROR(__xludf.DUMMYFUNCTION("""COMPUTED_VALUE"""),"")</f>
        <v/>
      </c>
      <c r="Q334" s="5" t="str">
        <f ca="1">IFERROR(__xludf.DUMMYFUNCTION("""COMPUTED_VALUE"""),"")</f>
        <v/>
      </c>
      <c r="R334" s="6" t="str">
        <f ca="1">IFERROR(__xludf.DUMMYFUNCTION("""COMPUTED_VALUE"""),"")</f>
        <v/>
      </c>
      <c r="S334" t="str">
        <f ca="1">IFERROR(__xludf.DUMMYFUNCTION("""COMPUTED_VALUE"""),"")</f>
        <v/>
      </c>
      <c r="T334" t="str">
        <f ca="1">IFERROR(__xludf.DUMMYFUNCTION("""COMPUTED_VALUE"""),"")</f>
        <v/>
      </c>
      <c r="U334" t="str">
        <f ca="1">IFERROR(__xludf.DUMMYFUNCTION("""COMPUTED_VALUE"""),"")</f>
        <v/>
      </c>
      <c r="V334" t="str">
        <f ca="1">IFERROR(__xludf.DUMMYFUNCTION("""COMPUTED_VALUE"""),"")</f>
        <v/>
      </c>
      <c r="W334" t="str">
        <f ca="1">IFERROR(__xludf.DUMMYFUNCTION("""COMPUTED_VALUE"""),"")</f>
        <v/>
      </c>
      <c r="X334" t="str">
        <f ca="1">IFERROR(__xludf.DUMMYFUNCTION("""COMPUTED_VALUE"""),"")</f>
        <v/>
      </c>
      <c r="Y334" t="str">
        <f ca="1">IFERROR(__xludf.DUMMYFUNCTION("""COMPUTED_VALUE"""),"")</f>
        <v/>
      </c>
      <c r="Z334" t="str">
        <f ca="1">IFERROR(__xludf.DUMMYFUNCTION("""COMPUTED_VALUE"""),"")</f>
        <v/>
      </c>
      <c r="AA334" t="str">
        <f ca="1">IFERROR(__xludf.DUMMYFUNCTION("""COMPUTED_VALUE"""),"Pas de commande")</f>
        <v>Pas de commande</v>
      </c>
      <c r="AB334" s="8" t="str">
        <f ca="1">IFERROR(__xludf.DUMMYFUNCTION("""COMPUTED_VALUE"""),"")</f>
        <v/>
      </c>
      <c r="AC334" s="8" t="str">
        <f ca="1">IFERROR(__xludf.DUMMYFUNCTION("""COMPUTED_VALUE"""),"")</f>
        <v/>
      </c>
      <c r="AD334" s="11" t="str">
        <f ca="1">IFERROR(__xludf.DUMMYFUNCTION("""COMPUTED_VALUE"""),"")</f>
        <v/>
      </c>
      <c r="AE334" t="str">
        <f ca="1">IFERROR(__xludf.DUMMYFUNCTION("""COMPUTED_VALUE"""),"")</f>
        <v/>
      </c>
    </row>
    <row r="335" spans="1:31" ht="12.75" x14ac:dyDescent="0.2">
      <c r="A335">
        <f ca="1">IFERROR(__xludf.DUMMYFUNCTION("""COMPUTED_VALUE"""),65457)</f>
        <v>65457</v>
      </c>
      <c r="B335" t="str">
        <f ca="1">IFERROR(__xludf.DUMMYFUNCTION("""COMPUTED_VALUE"""),"FRIGNICOURT")</f>
        <v>FRIGNICOURT</v>
      </c>
      <c r="C335" t="str">
        <f ca="1">IFERROR(__xludf.DUMMYFUNCTION("""COMPUTED_VALUE"""),"Super U")</f>
        <v>Super U</v>
      </c>
      <c r="D335" t="str">
        <f ca="1">IFERROR(__xludf.DUMMYFUNCTION("""COMPUTED_VALUE"""),"Coop U Enseigne Est")</f>
        <v>Coop U Enseigne Est</v>
      </c>
      <c r="E335">
        <f ca="1">IFERROR(__xludf.DUMMYFUNCTION("""COMPUTED_VALUE"""),51300)</f>
        <v>51300</v>
      </c>
      <c r="F335" t="str">
        <f ca="1">IFERROR(__xludf.DUMMYFUNCTION("""COMPUTED_VALUE"""),"AVENUE DE CHAMPAGNE.")</f>
        <v>AVENUE DE CHAMPAGNE.</v>
      </c>
      <c r="G335" t="str">
        <f ca="1">IFERROR(__xludf.DUMMYFUNCTION("""COMPUTED_VALUE"""),"03.26.74.00.10")</f>
        <v>03.26.74.00.10</v>
      </c>
      <c r="H335" t="str">
        <f ca="1">IFERROR(__xludf.DUMMYFUNCTION("""COMPUTED_VALUE"""),"BARBARISI Bruno")</f>
        <v>BARBARISI Bruno</v>
      </c>
      <c r="I335" t="str">
        <f ca="1">IFERROR(__xludf.DUMMYFUNCTION("""COMPUTED_VALUE"""),"superu.frignicourt.filiale@systeme-u.fr")</f>
        <v>superu.frignicourt.filiale@systeme-u.fr</v>
      </c>
      <c r="J335" t="str">
        <f ca="1">IFERROR(__xludf.DUMMYFUNCTION("""COMPUTED_VALUE"""),"M. HUGENEL")</f>
        <v>M. HUGENEL</v>
      </c>
      <c r="K335" t="str">
        <f ca="1">IFERROR(__xludf.DUMMYFUNCTION("""COMPUTED_VALUE"""),"")</f>
        <v/>
      </c>
      <c r="L335" t="str">
        <f ca="1">IFERROR(__xludf.DUMMYFUNCTION("""COMPUTED_VALUE"""),"")</f>
        <v/>
      </c>
      <c r="M335" t="str">
        <f ca="1">IFERROR(__xludf.DUMMYFUNCTION("""COMPUTED_VALUE"""),"99.Hors Périmetre")</f>
        <v>99.Hors Périmetre</v>
      </c>
      <c r="N335" t="str">
        <f ca="1">IFERROR(__xludf.DUMMYFUNCTION("""COMPUTED_VALUE"""),"")</f>
        <v/>
      </c>
      <c r="O335" t="str">
        <f ca="1">IFERROR(__xludf.DUMMYFUNCTION("""COMPUTED_VALUE"""),"")</f>
        <v/>
      </c>
      <c r="P335" t="str">
        <f ca="1">IFERROR(__xludf.DUMMYFUNCTION("""COMPUTED_VALUE"""),"")</f>
        <v/>
      </c>
      <c r="Q335" s="5" t="str">
        <f ca="1">IFERROR(__xludf.DUMMYFUNCTION("""COMPUTED_VALUE"""),"")</f>
        <v/>
      </c>
      <c r="R335" s="6" t="str">
        <f ca="1">IFERROR(__xludf.DUMMYFUNCTION("""COMPUTED_VALUE"""),"")</f>
        <v/>
      </c>
      <c r="S335" t="str">
        <f ca="1">IFERROR(__xludf.DUMMYFUNCTION("""COMPUTED_VALUE"""),"")</f>
        <v/>
      </c>
      <c r="T335" t="str">
        <f ca="1">IFERROR(__xludf.DUMMYFUNCTION("""COMPUTED_VALUE"""),"")</f>
        <v/>
      </c>
      <c r="U335" t="str">
        <f ca="1">IFERROR(__xludf.DUMMYFUNCTION("""COMPUTED_VALUE"""),"")</f>
        <v/>
      </c>
      <c r="V335" t="str">
        <f ca="1">IFERROR(__xludf.DUMMYFUNCTION("""COMPUTED_VALUE"""),"")</f>
        <v/>
      </c>
      <c r="W335" t="str">
        <f ca="1">IFERROR(__xludf.DUMMYFUNCTION("""COMPUTED_VALUE"""),"")</f>
        <v/>
      </c>
      <c r="X335" t="str">
        <f ca="1">IFERROR(__xludf.DUMMYFUNCTION("""COMPUTED_VALUE"""),"")</f>
        <v/>
      </c>
      <c r="Y335" t="str">
        <f ca="1">IFERROR(__xludf.DUMMYFUNCTION("""COMPUTED_VALUE"""),"")</f>
        <v/>
      </c>
      <c r="Z335" t="str">
        <f ca="1">IFERROR(__xludf.DUMMYFUNCTION("""COMPUTED_VALUE"""),"")</f>
        <v/>
      </c>
      <c r="AA335" t="str">
        <f ca="1">IFERROR(__xludf.DUMMYFUNCTION("""COMPUTED_VALUE"""),"Pas de commande")</f>
        <v>Pas de commande</v>
      </c>
      <c r="AB335" s="8" t="str">
        <f ca="1">IFERROR(__xludf.DUMMYFUNCTION("""COMPUTED_VALUE"""),"")</f>
        <v/>
      </c>
      <c r="AC335" s="8" t="str">
        <f ca="1">IFERROR(__xludf.DUMMYFUNCTION("""COMPUTED_VALUE"""),"")</f>
        <v/>
      </c>
      <c r="AD335" s="11" t="str">
        <f ca="1">IFERROR(__xludf.DUMMYFUNCTION("""COMPUTED_VALUE"""),"")</f>
        <v/>
      </c>
      <c r="AE335" t="str">
        <f ca="1">IFERROR(__xludf.DUMMYFUNCTION("""COMPUTED_VALUE"""),"")</f>
        <v/>
      </c>
    </row>
    <row r="336" spans="1:31" ht="12.75" x14ac:dyDescent="0.2">
      <c r="A336">
        <f ca="1">IFERROR(__xludf.DUMMYFUNCTION("""COMPUTED_VALUE"""),95175)</f>
        <v>95175</v>
      </c>
      <c r="B336" t="str">
        <f ca="1">IFERROR(__xludf.DUMMYFUNCTION("""COMPUTED_VALUE"""),"GABARRET")</f>
        <v>GABARRET</v>
      </c>
      <c r="C336" t="str">
        <f ca="1">IFERROR(__xludf.DUMMYFUNCTION("""COMPUTED_VALUE"""),"U Express")</f>
        <v>U Express</v>
      </c>
      <c r="D336" t="str">
        <f ca="1">IFERROR(__xludf.DUMMYFUNCTION("""COMPUTED_VALUE"""),"Coop U Enseigne Sud")</f>
        <v>Coop U Enseigne Sud</v>
      </c>
      <c r="E336">
        <f ca="1">IFERROR(__xludf.DUMMYFUNCTION("""COMPUTED_VALUE"""),40310)</f>
        <v>40310</v>
      </c>
      <c r="F336" t="str">
        <f ca="1">IFERROR(__xludf.DUMMYFUNCTION("""COMPUTED_VALUE"""),"ZI LAMARRAQUE")</f>
        <v>ZI LAMARRAQUE</v>
      </c>
      <c r="G336" t="str">
        <f ca="1">IFERROR(__xludf.DUMMYFUNCTION("""COMPUTED_VALUE"""),"05.58.05.38.12")</f>
        <v>05.58.05.38.12</v>
      </c>
      <c r="H336" t="str">
        <f ca="1">IFERROR(__xludf.DUMMYFUNCTION("""COMPUTED_VALUE"""),"BENABDELOUHAB Gamal")</f>
        <v>BENABDELOUHAB Gamal</v>
      </c>
      <c r="I336" t="str">
        <f ca="1">IFERROR(__xludf.DUMMYFUNCTION("""COMPUTED_VALUE"""),"gamal.benabdelouhab@systeme-u.fr")</f>
        <v>gamal.benabdelouhab@systeme-u.fr</v>
      </c>
      <c r="J336" t="str">
        <f ca="1">IFERROR(__xludf.DUMMYFUNCTION("""COMPUTED_VALUE"""),"Mr LAHCEL")</f>
        <v>Mr LAHCEL</v>
      </c>
      <c r="K336" t="str">
        <f ca="1">IFERROR(__xludf.DUMMYFUNCTION("""COMPUTED_VALUE"""),"uexpress.gabarret@systeme-u.fr")</f>
        <v>uexpress.gabarret@systeme-u.fr</v>
      </c>
      <c r="L336" t="str">
        <f ca="1">IFERROR(__xludf.DUMMYFUNCTION("""COMPUTED_VALUE"""),"")</f>
        <v/>
      </c>
      <c r="M336" t="str">
        <f ca="1">IFERROR(__xludf.DUMMYFUNCTION("""COMPUTED_VALUE"""),"99.Hors Périmetre")</f>
        <v>99.Hors Périmetre</v>
      </c>
      <c r="N336" t="str">
        <f ca="1">IFERROR(__xludf.DUMMYFUNCTION("""COMPUTED_VALUE"""),"")</f>
        <v/>
      </c>
      <c r="O336" t="str">
        <f ca="1">IFERROR(__xludf.DUMMYFUNCTION("""COMPUTED_VALUE"""),"")</f>
        <v/>
      </c>
      <c r="P336" t="str">
        <f ca="1">IFERROR(__xludf.DUMMYFUNCTION("""COMPUTED_VALUE"""),"")</f>
        <v/>
      </c>
      <c r="Q336" s="5" t="str">
        <f ca="1">IFERROR(__xludf.DUMMYFUNCTION("""COMPUTED_VALUE"""),"")</f>
        <v/>
      </c>
      <c r="R336" s="6" t="str">
        <f ca="1">IFERROR(__xludf.DUMMYFUNCTION("""COMPUTED_VALUE"""),"")</f>
        <v/>
      </c>
      <c r="S336" t="str">
        <f ca="1">IFERROR(__xludf.DUMMYFUNCTION("""COMPUTED_VALUE"""),"")</f>
        <v/>
      </c>
      <c r="T336" t="str">
        <f ca="1">IFERROR(__xludf.DUMMYFUNCTION("""COMPUTED_VALUE"""),"")</f>
        <v/>
      </c>
      <c r="U336" t="str">
        <f ca="1">IFERROR(__xludf.DUMMYFUNCTION("""COMPUTED_VALUE"""),"")</f>
        <v/>
      </c>
      <c r="V336" t="str">
        <f ca="1">IFERROR(__xludf.DUMMYFUNCTION("""COMPUTED_VALUE"""),"")</f>
        <v/>
      </c>
      <c r="W336" t="str">
        <f ca="1">IFERROR(__xludf.DUMMYFUNCTION("""COMPUTED_VALUE"""),"")</f>
        <v/>
      </c>
      <c r="X336" t="str">
        <f ca="1">IFERROR(__xludf.DUMMYFUNCTION("""COMPUTED_VALUE"""),"")</f>
        <v/>
      </c>
      <c r="Y336" t="str">
        <f ca="1">IFERROR(__xludf.DUMMYFUNCTION("""COMPUTED_VALUE"""),"")</f>
        <v/>
      </c>
      <c r="Z336" t="str">
        <f ca="1">IFERROR(__xludf.DUMMYFUNCTION("""COMPUTED_VALUE"""),"")</f>
        <v/>
      </c>
      <c r="AA336" t="str">
        <f ca="1">IFERROR(__xludf.DUMMYFUNCTION("""COMPUTED_VALUE"""),"Pas de commande")</f>
        <v>Pas de commande</v>
      </c>
      <c r="AB336" s="8" t="str">
        <f ca="1">IFERROR(__xludf.DUMMYFUNCTION("""COMPUTED_VALUE"""),"")</f>
        <v/>
      </c>
      <c r="AC336" s="8" t="str">
        <f ca="1">IFERROR(__xludf.DUMMYFUNCTION("""COMPUTED_VALUE"""),"")</f>
        <v/>
      </c>
      <c r="AD336" s="11" t="str">
        <f ca="1">IFERROR(__xludf.DUMMYFUNCTION("""COMPUTED_VALUE"""),"")</f>
        <v/>
      </c>
      <c r="AE336" t="str">
        <f ca="1">IFERROR(__xludf.DUMMYFUNCTION("""COMPUTED_VALUE"""),"")</f>
        <v/>
      </c>
    </row>
    <row r="337" spans="1:31" ht="12.75" x14ac:dyDescent="0.2">
      <c r="A337">
        <f ca="1">IFERROR(__xludf.DUMMYFUNCTION("""COMPUTED_VALUE"""),95762)</f>
        <v>95762</v>
      </c>
      <c r="B337" t="str">
        <f ca="1">IFERROR(__xludf.DUMMYFUNCTION("""COMPUTED_VALUE"""),"GALGON")</f>
        <v>GALGON</v>
      </c>
      <c r="C337" t="str">
        <f ca="1">IFERROR(__xludf.DUMMYFUNCTION("""COMPUTED_VALUE"""),"Super U")</f>
        <v>Super U</v>
      </c>
      <c r="D337" t="str">
        <f ca="1">IFERROR(__xludf.DUMMYFUNCTION("""COMPUTED_VALUE"""),"Coop U Enseigne Sud")</f>
        <v>Coop U Enseigne Sud</v>
      </c>
      <c r="E337">
        <f ca="1">IFERROR(__xludf.DUMMYFUNCTION("""COMPUTED_VALUE"""),33133)</f>
        <v>33133</v>
      </c>
      <c r="F337" t="str">
        <f ca="1">IFERROR(__xludf.DUMMYFUNCTION("""COMPUTED_VALUE"""),"2 avenue Fernand PILLOT")</f>
        <v>2 avenue Fernand PILLOT</v>
      </c>
      <c r="G337" t="str">
        <f ca="1">IFERROR(__xludf.DUMMYFUNCTION("""COMPUTED_VALUE"""),"05.57.74.30.07")</f>
        <v>05.57.74.30.07</v>
      </c>
      <c r="H337" t="str">
        <f ca="1">IFERROR(__xludf.DUMMYFUNCTION("""COMPUTED_VALUE"""),"LEGUET Francis")</f>
        <v>LEGUET Francis</v>
      </c>
      <c r="I337" t="str">
        <f ca="1">IFERROR(__xludf.DUMMYFUNCTION("""COMPUTED_VALUE"""),"francis.leguet@systeme-u.fr")</f>
        <v>francis.leguet@systeme-u.fr</v>
      </c>
      <c r="J337" t="str">
        <f ca="1">IFERROR(__xludf.DUMMYFUNCTION("""COMPUTED_VALUE"""),"Mme PAMART
Mme Valentin")</f>
        <v>Mme PAMART
Mme Valentin</v>
      </c>
      <c r="K337" t="str">
        <f ca="1">IFERROR(__xludf.DUMMYFUNCTION("""COMPUTED_VALUE"""),"superu.galgon@systeme-u.fr")</f>
        <v>superu.galgon@systeme-u.fr</v>
      </c>
      <c r="L337" t="str">
        <f ca="1">IFERROR(__xludf.DUMMYFUNCTION("""COMPUTED_VALUE"""),"")</f>
        <v/>
      </c>
      <c r="M337" t="str">
        <f ca="1">IFERROR(__xludf.DUMMYFUNCTION("""COMPUTED_VALUE"""),"99.Hors Périmetre")</f>
        <v>99.Hors Périmetre</v>
      </c>
      <c r="N337" t="str">
        <f ca="1">IFERROR(__xludf.DUMMYFUNCTION("""COMPUTED_VALUE"""),"")</f>
        <v/>
      </c>
      <c r="O337" t="str">
        <f ca="1">IFERROR(__xludf.DUMMYFUNCTION("""COMPUTED_VALUE"""),"")</f>
        <v/>
      </c>
      <c r="P337" t="str">
        <f ca="1">IFERROR(__xludf.DUMMYFUNCTION("""COMPUTED_VALUE"""),"")</f>
        <v/>
      </c>
      <c r="Q337" s="5" t="str">
        <f ca="1">IFERROR(__xludf.DUMMYFUNCTION("""COMPUTED_VALUE"""),"")</f>
        <v/>
      </c>
      <c r="R337" s="6" t="str">
        <f ca="1">IFERROR(__xludf.DUMMYFUNCTION("""COMPUTED_VALUE"""),"")</f>
        <v/>
      </c>
      <c r="S337" t="str">
        <f ca="1">IFERROR(__xludf.DUMMYFUNCTION("""COMPUTED_VALUE"""),"")</f>
        <v/>
      </c>
      <c r="T337" t="str">
        <f ca="1">IFERROR(__xludf.DUMMYFUNCTION("""COMPUTED_VALUE"""),"")</f>
        <v/>
      </c>
      <c r="U337" t="str">
        <f ca="1">IFERROR(__xludf.DUMMYFUNCTION("""COMPUTED_VALUE"""),"")</f>
        <v/>
      </c>
      <c r="V337" t="str">
        <f ca="1">IFERROR(__xludf.DUMMYFUNCTION("""COMPUTED_VALUE"""),"")</f>
        <v/>
      </c>
      <c r="W337" t="str">
        <f ca="1">IFERROR(__xludf.DUMMYFUNCTION("""COMPUTED_VALUE"""),"")</f>
        <v/>
      </c>
      <c r="X337" t="str">
        <f ca="1">IFERROR(__xludf.DUMMYFUNCTION("""COMPUTED_VALUE"""),"")</f>
        <v/>
      </c>
      <c r="Y337" t="str">
        <f ca="1">IFERROR(__xludf.DUMMYFUNCTION("""COMPUTED_VALUE"""),"")</f>
        <v/>
      </c>
      <c r="Z337" t="str">
        <f ca="1">IFERROR(__xludf.DUMMYFUNCTION("""COMPUTED_VALUE"""),"")</f>
        <v/>
      </c>
      <c r="AA337" t="str">
        <f ca="1">IFERROR(__xludf.DUMMYFUNCTION("""COMPUTED_VALUE"""),"Pas de commande")</f>
        <v>Pas de commande</v>
      </c>
      <c r="AB337" s="8" t="str">
        <f ca="1">IFERROR(__xludf.DUMMYFUNCTION("""COMPUTED_VALUE"""),"")</f>
        <v/>
      </c>
      <c r="AC337" s="8" t="str">
        <f ca="1">IFERROR(__xludf.DUMMYFUNCTION("""COMPUTED_VALUE"""),"")</f>
        <v/>
      </c>
      <c r="AD337" s="11" t="str">
        <f ca="1">IFERROR(__xludf.DUMMYFUNCTION("""COMPUTED_VALUE"""),"")</f>
        <v/>
      </c>
      <c r="AE337" t="str">
        <f ca="1">IFERROR(__xludf.DUMMYFUNCTION("""COMPUTED_VALUE"""),"")</f>
        <v/>
      </c>
    </row>
    <row r="338" spans="1:31" ht="12.75" x14ac:dyDescent="0.2">
      <c r="A338">
        <f ca="1">IFERROR(__xludf.DUMMYFUNCTION("""COMPUTED_VALUE"""),60049)</f>
        <v>60049</v>
      </c>
      <c r="B338" t="str">
        <f ca="1">IFERROR(__xludf.DUMMYFUNCTION("""COMPUTED_VALUE"""),"GAMBSHEIM")</f>
        <v>GAMBSHEIM</v>
      </c>
      <c r="C338" t="str">
        <f ca="1">IFERROR(__xludf.DUMMYFUNCTION("""COMPUTED_VALUE"""),"Super U")</f>
        <v>Super U</v>
      </c>
      <c r="D338" t="str">
        <f ca="1">IFERROR(__xludf.DUMMYFUNCTION("""COMPUTED_VALUE"""),"Coop U Enseigne Est")</f>
        <v>Coop U Enseigne Est</v>
      </c>
      <c r="E338">
        <f ca="1">IFERROR(__xludf.DUMMYFUNCTION("""COMPUTED_VALUE"""),67760)</f>
        <v>67760</v>
      </c>
      <c r="F338" t="str">
        <f ca="1">IFERROR(__xludf.DUMMYFUNCTION("""COMPUTED_VALUE"""),"Route de Herrlisheim")</f>
        <v>Route de Herrlisheim</v>
      </c>
      <c r="G338" t="str">
        <f ca="1">IFERROR(__xludf.DUMMYFUNCTION("""COMPUTED_VALUE"""),"03.88.96.74.75")</f>
        <v>03.88.96.74.75</v>
      </c>
      <c r="H338" t="str">
        <f ca="1">IFERROR(__xludf.DUMMYFUNCTION("""COMPUTED_VALUE"""),"GROLL Sabine")</f>
        <v>GROLL Sabine</v>
      </c>
      <c r="I338" t="str">
        <f ca="1">IFERROR(__xludf.DUMMYFUNCTION("""COMPUTED_VALUE"""),"sabine.groll@systeme-u.fr")</f>
        <v>sabine.groll@systeme-u.fr</v>
      </c>
      <c r="J338" t="str">
        <f ca="1">IFERROR(__xludf.DUMMYFUNCTION("""COMPUTED_VALUE"""),"GROLL Thierry")</f>
        <v>GROLL Thierry</v>
      </c>
      <c r="K338" t="str">
        <f ca="1">IFERROR(__xludf.DUMMYFUNCTION("""COMPUTED_VALUE"""),"thierry.groll@systeme-u.fr")</f>
        <v>thierry.groll@systeme-u.fr</v>
      </c>
      <c r="L338" t="str">
        <f ca="1">IFERROR(__xludf.DUMMYFUNCTION("""COMPUTED_VALUE"""),"")</f>
        <v/>
      </c>
      <c r="M338" t="str">
        <f ca="1">IFERROR(__xludf.DUMMYFUNCTION("""COMPUTED_VALUE"""),"99.Hors Périmetre")</f>
        <v>99.Hors Périmetre</v>
      </c>
      <c r="N338" t="str">
        <f ca="1">IFERROR(__xludf.DUMMYFUNCTION("""COMPUTED_VALUE"""),"")</f>
        <v/>
      </c>
      <c r="O338" t="str">
        <f ca="1">IFERROR(__xludf.DUMMYFUNCTION("""COMPUTED_VALUE"""),"")</f>
        <v/>
      </c>
      <c r="P338" t="str">
        <f ca="1">IFERROR(__xludf.DUMMYFUNCTION("""COMPUTED_VALUE"""),"")</f>
        <v/>
      </c>
      <c r="Q338" s="5" t="str">
        <f ca="1">IFERROR(__xludf.DUMMYFUNCTION("""COMPUTED_VALUE"""),"")</f>
        <v/>
      </c>
      <c r="R338" s="6" t="str">
        <f ca="1">IFERROR(__xludf.DUMMYFUNCTION("""COMPUTED_VALUE"""),"")</f>
        <v/>
      </c>
      <c r="S338" t="str">
        <f ca="1">IFERROR(__xludf.DUMMYFUNCTION("""COMPUTED_VALUE"""),"")</f>
        <v/>
      </c>
      <c r="T338" t="str">
        <f ca="1">IFERROR(__xludf.DUMMYFUNCTION("""COMPUTED_VALUE"""),"")</f>
        <v/>
      </c>
      <c r="U338" t="str">
        <f ca="1">IFERROR(__xludf.DUMMYFUNCTION("""COMPUTED_VALUE"""),"")</f>
        <v/>
      </c>
      <c r="V338" t="str">
        <f ca="1">IFERROR(__xludf.DUMMYFUNCTION("""COMPUTED_VALUE"""),"")</f>
        <v/>
      </c>
      <c r="W338" t="str">
        <f ca="1">IFERROR(__xludf.DUMMYFUNCTION("""COMPUTED_VALUE"""),"")</f>
        <v/>
      </c>
      <c r="X338" t="str">
        <f ca="1">IFERROR(__xludf.DUMMYFUNCTION("""COMPUTED_VALUE"""),"")</f>
        <v/>
      </c>
      <c r="Y338" t="str">
        <f ca="1">IFERROR(__xludf.DUMMYFUNCTION("""COMPUTED_VALUE"""),"")</f>
        <v/>
      </c>
      <c r="Z338" t="str">
        <f ca="1">IFERROR(__xludf.DUMMYFUNCTION("""COMPUTED_VALUE"""),"")</f>
        <v/>
      </c>
      <c r="AA338" t="str">
        <f ca="1">IFERROR(__xludf.DUMMYFUNCTION("""COMPUTED_VALUE"""),"Pas de commande")</f>
        <v>Pas de commande</v>
      </c>
      <c r="AB338" s="8" t="str">
        <f ca="1">IFERROR(__xludf.DUMMYFUNCTION("""COMPUTED_VALUE"""),"")</f>
        <v/>
      </c>
      <c r="AC338" s="8" t="str">
        <f ca="1">IFERROR(__xludf.DUMMYFUNCTION("""COMPUTED_VALUE"""),"")</f>
        <v/>
      </c>
      <c r="AD338" s="11" t="str">
        <f ca="1">IFERROR(__xludf.DUMMYFUNCTION("""COMPUTED_VALUE"""),"")</f>
        <v/>
      </c>
      <c r="AE338" t="str">
        <f ca="1">IFERROR(__xludf.DUMMYFUNCTION("""COMPUTED_VALUE"""),"")</f>
        <v/>
      </c>
    </row>
    <row r="339" spans="1:31" ht="12.75" x14ac:dyDescent="0.2">
      <c r="A339">
        <f ca="1">IFERROR(__xludf.DUMMYFUNCTION("""COMPUTED_VALUE"""),95126)</f>
        <v>95126</v>
      </c>
      <c r="B339" t="str">
        <f ca="1">IFERROR(__xludf.DUMMYFUNCTION("""COMPUTED_VALUE"""),"GAN")</f>
        <v>GAN</v>
      </c>
      <c r="C339" t="str">
        <f ca="1">IFERROR(__xludf.DUMMYFUNCTION("""COMPUTED_VALUE"""),"Super U")</f>
        <v>Super U</v>
      </c>
      <c r="D339" t="str">
        <f ca="1">IFERROR(__xludf.DUMMYFUNCTION("""COMPUTED_VALUE"""),"Coop U Enseigne Sud")</f>
        <v>Coop U Enseigne Sud</v>
      </c>
      <c r="E339">
        <f ca="1">IFERROR(__xludf.DUMMYFUNCTION("""COMPUTED_VALUE"""),64290)</f>
        <v>64290</v>
      </c>
      <c r="F339" t="str">
        <f ca="1">IFERROR(__xludf.DUMMYFUNCTION("""COMPUTED_VALUE"""),"123 RUE D'OSSAU")</f>
        <v>123 RUE D'OSSAU</v>
      </c>
      <c r="G339" t="str">
        <f ca="1">IFERROR(__xludf.DUMMYFUNCTION("""COMPUTED_VALUE"""),"05.59.21.65.45")</f>
        <v>05.59.21.65.45</v>
      </c>
      <c r="H339" t="str">
        <f ca="1">IFERROR(__xludf.DUMMYFUNCTION("""COMPUTED_VALUE"""),"GAUDY Gildas")</f>
        <v>GAUDY Gildas</v>
      </c>
      <c r="I339" t="str">
        <f ca="1">IFERROR(__xludf.DUMMYFUNCTION("""COMPUTED_VALUE"""),"gildas.gaudy@systeme-u.fr")</f>
        <v>gildas.gaudy@systeme-u.fr</v>
      </c>
      <c r="J339" t="str">
        <f ca="1">IFERROR(__xludf.DUMMYFUNCTION("""COMPUTED_VALUE"""),"")</f>
        <v/>
      </c>
      <c r="K339" t="str">
        <f ca="1">IFERROR(__xludf.DUMMYFUNCTION("""COMPUTED_VALUE"""),"superu.gan.coursesu@systeme-u.fr")</f>
        <v>superu.gan.coursesu@systeme-u.fr</v>
      </c>
      <c r="L339" t="str">
        <f ca="1">IFERROR(__xludf.DUMMYFUNCTION("""COMPUTED_VALUE"""),"")</f>
        <v/>
      </c>
      <c r="M339" t="str">
        <f ca="1">IFERROR(__xludf.DUMMYFUNCTION("""COMPUTED_VALUE"""),"99.Hors Périmetre")</f>
        <v>99.Hors Périmetre</v>
      </c>
      <c r="N339" t="str">
        <f ca="1">IFERROR(__xludf.DUMMYFUNCTION("""COMPUTED_VALUE"""),"")</f>
        <v/>
      </c>
      <c r="O339" t="str">
        <f ca="1">IFERROR(__xludf.DUMMYFUNCTION("""COMPUTED_VALUE"""),"")</f>
        <v/>
      </c>
      <c r="P339" t="str">
        <f ca="1">IFERROR(__xludf.DUMMYFUNCTION("""COMPUTED_VALUE"""),"")</f>
        <v/>
      </c>
      <c r="Q339" s="5" t="str">
        <f ca="1">IFERROR(__xludf.DUMMYFUNCTION("""COMPUTED_VALUE"""),"")</f>
        <v/>
      </c>
      <c r="R339" s="6" t="str">
        <f ca="1">IFERROR(__xludf.DUMMYFUNCTION("""COMPUTED_VALUE"""),"")</f>
        <v/>
      </c>
      <c r="S339" t="str">
        <f ca="1">IFERROR(__xludf.DUMMYFUNCTION("""COMPUTED_VALUE"""),"")</f>
        <v/>
      </c>
      <c r="T339" t="str">
        <f ca="1">IFERROR(__xludf.DUMMYFUNCTION("""COMPUTED_VALUE"""),"")</f>
        <v/>
      </c>
      <c r="U339" t="str">
        <f ca="1">IFERROR(__xludf.DUMMYFUNCTION("""COMPUTED_VALUE"""),"")</f>
        <v/>
      </c>
      <c r="V339" t="str">
        <f ca="1">IFERROR(__xludf.DUMMYFUNCTION("""COMPUTED_VALUE"""),"")</f>
        <v/>
      </c>
      <c r="W339" t="str">
        <f ca="1">IFERROR(__xludf.DUMMYFUNCTION("""COMPUTED_VALUE"""),"")</f>
        <v/>
      </c>
      <c r="X339" t="str">
        <f ca="1">IFERROR(__xludf.DUMMYFUNCTION("""COMPUTED_VALUE"""),"")</f>
        <v/>
      </c>
      <c r="Y339" t="str">
        <f ca="1">IFERROR(__xludf.DUMMYFUNCTION("""COMPUTED_VALUE"""),"")</f>
        <v/>
      </c>
      <c r="Z339" t="str">
        <f ca="1">IFERROR(__xludf.DUMMYFUNCTION("""COMPUTED_VALUE"""),"")</f>
        <v/>
      </c>
      <c r="AA339" t="str">
        <f ca="1">IFERROR(__xludf.DUMMYFUNCTION("""COMPUTED_VALUE"""),"Pas de commande")</f>
        <v>Pas de commande</v>
      </c>
      <c r="AB339" s="8" t="str">
        <f ca="1">IFERROR(__xludf.DUMMYFUNCTION("""COMPUTED_VALUE"""),"")</f>
        <v/>
      </c>
      <c r="AC339" s="8" t="str">
        <f ca="1">IFERROR(__xludf.DUMMYFUNCTION("""COMPUTED_VALUE"""),"")</f>
        <v/>
      </c>
      <c r="AD339" s="11" t="str">
        <f ca="1">IFERROR(__xludf.DUMMYFUNCTION("""COMPUTED_VALUE"""),"")</f>
        <v/>
      </c>
      <c r="AE339" t="str">
        <f ca="1">IFERROR(__xludf.DUMMYFUNCTION("""COMPUTED_VALUE"""),"")</f>
        <v/>
      </c>
    </row>
    <row r="340" spans="1:31" ht="12.75" x14ac:dyDescent="0.2">
      <c r="A340">
        <f ca="1">IFERROR(__xludf.DUMMYFUNCTION("""COMPUTED_VALUE"""),90122)</f>
        <v>90122</v>
      </c>
      <c r="B340" t="str">
        <f ca="1">IFERROR(__xludf.DUMMYFUNCTION("""COMPUTED_VALUE"""),"GANGES")</f>
        <v>GANGES</v>
      </c>
      <c r="C340" t="str">
        <f ca="1">IFERROR(__xludf.DUMMYFUNCTION("""COMPUTED_VALUE"""),"Super U")</f>
        <v>Super U</v>
      </c>
      <c r="D340" t="str">
        <f ca="1">IFERROR(__xludf.DUMMYFUNCTION("""COMPUTED_VALUE"""),"Coop U Enseigne Sud")</f>
        <v>Coop U Enseigne Sud</v>
      </c>
      <c r="E340">
        <f ca="1">IFERROR(__xludf.DUMMYFUNCTION("""COMPUTED_VALUE"""),34190)</f>
        <v>34190</v>
      </c>
      <c r="F340" t="str">
        <f ca="1">IFERROR(__xludf.DUMMYFUNCTION("""COMPUTED_VALUE"""),"QUARTIER DES CALQUIERES")</f>
        <v>QUARTIER DES CALQUIERES</v>
      </c>
      <c r="G340" t="str">
        <f ca="1">IFERROR(__xludf.DUMMYFUNCTION("""COMPUTED_VALUE"""),"04.67.73.89.16")</f>
        <v>04.67.73.89.16</v>
      </c>
      <c r="H340" t="str">
        <f ca="1">IFERROR(__xludf.DUMMYFUNCTION("""COMPUTED_VALUE"""),"DIAZ Christian")</f>
        <v>DIAZ Christian</v>
      </c>
      <c r="I340" t="str">
        <f ca="1">IFERROR(__xludf.DUMMYFUNCTION("""COMPUTED_VALUE"""),"christian.diaz@systeme-u.fr")</f>
        <v>christian.diaz@systeme-u.fr</v>
      </c>
      <c r="J340" t="str">
        <f ca="1">IFERROR(__xludf.DUMMYFUNCTION("""COMPUTED_VALUE"""),"M. JUAN")</f>
        <v>M. JUAN</v>
      </c>
      <c r="K340" t="str">
        <f ca="1">IFERROR(__xludf.DUMMYFUNCTION("""COMPUTED_VALUE"""),"superu.ganges.direction@systeme-u.fr")</f>
        <v>superu.ganges.direction@systeme-u.fr</v>
      </c>
      <c r="L340" t="str">
        <f ca="1">IFERROR(__xludf.DUMMYFUNCTION("""COMPUTED_VALUE"""),"")</f>
        <v/>
      </c>
      <c r="M340" t="str">
        <f ca="1">IFERROR(__xludf.DUMMYFUNCTION("""COMPUTED_VALUE"""),"99.Hors Périmetre")</f>
        <v>99.Hors Périmetre</v>
      </c>
      <c r="N340" t="str">
        <f ca="1">IFERROR(__xludf.DUMMYFUNCTION("""COMPUTED_VALUE"""),"")</f>
        <v/>
      </c>
      <c r="O340" t="str">
        <f ca="1">IFERROR(__xludf.DUMMYFUNCTION("""COMPUTED_VALUE"""),"")</f>
        <v/>
      </c>
      <c r="P340" t="str">
        <f ca="1">IFERROR(__xludf.DUMMYFUNCTION("""COMPUTED_VALUE"""),"")</f>
        <v/>
      </c>
      <c r="Q340" s="5" t="str">
        <f ca="1">IFERROR(__xludf.DUMMYFUNCTION("""COMPUTED_VALUE"""),"")</f>
        <v/>
      </c>
      <c r="R340" s="6" t="str">
        <f ca="1">IFERROR(__xludf.DUMMYFUNCTION("""COMPUTED_VALUE"""),"")</f>
        <v/>
      </c>
      <c r="S340" t="str">
        <f ca="1">IFERROR(__xludf.DUMMYFUNCTION("""COMPUTED_VALUE"""),"")</f>
        <v/>
      </c>
      <c r="T340" t="str">
        <f ca="1">IFERROR(__xludf.DUMMYFUNCTION("""COMPUTED_VALUE"""),"")</f>
        <v/>
      </c>
      <c r="U340" t="str">
        <f ca="1">IFERROR(__xludf.DUMMYFUNCTION("""COMPUTED_VALUE"""),"")</f>
        <v/>
      </c>
      <c r="V340" t="str">
        <f ca="1">IFERROR(__xludf.DUMMYFUNCTION("""COMPUTED_VALUE"""),"")</f>
        <v/>
      </c>
      <c r="W340" t="str">
        <f ca="1">IFERROR(__xludf.DUMMYFUNCTION("""COMPUTED_VALUE"""),"")</f>
        <v/>
      </c>
      <c r="X340" t="str">
        <f ca="1">IFERROR(__xludf.DUMMYFUNCTION("""COMPUTED_VALUE"""),"")</f>
        <v/>
      </c>
      <c r="Y340" t="str">
        <f ca="1">IFERROR(__xludf.DUMMYFUNCTION("""COMPUTED_VALUE"""),"")</f>
        <v/>
      </c>
      <c r="Z340" t="str">
        <f ca="1">IFERROR(__xludf.DUMMYFUNCTION("""COMPUTED_VALUE"""),"")</f>
        <v/>
      </c>
      <c r="AA340" t="str">
        <f ca="1">IFERROR(__xludf.DUMMYFUNCTION("""COMPUTED_VALUE"""),"Pas de commande")</f>
        <v>Pas de commande</v>
      </c>
      <c r="AB340" s="8" t="str">
        <f ca="1">IFERROR(__xludf.DUMMYFUNCTION("""COMPUTED_VALUE"""),"")</f>
        <v/>
      </c>
      <c r="AC340" s="8" t="str">
        <f ca="1">IFERROR(__xludf.DUMMYFUNCTION("""COMPUTED_VALUE"""),"")</f>
        <v/>
      </c>
      <c r="AD340" s="11" t="str">
        <f ca="1">IFERROR(__xludf.DUMMYFUNCTION("""COMPUTED_VALUE"""),"")</f>
        <v/>
      </c>
      <c r="AE340" t="str">
        <f ca="1">IFERROR(__xludf.DUMMYFUNCTION("""COMPUTED_VALUE"""),"")</f>
        <v/>
      </c>
    </row>
    <row r="341" spans="1:31" ht="12.75" x14ac:dyDescent="0.2">
      <c r="A341">
        <f ca="1">IFERROR(__xludf.DUMMYFUNCTION("""COMPUTED_VALUE"""),21783)</f>
        <v>21783</v>
      </c>
      <c r="B341" t="str">
        <f ca="1">IFERROR(__xludf.DUMMYFUNCTION("""COMPUTED_VALUE"""),"GARCHES")</f>
        <v>GARCHES</v>
      </c>
      <c r="C341" t="str">
        <f ca="1">IFERROR(__xludf.DUMMYFUNCTION("""COMPUTED_VALUE"""),"U Express")</f>
        <v>U Express</v>
      </c>
      <c r="D341" t="str">
        <f ca="1">IFERROR(__xludf.DUMMYFUNCTION("""COMPUTED_VALUE"""),"Coop U Enseigne NordOuest")</f>
        <v>Coop U Enseigne NordOuest</v>
      </c>
      <c r="E341">
        <f ca="1">IFERROR(__xludf.DUMMYFUNCTION("""COMPUTED_VALUE"""),92380)</f>
        <v>92380</v>
      </c>
      <c r="F341" t="str">
        <f ca="1">IFERROR(__xludf.DUMMYFUNCTION("""COMPUTED_VALUE"""),"153-155 GRANDE RUE")</f>
        <v>153-155 GRANDE RUE</v>
      </c>
      <c r="G341" t="str">
        <f ca="1">IFERROR(__xludf.DUMMYFUNCTION("""COMPUTED_VALUE"""),"01.47.95.53.53")</f>
        <v>01.47.95.53.53</v>
      </c>
      <c r="H341" t="str">
        <f ca="1">IFERROR(__xludf.DUMMYFUNCTION("""COMPUTED_VALUE"""),"LEFEBVRE Yann")</f>
        <v>LEFEBVRE Yann</v>
      </c>
      <c r="I341" t="str">
        <f ca="1">IFERROR(__xludf.DUMMYFUNCTION("""COMPUTED_VALUE"""),"yann.lefebvre@systeme-u.fr")</f>
        <v>yann.lefebvre@systeme-u.fr</v>
      </c>
      <c r="J341" t="str">
        <f ca="1">IFERROR(__xludf.DUMMYFUNCTION("""COMPUTED_VALUE"""),"M. TRIBOUILLAT")</f>
        <v>M. TRIBOUILLAT</v>
      </c>
      <c r="K341" t="str">
        <f ca="1">IFERROR(__xludf.DUMMYFUNCTION("""COMPUTED_VALUE"""),"superu.villedavray.direction@systeme-u.fr")</f>
        <v>superu.villedavray.direction@systeme-u.fr</v>
      </c>
      <c r="L341" t="str">
        <f ca="1">IFERROR(__xludf.DUMMYFUNCTION("""COMPUTED_VALUE"""),"")</f>
        <v/>
      </c>
      <c r="M341" t="str">
        <f ca="1">IFERROR(__xludf.DUMMYFUNCTION("""COMPUTED_VALUE"""),"99.Hors Périmetre")</f>
        <v>99.Hors Périmetre</v>
      </c>
      <c r="N341" t="str">
        <f ca="1">IFERROR(__xludf.DUMMYFUNCTION("""COMPUTED_VALUE"""),"")</f>
        <v/>
      </c>
      <c r="O341" t="str">
        <f ca="1">IFERROR(__xludf.DUMMYFUNCTION("""COMPUTED_VALUE"""),"")</f>
        <v/>
      </c>
      <c r="P341" t="str">
        <f ca="1">IFERROR(__xludf.DUMMYFUNCTION("""COMPUTED_VALUE"""),"")</f>
        <v/>
      </c>
      <c r="Q341" s="5" t="str">
        <f ca="1">IFERROR(__xludf.DUMMYFUNCTION("""COMPUTED_VALUE"""),"")</f>
        <v/>
      </c>
      <c r="R341" s="6" t="str">
        <f ca="1">IFERROR(__xludf.DUMMYFUNCTION("""COMPUTED_VALUE"""),"")</f>
        <v/>
      </c>
      <c r="S341" t="str">
        <f ca="1">IFERROR(__xludf.DUMMYFUNCTION("""COMPUTED_VALUE"""),"")</f>
        <v/>
      </c>
      <c r="T341" t="str">
        <f ca="1">IFERROR(__xludf.DUMMYFUNCTION("""COMPUTED_VALUE"""),"")</f>
        <v/>
      </c>
      <c r="U341" t="str">
        <f ca="1">IFERROR(__xludf.DUMMYFUNCTION("""COMPUTED_VALUE"""),"")</f>
        <v/>
      </c>
      <c r="V341" t="str">
        <f ca="1">IFERROR(__xludf.DUMMYFUNCTION("""COMPUTED_VALUE"""),"")</f>
        <v/>
      </c>
      <c r="W341" t="str">
        <f ca="1">IFERROR(__xludf.DUMMYFUNCTION("""COMPUTED_VALUE"""),"")</f>
        <v/>
      </c>
      <c r="X341" t="str">
        <f ca="1">IFERROR(__xludf.DUMMYFUNCTION("""COMPUTED_VALUE"""),"")</f>
        <v/>
      </c>
      <c r="Y341" t="str">
        <f ca="1">IFERROR(__xludf.DUMMYFUNCTION("""COMPUTED_VALUE"""),"")</f>
        <v/>
      </c>
      <c r="Z341" t="str">
        <f ca="1">IFERROR(__xludf.DUMMYFUNCTION("""COMPUTED_VALUE"""),"")</f>
        <v/>
      </c>
      <c r="AA341" t="str">
        <f ca="1">IFERROR(__xludf.DUMMYFUNCTION("""COMPUTED_VALUE"""),"Pas de commande")</f>
        <v>Pas de commande</v>
      </c>
      <c r="AB341" s="8" t="str">
        <f ca="1">IFERROR(__xludf.DUMMYFUNCTION("""COMPUTED_VALUE"""),"")</f>
        <v/>
      </c>
      <c r="AC341" s="8" t="str">
        <f ca="1">IFERROR(__xludf.DUMMYFUNCTION("""COMPUTED_VALUE"""),"")</f>
        <v/>
      </c>
      <c r="AD341" s="11" t="str">
        <f ca="1">IFERROR(__xludf.DUMMYFUNCTION("""COMPUTED_VALUE"""),"")</f>
        <v/>
      </c>
      <c r="AE341" t="str">
        <f ca="1">IFERROR(__xludf.DUMMYFUNCTION("""COMPUTED_VALUE"""),"")</f>
        <v/>
      </c>
    </row>
    <row r="342" spans="1:31" ht="12.75" x14ac:dyDescent="0.2">
      <c r="A342">
        <f ca="1">IFERROR(__xludf.DUMMYFUNCTION("""COMPUTED_VALUE"""),20744)</f>
        <v>20744</v>
      </c>
      <c r="B342" t="str">
        <f ca="1">IFERROR(__xludf.DUMMYFUNCTION("""COMPUTED_VALUE"""),"GAVRAY")</f>
        <v>GAVRAY</v>
      </c>
      <c r="C342" t="str">
        <f ca="1">IFERROR(__xludf.DUMMYFUNCTION("""COMPUTED_VALUE"""),"U Express")</f>
        <v>U Express</v>
      </c>
      <c r="D342" t="str">
        <f ca="1">IFERROR(__xludf.DUMMYFUNCTION("""COMPUTED_VALUE"""),"Coop U Enseigne NordOuest")</f>
        <v>Coop U Enseigne NordOuest</v>
      </c>
      <c r="E342">
        <f ca="1">IFERROR(__xludf.DUMMYFUNCTION("""COMPUTED_VALUE"""),50450)</f>
        <v>50450</v>
      </c>
      <c r="F342" t="str">
        <f ca="1">IFERROR(__xludf.DUMMYFUNCTION("""COMPUTED_VALUE"""),"7 RUE DE L'HÔTEL SAINT DENIS")</f>
        <v>7 RUE DE L'HÔTEL SAINT DENIS</v>
      </c>
      <c r="G342" t="str">
        <f ca="1">IFERROR(__xludf.DUMMYFUNCTION("""COMPUTED_VALUE"""),"02.33.61.08.77")</f>
        <v>02.33.61.08.77</v>
      </c>
      <c r="H342" t="str">
        <f ca="1">IFERROR(__xludf.DUMMYFUNCTION("""COMPUTED_VALUE"""),"LECERF Sébastien")</f>
        <v>LECERF Sébastien</v>
      </c>
      <c r="I342" t="str">
        <f ca="1">IFERROR(__xludf.DUMMYFUNCTION("""COMPUTED_VALUE"""),"sebastien.lecerf@systeme-u.fr")</f>
        <v>sebastien.lecerf@systeme-u.fr</v>
      </c>
      <c r="J342" t="str">
        <f ca="1">IFERROR(__xludf.DUMMYFUNCTION("""COMPUTED_VALUE"""),"")</f>
        <v/>
      </c>
      <c r="K342" t="str">
        <f ca="1">IFERROR(__xludf.DUMMYFUNCTION("""COMPUTED_VALUE"""),"")</f>
        <v/>
      </c>
      <c r="L342" t="str">
        <f ca="1">IFERROR(__xludf.DUMMYFUNCTION("""COMPUTED_VALUE"""),"")</f>
        <v/>
      </c>
      <c r="M342" t="str">
        <f ca="1">IFERROR(__xludf.DUMMYFUNCTION("""COMPUTED_VALUE"""),"99.Hors Périmetre")</f>
        <v>99.Hors Périmetre</v>
      </c>
      <c r="N342" t="str">
        <f ca="1">IFERROR(__xludf.DUMMYFUNCTION("""COMPUTED_VALUE"""),"")</f>
        <v/>
      </c>
      <c r="O342" t="str">
        <f ca="1">IFERROR(__xludf.DUMMYFUNCTION("""COMPUTED_VALUE"""),"")</f>
        <v/>
      </c>
      <c r="P342" t="str">
        <f ca="1">IFERROR(__xludf.DUMMYFUNCTION("""COMPUTED_VALUE"""),"")</f>
        <v/>
      </c>
      <c r="Q342" s="5" t="str">
        <f ca="1">IFERROR(__xludf.DUMMYFUNCTION("""COMPUTED_VALUE"""),"")</f>
        <v/>
      </c>
      <c r="R342" s="6" t="str">
        <f ca="1">IFERROR(__xludf.DUMMYFUNCTION("""COMPUTED_VALUE"""),"")</f>
        <v/>
      </c>
      <c r="S342" t="str">
        <f ca="1">IFERROR(__xludf.DUMMYFUNCTION("""COMPUTED_VALUE"""),"")</f>
        <v/>
      </c>
      <c r="T342" t="str">
        <f ca="1">IFERROR(__xludf.DUMMYFUNCTION("""COMPUTED_VALUE"""),"")</f>
        <v/>
      </c>
      <c r="U342" t="str">
        <f ca="1">IFERROR(__xludf.DUMMYFUNCTION("""COMPUTED_VALUE"""),"")</f>
        <v/>
      </c>
      <c r="V342" t="str">
        <f ca="1">IFERROR(__xludf.DUMMYFUNCTION("""COMPUTED_VALUE"""),"")</f>
        <v/>
      </c>
      <c r="W342" t="str">
        <f ca="1">IFERROR(__xludf.DUMMYFUNCTION("""COMPUTED_VALUE"""),"")</f>
        <v/>
      </c>
      <c r="X342" t="str">
        <f ca="1">IFERROR(__xludf.DUMMYFUNCTION("""COMPUTED_VALUE"""),"")</f>
        <v/>
      </c>
      <c r="Y342" t="str">
        <f ca="1">IFERROR(__xludf.DUMMYFUNCTION("""COMPUTED_VALUE"""),"")</f>
        <v/>
      </c>
      <c r="Z342" t="str">
        <f ca="1">IFERROR(__xludf.DUMMYFUNCTION("""COMPUTED_VALUE"""),"")</f>
        <v/>
      </c>
      <c r="AA342" t="str">
        <f ca="1">IFERROR(__xludf.DUMMYFUNCTION("""COMPUTED_VALUE"""),"Pas de commande")</f>
        <v>Pas de commande</v>
      </c>
      <c r="AB342" s="8" t="str">
        <f ca="1">IFERROR(__xludf.DUMMYFUNCTION("""COMPUTED_VALUE"""),"")</f>
        <v/>
      </c>
      <c r="AC342" s="8" t="str">
        <f ca="1">IFERROR(__xludf.DUMMYFUNCTION("""COMPUTED_VALUE"""),"")</f>
        <v/>
      </c>
      <c r="AD342" s="11" t="str">
        <f ca="1">IFERROR(__xludf.DUMMYFUNCTION("""COMPUTED_VALUE"""),"")</f>
        <v/>
      </c>
      <c r="AE342" t="str">
        <f ca="1">IFERROR(__xludf.DUMMYFUNCTION("""COMPUTED_VALUE"""),"")</f>
        <v/>
      </c>
    </row>
    <row r="343" spans="1:31" ht="12.75" x14ac:dyDescent="0.2">
      <c r="A343">
        <f ca="1">IFERROR(__xludf.DUMMYFUNCTION("""COMPUTED_VALUE"""),35398)</f>
        <v>35398</v>
      </c>
      <c r="B343" t="str">
        <f ca="1">IFERROR(__xludf.DUMMYFUNCTION("""COMPUTED_VALUE"""),"GEMOZAC")</f>
        <v>GEMOZAC</v>
      </c>
      <c r="C343" t="str">
        <f ca="1">IFERROR(__xludf.DUMMYFUNCTION("""COMPUTED_VALUE"""),"Super U")</f>
        <v>Super U</v>
      </c>
      <c r="D343" t="str">
        <f ca="1">IFERROR(__xludf.DUMMYFUNCTION("""COMPUTED_VALUE"""),"Coop U Enseigne Ouest")</f>
        <v>Coop U Enseigne Ouest</v>
      </c>
      <c r="E343">
        <f ca="1">IFERROR(__xludf.DUMMYFUNCTION("""COMPUTED_VALUE"""),17260)</f>
        <v>17260</v>
      </c>
      <c r="F343" t="str">
        <f ca="1">IFERROR(__xludf.DUMMYFUNCTION("""COMPUTED_VALUE"""),"ZA PIED SEC")</f>
        <v>ZA PIED SEC</v>
      </c>
      <c r="G343" t="str">
        <f ca="1">IFERROR(__xludf.DUMMYFUNCTION("""COMPUTED_VALUE"""),"05.46.94.21.10")</f>
        <v>05.46.94.21.10</v>
      </c>
      <c r="H343" t="str">
        <f ca="1">IFERROR(__xludf.DUMMYFUNCTION("""COMPUTED_VALUE"""),"SIRET RPT SAS CGS HOLDING Dominique")</f>
        <v>SIRET RPT SAS CGS HOLDING Dominique</v>
      </c>
      <c r="I343" t="str">
        <f ca="1">IFERROR(__xludf.DUMMYFUNCTION("""COMPUTED_VALUE"""),"dominique.siret@systeme-u.fr")</f>
        <v>dominique.siret@systeme-u.fr</v>
      </c>
      <c r="J343" t="str">
        <f ca="1">IFERROR(__xludf.DUMMYFUNCTION("""COMPUTED_VALUE"""),"Bellec Alain ")</f>
        <v xml:space="preserve">Bellec Alain </v>
      </c>
      <c r="K343" t="str">
        <f ca="1">IFERROR(__xludf.DUMMYFUNCTION("""COMPUTED_VALUE"""),"superu.gemozac.direction@systeme-u.fr")</f>
        <v>superu.gemozac.direction@systeme-u.fr</v>
      </c>
      <c r="L343" t="str">
        <f ca="1">IFERROR(__xludf.DUMMYFUNCTION("""COMPUTED_VALUE"""),"")</f>
        <v/>
      </c>
      <c r="M343" t="str">
        <f ca="1">IFERROR(__xludf.DUMMYFUNCTION("""COMPUTED_VALUE"""),"99.Hors Périmetre")</f>
        <v>99.Hors Périmetre</v>
      </c>
      <c r="N343" t="str">
        <f ca="1">IFERROR(__xludf.DUMMYFUNCTION("""COMPUTED_VALUE"""),"")</f>
        <v/>
      </c>
      <c r="O343" t="str">
        <f ca="1">IFERROR(__xludf.DUMMYFUNCTION("""COMPUTED_VALUE"""),"")</f>
        <v/>
      </c>
      <c r="P343" t="str">
        <f ca="1">IFERROR(__xludf.DUMMYFUNCTION("""COMPUTED_VALUE"""),"")</f>
        <v/>
      </c>
      <c r="Q343" s="5" t="str">
        <f ca="1">IFERROR(__xludf.DUMMYFUNCTION("""COMPUTED_VALUE"""),"")</f>
        <v/>
      </c>
      <c r="R343" s="6" t="str">
        <f ca="1">IFERROR(__xludf.DUMMYFUNCTION("""COMPUTED_VALUE"""),"")</f>
        <v/>
      </c>
      <c r="S343" t="str">
        <f ca="1">IFERROR(__xludf.DUMMYFUNCTION("""COMPUTED_VALUE"""),"")</f>
        <v/>
      </c>
      <c r="T343" t="str">
        <f ca="1">IFERROR(__xludf.DUMMYFUNCTION("""COMPUTED_VALUE"""),"")</f>
        <v/>
      </c>
      <c r="U343" t="str">
        <f ca="1">IFERROR(__xludf.DUMMYFUNCTION("""COMPUTED_VALUE"""),"")</f>
        <v/>
      </c>
      <c r="V343" t="str">
        <f ca="1">IFERROR(__xludf.DUMMYFUNCTION("""COMPUTED_VALUE"""),"")</f>
        <v/>
      </c>
      <c r="W343" t="str">
        <f ca="1">IFERROR(__xludf.DUMMYFUNCTION("""COMPUTED_VALUE"""),"")</f>
        <v/>
      </c>
      <c r="X343" t="str">
        <f ca="1">IFERROR(__xludf.DUMMYFUNCTION("""COMPUTED_VALUE"""),"")</f>
        <v/>
      </c>
      <c r="Y343" t="str">
        <f ca="1">IFERROR(__xludf.DUMMYFUNCTION("""COMPUTED_VALUE"""),"")</f>
        <v/>
      </c>
      <c r="Z343" t="str">
        <f ca="1">IFERROR(__xludf.DUMMYFUNCTION("""COMPUTED_VALUE"""),"")</f>
        <v/>
      </c>
      <c r="AA343" t="str">
        <f ca="1">IFERROR(__xludf.DUMMYFUNCTION("""COMPUTED_VALUE"""),"Pas de commande")</f>
        <v>Pas de commande</v>
      </c>
      <c r="AB343" s="8" t="str">
        <f ca="1">IFERROR(__xludf.DUMMYFUNCTION("""COMPUTED_VALUE"""),"")</f>
        <v/>
      </c>
      <c r="AC343" s="8" t="str">
        <f ca="1">IFERROR(__xludf.DUMMYFUNCTION("""COMPUTED_VALUE"""),"")</f>
        <v/>
      </c>
      <c r="AD343" s="11" t="str">
        <f ca="1">IFERROR(__xludf.DUMMYFUNCTION("""COMPUTED_VALUE"""),"")</f>
        <v/>
      </c>
      <c r="AE343" t="str">
        <f ca="1">IFERROR(__xludf.DUMMYFUNCTION("""COMPUTED_VALUE"""),"")</f>
        <v/>
      </c>
    </row>
    <row r="344" spans="1:31" ht="12.75" x14ac:dyDescent="0.2">
      <c r="A344">
        <f ca="1">IFERROR(__xludf.DUMMYFUNCTION("""COMPUTED_VALUE"""),37218)</f>
        <v>37218</v>
      </c>
      <c r="B344" t="str">
        <f ca="1">IFERROR(__xludf.DUMMYFUNCTION("""COMPUTED_VALUE"""),"GENNES")</f>
        <v>GENNES</v>
      </c>
      <c r="C344" t="str">
        <f ca="1">IFERROR(__xludf.DUMMYFUNCTION("""COMPUTED_VALUE"""),"Super U")</f>
        <v>Super U</v>
      </c>
      <c r="D344" t="str">
        <f ca="1">IFERROR(__xludf.DUMMYFUNCTION("""COMPUTED_VALUE"""),"Coop U Enseigne Ouest")</f>
        <v>Coop U Enseigne Ouest</v>
      </c>
      <c r="E344">
        <f ca="1">IFERROR(__xludf.DUMMYFUNCTION("""COMPUTED_VALUE"""),49350)</f>
        <v>49350</v>
      </c>
      <c r="F344" t="str">
        <f ca="1">IFERROR(__xludf.DUMMYFUNCTION("""COMPUTED_VALUE"""),"ROUTE DE DOUÉ")</f>
        <v>ROUTE DE DOUÉ</v>
      </c>
      <c r="G344" t="str">
        <f ca="1">IFERROR(__xludf.DUMMYFUNCTION("""COMPUTED_VALUE"""),"02.41.53.06.70")</f>
        <v>02.41.53.06.70</v>
      </c>
      <c r="H344" t="str">
        <f ca="1">IFERROR(__xludf.DUMMYFUNCTION("""COMPUTED_VALUE"""),"BAUDRY Frédéric")</f>
        <v>BAUDRY Frédéric</v>
      </c>
      <c r="I344" t="str">
        <f ca="1">IFERROR(__xludf.DUMMYFUNCTION("""COMPUTED_VALUE"""),"frederic.baudry@systeme-u.fr")</f>
        <v>frederic.baudry@systeme-u.fr</v>
      </c>
      <c r="J344" t="str">
        <f ca="1">IFERROR(__xludf.DUMMYFUNCTION("""COMPUTED_VALUE"""),"Mme Baudry")</f>
        <v>Mme Baudry</v>
      </c>
      <c r="K344" t="str">
        <f ca="1">IFERROR(__xludf.DUMMYFUNCTION("""COMPUTED_VALUE"""),"superu.gennes.direction@systeme-u.fr")</f>
        <v>superu.gennes.direction@systeme-u.fr</v>
      </c>
      <c r="L344" t="str">
        <f ca="1">IFERROR(__xludf.DUMMYFUNCTION("""COMPUTED_VALUE"""),"")</f>
        <v/>
      </c>
      <c r="M344" t="str">
        <f ca="1">IFERROR(__xludf.DUMMYFUNCTION("""COMPUTED_VALUE"""),"99.Hors Périmetre")</f>
        <v>99.Hors Périmetre</v>
      </c>
      <c r="N344" t="str">
        <f ca="1">IFERROR(__xludf.DUMMYFUNCTION("""COMPUTED_VALUE"""),"")</f>
        <v/>
      </c>
      <c r="O344" t="str">
        <f ca="1">IFERROR(__xludf.DUMMYFUNCTION("""COMPUTED_VALUE"""),"")</f>
        <v/>
      </c>
      <c r="P344" t="str">
        <f ca="1">IFERROR(__xludf.DUMMYFUNCTION("""COMPUTED_VALUE"""),"")</f>
        <v/>
      </c>
      <c r="Q344" s="5" t="str">
        <f ca="1">IFERROR(__xludf.DUMMYFUNCTION("""COMPUTED_VALUE"""),"")</f>
        <v/>
      </c>
      <c r="R344" s="6" t="str">
        <f ca="1">IFERROR(__xludf.DUMMYFUNCTION("""COMPUTED_VALUE"""),"")</f>
        <v/>
      </c>
      <c r="S344" t="str">
        <f ca="1">IFERROR(__xludf.DUMMYFUNCTION("""COMPUTED_VALUE"""),"")</f>
        <v/>
      </c>
      <c r="T344" t="str">
        <f ca="1">IFERROR(__xludf.DUMMYFUNCTION("""COMPUTED_VALUE"""),"")</f>
        <v/>
      </c>
      <c r="U344" t="str">
        <f ca="1">IFERROR(__xludf.DUMMYFUNCTION("""COMPUTED_VALUE"""),"")</f>
        <v/>
      </c>
      <c r="V344" t="str">
        <f ca="1">IFERROR(__xludf.DUMMYFUNCTION("""COMPUTED_VALUE"""),"")</f>
        <v/>
      </c>
      <c r="W344" t="str">
        <f ca="1">IFERROR(__xludf.DUMMYFUNCTION("""COMPUTED_VALUE"""),"")</f>
        <v/>
      </c>
      <c r="X344" t="str">
        <f ca="1">IFERROR(__xludf.DUMMYFUNCTION("""COMPUTED_VALUE"""),"")</f>
        <v/>
      </c>
      <c r="Y344" t="str">
        <f ca="1">IFERROR(__xludf.DUMMYFUNCTION("""COMPUTED_VALUE"""),"")</f>
        <v/>
      </c>
      <c r="Z344" t="str">
        <f ca="1">IFERROR(__xludf.DUMMYFUNCTION("""COMPUTED_VALUE"""),"")</f>
        <v/>
      </c>
      <c r="AA344" t="str">
        <f ca="1">IFERROR(__xludf.DUMMYFUNCTION("""COMPUTED_VALUE"""),"Pas de commande")</f>
        <v>Pas de commande</v>
      </c>
      <c r="AB344" s="8" t="str">
        <f ca="1">IFERROR(__xludf.DUMMYFUNCTION("""COMPUTED_VALUE"""),"")</f>
        <v/>
      </c>
      <c r="AC344" s="8" t="str">
        <f ca="1">IFERROR(__xludf.DUMMYFUNCTION("""COMPUTED_VALUE"""),"")</f>
        <v/>
      </c>
      <c r="AD344" s="11" t="str">
        <f ca="1">IFERROR(__xludf.DUMMYFUNCTION("""COMPUTED_VALUE"""),"")</f>
        <v/>
      </c>
      <c r="AE344" t="str">
        <f ca="1">IFERROR(__xludf.DUMMYFUNCTION("""COMPUTED_VALUE"""),"")</f>
        <v/>
      </c>
    </row>
    <row r="345" spans="1:31" ht="12.75" x14ac:dyDescent="0.2">
      <c r="A345">
        <f ca="1">IFERROR(__xludf.DUMMYFUNCTION("""COMPUTED_VALUE"""),60023)</f>
        <v>60023</v>
      </c>
      <c r="B345" t="str">
        <f ca="1">IFERROR(__xludf.DUMMYFUNCTION("""COMPUTED_VALUE"""),"GERARDMER")</f>
        <v>GERARDMER</v>
      </c>
      <c r="C345" t="str">
        <f ca="1">IFERROR(__xludf.DUMMYFUNCTION("""COMPUTED_VALUE"""),"Super U")</f>
        <v>Super U</v>
      </c>
      <c r="D345" t="str">
        <f ca="1">IFERROR(__xludf.DUMMYFUNCTION("""COMPUTED_VALUE"""),"Coop U Enseigne Est")</f>
        <v>Coop U Enseigne Est</v>
      </c>
      <c r="E345">
        <f ca="1">IFERROR(__xludf.DUMMYFUNCTION("""COMPUTED_VALUE"""),88400)</f>
        <v>88400</v>
      </c>
      <c r="F345" t="str">
        <f ca="1">IFERROR(__xludf.DUMMYFUNCTION("""COMPUTED_VALUE"""),"Boulevard d'Alsace")</f>
        <v>Boulevard d'Alsace</v>
      </c>
      <c r="G345" t="str">
        <f ca="1">IFERROR(__xludf.DUMMYFUNCTION("""COMPUTED_VALUE"""),"03.29.63.21.42")</f>
        <v>03.29.63.21.42</v>
      </c>
      <c r="H345" t="str">
        <f ca="1">IFERROR(__xludf.DUMMYFUNCTION("""COMPUTED_VALUE"""),"CLAUDEL Caroline")</f>
        <v>CLAUDEL Caroline</v>
      </c>
      <c r="I345" t="str">
        <f ca="1">IFERROR(__xludf.DUMMYFUNCTION("""COMPUTED_VALUE"""),"caroline.claudel@systeme-u.fr")</f>
        <v>caroline.claudel@systeme-u.fr</v>
      </c>
      <c r="J345" t="str">
        <f ca="1">IFERROR(__xludf.DUMMYFUNCTION("""COMPUTED_VALUE"""),"HALLUITTE Olivier")</f>
        <v>HALLUITTE Olivier</v>
      </c>
      <c r="K345" t="str">
        <f ca="1">IFERROR(__xludf.DUMMYFUNCTION("""COMPUTED_VALUE"""),"superu.gerardmer.compta@systeme-u.fr")</f>
        <v>superu.gerardmer.compta@systeme-u.fr</v>
      </c>
      <c r="L345" t="str">
        <f ca="1">IFERROR(__xludf.DUMMYFUNCTION("""COMPUTED_VALUE"""),"")</f>
        <v/>
      </c>
      <c r="M345" t="str">
        <f ca="1">IFERROR(__xludf.DUMMYFUNCTION("""COMPUTED_VALUE"""),"")</f>
        <v/>
      </c>
      <c r="N345" t="str">
        <f ca="1">IFERROR(__xludf.DUMMYFUNCTION("""COMPUTED_VALUE"""),"")</f>
        <v/>
      </c>
      <c r="O345" t="str">
        <f ca="1">IFERROR(__xludf.DUMMYFUNCTION("""COMPUTED_VALUE"""),"")</f>
        <v/>
      </c>
      <c r="P345" t="str">
        <f ca="1">IFERROR(__xludf.DUMMYFUNCTION("""COMPUTED_VALUE"""),"")</f>
        <v/>
      </c>
      <c r="Q345" s="5" t="str">
        <f ca="1">IFERROR(__xludf.DUMMYFUNCTION("""COMPUTED_VALUE"""),"")</f>
        <v/>
      </c>
      <c r="R345" s="6" t="str">
        <f ca="1">IFERROR(__xludf.DUMMYFUNCTION("""COMPUTED_VALUE"""),"")</f>
        <v/>
      </c>
      <c r="S345" t="str">
        <f ca="1">IFERROR(__xludf.DUMMYFUNCTION("""COMPUTED_VALUE"""),"")</f>
        <v/>
      </c>
      <c r="T345" t="str">
        <f ca="1">IFERROR(__xludf.DUMMYFUNCTION("""COMPUTED_VALUE"""),"")</f>
        <v/>
      </c>
      <c r="U345" t="str">
        <f ca="1">IFERROR(__xludf.DUMMYFUNCTION("""COMPUTED_VALUE"""),"")</f>
        <v/>
      </c>
      <c r="V345" t="str">
        <f ca="1">IFERROR(__xludf.DUMMYFUNCTION("""COMPUTED_VALUE"""),"")</f>
        <v/>
      </c>
      <c r="W345" t="str">
        <f ca="1">IFERROR(__xludf.DUMMYFUNCTION("""COMPUTED_VALUE"""),"R3")</f>
        <v>R3</v>
      </c>
      <c r="X345" t="str">
        <f ca="1">IFERROR(__xludf.DUMMYFUNCTION("""COMPUTED_VALUE"""),"PC mag &lt;8Go")</f>
        <v>PC mag &lt;8Go</v>
      </c>
      <c r="Y345" t="str">
        <f ca="1">IFERROR(__xludf.DUMMYFUNCTION("""COMPUTED_VALUE"""),"")</f>
        <v/>
      </c>
      <c r="Z345" t="str">
        <f ca="1">IFERROR(__xludf.DUMMYFUNCTION("""COMPUTED_VALUE"""),"")</f>
        <v/>
      </c>
      <c r="AA345" t="str">
        <f ca="1">IFERROR(__xludf.DUMMYFUNCTION("""COMPUTED_VALUE"""),"Pas de commande")</f>
        <v>Pas de commande</v>
      </c>
      <c r="AB345" s="8" t="str">
        <f ca="1">IFERROR(__xludf.DUMMYFUNCTION("""COMPUTED_VALUE"""),"")</f>
        <v/>
      </c>
      <c r="AC345" s="8" t="str">
        <f ca="1">IFERROR(__xludf.DUMMYFUNCTION("""COMPUTED_VALUE"""),"")</f>
        <v/>
      </c>
      <c r="AD345" s="11" t="str">
        <f ca="1">IFERROR(__xludf.DUMMYFUNCTION("""COMPUTED_VALUE"""),"")</f>
        <v/>
      </c>
      <c r="AE345" t="str">
        <f ca="1">IFERROR(__xludf.DUMMYFUNCTION("""COMPUTED_VALUE"""),"")</f>
        <v/>
      </c>
    </row>
    <row r="346" spans="1:31" ht="12.75" x14ac:dyDescent="0.2">
      <c r="A346">
        <f ca="1">IFERROR(__xludf.DUMMYFUNCTION("""COMPUTED_VALUE"""),60730)</f>
        <v>60730</v>
      </c>
      <c r="B346" t="str">
        <f ca="1">IFERROR(__xludf.DUMMYFUNCTION("""COMPUTED_VALUE"""),"GERTWILLER")</f>
        <v>GERTWILLER</v>
      </c>
      <c r="C346" t="str">
        <f ca="1">IFERROR(__xludf.DUMMYFUNCTION("""COMPUTED_VALUE"""),"Super U")</f>
        <v>Super U</v>
      </c>
      <c r="D346" t="str">
        <f ca="1">IFERROR(__xludf.DUMMYFUNCTION("""COMPUTED_VALUE"""),"Coop U Enseigne Est")</f>
        <v>Coop U Enseigne Est</v>
      </c>
      <c r="E346">
        <f ca="1">IFERROR(__xludf.DUMMYFUNCTION("""COMPUTED_VALUE"""),67140)</f>
        <v>67140</v>
      </c>
      <c r="F346" t="str">
        <f ca="1">IFERROR(__xludf.DUMMYFUNCTION("""COMPUTED_VALUE"""),"2 route de Bourgheim")</f>
        <v>2 route de Bourgheim</v>
      </c>
      <c r="G346" t="str">
        <f ca="1">IFERROR(__xludf.DUMMYFUNCTION("""COMPUTED_VALUE"""),"03.88.08.00.81")</f>
        <v>03.88.08.00.81</v>
      </c>
      <c r="H346" t="str">
        <f ca="1">IFERROR(__xludf.DUMMYFUNCTION("""COMPUTED_VALUE"""),"VALENTIN RPT SAS VALENTIN Olivier")</f>
        <v>VALENTIN RPT SAS VALENTIN Olivier</v>
      </c>
      <c r="I346" t="str">
        <f ca="1">IFERROR(__xludf.DUMMYFUNCTION("""COMPUTED_VALUE"""),"olivier.valentin@systeme-u.fr")</f>
        <v>olivier.valentin@systeme-u.fr</v>
      </c>
      <c r="J346" t="str">
        <f ca="1">IFERROR(__xludf.DUMMYFUNCTION("""COMPUTED_VALUE"""),"Valentin Guillaume")</f>
        <v>Valentin Guillaume</v>
      </c>
      <c r="K346" t="str">
        <f ca="1">IFERROR(__xludf.DUMMYFUNCTION("""COMPUTED_VALUE"""),"guillaume.valentin@systeme-u.fr")</f>
        <v>guillaume.valentin@systeme-u.fr</v>
      </c>
      <c r="L346" t="str">
        <f ca="1">IFERROR(__xludf.DUMMYFUNCTION("""COMPUTED_VALUE"""),"")</f>
        <v/>
      </c>
      <c r="M346" t="str">
        <f ca="1">IFERROR(__xludf.DUMMYFUNCTION("""COMPUTED_VALUE"""),"99.Hors Périmetre")</f>
        <v>99.Hors Périmetre</v>
      </c>
      <c r="N346" t="str">
        <f ca="1">IFERROR(__xludf.DUMMYFUNCTION("""COMPUTED_VALUE"""),"")</f>
        <v/>
      </c>
      <c r="O346" t="str">
        <f ca="1">IFERROR(__xludf.DUMMYFUNCTION("""COMPUTED_VALUE"""),"")</f>
        <v/>
      </c>
      <c r="P346" t="str">
        <f ca="1">IFERROR(__xludf.DUMMYFUNCTION("""COMPUTED_VALUE"""),"")</f>
        <v/>
      </c>
      <c r="Q346" s="5" t="str">
        <f ca="1">IFERROR(__xludf.DUMMYFUNCTION("""COMPUTED_VALUE"""),"")</f>
        <v/>
      </c>
      <c r="R346" s="6" t="str">
        <f ca="1">IFERROR(__xludf.DUMMYFUNCTION("""COMPUTED_VALUE"""),"")</f>
        <v/>
      </c>
      <c r="S346" t="str">
        <f ca="1">IFERROR(__xludf.DUMMYFUNCTION("""COMPUTED_VALUE"""),"")</f>
        <v/>
      </c>
      <c r="T346" t="str">
        <f ca="1">IFERROR(__xludf.DUMMYFUNCTION("""COMPUTED_VALUE"""),"")</f>
        <v/>
      </c>
      <c r="U346" t="str">
        <f ca="1">IFERROR(__xludf.DUMMYFUNCTION("""COMPUTED_VALUE"""),"")</f>
        <v/>
      </c>
      <c r="V346" t="str">
        <f ca="1">IFERROR(__xludf.DUMMYFUNCTION("""COMPUTED_VALUE"""),"")</f>
        <v/>
      </c>
      <c r="W346" t="str">
        <f ca="1">IFERROR(__xludf.DUMMYFUNCTION("""COMPUTED_VALUE"""),"")</f>
        <v/>
      </c>
      <c r="X346" t="str">
        <f ca="1">IFERROR(__xludf.DUMMYFUNCTION("""COMPUTED_VALUE"""),"")</f>
        <v/>
      </c>
      <c r="Y346" t="str">
        <f ca="1">IFERROR(__xludf.DUMMYFUNCTION("""COMPUTED_VALUE"""),"")</f>
        <v/>
      </c>
      <c r="Z346" t="str">
        <f ca="1">IFERROR(__xludf.DUMMYFUNCTION("""COMPUTED_VALUE"""),"")</f>
        <v/>
      </c>
      <c r="AA346" t="str">
        <f ca="1">IFERROR(__xludf.DUMMYFUNCTION("""COMPUTED_VALUE"""),"Pas de commande")</f>
        <v>Pas de commande</v>
      </c>
      <c r="AB346" s="8" t="str">
        <f ca="1">IFERROR(__xludf.DUMMYFUNCTION("""COMPUTED_VALUE"""),"")</f>
        <v/>
      </c>
      <c r="AC346" s="8" t="str">
        <f ca="1">IFERROR(__xludf.DUMMYFUNCTION("""COMPUTED_VALUE"""),"")</f>
        <v/>
      </c>
      <c r="AD346" s="11" t="str">
        <f ca="1">IFERROR(__xludf.DUMMYFUNCTION("""COMPUTED_VALUE"""),"")</f>
        <v/>
      </c>
      <c r="AE346" t="str">
        <f ca="1">IFERROR(__xludf.DUMMYFUNCTION("""COMPUTED_VALUE"""),"")</f>
        <v/>
      </c>
    </row>
    <row r="347" spans="1:31" ht="12.75" x14ac:dyDescent="0.2">
      <c r="A347">
        <f ca="1">IFERROR(__xludf.DUMMYFUNCTION("""COMPUTED_VALUE"""),30094)</f>
        <v>30094</v>
      </c>
      <c r="B347" t="str">
        <f ca="1">IFERROR(__xludf.DUMMYFUNCTION("""COMPUTED_VALUE"""),"GETIGNE")</f>
        <v>GETIGNE</v>
      </c>
      <c r="C347" t="str">
        <f ca="1">IFERROR(__xludf.DUMMYFUNCTION("""COMPUTED_VALUE"""),"Super U")</f>
        <v>Super U</v>
      </c>
      <c r="D347" t="str">
        <f ca="1">IFERROR(__xludf.DUMMYFUNCTION("""COMPUTED_VALUE"""),"Coop U Enseigne Ouest")</f>
        <v>Coop U Enseigne Ouest</v>
      </c>
      <c r="E347">
        <f ca="1">IFERROR(__xludf.DUMMYFUNCTION("""COMPUTED_VALUE"""),44190)</f>
        <v>44190</v>
      </c>
      <c r="F347" t="str">
        <f ca="1">IFERROR(__xludf.DUMMYFUNCTION("""COMPUTED_VALUE"""),"ROUTE DE POITIERS")</f>
        <v>ROUTE DE POITIERS</v>
      </c>
      <c r="G347" t="str">
        <f ca="1">IFERROR(__xludf.DUMMYFUNCTION("""COMPUTED_VALUE"""),"02.40.03.92.75")</f>
        <v>02.40.03.92.75</v>
      </c>
      <c r="H347" t="str">
        <f ca="1">IFERROR(__xludf.DUMMYFUNCTION("""COMPUTED_VALUE"""),"EGONNEAU RPT SARL EGOFI Franck")</f>
        <v>EGONNEAU RPT SARL EGOFI Franck</v>
      </c>
      <c r="I347" t="str">
        <f ca="1">IFERROR(__xludf.DUMMYFUNCTION("""COMPUTED_VALUE"""),"franck.egonneau@systeme-u.fr")</f>
        <v>franck.egonneau@systeme-u.fr</v>
      </c>
      <c r="J347" t="str">
        <f ca="1">IFERROR(__xludf.DUMMYFUNCTION("""COMPUTED_VALUE"""),"GAUBERT Antoine")</f>
        <v>GAUBERT Antoine</v>
      </c>
      <c r="K347" t="str">
        <f ca="1">IFERROR(__xludf.DUMMYFUNCTION("""COMPUTED_VALUE"""),"superu.getigne.informatique@systeme-u.fr")</f>
        <v>superu.getigne.informatique@systeme-u.fr</v>
      </c>
      <c r="L347" t="str">
        <f ca="1">IFERROR(__xludf.DUMMYFUNCTION("""COMPUTED_VALUE"""),"")</f>
        <v/>
      </c>
      <c r="M347" t="str">
        <f ca="1">IFERROR(__xludf.DUMMYFUNCTION("""COMPUTED_VALUE"""),"3. Migration réalisée")</f>
        <v>3. Migration réalisée</v>
      </c>
      <c r="N347" t="str">
        <f ca="1">IFERROR(__xludf.DUMMYFUNCTION("""COMPUTED_VALUE"""),"")</f>
        <v/>
      </c>
      <c r="O347" t="str">
        <f ca="1">IFERROR(__xludf.DUMMYFUNCTION("""COMPUTED_VALUE"""),"20/03 CMA : Antoine ou Sandrine a appeler le jour J (à partir de 9:30)")</f>
        <v>20/03 CMA : Antoine ou Sandrine a appeler le jour J (à partir de 9:30)</v>
      </c>
      <c r="P347">
        <f ca="1">IFERROR(__xludf.DUMMYFUNCTION("""COMPUTED_VALUE"""),15)</f>
        <v>15</v>
      </c>
      <c r="Q347" s="5" t="str">
        <f ca="1">IFERROR(__xludf.DUMMYFUNCTION("""COMPUTED_VALUE"""),"")</f>
        <v/>
      </c>
      <c r="R347" s="6">
        <f ca="1">IFERROR(__xludf.DUMMYFUNCTION("""COMPUTED_VALUE"""),43565.3958333333)</f>
        <v>43565.395833333299</v>
      </c>
      <c r="S347" t="str">
        <f ca="1">IFERROR(__xludf.DUMMYFUNCTION("""COMPUTED_VALUE"""),"MEP8521913")</f>
        <v>MEP8521913</v>
      </c>
      <c r="T347" t="str">
        <f ca="1">IFERROR(__xludf.DUMMYFUNCTION("""COMPUTED_VALUE"""),"MEP8521916")</f>
        <v>MEP8521916</v>
      </c>
      <c r="U347" t="str">
        <f ca="1">IFERROR(__xludf.DUMMYFUNCTION("""COMPUTED_VALUE"""),"")</f>
        <v/>
      </c>
      <c r="V347" t="str">
        <f ca="1">IFERROR(__xludf.DUMMYFUNCTION("""COMPUTED_VALUE"""),"10.187.168.237")</f>
        <v>10.187.168.237</v>
      </c>
      <c r="W347" t="str">
        <f ca="1">IFERROR(__xludf.DUMMYFUNCTION("""COMPUTED_VALUE"""),"R5")</f>
        <v>R5</v>
      </c>
      <c r="X347" t="str">
        <f ca="1">IFERROR(__xludf.DUMMYFUNCTION("""COMPUTED_VALUE"""),"U StoreBox")</f>
        <v>U StoreBox</v>
      </c>
      <c r="Y347" t="str">
        <f ca="1">IFERROR(__xludf.DUMMYFUNCTION("""COMPUTED_VALUE"""),"Primo")</f>
        <v>Primo</v>
      </c>
      <c r="Z347" t="str">
        <f ca="1">IFERROR(__xludf.DUMMYFUNCTION("""COMPUTED_VALUE"""),"")</f>
        <v/>
      </c>
      <c r="AA347" t="str">
        <f ca="1">IFERROR(__xludf.DUMMYFUNCTION("""COMPUTED_VALUE"""),"Prérequis déposés")</f>
        <v>Prérequis déposés</v>
      </c>
      <c r="AB347" s="8">
        <f ca="1">IFERROR(__xludf.DUMMYFUNCTION("""COMPUTED_VALUE"""),43556)</f>
        <v>43556</v>
      </c>
      <c r="AC347" s="8">
        <f ca="1">IFERROR(__xludf.DUMMYFUNCTION("""COMPUTED_VALUE"""),43566)</f>
        <v>43566</v>
      </c>
      <c r="AD347" s="11" t="str">
        <f ca="1">IFERROR(__xludf.DUMMYFUNCTION("""COMPUTED_VALUE"""),"")</f>
        <v/>
      </c>
      <c r="AE347" t="str">
        <f ca="1">IFERROR(__xludf.DUMMYFUNCTION("""COMPUTED_VALUE"""),"")</f>
        <v/>
      </c>
    </row>
    <row r="348" spans="1:31" ht="12.75" x14ac:dyDescent="0.2">
      <c r="A348">
        <f ca="1">IFERROR(__xludf.DUMMYFUNCTION("""COMPUTED_VALUE"""),62052)</f>
        <v>62052</v>
      </c>
      <c r="B348" t="str">
        <f ca="1">IFERROR(__xludf.DUMMYFUNCTION("""COMPUTED_VALUE"""),"GEVREY CHAMBERTIN")</f>
        <v>GEVREY CHAMBERTIN</v>
      </c>
      <c r="C348" t="str">
        <f ca="1">IFERROR(__xludf.DUMMYFUNCTION("""COMPUTED_VALUE"""),"Super U")</f>
        <v>Super U</v>
      </c>
      <c r="D348" t="str">
        <f ca="1">IFERROR(__xludf.DUMMYFUNCTION("""COMPUTED_VALUE"""),"Coop U Enseigne Est")</f>
        <v>Coop U Enseigne Est</v>
      </c>
      <c r="E348">
        <f ca="1">IFERROR(__xludf.DUMMYFUNCTION("""COMPUTED_VALUE"""),21220)</f>
        <v>21220</v>
      </c>
      <c r="F348" t="str">
        <f ca="1">IFERROR(__xludf.DUMMYFUNCTION("""COMPUTED_VALUE"""),"RN 74")</f>
        <v>RN 74</v>
      </c>
      <c r="G348" t="str">
        <f ca="1">IFERROR(__xludf.DUMMYFUNCTION("""COMPUTED_VALUE"""),"03.80.34.02.20")</f>
        <v>03.80.34.02.20</v>
      </c>
      <c r="H348" t="str">
        <f ca="1">IFERROR(__xludf.DUMMYFUNCTION("""COMPUTED_VALUE"""),"BUFFET Guillaume")</f>
        <v>BUFFET Guillaume</v>
      </c>
      <c r="I348" t="str">
        <f ca="1">IFERROR(__xludf.DUMMYFUNCTION("""COMPUTED_VALUE"""),"guillaume.buffet@systeme-u.fr")</f>
        <v>guillaume.buffet@systeme-u.fr</v>
      </c>
      <c r="J348" t="str">
        <f ca="1">IFERROR(__xludf.DUMMYFUNCTION("""COMPUTED_VALUE"""),"Mme Maître")</f>
        <v>Mme Maître</v>
      </c>
      <c r="K348" t="str">
        <f ca="1">IFERROR(__xludf.DUMMYFUNCTION("""COMPUTED_VALUE"""),"superu.gevreychambertin.compta@systeme-u.fr")</f>
        <v>superu.gevreychambertin.compta@systeme-u.fr</v>
      </c>
      <c r="L348" t="str">
        <f ca="1">IFERROR(__xludf.DUMMYFUNCTION("""COMPUTED_VALUE"""),"")</f>
        <v/>
      </c>
      <c r="M348" t="str">
        <f ca="1">IFERROR(__xludf.DUMMYFUNCTION("""COMPUTED_VALUE"""),"99.Hors Périmetre")</f>
        <v>99.Hors Périmetre</v>
      </c>
      <c r="N348" t="str">
        <f ca="1">IFERROR(__xludf.DUMMYFUNCTION("""COMPUTED_VALUE"""),"")</f>
        <v/>
      </c>
      <c r="O348" t="str">
        <f ca="1">IFERROR(__xludf.DUMMYFUNCTION("""COMPUTED_VALUE"""),"")</f>
        <v/>
      </c>
      <c r="P348" t="str">
        <f ca="1">IFERROR(__xludf.DUMMYFUNCTION("""COMPUTED_VALUE"""),"")</f>
        <v/>
      </c>
      <c r="Q348" s="5" t="str">
        <f ca="1">IFERROR(__xludf.DUMMYFUNCTION("""COMPUTED_VALUE"""),"")</f>
        <v/>
      </c>
      <c r="R348" s="6" t="str">
        <f ca="1">IFERROR(__xludf.DUMMYFUNCTION("""COMPUTED_VALUE"""),"")</f>
        <v/>
      </c>
      <c r="S348" t="str">
        <f ca="1">IFERROR(__xludf.DUMMYFUNCTION("""COMPUTED_VALUE"""),"")</f>
        <v/>
      </c>
      <c r="T348" t="str">
        <f ca="1">IFERROR(__xludf.DUMMYFUNCTION("""COMPUTED_VALUE"""),"")</f>
        <v/>
      </c>
      <c r="U348" t="str">
        <f ca="1">IFERROR(__xludf.DUMMYFUNCTION("""COMPUTED_VALUE"""),"")</f>
        <v/>
      </c>
      <c r="V348" t="str">
        <f ca="1">IFERROR(__xludf.DUMMYFUNCTION("""COMPUTED_VALUE"""),"")</f>
        <v/>
      </c>
      <c r="W348" t="str">
        <f ca="1">IFERROR(__xludf.DUMMYFUNCTION("""COMPUTED_VALUE"""),"")</f>
        <v/>
      </c>
      <c r="X348" t="str">
        <f ca="1">IFERROR(__xludf.DUMMYFUNCTION("""COMPUTED_VALUE"""),"")</f>
        <v/>
      </c>
      <c r="Y348" t="str">
        <f ca="1">IFERROR(__xludf.DUMMYFUNCTION("""COMPUTED_VALUE"""),"")</f>
        <v/>
      </c>
      <c r="Z348" t="str">
        <f ca="1">IFERROR(__xludf.DUMMYFUNCTION("""COMPUTED_VALUE"""),"")</f>
        <v/>
      </c>
      <c r="AA348" t="str">
        <f ca="1">IFERROR(__xludf.DUMMYFUNCTION("""COMPUTED_VALUE"""),"Pas de commande")</f>
        <v>Pas de commande</v>
      </c>
      <c r="AB348" s="8" t="str">
        <f ca="1">IFERROR(__xludf.DUMMYFUNCTION("""COMPUTED_VALUE"""),"")</f>
        <v/>
      </c>
      <c r="AC348" s="8" t="str">
        <f ca="1">IFERROR(__xludf.DUMMYFUNCTION("""COMPUTED_VALUE"""),"")</f>
        <v/>
      </c>
      <c r="AD348" s="11" t="str">
        <f ca="1">IFERROR(__xludf.DUMMYFUNCTION("""COMPUTED_VALUE"""),"")</f>
        <v/>
      </c>
      <c r="AE348" t="str">
        <f ca="1">IFERROR(__xludf.DUMMYFUNCTION("""COMPUTED_VALUE"""),"")</f>
        <v/>
      </c>
    </row>
    <row r="349" spans="1:31" ht="12.75" x14ac:dyDescent="0.2">
      <c r="A349">
        <f ca="1">IFERROR(__xludf.DUMMYFUNCTION("""COMPUTED_VALUE"""),38074)</f>
        <v>38074</v>
      </c>
      <c r="B349" t="str">
        <f ca="1">IFERROR(__xludf.DUMMYFUNCTION("""COMPUTED_VALUE"""),"GIVRAND")</f>
        <v>GIVRAND</v>
      </c>
      <c r="C349" t="str">
        <f ca="1">IFERROR(__xludf.DUMMYFUNCTION("""COMPUTED_VALUE"""),"Utile")</f>
        <v>Utile</v>
      </c>
      <c r="D349" t="str">
        <f ca="1">IFERROR(__xludf.DUMMYFUNCTION("""COMPUTED_VALUE"""),"Coop U Enseigne Ouest")</f>
        <v>Coop U Enseigne Ouest</v>
      </c>
      <c r="E349">
        <f ca="1">IFERROR(__xludf.DUMMYFUNCTION("""COMPUTED_VALUE"""),85800)</f>
        <v>85800</v>
      </c>
      <c r="F349" t="str">
        <f ca="1">IFERROR(__xludf.DUMMYFUNCTION("""COMPUTED_VALUE"""),"CENTRE COMMERCIAL. LES MIMOSAS")</f>
        <v>CENTRE COMMERCIAL. LES MIMOSAS</v>
      </c>
      <c r="G349" t="str">
        <f ca="1">IFERROR(__xludf.DUMMYFUNCTION("""COMPUTED_VALUE"""),"02.51.55.40.40")</f>
        <v>02.51.55.40.40</v>
      </c>
      <c r="H349" t="str">
        <f ca="1">IFERROR(__xludf.DUMMYFUNCTION("""COMPUTED_VALUE"""),"STEPHAN Loic")</f>
        <v>STEPHAN Loic</v>
      </c>
      <c r="I349" t="str">
        <f ca="1">IFERROR(__xludf.DUMMYFUNCTION("""COMPUTED_VALUE"""),"loic.stephan@systeme-u.fr")</f>
        <v>loic.stephan@systeme-u.fr</v>
      </c>
      <c r="J349" t="str">
        <f ca="1">IFERROR(__xludf.DUMMYFUNCTION("""COMPUTED_VALUE"""),"RABILLE Nicolas")</f>
        <v>RABILLE Nicolas</v>
      </c>
      <c r="K349" t="str">
        <f ca="1">IFERROR(__xludf.DUMMYFUNCTION("""COMPUTED_VALUE"""),"superu.saintgillescroixdevie.gescom@systeme-u.fr")</f>
        <v>superu.saintgillescroixdevie.gescom@systeme-u.fr</v>
      </c>
      <c r="L349" t="str">
        <f ca="1">IFERROR(__xludf.DUMMYFUNCTION("""COMPUTED_VALUE"""),"")</f>
        <v/>
      </c>
      <c r="M349" t="str">
        <f ca="1">IFERROR(__xludf.DUMMYFUNCTION("""COMPUTED_VALUE"""),"99.Hors Périmetre")</f>
        <v>99.Hors Périmetre</v>
      </c>
      <c r="N349" t="str">
        <f ca="1">IFERROR(__xludf.DUMMYFUNCTION("""COMPUTED_VALUE"""),"")</f>
        <v/>
      </c>
      <c r="O349" t="str">
        <f ca="1">IFERROR(__xludf.DUMMYFUNCTION("""COMPUTED_VALUE"""),"")</f>
        <v/>
      </c>
      <c r="P349" t="str">
        <f ca="1">IFERROR(__xludf.DUMMYFUNCTION("""COMPUTED_VALUE"""),"")</f>
        <v/>
      </c>
      <c r="Q349" s="5" t="str">
        <f ca="1">IFERROR(__xludf.DUMMYFUNCTION("""COMPUTED_VALUE"""),"")</f>
        <v/>
      </c>
      <c r="R349" s="6" t="str">
        <f ca="1">IFERROR(__xludf.DUMMYFUNCTION("""COMPUTED_VALUE"""),"")</f>
        <v/>
      </c>
      <c r="S349" t="str">
        <f ca="1">IFERROR(__xludf.DUMMYFUNCTION("""COMPUTED_VALUE"""),"")</f>
        <v/>
      </c>
      <c r="T349" t="str">
        <f ca="1">IFERROR(__xludf.DUMMYFUNCTION("""COMPUTED_VALUE"""),"")</f>
        <v/>
      </c>
      <c r="U349" t="str">
        <f ca="1">IFERROR(__xludf.DUMMYFUNCTION("""COMPUTED_VALUE"""),"")</f>
        <v/>
      </c>
      <c r="V349" t="str">
        <f ca="1">IFERROR(__xludf.DUMMYFUNCTION("""COMPUTED_VALUE"""),"")</f>
        <v/>
      </c>
      <c r="W349" t="str">
        <f ca="1">IFERROR(__xludf.DUMMYFUNCTION("""COMPUTED_VALUE"""),"")</f>
        <v/>
      </c>
      <c r="X349" t="str">
        <f ca="1">IFERROR(__xludf.DUMMYFUNCTION("""COMPUTED_VALUE"""),"")</f>
        <v/>
      </c>
      <c r="Y349" t="str">
        <f ca="1">IFERROR(__xludf.DUMMYFUNCTION("""COMPUTED_VALUE"""),"")</f>
        <v/>
      </c>
      <c r="Z349" t="str">
        <f ca="1">IFERROR(__xludf.DUMMYFUNCTION("""COMPUTED_VALUE"""),"")</f>
        <v/>
      </c>
      <c r="AA349" t="str">
        <f ca="1">IFERROR(__xludf.DUMMYFUNCTION("""COMPUTED_VALUE"""),"Pas de commande")</f>
        <v>Pas de commande</v>
      </c>
      <c r="AB349" s="8" t="str">
        <f ca="1">IFERROR(__xludf.DUMMYFUNCTION("""COMPUTED_VALUE"""),"")</f>
        <v/>
      </c>
      <c r="AC349" s="8" t="str">
        <f ca="1">IFERROR(__xludf.DUMMYFUNCTION("""COMPUTED_VALUE"""),"")</f>
        <v/>
      </c>
      <c r="AD349" s="11" t="str">
        <f ca="1">IFERROR(__xludf.DUMMYFUNCTION("""COMPUTED_VALUE"""),"")</f>
        <v/>
      </c>
      <c r="AE349" t="str">
        <f ca="1">IFERROR(__xludf.DUMMYFUNCTION("""COMPUTED_VALUE"""),"")</f>
        <v/>
      </c>
    </row>
    <row r="350" spans="1:31" ht="12.75" x14ac:dyDescent="0.2">
      <c r="A350">
        <f ca="1">IFERROR(__xludf.DUMMYFUNCTION("""COMPUTED_VALUE"""),32518)</f>
        <v>32518</v>
      </c>
      <c r="B350" t="str">
        <f ca="1">IFERROR(__xludf.DUMMYFUNCTION("""COMPUTED_VALUE"""),"GORRON")</f>
        <v>GORRON</v>
      </c>
      <c r="C350" t="str">
        <f ca="1">IFERROR(__xludf.DUMMYFUNCTION("""COMPUTED_VALUE"""),"Super U")</f>
        <v>Super U</v>
      </c>
      <c r="D350" t="str">
        <f ca="1">IFERROR(__xludf.DUMMYFUNCTION("""COMPUTED_VALUE"""),"Coop U Enseigne Ouest")</f>
        <v>Coop U Enseigne Ouest</v>
      </c>
      <c r="E350">
        <f ca="1">IFERROR(__xludf.DUMMYFUNCTION("""COMPUTED_VALUE"""),53120)</f>
        <v>53120</v>
      </c>
      <c r="F350" t="str">
        <f ca="1">IFERROR(__xludf.DUMMYFUNCTION("""COMPUTED_VALUE"""),"LA PROMENADE")</f>
        <v>LA PROMENADE</v>
      </c>
      <c r="G350" t="str">
        <f ca="1">IFERROR(__xludf.DUMMYFUNCTION("""COMPUTED_VALUE"""),"02.43.08.06.83")</f>
        <v>02.43.08.06.83</v>
      </c>
      <c r="H350" t="str">
        <f ca="1">IFERROR(__xludf.DUMMYFUNCTION("""COMPUTED_VALUE"""),"RICHER RPT SARL GORRONDIS Claude")</f>
        <v>RICHER RPT SARL GORRONDIS Claude</v>
      </c>
      <c r="I350" t="str">
        <f ca="1">IFERROR(__xludf.DUMMYFUNCTION("""COMPUTED_VALUE"""),"claude.richer@systeme-u.fr")</f>
        <v>claude.richer@systeme-u.fr</v>
      </c>
      <c r="J350" t="str">
        <f ca="1">IFERROR(__xludf.DUMMYFUNCTION("""COMPUTED_VALUE"""),"RICHER Jean Michel")</f>
        <v>RICHER Jean Michel</v>
      </c>
      <c r="K350" t="str">
        <f ca="1">IFERROR(__xludf.DUMMYFUNCTION("""COMPUTED_VALUE"""),"jean-michel.richer@systeme-u.fr")</f>
        <v>jean-michel.richer@systeme-u.fr</v>
      </c>
      <c r="L350" t="str">
        <f ca="1">IFERROR(__xludf.DUMMYFUNCTION("""COMPUTED_VALUE"""),"")</f>
        <v/>
      </c>
      <c r="M350" t="str">
        <f ca="1">IFERROR(__xludf.DUMMYFUNCTION("""COMPUTED_VALUE"""),"99.Hors Périmetre")</f>
        <v>99.Hors Périmetre</v>
      </c>
      <c r="N350" t="str">
        <f ca="1">IFERROR(__xludf.DUMMYFUNCTION("""COMPUTED_VALUE"""),"")</f>
        <v/>
      </c>
      <c r="O350" t="str">
        <f ca="1">IFERROR(__xludf.DUMMYFUNCTION("""COMPUTED_VALUE"""),"")</f>
        <v/>
      </c>
      <c r="P350" t="str">
        <f ca="1">IFERROR(__xludf.DUMMYFUNCTION("""COMPUTED_VALUE"""),"")</f>
        <v/>
      </c>
      <c r="Q350" s="5" t="str">
        <f ca="1">IFERROR(__xludf.DUMMYFUNCTION("""COMPUTED_VALUE"""),"")</f>
        <v/>
      </c>
      <c r="R350" s="6" t="str">
        <f ca="1">IFERROR(__xludf.DUMMYFUNCTION("""COMPUTED_VALUE"""),"")</f>
        <v/>
      </c>
      <c r="S350" t="str">
        <f ca="1">IFERROR(__xludf.DUMMYFUNCTION("""COMPUTED_VALUE"""),"")</f>
        <v/>
      </c>
      <c r="T350" t="str">
        <f ca="1">IFERROR(__xludf.DUMMYFUNCTION("""COMPUTED_VALUE"""),"")</f>
        <v/>
      </c>
      <c r="U350" t="str">
        <f ca="1">IFERROR(__xludf.DUMMYFUNCTION("""COMPUTED_VALUE"""),"")</f>
        <v/>
      </c>
      <c r="V350" t="str">
        <f ca="1">IFERROR(__xludf.DUMMYFUNCTION("""COMPUTED_VALUE"""),"")</f>
        <v/>
      </c>
      <c r="W350" t="str">
        <f ca="1">IFERROR(__xludf.DUMMYFUNCTION("""COMPUTED_VALUE"""),"")</f>
        <v/>
      </c>
      <c r="X350" t="str">
        <f ca="1">IFERROR(__xludf.DUMMYFUNCTION("""COMPUTED_VALUE"""),"")</f>
        <v/>
      </c>
      <c r="Y350" t="str">
        <f ca="1">IFERROR(__xludf.DUMMYFUNCTION("""COMPUTED_VALUE"""),"")</f>
        <v/>
      </c>
      <c r="Z350" t="str">
        <f ca="1">IFERROR(__xludf.DUMMYFUNCTION("""COMPUTED_VALUE"""),"")</f>
        <v/>
      </c>
      <c r="AA350" t="str">
        <f ca="1">IFERROR(__xludf.DUMMYFUNCTION("""COMPUTED_VALUE"""),"Pas de commande")</f>
        <v>Pas de commande</v>
      </c>
      <c r="AB350" s="8" t="str">
        <f ca="1">IFERROR(__xludf.DUMMYFUNCTION("""COMPUTED_VALUE"""),"")</f>
        <v/>
      </c>
      <c r="AC350" s="8" t="str">
        <f ca="1">IFERROR(__xludf.DUMMYFUNCTION("""COMPUTED_VALUE"""),"")</f>
        <v/>
      </c>
      <c r="AD350" s="11" t="str">
        <f ca="1">IFERROR(__xludf.DUMMYFUNCTION("""COMPUTED_VALUE"""),"")</f>
        <v/>
      </c>
      <c r="AE350" t="str">
        <f ca="1">IFERROR(__xludf.DUMMYFUNCTION("""COMPUTED_VALUE"""),"")</f>
        <v/>
      </c>
    </row>
    <row r="351" spans="1:31" ht="12.75" x14ac:dyDescent="0.2">
      <c r="A351">
        <f ca="1">IFERROR(__xludf.DUMMYFUNCTION("""COMPUTED_VALUE"""),37609)</f>
        <v>37609</v>
      </c>
      <c r="B351" t="str">
        <f ca="1">IFERROR(__xludf.DUMMYFUNCTION("""COMPUTED_VALUE"""),"GOUESNOU")</f>
        <v>GOUESNOU</v>
      </c>
      <c r="C351" t="str">
        <f ca="1">IFERROR(__xludf.DUMMYFUNCTION("""COMPUTED_VALUE"""),"U Express")</f>
        <v>U Express</v>
      </c>
      <c r="D351" t="str">
        <f ca="1">IFERROR(__xludf.DUMMYFUNCTION("""COMPUTED_VALUE"""),"Coop U Enseigne Ouest")</f>
        <v>Coop U Enseigne Ouest</v>
      </c>
      <c r="E351">
        <f ca="1">IFERROR(__xludf.DUMMYFUNCTION("""COMPUTED_VALUE"""),29850)</f>
        <v>29850</v>
      </c>
      <c r="F351" t="str">
        <f ca="1">IFERROR(__xludf.DUMMYFUNCTION("""COMPUTED_VALUE"""),"RUE SAINT GOUESNOU")</f>
        <v>RUE SAINT GOUESNOU</v>
      </c>
      <c r="G351" t="str">
        <f ca="1">IFERROR(__xludf.DUMMYFUNCTION("""COMPUTED_VALUE"""),"02.98.07.71.06")</f>
        <v>02.98.07.71.06</v>
      </c>
      <c r="H351" t="str">
        <f ca="1">IFERROR(__xludf.DUMMYFUNCTION("""COMPUTED_VALUE"""),"BONSIGNE Bruno")</f>
        <v>BONSIGNE Bruno</v>
      </c>
      <c r="I351" t="str">
        <f ca="1">IFERROR(__xludf.DUMMYFUNCTION("""COMPUTED_VALUE"""),"bruno.bonsigne@systeme-u.fr")</f>
        <v>bruno.bonsigne@systeme-u.fr</v>
      </c>
      <c r="J351" t="str">
        <f ca="1">IFERROR(__xludf.DUMMYFUNCTION("""COMPUTED_VALUE"""),"BOUFFART GREGORY")</f>
        <v>BOUFFART GREGORY</v>
      </c>
      <c r="K351" t="str">
        <f ca="1">IFERROR(__xludf.DUMMYFUNCTION("""COMPUTED_VALUE"""),"")</f>
        <v/>
      </c>
      <c r="L351" t="str">
        <f ca="1">IFERROR(__xludf.DUMMYFUNCTION("""COMPUTED_VALUE"""),"")</f>
        <v/>
      </c>
      <c r="M351" t="str">
        <f ca="1">IFERROR(__xludf.DUMMYFUNCTION("""COMPUTED_VALUE"""),"99.Hors Périmetre")</f>
        <v>99.Hors Périmetre</v>
      </c>
      <c r="N351" t="str">
        <f ca="1">IFERROR(__xludf.DUMMYFUNCTION("""COMPUTED_VALUE"""),"")</f>
        <v/>
      </c>
      <c r="O351" t="str">
        <f ca="1">IFERROR(__xludf.DUMMYFUNCTION("""COMPUTED_VALUE"""),"")</f>
        <v/>
      </c>
      <c r="P351" t="str">
        <f ca="1">IFERROR(__xludf.DUMMYFUNCTION("""COMPUTED_VALUE"""),"")</f>
        <v/>
      </c>
      <c r="Q351" s="5" t="str">
        <f ca="1">IFERROR(__xludf.DUMMYFUNCTION("""COMPUTED_VALUE"""),"")</f>
        <v/>
      </c>
      <c r="R351" s="6" t="str">
        <f ca="1">IFERROR(__xludf.DUMMYFUNCTION("""COMPUTED_VALUE"""),"")</f>
        <v/>
      </c>
      <c r="S351" t="str">
        <f ca="1">IFERROR(__xludf.DUMMYFUNCTION("""COMPUTED_VALUE"""),"")</f>
        <v/>
      </c>
      <c r="T351" t="str">
        <f ca="1">IFERROR(__xludf.DUMMYFUNCTION("""COMPUTED_VALUE"""),"")</f>
        <v/>
      </c>
      <c r="U351" t="str">
        <f ca="1">IFERROR(__xludf.DUMMYFUNCTION("""COMPUTED_VALUE"""),"")</f>
        <v/>
      </c>
      <c r="V351" t="str">
        <f ca="1">IFERROR(__xludf.DUMMYFUNCTION("""COMPUTED_VALUE"""),"")</f>
        <v/>
      </c>
      <c r="W351" t="str">
        <f ca="1">IFERROR(__xludf.DUMMYFUNCTION("""COMPUTED_VALUE"""),"")</f>
        <v/>
      </c>
      <c r="X351" t="str">
        <f ca="1">IFERROR(__xludf.DUMMYFUNCTION("""COMPUTED_VALUE"""),"")</f>
        <v/>
      </c>
      <c r="Y351" t="str">
        <f ca="1">IFERROR(__xludf.DUMMYFUNCTION("""COMPUTED_VALUE"""),"")</f>
        <v/>
      </c>
      <c r="Z351" t="str">
        <f ca="1">IFERROR(__xludf.DUMMYFUNCTION("""COMPUTED_VALUE"""),"")</f>
        <v/>
      </c>
      <c r="AA351" t="str">
        <f ca="1">IFERROR(__xludf.DUMMYFUNCTION("""COMPUTED_VALUE"""),"Pas de commande")</f>
        <v>Pas de commande</v>
      </c>
      <c r="AB351" s="8" t="str">
        <f ca="1">IFERROR(__xludf.DUMMYFUNCTION("""COMPUTED_VALUE"""),"")</f>
        <v/>
      </c>
      <c r="AC351" s="8" t="str">
        <f ca="1">IFERROR(__xludf.DUMMYFUNCTION("""COMPUTED_VALUE"""),"")</f>
        <v/>
      </c>
      <c r="AD351" s="11" t="str">
        <f ca="1">IFERROR(__xludf.DUMMYFUNCTION("""COMPUTED_VALUE"""),"")</f>
        <v/>
      </c>
      <c r="AE351" t="str">
        <f ca="1">IFERROR(__xludf.DUMMYFUNCTION("""COMPUTED_VALUE"""),"")</f>
        <v/>
      </c>
    </row>
    <row r="352" spans="1:31" ht="12.75" x14ac:dyDescent="0.2">
      <c r="A352">
        <f ca="1">IFERROR(__xludf.DUMMYFUNCTION("""COMPUTED_VALUE"""),95773)</f>
        <v>95773</v>
      </c>
      <c r="B352" t="str">
        <f ca="1">IFERROR(__xludf.DUMMYFUNCTION("""COMPUTED_VALUE"""),"GOURDAN POLIGNAN")</f>
        <v>GOURDAN POLIGNAN</v>
      </c>
      <c r="C352" t="str">
        <f ca="1">IFERROR(__xludf.DUMMYFUNCTION("""COMPUTED_VALUE"""),"Super U")</f>
        <v>Super U</v>
      </c>
      <c r="D352" t="str">
        <f ca="1">IFERROR(__xludf.DUMMYFUNCTION("""COMPUTED_VALUE"""),"Coop U Enseigne Sud")</f>
        <v>Coop U Enseigne Sud</v>
      </c>
      <c r="E352">
        <f ca="1">IFERROR(__xludf.DUMMYFUNCTION("""COMPUTED_VALUE"""),31210)</f>
        <v>31210</v>
      </c>
      <c r="F352" t="str">
        <f ca="1">IFERROR(__xludf.DUMMYFUNCTION("""COMPUTED_VALUE"""),"AVENUE DE LUCHON")</f>
        <v>AVENUE DE LUCHON</v>
      </c>
      <c r="G352" t="str">
        <f ca="1">IFERROR(__xludf.DUMMYFUNCTION("""COMPUTED_VALUE"""),"05.61.95.79.79")</f>
        <v>05.61.95.79.79</v>
      </c>
      <c r="H352" t="str">
        <f ca="1">IFERROR(__xludf.DUMMYFUNCTION("""COMPUTED_VALUE"""),"VOUTERS Sebastien")</f>
        <v>VOUTERS Sebastien</v>
      </c>
      <c r="I352" t="str">
        <f ca="1">IFERROR(__xludf.DUMMYFUNCTION("""COMPUTED_VALUE"""),"sebastien.vouters@systeme-u.fr")</f>
        <v>sebastien.vouters@systeme-u.fr</v>
      </c>
      <c r="J352" t="str">
        <f ca="1">IFERROR(__xludf.DUMMYFUNCTION("""COMPUTED_VALUE"""),"Estelle deClunder")</f>
        <v>Estelle deClunder</v>
      </c>
      <c r="K352" t="str">
        <f ca="1">IFERROR(__xludf.DUMMYFUNCTION("""COMPUTED_VALUE"""),"superu.gourdanpolignan.rh@systeme-u.fr")</f>
        <v>superu.gourdanpolignan.rh@systeme-u.fr</v>
      </c>
      <c r="L352" t="str">
        <f ca="1">IFERROR(__xludf.DUMMYFUNCTION("""COMPUTED_VALUE"""),"")</f>
        <v/>
      </c>
      <c r="M352" t="str">
        <f ca="1">IFERROR(__xludf.DUMMYFUNCTION("""COMPUTED_VALUE"""),"99.Hors Périmetre")</f>
        <v>99.Hors Périmetre</v>
      </c>
      <c r="N352" t="str">
        <f ca="1">IFERROR(__xludf.DUMMYFUNCTION("""COMPUTED_VALUE"""),"")</f>
        <v/>
      </c>
      <c r="O352" t="str">
        <f ca="1">IFERROR(__xludf.DUMMYFUNCTION("""COMPUTED_VALUE"""),"")</f>
        <v/>
      </c>
      <c r="P352" t="str">
        <f ca="1">IFERROR(__xludf.DUMMYFUNCTION("""COMPUTED_VALUE"""),"")</f>
        <v/>
      </c>
      <c r="Q352" s="5" t="str">
        <f ca="1">IFERROR(__xludf.DUMMYFUNCTION("""COMPUTED_VALUE"""),"")</f>
        <v/>
      </c>
      <c r="R352" s="6" t="str">
        <f ca="1">IFERROR(__xludf.DUMMYFUNCTION("""COMPUTED_VALUE"""),"")</f>
        <v/>
      </c>
      <c r="S352" t="str">
        <f ca="1">IFERROR(__xludf.DUMMYFUNCTION("""COMPUTED_VALUE"""),"")</f>
        <v/>
      </c>
      <c r="T352" t="str">
        <f ca="1">IFERROR(__xludf.DUMMYFUNCTION("""COMPUTED_VALUE"""),"")</f>
        <v/>
      </c>
      <c r="U352" t="str">
        <f ca="1">IFERROR(__xludf.DUMMYFUNCTION("""COMPUTED_VALUE"""),"")</f>
        <v/>
      </c>
      <c r="V352" t="str">
        <f ca="1">IFERROR(__xludf.DUMMYFUNCTION("""COMPUTED_VALUE"""),"")</f>
        <v/>
      </c>
      <c r="W352" t="str">
        <f ca="1">IFERROR(__xludf.DUMMYFUNCTION("""COMPUTED_VALUE"""),"")</f>
        <v/>
      </c>
      <c r="X352" t="str">
        <f ca="1">IFERROR(__xludf.DUMMYFUNCTION("""COMPUTED_VALUE"""),"")</f>
        <v/>
      </c>
      <c r="Y352" t="str">
        <f ca="1">IFERROR(__xludf.DUMMYFUNCTION("""COMPUTED_VALUE"""),"")</f>
        <v/>
      </c>
      <c r="Z352" t="str">
        <f ca="1">IFERROR(__xludf.DUMMYFUNCTION("""COMPUTED_VALUE"""),"")</f>
        <v/>
      </c>
      <c r="AA352" t="str">
        <f ca="1">IFERROR(__xludf.DUMMYFUNCTION("""COMPUTED_VALUE"""),"Pas de commande")</f>
        <v>Pas de commande</v>
      </c>
      <c r="AB352" s="8" t="str">
        <f ca="1">IFERROR(__xludf.DUMMYFUNCTION("""COMPUTED_VALUE"""),"")</f>
        <v/>
      </c>
      <c r="AC352" s="8" t="str">
        <f ca="1">IFERROR(__xludf.DUMMYFUNCTION("""COMPUTED_VALUE"""),"")</f>
        <v/>
      </c>
      <c r="AD352" s="11" t="str">
        <f ca="1">IFERROR(__xludf.DUMMYFUNCTION("""COMPUTED_VALUE"""),"")</f>
        <v/>
      </c>
      <c r="AE352" t="str">
        <f ca="1">IFERROR(__xludf.DUMMYFUNCTION("""COMPUTED_VALUE"""),"")</f>
        <v/>
      </c>
    </row>
    <row r="353" spans="1:31" ht="12.75" x14ac:dyDescent="0.2">
      <c r="A353">
        <f ca="1">IFERROR(__xludf.DUMMYFUNCTION("""COMPUTED_VALUE"""),20574)</f>
        <v>20574</v>
      </c>
      <c r="B353" t="str">
        <f ca="1">IFERROR(__xludf.DUMMYFUNCTION("""COMPUTED_VALUE"""),"GOUVILLE SUR")</f>
        <v>GOUVILLE SUR</v>
      </c>
      <c r="C353" t="str">
        <f ca="1">IFERROR(__xludf.DUMMYFUNCTION("""COMPUTED_VALUE"""),"U Express")</f>
        <v>U Express</v>
      </c>
      <c r="D353" t="str">
        <f ca="1">IFERROR(__xludf.DUMMYFUNCTION("""COMPUTED_VALUE"""),"Coop U Enseigne NordOuest")</f>
        <v>Coop U Enseigne NordOuest</v>
      </c>
      <c r="E353">
        <f ca="1">IFERROR(__xludf.DUMMYFUNCTION("""COMPUTED_VALUE"""),50560)</f>
        <v>50560</v>
      </c>
      <c r="F353" t="str">
        <f ca="1">IFERROR(__xludf.DUMMYFUNCTION("""COMPUTED_VALUE"""),"RUE DU HAMEAU LAISNEY")</f>
        <v>RUE DU HAMEAU LAISNEY</v>
      </c>
      <c r="G353" t="str">
        <f ca="1">IFERROR(__xludf.DUMMYFUNCTION("""COMPUTED_VALUE"""),"02.33.76.79.54")</f>
        <v>02.33.76.79.54</v>
      </c>
      <c r="H353" t="str">
        <f ca="1">IFERROR(__xludf.DUMMYFUNCTION("""COMPUTED_VALUE"""),"ALLAIN Nicolas")</f>
        <v>ALLAIN Nicolas</v>
      </c>
      <c r="I353" t="str">
        <f ca="1">IFERROR(__xludf.DUMMYFUNCTION("""COMPUTED_VALUE"""),"nicolas.allain@systeme-u.fr")</f>
        <v>nicolas.allain@systeme-u.fr</v>
      </c>
      <c r="J353" t="str">
        <f ca="1">IFERROR(__xludf.DUMMYFUNCTION("""COMPUTED_VALUE"""),"AURELIE")</f>
        <v>AURELIE</v>
      </c>
      <c r="K353" t="str">
        <f ca="1">IFERROR(__xludf.DUMMYFUNCTION("""COMPUTED_VALUE"""),"")</f>
        <v/>
      </c>
      <c r="L353" t="str">
        <f ca="1">IFERROR(__xludf.DUMMYFUNCTION("""COMPUTED_VALUE"""),"")</f>
        <v/>
      </c>
      <c r="M353" t="str">
        <f ca="1">IFERROR(__xludf.DUMMYFUNCTION("""COMPUTED_VALUE"""),"99.Hors Périmetre")</f>
        <v>99.Hors Périmetre</v>
      </c>
      <c r="N353" t="str">
        <f ca="1">IFERROR(__xludf.DUMMYFUNCTION("""COMPUTED_VALUE"""),"")</f>
        <v/>
      </c>
      <c r="O353" t="str">
        <f ca="1">IFERROR(__xludf.DUMMYFUNCTION("""COMPUTED_VALUE"""),"")</f>
        <v/>
      </c>
      <c r="P353" t="str">
        <f ca="1">IFERROR(__xludf.DUMMYFUNCTION("""COMPUTED_VALUE"""),"")</f>
        <v/>
      </c>
      <c r="Q353" s="5" t="str">
        <f ca="1">IFERROR(__xludf.DUMMYFUNCTION("""COMPUTED_VALUE"""),"")</f>
        <v/>
      </c>
      <c r="R353" s="6" t="str">
        <f ca="1">IFERROR(__xludf.DUMMYFUNCTION("""COMPUTED_VALUE"""),"")</f>
        <v/>
      </c>
      <c r="S353" t="str">
        <f ca="1">IFERROR(__xludf.DUMMYFUNCTION("""COMPUTED_VALUE"""),"")</f>
        <v/>
      </c>
      <c r="T353" t="str">
        <f ca="1">IFERROR(__xludf.DUMMYFUNCTION("""COMPUTED_VALUE"""),"")</f>
        <v/>
      </c>
      <c r="U353" t="str">
        <f ca="1">IFERROR(__xludf.DUMMYFUNCTION("""COMPUTED_VALUE"""),"")</f>
        <v/>
      </c>
      <c r="V353" t="str">
        <f ca="1">IFERROR(__xludf.DUMMYFUNCTION("""COMPUTED_VALUE"""),"")</f>
        <v/>
      </c>
      <c r="W353" t="str">
        <f ca="1">IFERROR(__xludf.DUMMYFUNCTION("""COMPUTED_VALUE"""),"")</f>
        <v/>
      </c>
      <c r="X353" t="str">
        <f ca="1">IFERROR(__xludf.DUMMYFUNCTION("""COMPUTED_VALUE"""),"")</f>
        <v/>
      </c>
      <c r="Y353" t="str">
        <f ca="1">IFERROR(__xludf.DUMMYFUNCTION("""COMPUTED_VALUE"""),"")</f>
        <v/>
      </c>
      <c r="Z353" t="str">
        <f ca="1">IFERROR(__xludf.DUMMYFUNCTION("""COMPUTED_VALUE"""),"")</f>
        <v/>
      </c>
      <c r="AA353" t="str">
        <f ca="1">IFERROR(__xludf.DUMMYFUNCTION("""COMPUTED_VALUE"""),"Pas de commande")</f>
        <v>Pas de commande</v>
      </c>
      <c r="AB353" s="8" t="str">
        <f ca="1">IFERROR(__xludf.DUMMYFUNCTION("""COMPUTED_VALUE"""),"")</f>
        <v/>
      </c>
      <c r="AC353" s="8" t="str">
        <f ca="1">IFERROR(__xludf.DUMMYFUNCTION("""COMPUTED_VALUE"""),"")</f>
        <v/>
      </c>
      <c r="AD353" s="11" t="str">
        <f ca="1">IFERROR(__xludf.DUMMYFUNCTION("""COMPUTED_VALUE"""),"")</f>
        <v/>
      </c>
      <c r="AE353" t="str">
        <f ca="1">IFERROR(__xludf.DUMMYFUNCTION("""COMPUTED_VALUE"""),"")</f>
        <v/>
      </c>
    </row>
    <row r="354" spans="1:31" ht="12.75" x14ac:dyDescent="0.2">
      <c r="A354">
        <f ca="1">IFERROR(__xludf.DUMMYFUNCTION("""COMPUTED_VALUE"""),29520)</f>
        <v>29520</v>
      </c>
      <c r="B354" t="str">
        <f ca="1">IFERROR(__xludf.DUMMYFUNCTION("""COMPUTED_VALUE"""),"GRAND FORT PHILIPPE")</f>
        <v>GRAND FORT PHILIPPE</v>
      </c>
      <c r="C354" t="str">
        <f ca="1">IFERROR(__xludf.DUMMYFUNCTION("""COMPUTED_VALUE"""),"Super U")</f>
        <v>Super U</v>
      </c>
      <c r="D354" t="str">
        <f ca="1">IFERROR(__xludf.DUMMYFUNCTION("""COMPUTED_VALUE"""),"Coop U Enseigne NordOuest")</f>
        <v>Coop U Enseigne NordOuest</v>
      </c>
      <c r="E354">
        <f ca="1">IFERROR(__xludf.DUMMYFUNCTION("""COMPUTED_VALUE"""),59153)</f>
        <v>59153</v>
      </c>
      <c r="F354" t="str">
        <f ca="1">IFERROR(__xludf.DUMMYFUNCTION("""COMPUTED_VALUE"""),"AVENUE PIERRE PLEUVRET")</f>
        <v>AVENUE PIERRE PLEUVRET</v>
      </c>
      <c r="G354" t="str">
        <f ca="1">IFERROR(__xludf.DUMMYFUNCTION("""COMPUTED_VALUE"""),"03.28.23.80.90")</f>
        <v>03.28.23.80.90</v>
      </c>
      <c r="H354" t="str">
        <f ca="1">IFERROR(__xludf.DUMMYFUNCTION("""COMPUTED_VALUE"""),"BARRE Yves")</f>
        <v>BARRE Yves</v>
      </c>
      <c r="I354" t="str">
        <f ca="1">IFERROR(__xludf.DUMMYFUNCTION("""COMPUTED_VALUE"""),"yves.barre@systeme-u.fr")</f>
        <v>yves.barre@systeme-u.fr</v>
      </c>
      <c r="J354" t="str">
        <f ca="1">IFERROR(__xludf.DUMMYFUNCTION("""COMPUTED_VALUE""")," MERLEN YANNICK ")</f>
        <v xml:space="preserve"> MERLEN YANNICK </v>
      </c>
      <c r="K354" t="str">
        <f ca="1">IFERROR(__xludf.DUMMYFUNCTION("""COMPUTED_VALUE"""),"")</f>
        <v/>
      </c>
      <c r="L354" t="str">
        <f ca="1">IFERROR(__xludf.DUMMYFUNCTION("""COMPUTED_VALUE"""),"")</f>
        <v/>
      </c>
      <c r="M354" t="str">
        <f ca="1">IFERROR(__xludf.DUMMYFUNCTION("""COMPUTED_VALUE"""),"99.Hors Périmetre")</f>
        <v>99.Hors Périmetre</v>
      </c>
      <c r="N354" t="str">
        <f ca="1">IFERROR(__xludf.DUMMYFUNCTION("""COMPUTED_VALUE"""),"")</f>
        <v/>
      </c>
      <c r="O354" t="str">
        <f ca="1">IFERROR(__xludf.DUMMYFUNCTION("""COMPUTED_VALUE"""),"")</f>
        <v/>
      </c>
      <c r="P354" t="str">
        <f ca="1">IFERROR(__xludf.DUMMYFUNCTION("""COMPUTED_VALUE"""),"")</f>
        <v/>
      </c>
      <c r="Q354" s="5" t="str">
        <f ca="1">IFERROR(__xludf.DUMMYFUNCTION("""COMPUTED_VALUE"""),"")</f>
        <v/>
      </c>
      <c r="R354" s="6" t="str">
        <f ca="1">IFERROR(__xludf.DUMMYFUNCTION("""COMPUTED_VALUE"""),"")</f>
        <v/>
      </c>
      <c r="S354" t="str">
        <f ca="1">IFERROR(__xludf.DUMMYFUNCTION("""COMPUTED_VALUE"""),"")</f>
        <v/>
      </c>
      <c r="T354" t="str">
        <f ca="1">IFERROR(__xludf.DUMMYFUNCTION("""COMPUTED_VALUE"""),"")</f>
        <v/>
      </c>
      <c r="U354" t="str">
        <f ca="1">IFERROR(__xludf.DUMMYFUNCTION("""COMPUTED_VALUE"""),"")</f>
        <v/>
      </c>
      <c r="V354" t="str">
        <f ca="1">IFERROR(__xludf.DUMMYFUNCTION("""COMPUTED_VALUE"""),"")</f>
        <v/>
      </c>
      <c r="W354" t="str">
        <f ca="1">IFERROR(__xludf.DUMMYFUNCTION("""COMPUTED_VALUE"""),"")</f>
        <v/>
      </c>
      <c r="X354" t="str">
        <f ca="1">IFERROR(__xludf.DUMMYFUNCTION("""COMPUTED_VALUE"""),"")</f>
        <v/>
      </c>
      <c r="Y354" t="str">
        <f ca="1">IFERROR(__xludf.DUMMYFUNCTION("""COMPUTED_VALUE"""),"")</f>
        <v/>
      </c>
      <c r="Z354" t="str">
        <f ca="1">IFERROR(__xludf.DUMMYFUNCTION("""COMPUTED_VALUE"""),"")</f>
        <v/>
      </c>
      <c r="AA354" t="str">
        <f ca="1">IFERROR(__xludf.DUMMYFUNCTION("""COMPUTED_VALUE"""),"Pas de commande")</f>
        <v>Pas de commande</v>
      </c>
      <c r="AB354" s="8" t="str">
        <f ca="1">IFERROR(__xludf.DUMMYFUNCTION("""COMPUTED_VALUE"""),"")</f>
        <v/>
      </c>
      <c r="AC354" s="8" t="str">
        <f ca="1">IFERROR(__xludf.DUMMYFUNCTION("""COMPUTED_VALUE"""),"")</f>
        <v/>
      </c>
      <c r="AD354" s="11" t="str">
        <f ca="1">IFERROR(__xludf.DUMMYFUNCTION("""COMPUTED_VALUE"""),"")</f>
        <v/>
      </c>
      <c r="AE354" t="str">
        <f ca="1">IFERROR(__xludf.DUMMYFUNCTION("""COMPUTED_VALUE"""),"")</f>
        <v/>
      </c>
    </row>
    <row r="355" spans="1:31" ht="12.75" x14ac:dyDescent="0.2">
      <c r="A355">
        <f ca="1">IFERROR(__xludf.DUMMYFUNCTION("""COMPUTED_VALUE"""),39679)</f>
        <v>39679</v>
      </c>
      <c r="B355" t="str">
        <f ca="1">IFERROR(__xludf.DUMMYFUNCTION("""COMPUTED_VALUE"""),"GRAND-FOUGERAY")</f>
        <v>GRAND-FOUGERAY</v>
      </c>
      <c r="C355" t="str">
        <f ca="1">IFERROR(__xludf.DUMMYFUNCTION("""COMPUTED_VALUE"""),"U Express")</f>
        <v>U Express</v>
      </c>
      <c r="D355" t="str">
        <f ca="1">IFERROR(__xludf.DUMMYFUNCTION("""COMPUTED_VALUE"""),"Coop U Enseigne Ouest")</f>
        <v>Coop U Enseigne Ouest</v>
      </c>
      <c r="E355">
        <f ca="1">IFERROR(__xludf.DUMMYFUNCTION("""COMPUTED_VALUE"""),35390)</f>
        <v>35390</v>
      </c>
      <c r="F355" t="str">
        <f ca="1">IFERROR(__xludf.DUMMYFUNCTION("""COMPUTED_VALUE"""),"ZAC DES LIZARDAIS")</f>
        <v>ZAC DES LIZARDAIS</v>
      </c>
      <c r="G355" t="str">
        <f ca="1">IFERROR(__xludf.DUMMYFUNCTION("""COMPUTED_VALUE"""),"02.99.08.42.90")</f>
        <v>02.99.08.42.90</v>
      </c>
      <c r="H355" t="str">
        <f ca="1">IFERROR(__xludf.DUMMYFUNCTION("""COMPUTED_VALUE"""),"GOURDON Nathalie")</f>
        <v>GOURDON Nathalie</v>
      </c>
      <c r="I355" t="str">
        <f ca="1">IFERROR(__xludf.DUMMYFUNCTION("""COMPUTED_VALUE"""),"nathalie.gourdon@systeme-u.fr")</f>
        <v>nathalie.gourdon@systeme-u.fr</v>
      </c>
      <c r="J355" t="str">
        <f ca="1">IFERROR(__xludf.DUMMYFUNCTION("""COMPUTED_VALUE"""),"GOURDON Cyril")</f>
        <v>GOURDON Cyril</v>
      </c>
      <c r="K355" t="str">
        <f ca="1">IFERROR(__xludf.DUMMYFUNCTION("""COMPUTED_VALUE"""),"cyril.gourdon@systeme-u.fr")</f>
        <v>cyril.gourdon@systeme-u.fr</v>
      </c>
      <c r="L355" t="str">
        <f ca="1">IFERROR(__xludf.DUMMYFUNCTION("""COMPUTED_VALUE"""),"")</f>
        <v/>
      </c>
      <c r="M355" t="str">
        <f ca="1">IFERROR(__xludf.DUMMYFUNCTION("""COMPUTED_VALUE"""),"99.Hors Périmetre")</f>
        <v>99.Hors Périmetre</v>
      </c>
      <c r="N355" t="str">
        <f ca="1">IFERROR(__xludf.DUMMYFUNCTION("""COMPUTED_VALUE"""),"")</f>
        <v/>
      </c>
      <c r="O355" t="str">
        <f ca="1">IFERROR(__xludf.DUMMYFUNCTION("""COMPUTED_VALUE"""),"")</f>
        <v/>
      </c>
      <c r="P355" t="str">
        <f ca="1">IFERROR(__xludf.DUMMYFUNCTION("""COMPUTED_VALUE"""),"")</f>
        <v/>
      </c>
      <c r="Q355" s="5" t="str">
        <f ca="1">IFERROR(__xludf.DUMMYFUNCTION("""COMPUTED_VALUE"""),"")</f>
        <v/>
      </c>
      <c r="R355" s="6" t="str">
        <f ca="1">IFERROR(__xludf.DUMMYFUNCTION("""COMPUTED_VALUE"""),"")</f>
        <v/>
      </c>
      <c r="S355" t="str">
        <f ca="1">IFERROR(__xludf.DUMMYFUNCTION("""COMPUTED_VALUE"""),"")</f>
        <v/>
      </c>
      <c r="T355" t="str">
        <f ca="1">IFERROR(__xludf.DUMMYFUNCTION("""COMPUTED_VALUE"""),"")</f>
        <v/>
      </c>
      <c r="U355" t="str">
        <f ca="1">IFERROR(__xludf.DUMMYFUNCTION("""COMPUTED_VALUE"""),"")</f>
        <v/>
      </c>
      <c r="V355" t="str">
        <f ca="1">IFERROR(__xludf.DUMMYFUNCTION("""COMPUTED_VALUE"""),"")</f>
        <v/>
      </c>
      <c r="W355" t="str">
        <f ca="1">IFERROR(__xludf.DUMMYFUNCTION("""COMPUTED_VALUE"""),"")</f>
        <v/>
      </c>
      <c r="X355" t="str">
        <f ca="1">IFERROR(__xludf.DUMMYFUNCTION("""COMPUTED_VALUE"""),"")</f>
        <v/>
      </c>
      <c r="Y355" t="str">
        <f ca="1">IFERROR(__xludf.DUMMYFUNCTION("""COMPUTED_VALUE"""),"")</f>
        <v/>
      </c>
      <c r="Z355" t="str">
        <f ca="1">IFERROR(__xludf.DUMMYFUNCTION("""COMPUTED_VALUE"""),"")</f>
        <v/>
      </c>
      <c r="AA355" t="str">
        <f ca="1">IFERROR(__xludf.DUMMYFUNCTION("""COMPUTED_VALUE"""),"Pas de commande")</f>
        <v>Pas de commande</v>
      </c>
      <c r="AB355" s="8" t="str">
        <f ca="1">IFERROR(__xludf.DUMMYFUNCTION("""COMPUTED_VALUE"""),"")</f>
        <v/>
      </c>
      <c r="AC355" s="8" t="str">
        <f ca="1">IFERROR(__xludf.DUMMYFUNCTION("""COMPUTED_VALUE"""),"")</f>
        <v/>
      </c>
      <c r="AD355" s="11" t="str">
        <f ca="1">IFERROR(__xludf.DUMMYFUNCTION("""COMPUTED_VALUE"""),"")</f>
        <v/>
      </c>
      <c r="AE355" t="str">
        <f ca="1">IFERROR(__xludf.DUMMYFUNCTION("""COMPUTED_VALUE"""),"")</f>
        <v/>
      </c>
    </row>
    <row r="356" spans="1:31" ht="12.75" x14ac:dyDescent="0.2">
      <c r="A356">
        <f ca="1">IFERROR(__xludf.DUMMYFUNCTION("""COMPUTED_VALUE"""),35991)</f>
        <v>35991</v>
      </c>
      <c r="B356" t="str">
        <f ca="1">IFERROR(__xludf.DUMMYFUNCTION("""COMPUTED_VALUE"""),"GRAND-VILLAGE")</f>
        <v>GRAND-VILLAGE</v>
      </c>
      <c r="C356" t="str">
        <f ca="1">IFERROR(__xludf.DUMMYFUNCTION("""COMPUTED_VALUE"""),"U Express")</f>
        <v>U Express</v>
      </c>
      <c r="D356" t="str">
        <f ca="1">IFERROR(__xludf.DUMMYFUNCTION("""COMPUTED_VALUE"""),"Coop U Enseigne Ouest")</f>
        <v>Coop U Enseigne Ouest</v>
      </c>
      <c r="E356">
        <f ca="1">IFERROR(__xludf.DUMMYFUNCTION("""COMPUTED_VALUE"""),17370)</f>
        <v>17370</v>
      </c>
      <c r="F356" t="str">
        <f ca="1">IFERROR(__xludf.DUMMYFUNCTION("""COMPUTED_VALUE"""),"CENTRE COMMERCIAL GRAND VILLAGE")</f>
        <v>CENTRE COMMERCIAL GRAND VILLAGE</v>
      </c>
      <c r="G356" t="str">
        <f ca="1">IFERROR(__xludf.DUMMYFUNCTION("""COMPUTED_VALUE"""),"05.46.47.50.11")</f>
        <v>05.46.47.50.11</v>
      </c>
      <c r="H356" t="str">
        <f ca="1">IFERROR(__xludf.DUMMYFUNCTION("""COMPUTED_VALUE"""),"VAILLANT Pascal")</f>
        <v>VAILLANT Pascal</v>
      </c>
      <c r="I356" t="str">
        <f ca="1">IFERROR(__xludf.DUMMYFUNCTION("""COMPUTED_VALUE"""),"pascal.vaillant@systeme-u.fr")</f>
        <v>pascal.vaillant@systeme-u.fr</v>
      </c>
      <c r="J356" t="str">
        <f ca="1">IFERROR(__xludf.DUMMYFUNCTION("""COMPUTED_VALUE"""),"")</f>
        <v/>
      </c>
      <c r="K356" t="str">
        <f ca="1">IFERROR(__xludf.DUMMYFUNCTION("""COMPUTED_VALUE"""),"")</f>
        <v/>
      </c>
      <c r="L356" t="str">
        <f ca="1">IFERROR(__xludf.DUMMYFUNCTION("""COMPUTED_VALUE"""),"")</f>
        <v/>
      </c>
      <c r="M356" t="str">
        <f ca="1">IFERROR(__xludf.DUMMYFUNCTION("""COMPUTED_VALUE"""),"99.Hors Périmetre")</f>
        <v>99.Hors Périmetre</v>
      </c>
      <c r="N356" t="str">
        <f ca="1">IFERROR(__xludf.DUMMYFUNCTION("""COMPUTED_VALUE"""),"")</f>
        <v/>
      </c>
      <c r="O356" t="str">
        <f ca="1">IFERROR(__xludf.DUMMYFUNCTION("""COMPUTED_VALUE"""),"")</f>
        <v/>
      </c>
      <c r="P356" t="str">
        <f ca="1">IFERROR(__xludf.DUMMYFUNCTION("""COMPUTED_VALUE"""),"")</f>
        <v/>
      </c>
      <c r="Q356" s="5" t="str">
        <f ca="1">IFERROR(__xludf.DUMMYFUNCTION("""COMPUTED_VALUE"""),"")</f>
        <v/>
      </c>
      <c r="R356" s="6" t="str">
        <f ca="1">IFERROR(__xludf.DUMMYFUNCTION("""COMPUTED_VALUE"""),"")</f>
        <v/>
      </c>
      <c r="S356" t="str">
        <f ca="1">IFERROR(__xludf.DUMMYFUNCTION("""COMPUTED_VALUE"""),"")</f>
        <v/>
      </c>
      <c r="T356" t="str">
        <f ca="1">IFERROR(__xludf.DUMMYFUNCTION("""COMPUTED_VALUE"""),"")</f>
        <v/>
      </c>
      <c r="U356" t="str">
        <f ca="1">IFERROR(__xludf.DUMMYFUNCTION("""COMPUTED_VALUE"""),"")</f>
        <v/>
      </c>
      <c r="V356" t="str">
        <f ca="1">IFERROR(__xludf.DUMMYFUNCTION("""COMPUTED_VALUE"""),"")</f>
        <v/>
      </c>
      <c r="W356" t="str">
        <f ca="1">IFERROR(__xludf.DUMMYFUNCTION("""COMPUTED_VALUE"""),"")</f>
        <v/>
      </c>
      <c r="X356" t="str">
        <f ca="1">IFERROR(__xludf.DUMMYFUNCTION("""COMPUTED_VALUE"""),"")</f>
        <v/>
      </c>
      <c r="Y356" t="str">
        <f ca="1">IFERROR(__xludf.DUMMYFUNCTION("""COMPUTED_VALUE"""),"")</f>
        <v/>
      </c>
      <c r="Z356" t="str">
        <f ca="1">IFERROR(__xludf.DUMMYFUNCTION("""COMPUTED_VALUE"""),"")</f>
        <v/>
      </c>
      <c r="AA356" t="str">
        <f ca="1">IFERROR(__xludf.DUMMYFUNCTION("""COMPUTED_VALUE"""),"Pas de commande")</f>
        <v>Pas de commande</v>
      </c>
      <c r="AB356" s="8" t="str">
        <f ca="1">IFERROR(__xludf.DUMMYFUNCTION("""COMPUTED_VALUE"""),"")</f>
        <v/>
      </c>
      <c r="AC356" s="8" t="str">
        <f ca="1">IFERROR(__xludf.DUMMYFUNCTION("""COMPUTED_VALUE"""),"")</f>
        <v/>
      </c>
      <c r="AD356" s="11" t="str">
        <f ca="1">IFERROR(__xludf.DUMMYFUNCTION("""COMPUTED_VALUE"""),"")</f>
        <v/>
      </c>
      <c r="AE356" t="str">
        <f ca="1">IFERROR(__xludf.DUMMYFUNCTION("""COMPUTED_VALUE"""),"")</f>
        <v/>
      </c>
    </row>
    <row r="357" spans="1:31" ht="12.75" x14ac:dyDescent="0.2">
      <c r="A357">
        <f ca="1">IFERROR(__xludf.DUMMYFUNCTION("""COMPUTED_VALUE"""),91271)</f>
        <v>91271</v>
      </c>
      <c r="B357" t="str">
        <f ca="1">IFERROR(__xludf.DUMMYFUNCTION("""COMPUTED_VALUE"""),"GRANS")</f>
        <v>GRANS</v>
      </c>
      <c r="C357" t="str">
        <f ca="1">IFERROR(__xludf.DUMMYFUNCTION("""COMPUTED_VALUE"""),"U Express")</f>
        <v>U Express</v>
      </c>
      <c r="D357" t="str">
        <f ca="1">IFERROR(__xludf.DUMMYFUNCTION("""COMPUTED_VALUE"""),"Coop MISTRAL")</f>
        <v>Coop MISTRAL</v>
      </c>
      <c r="E357">
        <f ca="1">IFERROR(__xludf.DUMMYFUNCTION("""COMPUTED_VALUE"""),13450)</f>
        <v>13450</v>
      </c>
      <c r="F357" t="str">
        <f ca="1">IFERROR(__xludf.DUMMYFUNCTION("""COMPUTED_VALUE"""),"IMPASSE LES CHÊNES VERTS")</f>
        <v>IMPASSE LES CHÊNES VERTS</v>
      </c>
      <c r="G357" t="str">
        <f ca="1">IFERROR(__xludf.DUMMYFUNCTION("""COMPUTED_VALUE"""),"04.84.49.26.46")</f>
        <v>04.84.49.26.46</v>
      </c>
      <c r="H357" t="str">
        <f ca="1">IFERROR(__xludf.DUMMYFUNCTION("""COMPUTED_VALUE"""),"VINET CHRISTOPHE")</f>
        <v>VINET CHRISTOPHE</v>
      </c>
      <c r="I357" t="str">
        <f ca="1">IFERROR(__xludf.DUMMYFUNCTION("""COMPUTED_VALUE"""),"uexpress.grans@mistral-u.fr")</f>
        <v>uexpress.grans@mistral-u.fr</v>
      </c>
      <c r="J357" t="str">
        <f ca="1">IFERROR(__xludf.DUMMYFUNCTION("""COMPUTED_VALUE"""),"")</f>
        <v/>
      </c>
      <c r="K357" t="str">
        <f ca="1">IFERROR(__xludf.DUMMYFUNCTION("""COMPUTED_VALUE"""),"")</f>
        <v/>
      </c>
      <c r="L357" t="str">
        <f ca="1">IFERROR(__xludf.DUMMYFUNCTION("""COMPUTED_VALUE"""),"")</f>
        <v/>
      </c>
      <c r="M357" t="str">
        <f ca="1">IFERROR(__xludf.DUMMYFUNCTION("""COMPUTED_VALUE"""),"99.Hors Périmetre")</f>
        <v>99.Hors Périmetre</v>
      </c>
      <c r="N357" t="str">
        <f ca="1">IFERROR(__xludf.DUMMYFUNCTION("""COMPUTED_VALUE"""),"")</f>
        <v/>
      </c>
      <c r="O357" t="str">
        <f ca="1">IFERROR(__xludf.DUMMYFUNCTION("""COMPUTED_VALUE"""),"")</f>
        <v/>
      </c>
      <c r="P357" t="str">
        <f ca="1">IFERROR(__xludf.DUMMYFUNCTION("""COMPUTED_VALUE"""),"")</f>
        <v/>
      </c>
      <c r="Q357" s="5" t="str">
        <f ca="1">IFERROR(__xludf.DUMMYFUNCTION("""COMPUTED_VALUE"""),"")</f>
        <v/>
      </c>
      <c r="R357" s="6" t="str">
        <f ca="1">IFERROR(__xludf.DUMMYFUNCTION("""COMPUTED_VALUE"""),"")</f>
        <v/>
      </c>
      <c r="S357" t="str">
        <f ca="1">IFERROR(__xludf.DUMMYFUNCTION("""COMPUTED_VALUE"""),"")</f>
        <v/>
      </c>
      <c r="T357" t="str">
        <f ca="1">IFERROR(__xludf.DUMMYFUNCTION("""COMPUTED_VALUE"""),"")</f>
        <v/>
      </c>
      <c r="U357" t="str">
        <f ca="1">IFERROR(__xludf.DUMMYFUNCTION("""COMPUTED_VALUE"""),"")</f>
        <v/>
      </c>
      <c r="V357" t="str">
        <f ca="1">IFERROR(__xludf.DUMMYFUNCTION("""COMPUTED_VALUE"""),"")</f>
        <v/>
      </c>
      <c r="W357" t="str">
        <f ca="1">IFERROR(__xludf.DUMMYFUNCTION("""COMPUTED_VALUE"""),"")</f>
        <v/>
      </c>
      <c r="X357" t="str">
        <f ca="1">IFERROR(__xludf.DUMMYFUNCTION("""COMPUTED_VALUE"""),"")</f>
        <v/>
      </c>
      <c r="Y357" t="str">
        <f ca="1">IFERROR(__xludf.DUMMYFUNCTION("""COMPUTED_VALUE"""),"")</f>
        <v/>
      </c>
      <c r="Z357" t="str">
        <f ca="1">IFERROR(__xludf.DUMMYFUNCTION("""COMPUTED_VALUE"""),"")</f>
        <v/>
      </c>
      <c r="AA357" t="str">
        <f ca="1">IFERROR(__xludf.DUMMYFUNCTION("""COMPUTED_VALUE"""),"Pas de commande")</f>
        <v>Pas de commande</v>
      </c>
      <c r="AB357" s="8" t="str">
        <f ca="1">IFERROR(__xludf.DUMMYFUNCTION("""COMPUTED_VALUE"""),"")</f>
        <v/>
      </c>
      <c r="AC357" s="8" t="str">
        <f ca="1">IFERROR(__xludf.DUMMYFUNCTION("""COMPUTED_VALUE"""),"")</f>
        <v/>
      </c>
      <c r="AD357" s="11" t="str">
        <f ca="1">IFERROR(__xludf.DUMMYFUNCTION("""COMPUTED_VALUE"""),"")</f>
        <v/>
      </c>
      <c r="AE357" t="str">
        <f ca="1">IFERROR(__xludf.DUMMYFUNCTION("""COMPUTED_VALUE"""),"")</f>
        <v/>
      </c>
    </row>
    <row r="358" spans="1:31" ht="12.75" x14ac:dyDescent="0.2">
      <c r="A358">
        <f ca="1">IFERROR(__xludf.DUMMYFUNCTION("""COMPUTED_VALUE"""),90615)</f>
        <v>90615</v>
      </c>
      <c r="B358" t="str">
        <f ca="1">IFERROR(__xludf.DUMMYFUNCTION("""COMPUTED_VALUE"""),"GRAVESON")</f>
        <v>GRAVESON</v>
      </c>
      <c r="C358" t="str">
        <f ca="1">IFERROR(__xludf.DUMMYFUNCTION("""COMPUTED_VALUE"""),"U Express")</f>
        <v>U Express</v>
      </c>
      <c r="D358" t="str">
        <f ca="1">IFERROR(__xludf.DUMMYFUNCTION("""COMPUTED_VALUE"""),"Coop MISTRAL")</f>
        <v>Coop MISTRAL</v>
      </c>
      <c r="E358">
        <f ca="1">IFERROR(__xludf.DUMMYFUNCTION("""COMPUTED_VALUE"""),13690)</f>
        <v>13690</v>
      </c>
      <c r="F358" t="str">
        <f ca="1">IFERROR(__xludf.DUMMYFUNCTION("""COMPUTED_VALUE"""),"PLACE DU MARCHE")</f>
        <v>PLACE DU MARCHE</v>
      </c>
      <c r="G358" t="str">
        <f ca="1">IFERROR(__xludf.DUMMYFUNCTION("""COMPUTED_VALUE"""),"04.90.95.83.50")</f>
        <v>04.90.95.83.50</v>
      </c>
      <c r="H358" t="str">
        <f ca="1">IFERROR(__xludf.DUMMYFUNCTION("""COMPUTED_VALUE"""),"ROCHETTE Lionel")</f>
        <v>ROCHETTE Lionel</v>
      </c>
      <c r="I358" t="str">
        <f ca="1">IFERROR(__xludf.DUMMYFUNCTION("""COMPUTED_VALUE"""),"uexpress.graveson@mistral-u.fr")</f>
        <v>uexpress.graveson@mistral-u.fr</v>
      </c>
      <c r="J358" t="str">
        <f ca="1">IFERROR(__xludf.DUMMYFUNCTION("""COMPUTED_VALUE"""),"")</f>
        <v/>
      </c>
      <c r="K358" t="str">
        <f ca="1">IFERROR(__xludf.DUMMYFUNCTION("""COMPUTED_VALUE"""),"delphine.damian@lemistral.fr,helene.mina@lemistral.fr")</f>
        <v>delphine.damian@lemistral.fr,helene.mina@lemistral.fr</v>
      </c>
      <c r="L358" t="str">
        <f ca="1">IFERROR(__xludf.DUMMYFUNCTION("""COMPUTED_VALUE"""),"")</f>
        <v/>
      </c>
      <c r="M358" t="str">
        <f ca="1">IFERROR(__xludf.DUMMYFUNCTION("""COMPUTED_VALUE"""),"99.Hors Périmetre")</f>
        <v>99.Hors Périmetre</v>
      </c>
      <c r="N358" t="str">
        <f ca="1">IFERROR(__xludf.DUMMYFUNCTION("""COMPUTED_VALUE"""),"")</f>
        <v/>
      </c>
      <c r="O358" t="str">
        <f ca="1">IFERROR(__xludf.DUMMYFUNCTION("""COMPUTED_VALUE"""),"")</f>
        <v/>
      </c>
      <c r="P358" t="str">
        <f ca="1">IFERROR(__xludf.DUMMYFUNCTION("""COMPUTED_VALUE"""),"")</f>
        <v/>
      </c>
      <c r="Q358" s="5" t="str">
        <f ca="1">IFERROR(__xludf.DUMMYFUNCTION("""COMPUTED_VALUE"""),"")</f>
        <v/>
      </c>
      <c r="R358" s="6" t="str">
        <f ca="1">IFERROR(__xludf.DUMMYFUNCTION("""COMPUTED_VALUE"""),"")</f>
        <v/>
      </c>
      <c r="S358" t="str">
        <f ca="1">IFERROR(__xludf.DUMMYFUNCTION("""COMPUTED_VALUE"""),"")</f>
        <v/>
      </c>
      <c r="T358" t="str">
        <f ca="1">IFERROR(__xludf.DUMMYFUNCTION("""COMPUTED_VALUE"""),"")</f>
        <v/>
      </c>
      <c r="U358" t="str">
        <f ca="1">IFERROR(__xludf.DUMMYFUNCTION("""COMPUTED_VALUE"""),"")</f>
        <v/>
      </c>
      <c r="V358" t="str">
        <f ca="1">IFERROR(__xludf.DUMMYFUNCTION("""COMPUTED_VALUE"""),"")</f>
        <v/>
      </c>
      <c r="W358" t="str">
        <f ca="1">IFERROR(__xludf.DUMMYFUNCTION("""COMPUTED_VALUE"""),"")</f>
        <v/>
      </c>
      <c r="X358" t="str">
        <f ca="1">IFERROR(__xludf.DUMMYFUNCTION("""COMPUTED_VALUE"""),"")</f>
        <v/>
      </c>
      <c r="Y358" t="str">
        <f ca="1">IFERROR(__xludf.DUMMYFUNCTION("""COMPUTED_VALUE"""),"")</f>
        <v/>
      </c>
      <c r="Z358" t="str">
        <f ca="1">IFERROR(__xludf.DUMMYFUNCTION("""COMPUTED_VALUE"""),"")</f>
        <v/>
      </c>
      <c r="AA358" t="str">
        <f ca="1">IFERROR(__xludf.DUMMYFUNCTION("""COMPUTED_VALUE"""),"Pas de commande")</f>
        <v>Pas de commande</v>
      </c>
      <c r="AB358" s="8" t="str">
        <f ca="1">IFERROR(__xludf.DUMMYFUNCTION("""COMPUTED_VALUE"""),"")</f>
        <v/>
      </c>
      <c r="AC358" s="8" t="str">
        <f ca="1">IFERROR(__xludf.DUMMYFUNCTION("""COMPUTED_VALUE"""),"")</f>
        <v/>
      </c>
      <c r="AD358" s="11" t="str">
        <f ca="1">IFERROR(__xludf.DUMMYFUNCTION("""COMPUTED_VALUE"""),"")</f>
        <v/>
      </c>
      <c r="AE358" t="str">
        <f ca="1">IFERROR(__xludf.DUMMYFUNCTION("""COMPUTED_VALUE"""),"")</f>
        <v/>
      </c>
    </row>
    <row r="359" spans="1:31" ht="12.75" x14ac:dyDescent="0.2">
      <c r="A359">
        <f ca="1">IFERROR(__xludf.DUMMYFUNCTION("""COMPUTED_VALUE"""),95280)</f>
        <v>95280</v>
      </c>
      <c r="B359" t="str">
        <f ca="1">IFERROR(__xludf.DUMMYFUNCTION("""COMPUTED_VALUE"""),"GRENADE S/GARONNE")</f>
        <v>GRENADE S/GARONNE</v>
      </c>
      <c r="C359" t="str">
        <f ca="1">IFERROR(__xludf.DUMMYFUNCTION("""COMPUTED_VALUE"""),"Super U")</f>
        <v>Super U</v>
      </c>
      <c r="D359" t="str">
        <f ca="1">IFERROR(__xludf.DUMMYFUNCTION("""COMPUTED_VALUE"""),"Coop U Enseigne Sud")</f>
        <v>Coop U Enseigne Sud</v>
      </c>
      <c r="E359">
        <f ca="1">IFERROR(__xludf.DUMMYFUNCTION("""COMPUTED_VALUE"""),31330)</f>
        <v>31330</v>
      </c>
      <c r="F359" t="str">
        <f ca="1">IFERROR(__xludf.DUMMYFUNCTION("""COMPUTED_VALUE"""),"AVENUE PRESIDENT KENNEDY")</f>
        <v>AVENUE PRESIDENT KENNEDY</v>
      </c>
      <c r="G359" t="str">
        <f ca="1">IFERROR(__xludf.DUMMYFUNCTION("""COMPUTED_VALUE"""),"05.61.82.71.16")</f>
        <v>05.61.82.71.16</v>
      </c>
      <c r="H359" t="str">
        <f ca="1">IFERROR(__xludf.DUMMYFUNCTION("""COMPUTED_VALUE"""),"LESOUDIER Ludovic")</f>
        <v>LESOUDIER Ludovic</v>
      </c>
      <c r="I359" t="str">
        <f ca="1">IFERROR(__xludf.DUMMYFUNCTION("""COMPUTED_VALUE"""),"ludovic.lesoudier@systeme-u.fr")</f>
        <v>ludovic.lesoudier@systeme-u.fr</v>
      </c>
      <c r="J359" t="str">
        <f ca="1">IFERROR(__xludf.DUMMYFUNCTION("""COMPUTED_VALUE"""),"SOTY AURORE")</f>
        <v>SOTY AURORE</v>
      </c>
      <c r="K359" t="str">
        <f ca="1">IFERROR(__xludf.DUMMYFUNCTION("""COMPUTED_VALUE"""),"superu.grenadesurgaronne.informatique@systeme-u.fr")</f>
        <v>superu.grenadesurgaronne.informatique@systeme-u.fr</v>
      </c>
      <c r="L359" t="str">
        <f ca="1">IFERROR(__xludf.DUMMYFUNCTION("""COMPUTED_VALUE"""),"Standard")</f>
        <v>Standard</v>
      </c>
      <c r="M359" t="str">
        <f ca="1">IFERROR(__xludf.DUMMYFUNCTION("""COMPUTED_VALUE"""),"0. Non démarré")</f>
        <v>0. Non démarré</v>
      </c>
      <c r="N359" t="str">
        <f ca="1">IFERROR(__xludf.DUMMYFUNCTION("""COMPUTED_VALUE"""),"")</f>
        <v/>
      </c>
      <c r="O359" t="str">
        <f ca="1">IFERROR(__xludf.DUMMYFUNCTION("""COMPUTED_VALUE"""),"")</f>
        <v/>
      </c>
      <c r="P359" t="str">
        <f ca="1">IFERROR(__xludf.DUMMYFUNCTION("""COMPUTED_VALUE"""),"")</f>
        <v/>
      </c>
      <c r="Q359" s="5" t="str">
        <f ca="1">IFERROR(__xludf.DUMMYFUNCTION("""COMPUTED_VALUE"""),"")</f>
        <v/>
      </c>
      <c r="R359" s="6" t="str">
        <f ca="1">IFERROR(__xludf.DUMMYFUNCTION("""COMPUTED_VALUE"""),"")</f>
        <v/>
      </c>
      <c r="S359" t="str">
        <f ca="1">IFERROR(__xludf.DUMMYFUNCTION("""COMPUTED_VALUE"""),"")</f>
        <v/>
      </c>
      <c r="T359" t="str">
        <f ca="1">IFERROR(__xludf.DUMMYFUNCTION("""COMPUTED_VALUE"""),"")</f>
        <v/>
      </c>
      <c r="U359" t="str">
        <f ca="1">IFERROR(__xludf.DUMMYFUNCTION("""COMPUTED_VALUE"""),"")</f>
        <v/>
      </c>
      <c r="V359" t="str">
        <f ca="1">IFERROR(__xludf.DUMMYFUNCTION("""COMPUTED_VALUE"""),"")</f>
        <v/>
      </c>
      <c r="W359" t="str">
        <f ca="1">IFERROR(__xludf.DUMMYFUNCTION("""COMPUTED_VALUE"""),"R5")</f>
        <v>R5</v>
      </c>
      <c r="X359" t="str">
        <f ca="1">IFERROR(__xludf.DUMMYFUNCTION("""COMPUTED_VALUE"""),"Pricer")</f>
        <v>Pricer</v>
      </c>
      <c r="Y359" t="str">
        <f ca="1">IFERROR(__xludf.DUMMYFUNCTION("""COMPUTED_VALUE"""),"")</f>
        <v/>
      </c>
      <c r="Z359" t="str">
        <f ca="1">IFERROR(__xludf.DUMMYFUNCTION("""COMPUTED_VALUE"""),"")</f>
        <v/>
      </c>
      <c r="AA359" t="str">
        <f ca="1">IFERROR(__xludf.DUMMYFUNCTION("""COMPUTED_VALUE"""),"Pas de commande")</f>
        <v>Pas de commande</v>
      </c>
      <c r="AB359" s="8" t="str">
        <f ca="1">IFERROR(__xludf.DUMMYFUNCTION("""COMPUTED_VALUE"""),"")</f>
        <v/>
      </c>
      <c r="AC359" s="8" t="str">
        <f ca="1">IFERROR(__xludf.DUMMYFUNCTION("""COMPUTED_VALUE"""),"")</f>
        <v/>
      </c>
      <c r="AD359" s="11" t="str">
        <f ca="1">IFERROR(__xludf.DUMMYFUNCTION("""COMPUTED_VALUE"""),"")</f>
        <v/>
      </c>
      <c r="AE359" t="str">
        <f ca="1">IFERROR(__xludf.DUMMYFUNCTION("""COMPUTED_VALUE"""),"")</f>
        <v/>
      </c>
    </row>
    <row r="360" spans="1:31" ht="12.75" x14ac:dyDescent="0.2">
      <c r="A360">
        <f ca="1">IFERROR(__xludf.DUMMYFUNCTION("""COMPUTED_VALUE"""),66980)</f>
        <v>66980</v>
      </c>
      <c r="B360" t="str">
        <f ca="1">IFERROR(__xludf.DUMMYFUNCTION("""COMPUTED_VALUE"""),"GRENOBLE VAILLANT")</f>
        <v>GRENOBLE VAILLANT</v>
      </c>
      <c r="C360" t="str">
        <f ca="1">IFERROR(__xludf.DUMMYFUNCTION("""COMPUTED_VALUE"""),"Super U")</f>
        <v>Super U</v>
      </c>
      <c r="D360" t="str">
        <f ca="1">IFERROR(__xludf.DUMMYFUNCTION("""COMPUTED_VALUE"""),"Coop U Enseigne Est")</f>
        <v>Coop U Enseigne Est</v>
      </c>
      <c r="E360">
        <f ca="1">IFERROR(__xludf.DUMMYFUNCTION("""COMPUTED_VALUE"""),38100)</f>
        <v>38100</v>
      </c>
      <c r="F360" t="str">
        <f ca="1">IFERROR(__xludf.DUMMYFUNCTION("""COMPUTED_VALUE"""),"10 RUE EDOUARD VAILLANT")</f>
        <v>10 RUE EDOUARD VAILLANT</v>
      </c>
      <c r="G360" t="str">
        <f ca="1">IFERROR(__xludf.DUMMYFUNCTION("""COMPUTED_VALUE"""),"04.76.43.31.73")</f>
        <v>04.76.43.31.73</v>
      </c>
      <c r="H360" t="str">
        <f ca="1">IFERROR(__xludf.DUMMYFUNCTION("""COMPUTED_VALUE"""),"BALAYE David")</f>
        <v>BALAYE David</v>
      </c>
      <c r="I360" t="str">
        <f ca="1">IFERROR(__xludf.DUMMYFUNCTION("""COMPUTED_VALUE"""),"david.balaye@systeme-u.fr")</f>
        <v>david.balaye@systeme-u.fr</v>
      </c>
      <c r="J360" t="str">
        <f ca="1">IFERROR(__xludf.DUMMYFUNCTION("""COMPUTED_VALUE"""),"")</f>
        <v/>
      </c>
      <c r="K360" t="str">
        <f ca="1">IFERROR(__xludf.DUMMYFUNCTION("""COMPUTED_VALUE"""),"")</f>
        <v/>
      </c>
      <c r="L360" t="str">
        <f ca="1">IFERROR(__xludf.DUMMYFUNCTION("""COMPUTED_VALUE"""),"")</f>
        <v/>
      </c>
      <c r="M360" t="str">
        <f ca="1">IFERROR(__xludf.DUMMYFUNCTION("""COMPUTED_VALUE"""),"99.Hors Périmetre")</f>
        <v>99.Hors Périmetre</v>
      </c>
      <c r="N360" t="str">
        <f ca="1">IFERROR(__xludf.DUMMYFUNCTION("""COMPUTED_VALUE"""),"")</f>
        <v/>
      </c>
      <c r="O360" t="str">
        <f ca="1">IFERROR(__xludf.DUMMYFUNCTION("""COMPUTED_VALUE"""),"")</f>
        <v/>
      </c>
      <c r="P360" t="str">
        <f ca="1">IFERROR(__xludf.DUMMYFUNCTION("""COMPUTED_VALUE"""),"")</f>
        <v/>
      </c>
      <c r="Q360" s="5" t="str">
        <f ca="1">IFERROR(__xludf.DUMMYFUNCTION("""COMPUTED_VALUE"""),"")</f>
        <v/>
      </c>
      <c r="R360" s="6" t="str">
        <f ca="1">IFERROR(__xludf.DUMMYFUNCTION("""COMPUTED_VALUE"""),"")</f>
        <v/>
      </c>
      <c r="S360" t="str">
        <f ca="1">IFERROR(__xludf.DUMMYFUNCTION("""COMPUTED_VALUE"""),"")</f>
        <v/>
      </c>
      <c r="T360" t="str">
        <f ca="1">IFERROR(__xludf.DUMMYFUNCTION("""COMPUTED_VALUE"""),"")</f>
        <v/>
      </c>
      <c r="U360" t="str">
        <f ca="1">IFERROR(__xludf.DUMMYFUNCTION("""COMPUTED_VALUE"""),"")</f>
        <v/>
      </c>
      <c r="V360" t="str">
        <f ca="1">IFERROR(__xludf.DUMMYFUNCTION("""COMPUTED_VALUE"""),"")</f>
        <v/>
      </c>
      <c r="W360" t="str">
        <f ca="1">IFERROR(__xludf.DUMMYFUNCTION("""COMPUTED_VALUE"""),"")</f>
        <v/>
      </c>
      <c r="X360" t="str">
        <f ca="1">IFERROR(__xludf.DUMMYFUNCTION("""COMPUTED_VALUE"""),"")</f>
        <v/>
      </c>
      <c r="Y360" t="str">
        <f ca="1">IFERROR(__xludf.DUMMYFUNCTION("""COMPUTED_VALUE"""),"")</f>
        <v/>
      </c>
      <c r="Z360" t="str">
        <f ca="1">IFERROR(__xludf.DUMMYFUNCTION("""COMPUTED_VALUE"""),"")</f>
        <v/>
      </c>
      <c r="AA360" t="str">
        <f ca="1">IFERROR(__xludf.DUMMYFUNCTION("""COMPUTED_VALUE"""),"Pas de commande")</f>
        <v>Pas de commande</v>
      </c>
      <c r="AB360" s="8" t="str">
        <f ca="1">IFERROR(__xludf.DUMMYFUNCTION("""COMPUTED_VALUE"""),"")</f>
        <v/>
      </c>
      <c r="AC360" s="8" t="str">
        <f ca="1">IFERROR(__xludf.DUMMYFUNCTION("""COMPUTED_VALUE"""),"")</f>
        <v/>
      </c>
      <c r="AD360" s="11" t="str">
        <f ca="1">IFERROR(__xludf.DUMMYFUNCTION("""COMPUTED_VALUE"""),"")</f>
        <v/>
      </c>
      <c r="AE360" t="str">
        <f ca="1">IFERROR(__xludf.DUMMYFUNCTION("""COMPUTED_VALUE"""),"")</f>
        <v/>
      </c>
    </row>
    <row r="361" spans="1:31" ht="12.75" x14ac:dyDescent="0.2">
      <c r="A361">
        <f ca="1">IFERROR(__xludf.DUMMYFUNCTION("""COMPUTED_VALUE"""),90667)</f>
        <v>90667</v>
      </c>
      <c r="B361" t="str">
        <f ca="1">IFERROR(__xludf.DUMMYFUNCTION("""COMPUTED_VALUE"""),"GRENOBLE VIZILLE")</f>
        <v>GRENOBLE VIZILLE</v>
      </c>
      <c r="C361" t="str">
        <f ca="1">IFERROR(__xludf.DUMMYFUNCTION("""COMPUTED_VALUE"""),"U Express")</f>
        <v>U Express</v>
      </c>
      <c r="D361" t="str">
        <f ca="1">IFERROR(__xludf.DUMMYFUNCTION("""COMPUTED_VALUE"""),"Coop MISTRAL")</f>
        <v>Coop MISTRAL</v>
      </c>
      <c r="E361">
        <f ca="1">IFERROR(__xludf.DUMMYFUNCTION("""COMPUTED_VALUE"""),38000)</f>
        <v>38000</v>
      </c>
      <c r="F361" t="str">
        <f ca="1">IFERROR(__xludf.DUMMYFUNCTION("""COMPUTED_VALUE"""),"11 - 13 - 15 AVENUE DE VIZILLE")</f>
        <v>11 - 13 - 15 AVENUE DE VIZILLE</v>
      </c>
      <c r="G361" t="str">
        <f ca="1">IFERROR(__xludf.DUMMYFUNCTION("""COMPUTED_VALUE"""),"04.76.84.67.44")</f>
        <v>04.76.84.67.44</v>
      </c>
      <c r="H361" t="str">
        <f ca="1">IFERROR(__xludf.DUMMYFUNCTION("""COMPUTED_VALUE"""),"SEROTINI Yannick")</f>
        <v>SEROTINI Yannick</v>
      </c>
      <c r="I361" t="str">
        <f ca="1">IFERROR(__xludf.DUMMYFUNCTION("""COMPUTED_VALUE"""),"")</f>
        <v/>
      </c>
      <c r="J361" t="str">
        <f ca="1">IFERROR(__xludf.DUMMYFUNCTION("""COMPUTED_VALUE"""),"Yannick Serotini/ Sylvain Lambinet")</f>
        <v>Yannick Serotini/ Sylvain Lambinet</v>
      </c>
      <c r="K361" t="str">
        <f ca="1">IFERROR(__xludf.DUMMYFUNCTION("""COMPUTED_VALUE"""),"uexpress.grenoblevizille@mistral-u.fr,delphine.damian@lemistral.fr,helene.mina@lemistral.fr")</f>
        <v>uexpress.grenoblevizille@mistral-u.fr,delphine.damian@lemistral.fr,helene.mina@lemistral.fr</v>
      </c>
      <c r="L361" t="str">
        <f ca="1">IFERROR(__xludf.DUMMYFUNCTION("""COMPUTED_VALUE"""),"")</f>
        <v/>
      </c>
      <c r="M361" t="str">
        <f ca="1">IFERROR(__xludf.DUMMYFUNCTION("""COMPUTED_VALUE"""),"")</f>
        <v/>
      </c>
      <c r="N361" t="str">
        <f ca="1">IFERROR(__xludf.DUMMYFUNCTION("""COMPUTED_VALUE"""),"")</f>
        <v/>
      </c>
      <c r="O361" t="str">
        <f ca="1">IFERROR(__xludf.DUMMYFUNCTION("""COMPUTED_VALUE"""),"")</f>
        <v/>
      </c>
      <c r="P361" t="str">
        <f ca="1">IFERROR(__xludf.DUMMYFUNCTION("""COMPUTED_VALUE"""),"")</f>
        <v/>
      </c>
      <c r="Q361" s="5" t="str">
        <f ca="1">IFERROR(__xludf.DUMMYFUNCTION("""COMPUTED_VALUE"""),"")</f>
        <v/>
      </c>
      <c r="R361" s="6" t="str">
        <f ca="1">IFERROR(__xludf.DUMMYFUNCTION("""COMPUTED_VALUE"""),"")</f>
        <v/>
      </c>
      <c r="S361" t="str">
        <f ca="1">IFERROR(__xludf.DUMMYFUNCTION("""COMPUTED_VALUE"""),"")</f>
        <v/>
      </c>
      <c r="T361" t="str">
        <f ca="1">IFERROR(__xludf.DUMMYFUNCTION("""COMPUTED_VALUE"""),"")</f>
        <v/>
      </c>
      <c r="U361" t="str">
        <f ca="1">IFERROR(__xludf.DUMMYFUNCTION("""COMPUTED_VALUE"""),"")</f>
        <v/>
      </c>
      <c r="V361" t="str">
        <f ca="1">IFERROR(__xludf.DUMMYFUNCTION("""COMPUTED_VALUE"""),"")</f>
        <v/>
      </c>
      <c r="W361" t="str">
        <f ca="1">IFERROR(__xludf.DUMMYFUNCTION("""COMPUTED_VALUE"""),"R5")</f>
        <v>R5</v>
      </c>
      <c r="X361" t="str">
        <f ca="1">IFERROR(__xludf.DUMMYFUNCTION("""COMPUTED_VALUE"""),"Pricer")</f>
        <v>Pricer</v>
      </c>
      <c r="Y361" t="str">
        <f ca="1">IFERROR(__xludf.DUMMYFUNCTION("""COMPUTED_VALUE"""),"")</f>
        <v/>
      </c>
      <c r="Z361" t="str">
        <f ca="1">IFERROR(__xludf.DUMMYFUNCTION("""COMPUTED_VALUE"""),"")</f>
        <v/>
      </c>
      <c r="AA361" t="str">
        <f ca="1">IFERROR(__xludf.DUMMYFUNCTION("""COMPUTED_VALUE"""),"Pas de commande")</f>
        <v>Pas de commande</v>
      </c>
      <c r="AB361" s="8" t="str">
        <f ca="1">IFERROR(__xludf.DUMMYFUNCTION("""COMPUTED_VALUE"""),"")</f>
        <v/>
      </c>
      <c r="AC361" s="8" t="str">
        <f ca="1">IFERROR(__xludf.DUMMYFUNCTION("""COMPUTED_VALUE"""),"")</f>
        <v/>
      </c>
      <c r="AD361" s="11" t="str">
        <f ca="1">IFERROR(__xludf.DUMMYFUNCTION("""COMPUTED_VALUE"""),"")</f>
        <v/>
      </c>
      <c r="AE361" t="str">
        <f ca="1">IFERROR(__xludf.DUMMYFUNCTION("""COMPUTED_VALUE"""),"")</f>
        <v/>
      </c>
    </row>
    <row r="362" spans="1:31" ht="12.75" x14ac:dyDescent="0.2">
      <c r="A362">
        <f ca="1">IFERROR(__xludf.DUMMYFUNCTION("""COMPUTED_VALUE"""),60068)</f>
        <v>60068</v>
      </c>
      <c r="B362" t="str">
        <f ca="1">IFERROR(__xludf.DUMMYFUNCTION("""COMPUTED_VALUE"""),"GUEBWILLER")</f>
        <v>GUEBWILLER</v>
      </c>
      <c r="C362" t="str">
        <f ca="1">IFERROR(__xludf.DUMMYFUNCTION("""COMPUTED_VALUE"""),"U Express")</f>
        <v>U Express</v>
      </c>
      <c r="D362" t="str">
        <f ca="1">IFERROR(__xludf.DUMMYFUNCTION("""COMPUTED_VALUE"""),"Coop U Enseigne Est")</f>
        <v>Coop U Enseigne Est</v>
      </c>
      <c r="E362">
        <f ca="1">IFERROR(__xludf.DUMMYFUNCTION("""COMPUTED_VALUE"""),68500)</f>
        <v>68500</v>
      </c>
      <c r="F362" t="str">
        <f ca="1">IFERROR(__xludf.DUMMYFUNCTION("""COMPUTED_VALUE"""),"12 RUE DU 17 NOVEMBRE")</f>
        <v>12 RUE DU 17 NOVEMBRE</v>
      </c>
      <c r="G362" t="str">
        <f ca="1">IFERROR(__xludf.DUMMYFUNCTION("""COMPUTED_VALUE"""),"03.89.74.96.00")</f>
        <v>03.89.74.96.00</v>
      </c>
      <c r="H362" t="str">
        <f ca="1">IFERROR(__xludf.DUMMYFUNCTION("""COMPUTED_VALUE"""),"MENDELEWSKI Nadia")</f>
        <v>MENDELEWSKI Nadia</v>
      </c>
      <c r="I362" t="str">
        <f ca="1">IFERROR(__xludf.DUMMYFUNCTION("""COMPUTED_VALUE"""),"nadia.mendelewski@systeme-u.fr")</f>
        <v>nadia.mendelewski@systeme-u.fr</v>
      </c>
      <c r="J362" t="str">
        <f ca="1">IFERROR(__xludf.DUMMYFUNCTION("""COMPUTED_VALUE"""),"")</f>
        <v/>
      </c>
      <c r="K362" t="str">
        <f ca="1">IFERROR(__xludf.DUMMYFUNCTION("""COMPUTED_VALUE"""),"")</f>
        <v/>
      </c>
      <c r="L362" t="str">
        <f ca="1">IFERROR(__xludf.DUMMYFUNCTION("""COMPUTED_VALUE"""),"")</f>
        <v/>
      </c>
      <c r="M362" t="str">
        <f ca="1">IFERROR(__xludf.DUMMYFUNCTION("""COMPUTED_VALUE"""),"99.Hors Périmetre")</f>
        <v>99.Hors Périmetre</v>
      </c>
      <c r="N362" t="str">
        <f ca="1">IFERROR(__xludf.DUMMYFUNCTION("""COMPUTED_VALUE"""),"")</f>
        <v/>
      </c>
      <c r="O362" t="str">
        <f ca="1">IFERROR(__xludf.DUMMYFUNCTION("""COMPUTED_VALUE"""),"")</f>
        <v/>
      </c>
      <c r="P362" t="str">
        <f ca="1">IFERROR(__xludf.DUMMYFUNCTION("""COMPUTED_VALUE"""),"")</f>
        <v/>
      </c>
      <c r="Q362" s="5" t="str">
        <f ca="1">IFERROR(__xludf.DUMMYFUNCTION("""COMPUTED_VALUE"""),"")</f>
        <v/>
      </c>
      <c r="R362" s="6" t="str">
        <f ca="1">IFERROR(__xludf.DUMMYFUNCTION("""COMPUTED_VALUE"""),"")</f>
        <v/>
      </c>
      <c r="S362" t="str">
        <f ca="1">IFERROR(__xludf.DUMMYFUNCTION("""COMPUTED_VALUE"""),"")</f>
        <v/>
      </c>
      <c r="T362" t="str">
        <f ca="1">IFERROR(__xludf.DUMMYFUNCTION("""COMPUTED_VALUE"""),"")</f>
        <v/>
      </c>
      <c r="U362" t="str">
        <f ca="1">IFERROR(__xludf.DUMMYFUNCTION("""COMPUTED_VALUE"""),"")</f>
        <v/>
      </c>
      <c r="V362" t="str">
        <f ca="1">IFERROR(__xludf.DUMMYFUNCTION("""COMPUTED_VALUE"""),"")</f>
        <v/>
      </c>
      <c r="W362" t="str">
        <f ca="1">IFERROR(__xludf.DUMMYFUNCTION("""COMPUTED_VALUE"""),"")</f>
        <v/>
      </c>
      <c r="X362" t="str">
        <f ca="1">IFERROR(__xludf.DUMMYFUNCTION("""COMPUTED_VALUE"""),"")</f>
        <v/>
      </c>
      <c r="Y362" t="str">
        <f ca="1">IFERROR(__xludf.DUMMYFUNCTION("""COMPUTED_VALUE"""),"")</f>
        <v/>
      </c>
      <c r="Z362" t="str">
        <f ca="1">IFERROR(__xludf.DUMMYFUNCTION("""COMPUTED_VALUE"""),"")</f>
        <v/>
      </c>
      <c r="AA362" t="str">
        <f ca="1">IFERROR(__xludf.DUMMYFUNCTION("""COMPUTED_VALUE"""),"Pas de commande")</f>
        <v>Pas de commande</v>
      </c>
      <c r="AB362" s="8" t="str">
        <f ca="1">IFERROR(__xludf.DUMMYFUNCTION("""COMPUTED_VALUE"""),"")</f>
        <v/>
      </c>
      <c r="AC362" s="8" t="str">
        <f ca="1">IFERROR(__xludf.DUMMYFUNCTION("""COMPUTED_VALUE"""),"")</f>
        <v/>
      </c>
      <c r="AD362" s="11" t="str">
        <f ca="1">IFERROR(__xludf.DUMMYFUNCTION("""COMPUTED_VALUE"""),"")</f>
        <v/>
      </c>
      <c r="AE362" t="str">
        <f ca="1">IFERROR(__xludf.DUMMYFUNCTION("""COMPUTED_VALUE"""),"")</f>
        <v/>
      </c>
    </row>
    <row r="363" spans="1:31" ht="12.75" x14ac:dyDescent="0.2">
      <c r="A363">
        <f ca="1">IFERROR(__xludf.DUMMYFUNCTION("""COMPUTED_VALUE"""),60641)</f>
        <v>60641</v>
      </c>
      <c r="B363" t="str">
        <f ca="1">IFERROR(__xludf.DUMMYFUNCTION("""COMPUTED_VALUE"""),"GUEBWILLER")</f>
        <v>GUEBWILLER</v>
      </c>
      <c r="C363" t="str">
        <f ca="1">IFERROR(__xludf.DUMMYFUNCTION("""COMPUTED_VALUE"""),"Super U")</f>
        <v>Super U</v>
      </c>
      <c r="D363" t="str">
        <f ca="1">IFERROR(__xludf.DUMMYFUNCTION("""COMPUTED_VALUE"""),"Coop U Enseigne Est")</f>
        <v>Coop U Enseigne Est</v>
      </c>
      <c r="E363">
        <f ca="1">IFERROR(__xludf.DUMMYFUNCTION("""COMPUTED_VALUE"""),68500)</f>
        <v>68500</v>
      </c>
      <c r="F363" t="str">
        <f ca="1">IFERROR(__xludf.DUMMYFUNCTION("""COMPUTED_VALUE"""),"10 RUE THÉODORE DECK")</f>
        <v>10 RUE THÉODORE DECK</v>
      </c>
      <c r="G363" t="str">
        <f ca="1">IFERROR(__xludf.DUMMYFUNCTION("""COMPUTED_VALUE"""),"03.89.62.14.62")</f>
        <v>03.89.62.14.62</v>
      </c>
      <c r="H363" t="str">
        <f ca="1">IFERROR(__xludf.DUMMYFUNCTION("""COMPUTED_VALUE"""),"KOHLER RPT SAS FINANCIERE Christian")</f>
        <v>KOHLER RPT SAS FINANCIERE Christian</v>
      </c>
      <c r="I363" t="str">
        <f ca="1">IFERROR(__xludf.DUMMYFUNCTION("""COMPUTED_VALUE"""),"christian.kohler@systeme-u.fr")</f>
        <v>christian.kohler@systeme-u.fr</v>
      </c>
      <c r="J363" t="str">
        <f ca="1">IFERROR(__xludf.DUMMYFUNCTION("""COMPUTED_VALUE"""),"Annick KOHLER")</f>
        <v>Annick KOHLER</v>
      </c>
      <c r="K363" t="str">
        <f ca="1">IFERROR(__xludf.DUMMYFUNCTION("""COMPUTED_VALUE"""),"superu.guebwiller@systeme-u.fr")</f>
        <v>superu.guebwiller@systeme-u.fr</v>
      </c>
      <c r="L363" t="str">
        <f ca="1">IFERROR(__xludf.DUMMYFUNCTION("""COMPUTED_VALUE"""),"")</f>
        <v/>
      </c>
      <c r="M363" t="str">
        <f ca="1">IFERROR(__xludf.DUMMYFUNCTION("""COMPUTED_VALUE"""),"99.Hors Périmetre")</f>
        <v>99.Hors Périmetre</v>
      </c>
      <c r="N363" t="str">
        <f ca="1">IFERROR(__xludf.DUMMYFUNCTION("""COMPUTED_VALUE"""),"")</f>
        <v/>
      </c>
      <c r="O363" t="str">
        <f ca="1">IFERROR(__xludf.DUMMYFUNCTION("""COMPUTED_VALUE"""),"")</f>
        <v/>
      </c>
      <c r="P363" t="str">
        <f ca="1">IFERROR(__xludf.DUMMYFUNCTION("""COMPUTED_VALUE"""),"")</f>
        <v/>
      </c>
      <c r="Q363" s="5" t="str">
        <f ca="1">IFERROR(__xludf.DUMMYFUNCTION("""COMPUTED_VALUE"""),"")</f>
        <v/>
      </c>
      <c r="R363" s="6" t="str">
        <f ca="1">IFERROR(__xludf.DUMMYFUNCTION("""COMPUTED_VALUE"""),"")</f>
        <v/>
      </c>
      <c r="S363" t="str">
        <f ca="1">IFERROR(__xludf.DUMMYFUNCTION("""COMPUTED_VALUE"""),"")</f>
        <v/>
      </c>
      <c r="T363" t="str">
        <f ca="1">IFERROR(__xludf.DUMMYFUNCTION("""COMPUTED_VALUE"""),"")</f>
        <v/>
      </c>
      <c r="U363" t="str">
        <f ca="1">IFERROR(__xludf.DUMMYFUNCTION("""COMPUTED_VALUE"""),"")</f>
        <v/>
      </c>
      <c r="V363" t="str">
        <f ca="1">IFERROR(__xludf.DUMMYFUNCTION("""COMPUTED_VALUE"""),"")</f>
        <v/>
      </c>
      <c r="W363" t="str">
        <f ca="1">IFERROR(__xludf.DUMMYFUNCTION("""COMPUTED_VALUE"""),"")</f>
        <v/>
      </c>
      <c r="X363" t="str">
        <f ca="1">IFERROR(__xludf.DUMMYFUNCTION("""COMPUTED_VALUE"""),"")</f>
        <v/>
      </c>
      <c r="Y363" t="str">
        <f ca="1">IFERROR(__xludf.DUMMYFUNCTION("""COMPUTED_VALUE"""),"")</f>
        <v/>
      </c>
      <c r="Z363" t="str">
        <f ca="1">IFERROR(__xludf.DUMMYFUNCTION("""COMPUTED_VALUE"""),"")</f>
        <v/>
      </c>
      <c r="AA363" t="str">
        <f ca="1">IFERROR(__xludf.DUMMYFUNCTION("""COMPUTED_VALUE"""),"Pas de commande")</f>
        <v>Pas de commande</v>
      </c>
      <c r="AB363" s="8" t="str">
        <f ca="1">IFERROR(__xludf.DUMMYFUNCTION("""COMPUTED_VALUE"""),"")</f>
        <v/>
      </c>
      <c r="AC363" s="8" t="str">
        <f ca="1">IFERROR(__xludf.DUMMYFUNCTION("""COMPUTED_VALUE"""),"")</f>
        <v/>
      </c>
      <c r="AD363" s="11" t="str">
        <f ca="1">IFERROR(__xludf.DUMMYFUNCTION("""COMPUTED_VALUE"""),"")</f>
        <v/>
      </c>
      <c r="AE363" t="str">
        <f ca="1">IFERROR(__xludf.DUMMYFUNCTION("""COMPUTED_VALUE"""),"")</f>
        <v/>
      </c>
    </row>
    <row r="364" spans="1:31" ht="12.75" x14ac:dyDescent="0.2">
      <c r="A364">
        <f ca="1">IFERROR(__xludf.DUMMYFUNCTION("""COMPUTED_VALUE"""),32690)</f>
        <v>32690</v>
      </c>
      <c r="B364" t="str">
        <f ca="1">IFERROR(__xludf.DUMMYFUNCTION("""COMPUTED_VALUE"""),"GUEMENE PENFAO")</f>
        <v>GUEMENE PENFAO</v>
      </c>
      <c r="C364" t="str">
        <f ca="1">IFERROR(__xludf.DUMMYFUNCTION("""COMPUTED_VALUE"""),"Super U")</f>
        <v>Super U</v>
      </c>
      <c r="D364" t="str">
        <f ca="1">IFERROR(__xludf.DUMMYFUNCTION("""COMPUTED_VALUE"""),"Coop U Enseigne Ouest")</f>
        <v>Coop U Enseigne Ouest</v>
      </c>
      <c r="E364">
        <f ca="1">IFERROR(__xludf.DUMMYFUNCTION("""COMPUTED_VALUE"""),44290)</f>
        <v>44290</v>
      </c>
      <c r="F364" t="str">
        <f ca="1">IFERROR(__xludf.DUMMYFUNCTION("""COMPUTED_VALUE"""),"33 ROUTE BESLE")</f>
        <v>33 ROUTE BESLE</v>
      </c>
      <c r="G364" t="str">
        <f ca="1">IFERROR(__xludf.DUMMYFUNCTION("""COMPUTED_VALUE"""),"02.40.79.22.11")</f>
        <v>02.40.79.22.11</v>
      </c>
      <c r="H364" t="str">
        <f ca="1">IFERROR(__xludf.DUMMYFUNCTION("""COMPUTED_VALUE"""),"SORIN BENOIT")</f>
        <v>SORIN BENOIT</v>
      </c>
      <c r="I364" t="str">
        <f ca="1">IFERROR(__xludf.DUMMYFUNCTION("""COMPUTED_VALUE"""),"benoit.sorin@systeme-u.fr")</f>
        <v>benoit.sorin@systeme-u.fr</v>
      </c>
      <c r="J364" t="str">
        <f ca="1">IFERROR(__xludf.DUMMYFUNCTION("""COMPUTED_VALUE"""),"RYO Fabrice")</f>
        <v>RYO Fabrice</v>
      </c>
      <c r="K364" t="str">
        <f ca="1">IFERROR(__xludf.DUMMYFUNCTION("""COMPUTED_VALUE"""),"fabrice.ryo@systeme-u.fr")</f>
        <v>fabrice.ryo@systeme-u.fr</v>
      </c>
      <c r="L364" t="str">
        <f ca="1">IFERROR(__xludf.DUMMYFUNCTION("""COMPUTED_VALUE"""),"")</f>
        <v/>
      </c>
      <c r="M364" t="str">
        <f ca="1">IFERROR(__xludf.DUMMYFUNCTION("""COMPUTED_VALUE"""),"99.Hors Périmetre")</f>
        <v>99.Hors Périmetre</v>
      </c>
      <c r="N364" t="str">
        <f ca="1">IFERROR(__xludf.DUMMYFUNCTION("""COMPUTED_VALUE"""),"")</f>
        <v/>
      </c>
      <c r="O364" t="str">
        <f ca="1">IFERROR(__xludf.DUMMYFUNCTION("""COMPUTED_VALUE"""),"")</f>
        <v/>
      </c>
      <c r="P364" t="str">
        <f ca="1">IFERROR(__xludf.DUMMYFUNCTION("""COMPUTED_VALUE"""),"")</f>
        <v/>
      </c>
      <c r="Q364" s="5" t="str">
        <f ca="1">IFERROR(__xludf.DUMMYFUNCTION("""COMPUTED_VALUE"""),"")</f>
        <v/>
      </c>
      <c r="R364" s="6" t="str">
        <f ca="1">IFERROR(__xludf.DUMMYFUNCTION("""COMPUTED_VALUE"""),"")</f>
        <v/>
      </c>
      <c r="S364" t="str">
        <f ca="1">IFERROR(__xludf.DUMMYFUNCTION("""COMPUTED_VALUE"""),"")</f>
        <v/>
      </c>
      <c r="T364" t="str">
        <f ca="1">IFERROR(__xludf.DUMMYFUNCTION("""COMPUTED_VALUE"""),"")</f>
        <v/>
      </c>
      <c r="U364" t="str">
        <f ca="1">IFERROR(__xludf.DUMMYFUNCTION("""COMPUTED_VALUE"""),"")</f>
        <v/>
      </c>
      <c r="V364" t="str">
        <f ca="1">IFERROR(__xludf.DUMMYFUNCTION("""COMPUTED_VALUE"""),"")</f>
        <v/>
      </c>
      <c r="W364" t="str">
        <f ca="1">IFERROR(__xludf.DUMMYFUNCTION("""COMPUTED_VALUE"""),"")</f>
        <v/>
      </c>
      <c r="X364" t="str">
        <f ca="1">IFERROR(__xludf.DUMMYFUNCTION("""COMPUTED_VALUE"""),"")</f>
        <v/>
      </c>
      <c r="Y364" t="str">
        <f ca="1">IFERROR(__xludf.DUMMYFUNCTION("""COMPUTED_VALUE"""),"")</f>
        <v/>
      </c>
      <c r="Z364" t="str">
        <f ca="1">IFERROR(__xludf.DUMMYFUNCTION("""COMPUTED_VALUE"""),"")</f>
        <v/>
      </c>
      <c r="AA364" t="str">
        <f ca="1">IFERROR(__xludf.DUMMYFUNCTION("""COMPUTED_VALUE"""),"Pas de commande")</f>
        <v>Pas de commande</v>
      </c>
      <c r="AB364" s="8" t="str">
        <f ca="1">IFERROR(__xludf.DUMMYFUNCTION("""COMPUTED_VALUE"""),"")</f>
        <v/>
      </c>
      <c r="AC364" s="8" t="str">
        <f ca="1">IFERROR(__xludf.DUMMYFUNCTION("""COMPUTED_VALUE"""),"")</f>
        <v/>
      </c>
      <c r="AD364" s="11" t="str">
        <f ca="1">IFERROR(__xludf.DUMMYFUNCTION("""COMPUTED_VALUE"""),"")</f>
        <v/>
      </c>
      <c r="AE364" t="str">
        <f ca="1">IFERROR(__xludf.DUMMYFUNCTION("""COMPUTED_VALUE"""),"")</f>
        <v/>
      </c>
    </row>
    <row r="365" spans="1:31" ht="12.75" x14ac:dyDescent="0.2">
      <c r="A365">
        <f ca="1">IFERROR(__xludf.DUMMYFUNCTION("""COMPUTED_VALUE"""),63206)</f>
        <v>63206</v>
      </c>
      <c r="B365" t="str">
        <f ca="1">IFERROR(__xludf.DUMMYFUNCTION("""COMPUTED_VALUE"""),"PONTARLIER")</f>
        <v>PONTARLIER</v>
      </c>
      <c r="C365" t="str">
        <f ca="1">IFERROR(__xludf.DUMMYFUNCTION("""COMPUTED_VALUE"""),"Hyper U")</f>
        <v>Hyper U</v>
      </c>
      <c r="D365" t="str">
        <f ca="1">IFERROR(__xludf.DUMMYFUNCTION("""COMPUTED_VALUE"""),"Coop U Enseigne Est")</f>
        <v>Coop U Enseigne Est</v>
      </c>
      <c r="E365">
        <f ca="1">IFERROR(__xludf.DUMMYFUNCTION("""COMPUTED_VALUE"""),25300)</f>
        <v>25300</v>
      </c>
      <c r="F365" t="str">
        <f ca="1">IFERROR(__xludf.DUMMYFUNCTION("""COMPUTED_VALUE"""),"1 ROUTE DE BESANÇON")</f>
        <v>1 ROUTE DE BESANÇON</v>
      </c>
      <c r="G365" t="str">
        <f ca="1">IFERROR(__xludf.DUMMYFUNCTION("""COMPUTED_VALUE"""),"03.81.46.72.47")</f>
        <v>03.81.46.72.47</v>
      </c>
      <c r="H365" t="str">
        <f ca="1">IFERROR(__xludf.DUMMYFUNCTION("""COMPUTED_VALUE"""),"GAGNEPAIN David")</f>
        <v>GAGNEPAIN David</v>
      </c>
      <c r="I365" t="str">
        <f ca="1">IFERROR(__xludf.DUMMYFUNCTION("""COMPUTED_VALUE"""),"david.gagnepain@systeme-u.fr")</f>
        <v>david.gagnepain@systeme-u.fr</v>
      </c>
      <c r="J365" t="str">
        <f ca="1">IFERROR(__xludf.DUMMYFUNCTION("""COMPUTED_VALUE"""),"Mme Paqarizi
Mme GENTELET")</f>
        <v>Mme Paqarizi
Mme GENTELET</v>
      </c>
      <c r="K365" t="str">
        <f ca="1">IFERROR(__xludf.DUMMYFUNCTION("""COMPUTED_VALUE"""),"hyperu.pontarlier.direction@systeme-u.fr")</f>
        <v>hyperu.pontarlier.direction@systeme-u.fr</v>
      </c>
      <c r="L365" t="str">
        <f ca="1">IFERROR(__xludf.DUMMYFUNCTION("""COMPUTED_VALUE"""),"")</f>
        <v/>
      </c>
      <c r="M365" t="str">
        <f ca="1">IFERROR(__xludf.DUMMYFUNCTION("""COMPUTED_VALUE"""),"99.Hors Périmetre")</f>
        <v>99.Hors Périmetre</v>
      </c>
      <c r="N365" t="str">
        <f ca="1">IFERROR(__xludf.DUMMYFUNCTION("""COMPUTED_VALUE"""),"")</f>
        <v/>
      </c>
      <c r="O365" t="str">
        <f ca="1">IFERROR(__xludf.DUMMYFUNCTION("""COMPUTED_VALUE"""),"")</f>
        <v/>
      </c>
      <c r="P365" t="str">
        <f ca="1">IFERROR(__xludf.DUMMYFUNCTION("""COMPUTED_VALUE"""),"")</f>
        <v/>
      </c>
      <c r="Q365" s="5" t="str">
        <f ca="1">IFERROR(__xludf.DUMMYFUNCTION("""COMPUTED_VALUE"""),"")</f>
        <v/>
      </c>
      <c r="R365" s="6" t="str">
        <f ca="1">IFERROR(__xludf.DUMMYFUNCTION("""COMPUTED_VALUE"""),"")</f>
        <v/>
      </c>
      <c r="S365" t="str">
        <f ca="1">IFERROR(__xludf.DUMMYFUNCTION("""COMPUTED_VALUE"""),"")</f>
        <v/>
      </c>
      <c r="T365" t="str">
        <f ca="1">IFERROR(__xludf.DUMMYFUNCTION("""COMPUTED_VALUE"""),"")</f>
        <v/>
      </c>
      <c r="U365" t="str">
        <f ca="1">IFERROR(__xludf.DUMMYFUNCTION("""COMPUTED_VALUE"""),"")</f>
        <v/>
      </c>
      <c r="V365" t="str">
        <f ca="1">IFERROR(__xludf.DUMMYFUNCTION("""COMPUTED_VALUE"""),"")</f>
        <v/>
      </c>
      <c r="W365" t="str">
        <f ca="1">IFERROR(__xludf.DUMMYFUNCTION("""COMPUTED_VALUE"""),"")</f>
        <v/>
      </c>
      <c r="X365" t="str">
        <f ca="1">IFERROR(__xludf.DUMMYFUNCTION("""COMPUTED_VALUE"""),"")</f>
        <v/>
      </c>
      <c r="Y365" t="str">
        <f ca="1">IFERROR(__xludf.DUMMYFUNCTION("""COMPUTED_VALUE"""),"")</f>
        <v/>
      </c>
      <c r="Z365" t="str">
        <f ca="1">IFERROR(__xludf.DUMMYFUNCTION("""COMPUTED_VALUE"""),"")</f>
        <v/>
      </c>
      <c r="AA365" t="str">
        <f ca="1">IFERROR(__xludf.DUMMYFUNCTION("""COMPUTED_VALUE"""),"Pas de commande")</f>
        <v>Pas de commande</v>
      </c>
      <c r="AB365" s="8" t="str">
        <f ca="1">IFERROR(__xludf.DUMMYFUNCTION("""COMPUTED_VALUE"""),"")</f>
        <v/>
      </c>
      <c r="AC365" s="8" t="str">
        <f ca="1">IFERROR(__xludf.DUMMYFUNCTION("""COMPUTED_VALUE"""),"")</f>
        <v/>
      </c>
      <c r="AD365" s="11" t="str">
        <f ca="1">IFERROR(__xludf.DUMMYFUNCTION("""COMPUTED_VALUE"""),"")</f>
        <v/>
      </c>
      <c r="AE365" t="str">
        <f ca="1">IFERROR(__xludf.DUMMYFUNCTION("""COMPUTED_VALUE"""),"")</f>
        <v/>
      </c>
    </row>
    <row r="366" spans="1:31" ht="12.75" x14ac:dyDescent="0.2">
      <c r="A366">
        <f ca="1">IFERROR(__xludf.DUMMYFUNCTION("""COMPUTED_VALUE"""),35290)</f>
        <v>35290</v>
      </c>
      <c r="B366" t="str">
        <f ca="1">IFERROR(__xludf.DUMMYFUNCTION("""COMPUTED_VALUE"""),"GUICHEN")</f>
        <v>GUICHEN</v>
      </c>
      <c r="C366" t="str">
        <f ca="1">IFERROR(__xludf.DUMMYFUNCTION("""COMPUTED_VALUE"""),"Hyper U")</f>
        <v>Hyper U</v>
      </c>
      <c r="D366" t="str">
        <f ca="1">IFERROR(__xludf.DUMMYFUNCTION("""COMPUTED_VALUE"""),"Coop U Enseigne Ouest")</f>
        <v>Coop U Enseigne Ouest</v>
      </c>
      <c r="E366">
        <f ca="1">IFERROR(__xludf.DUMMYFUNCTION("""COMPUTED_VALUE"""),35580)</f>
        <v>35580</v>
      </c>
      <c r="F366" t="str">
        <f ca="1">IFERROR(__xludf.DUMMYFUNCTION("""COMPUTED_VALUE"""),"11, RUE LOUIS AMPÈRE")</f>
        <v>11, RUE LOUIS AMPÈRE</v>
      </c>
      <c r="G366" t="str">
        <f ca="1">IFERROR(__xludf.DUMMYFUNCTION("""COMPUTED_VALUE"""),"02.99.57.07.87")</f>
        <v>02.99.57.07.87</v>
      </c>
      <c r="H366" t="str">
        <f ca="1">IFERROR(__xludf.DUMMYFUNCTION("""COMPUTED_VALUE"""),"DUPLAA RPT SAS HARMONIDIS Laetitia")</f>
        <v>DUPLAA RPT SAS HARMONIDIS Laetitia</v>
      </c>
      <c r="I366" t="str">
        <f ca="1">IFERROR(__xludf.DUMMYFUNCTION("""COMPUTED_VALUE"""),"laetitia.duplaa@systeme-u.fr")</f>
        <v>laetitia.duplaa@systeme-u.fr</v>
      </c>
      <c r="J366" t="str">
        <f ca="1">IFERROR(__xludf.DUMMYFUNCTION("""COMPUTED_VALUE"""),"Mme Attimon
Stéphanie Herviault")</f>
        <v>Mme Attimon
Stéphanie Herviault</v>
      </c>
      <c r="K366" t="str">
        <f ca="1">IFERROR(__xludf.DUMMYFUNCTION("""COMPUTED_VALUE"""),"hyperu.guichen@systeme-u.fr, severine.attimon@systeme-u.fr, hyperu.guichen.direction@systeme-u.fr")</f>
        <v>hyperu.guichen@systeme-u.fr, severine.attimon@systeme-u.fr, hyperu.guichen.direction@systeme-u.fr</v>
      </c>
      <c r="L366" t="str">
        <f ca="1">IFERROR(__xludf.DUMMYFUNCTION("""COMPUTED_VALUE"""),"")</f>
        <v/>
      </c>
      <c r="M366" t="str">
        <f ca="1">IFERROR(__xludf.DUMMYFUNCTION("""COMPUTED_VALUE"""),"99.Hors Périmetre")</f>
        <v>99.Hors Périmetre</v>
      </c>
      <c r="N366" t="str">
        <f ca="1">IFERROR(__xludf.DUMMYFUNCTION("""COMPUTED_VALUE"""),"")</f>
        <v/>
      </c>
      <c r="O366" t="str">
        <f ca="1">IFERROR(__xludf.DUMMYFUNCTION("""COMPUTED_VALUE"""),"")</f>
        <v/>
      </c>
      <c r="P366" t="str">
        <f ca="1">IFERROR(__xludf.DUMMYFUNCTION("""COMPUTED_VALUE"""),"")</f>
        <v/>
      </c>
      <c r="Q366" s="5" t="str">
        <f ca="1">IFERROR(__xludf.DUMMYFUNCTION("""COMPUTED_VALUE"""),"")</f>
        <v/>
      </c>
      <c r="R366" s="6" t="str">
        <f ca="1">IFERROR(__xludf.DUMMYFUNCTION("""COMPUTED_VALUE"""),"")</f>
        <v/>
      </c>
      <c r="S366" t="str">
        <f ca="1">IFERROR(__xludf.DUMMYFUNCTION("""COMPUTED_VALUE"""),"")</f>
        <v/>
      </c>
      <c r="T366" t="str">
        <f ca="1">IFERROR(__xludf.DUMMYFUNCTION("""COMPUTED_VALUE"""),"")</f>
        <v/>
      </c>
      <c r="U366" t="str">
        <f ca="1">IFERROR(__xludf.DUMMYFUNCTION("""COMPUTED_VALUE"""),"")</f>
        <v/>
      </c>
      <c r="V366" t="str">
        <f ca="1">IFERROR(__xludf.DUMMYFUNCTION("""COMPUTED_VALUE"""),"")</f>
        <v/>
      </c>
      <c r="W366" t="str">
        <f ca="1">IFERROR(__xludf.DUMMYFUNCTION("""COMPUTED_VALUE"""),"")</f>
        <v/>
      </c>
      <c r="X366" t="str">
        <f ca="1">IFERROR(__xludf.DUMMYFUNCTION("""COMPUTED_VALUE"""),"")</f>
        <v/>
      </c>
      <c r="Y366" t="str">
        <f ca="1">IFERROR(__xludf.DUMMYFUNCTION("""COMPUTED_VALUE"""),"")</f>
        <v/>
      </c>
      <c r="Z366" t="str">
        <f ca="1">IFERROR(__xludf.DUMMYFUNCTION("""COMPUTED_VALUE"""),"")</f>
        <v/>
      </c>
      <c r="AA366" t="str">
        <f ca="1">IFERROR(__xludf.DUMMYFUNCTION("""COMPUTED_VALUE"""),"Pas de commande")</f>
        <v>Pas de commande</v>
      </c>
      <c r="AB366" s="8" t="str">
        <f ca="1">IFERROR(__xludf.DUMMYFUNCTION("""COMPUTED_VALUE"""),"")</f>
        <v/>
      </c>
      <c r="AC366" s="8" t="str">
        <f ca="1">IFERROR(__xludf.DUMMYFUNCTION("""COMPUTED_VALUE"""),"")</f>
        <v/>
      </c>
      <c r="AD366" s="11" t="str">
        <f ca="1">IFERROR(__xludf.DUMMYFUNCTION("""COMPUTED_VALUE"""),"")</f>
        <v/>
      </c>
      <c r="AE366" t="str">
        <f ca="1">IFERROR(__xludf.DUMMYFUNCTION("""COMPUTED_VALUE"""),"")</f>
        <v/>
      </c>
    </row>
    <row r="367" spans="1:31" ht="12.75" x14ac:dyDescent="0.2">
      <c r="A367">
        <f ca="1">IFERROR(__xludf.DUMMYFUNCTION("""COMPUTED_VALUE"""),37927)</f>
        <v>37927</v>
      </c>
      <c r="B367" t="str">
        <f ca="1">IFERROR(__xludf.DUMMYFUNCTION("""COMPUTED_VALUE"""),"GUIDEL")</f>
        <v>GUIDEL</v>
      </c>
      <c r="C367" t="str">
        <f ca="1">IFERROR(__xludf.DUMMYFUNCTION("""COMPUTED_VALUE"""),"Super U")</f>
        <v>Super U</v>
      </c>
      <c r="D367" t="str">
        <f ca="1">IFERROR(__xludf.DUMMYFUNCTION("""COMPUTED_VALUE"""),"Coop U Enseigne Ouest")</f>
        <v>Coop U Enseigne Ouest</v>
      </c>
      <c r="E367">
        <f ca="1">IFERROR(__xludf.DUMMYFUNCTION("""COMPUTED_VALUE"""),56520)</f>
        <v>56520</v>
      </c>
      <c r="F367" t="str">
        <f ca="1">IFERROR(__xludf.DUMMYFUNCTION("""COMPUTED_VALUE"""),"ROUTE DES PLAGES")</f>
        <v>ROUTE DES PLAGES</v>
      </c>
      <c r="G367" t="str">
        <f ca="1">IFERROR(__xludf.DUMMYFUNCTION("""COMPUTED_VALUE"""),"02.97.02.95.15")</f>
        <v>02.97.02.95.15</v>
      </c>
      <c r="H367" t="str">
        <f ca="1">IFERROR(__xludf.DUMMYFUNCTION("""COMPUTED_VALUE"""),"PRODHOMME RPT SARL SOFICRI Christian")</f>
        <v>PRODHOMME RPT SARL SOFICRI Christian</v>
      </c>
      <c r="I367" t="str">
        <f ca="1">IFERROR(__xludf.DUMMYFUNCTION("""COMPUTED_VALUE"""),"christian.prodhomme@systeme-u.fr")</f>
        <v>christian.prodhomme@systeme-u.fr</v>
      </c>
      <c r="J367" t="str">
        <f ca="1">IFERROR(__xludf.DUMMYFUNCTION("""COMPUTED_VALUE"""),"M. THORON
Sandrine (UPLV)")</f>
        <v>M. THORON
Sandrine (UPLV)</v>
      </c>
      <c r="K367" t="str">
        <f ca="1">IFERROR(__xludf.DUMMYFUNCTION("""COMPUTED_VALUE"""),"superu.guidel@systeme-u.fr, superu.guidel.accueil@systeme-u.fr")</f>
        <v>superu.guidel@systeme-u.fr, superu.guidel.accueil@systeme-u.fr</v>
      </c>
      <c r="L367" t="str">
        <f ca="1">IFERROR(__xludf.DUMMYFUNCTION("""COMPUTED_VALUE"""),"Standard")</f>
        <v>Standard</v>
      </c>
      <c r="M367" t="str">
        <f ca="1">IFERROR(__xludf.DUMMYFUNCTION("""COMPUTED_VALUE"""),"0. Non démarré")</f>
        <v>0. Non démarré</v>
      </c>
      <c r="N367" t="str">
        <f ca="1">IFERROR(__xludf.DUMMYFUNCTION("""COMPUTED_VALUE"""),"")</f>
        <v/>
      </c>
      <c r="O367" t="str">
        <f ca="1">IFERROR(__xludf.DUMMYFUNCTION("""COMPUTED_VALUE"""),"")</f>
        <v/>
      </c>
      <c r="P367" t="str">
        <f ca="1">IFERROR(__xludf.DUMMYFUNCTION("""COMPUTED_VALUE"""),"")</f>
        <v/>
      </c>
      <c r="Q367" s="5" t="str">
        <f ca="1">IFERROR(__xludf.DUMMYFUNCTION("""COMPUTED_VALUE"""),"")</f>
        <v/>
      </c>
      <c r="R367" s="6" t="str">
        <f ca="1">IFERROR(__xludf.DUMMYFUNCTION("""COMPUTED_VALUE"""),"")</f>
        <v/>
      </c>
      <c r="S367" t="str">
        <f ca="1">IFERROR(__xludf.DUMMYFUNCTION("""COMPUTED_VALUE"""),"")</f>
        <v/>
      </c>
      <c r="T367" t="str">
        <f ca="1">IFERROR(__xludf.DUMMYFUNCTION("""COMPUTED_VALUE"""),"")</f>
        <v/>
      </c>
      <c r="U367" t="str">
        <f ca="1">IFERROR(__xludf.DUMMYFUNCTION("""COMPUTED_VALUE"""),"")</f>
        <v/>
      </c>
      <c r="V367" t="str">
        <f ca="1">IFERROR(__xludf.DUMMYFUNCTION("""COMPUTED_VALUE"""),"")</f>
        <v/>
      </c>
      <c r="W367" t="str">
        <f ca="1">IFERROR(__xludf.DUMMYFUNCTION("""COMPUTED_VALUE"""),"R5")</f>
        <v>R5</v>
      </c>
      <c r="X367" t="str">
        <f ca="1">IFERROR(__xludf.DUMMYFUNCTION("""COMPUTED_VALUE"""),"Pricer")</f>
        <v>Pricer</v>
      </c>
      <c r="Y367" t="str">
        <f ca="1">IFERROR(__xludf.DUMMYFUNCTION("""COMPUTED_VALUE"""),"")</f>
        <v/>
      </c>
      <c r="Z367" t="str">
        <f ca="1">IFERROR(__xludf.DUMMYFUNCTION("""COMPUTED_VALUE"""),"")</f>
        <v/>
      </c>
      <c r="AA367" t="str">
        <f ca="1">IFERROR(__xludf.DUMMYFUNCTION("""COMPUTED_VALUE"""),"Pas de commande")</f>
        <v>Pas de commande</v>
      </c>
      <c r="AB367" s="8" t="str">
        <f ca="1">IFERROR(__xludf.DUMMYFUNCTION("""COMPUTED_VALUE"""),"")</f>
        <v/>
      </c>
      <c r="AC367" s="8" t="str">
        <f ca="1">IFERROR(__xludf.DUMMYFUNCTION("""COMPUTED_VALUE"""),"")</f>
        <v/>
      </c>
      <c r="AD367" s="11" t="str">
        <f ca="1">IFERROR(__xludf.DUMMYFUNCTION("""COMPUTED_VALUE"""),"")</f>
        <v/>
      </c>
      <c r="AE367" t="str">
        <f ca="1">IFERROR(__xludf.DUMMYFUNCTION("""COMPUTED_VALUE"""),"")</f>
        <v/>
      </c>
    </row>
    <row r="368" spans="1:31" ht="12.75" x14ac:dyDescent="0.2">
      <c r="A368">
        <f ca="1">IFERROR(__xludf.DUMMYFUNCTION("""COMPUTED_VALUE"""),37492)</f>
        <v>37492</v>
      </c>
      <c r="B368" t="str">
        <f ca="1">IFERROR(__xludf.DUMMYFUNCTION("""COMPUTED_VALUE"""),"GUIPAVAS")</f>
        <v>GUIPAVAS</v>
      </c>
      <c r="C368" t="str">
        <f ca="1">IFERROR(__xludf.DUMMYFUNCTION("""COMPUTED_VALUE"""),"Super U")</f>
        <v>Super U</v>
      </c>
      <c r="D368" t="str">
        <f ca="1">IFERROR(__xludf.DUMMYFUNCTION("""COMPUTED_VALUE"""),"Coop U Enseigne Ouest")</f>
        <v>Coop U Enseigne Ouest</v>
      </c>
      <c r="E368">
        <f ca="1">IFERROR(__xludf.DUMMYFUNCTION("""COMPUTED_VALUE"""),29490)</f>
        <v>29490</v>
      </c>
      <c r="F368" t="str">
        <f ca="1">IFERROR(__xludf.DUMMYFUNCTION("""COMPUTED_VALUE"""),"85, RUE ANNE DE BRETAGNE")</f>
        <v>85, RUE ANNE DE BRETAGNE</v>
      </c>
      <c r="G368" t="str">
        <f ca="1">IFERROR(__xludf.DUMMYFUNCTION("""COMPUTED_VALUE"""),"02.98.84.62.22")</f>
        <v>02.98.84.62.22</v>
      </c>
      <c r="H368" t="str">
        <f ca="1">IFERROR(__xludf.DUMMYFUNCTION("""COMPUTED_VALUE"""),"LE GOFF Gildas")</f>
        <v>LE GOFF Gildas</v>
      </c>
      <c r="I368" t="str">
        <f ca="1">IFERROR(__xludf.DUMMYFUNCTION("""COMPUTED_VALUE"""),"gildas.le-goff@systeme-u.fr")</f>
        <v>gildas.le-goff@systeme-u.fr</v>
      </c>
      <c r="J368" t="str">
        <f ca="1">IFERROR(__xludf.DUMMYFUNCTION("""COMPUTED_VALUE"""),"CLAQUIN Franck")</f>
        <v>CLAQUIN Franck</v>
      </c>
      <c r="K368" t="str">
        <f ca="1">IFERROR(__xludf.DUMMYFUNCTION("""COMPUTED_VALUE"""),"superu.guipavas.sav@systeme-u.fr")</f>
        <v>superu.guipavas.sav@systeme-u.fr</v>
      </c>
      <c r="L368" t="str">
        <f ca="1">IFERROR(__xludf.DUMMYFUNCTION("""COMPUTED_VALUE"""),"")</f>
        <v/>
      </c>
      <c r="M368" t="str">
        <f ca="1">IFERROR(__xludf.DUMMYFUNCTION("""COMPUTED_VALUE"""),"99.Hors Périmetre")</f>
        <v>99.Hors Périmetre</v>
      </c>
      <c r="N368" t="str">
        <f ca="1">IFERROR(__xludf.DUMMYFUNCTION("""COMPUTED_VALUE"""),"")</f>
        <v/>
      </c>
      <c r="O368" t="str">
        <f ca="1">IFERROR(__xludf.DUMMYFUNCTION("""COMPUTED_VALUE"""),"")</f>
        <v/>
      </c>
      <c r="P368" t="str">
        <f ca="1">IFERROR(__xludf.DUMMYFUNCTION("""COMPUTED_VALUE"""),"")</f>
        <v/>
      </c>
      <c r="Q368" s="5" t="str">
        <f ca="1">IFERROR(__xludf.DUMMYFUNCTION("""COMPUTED_VALUE"""),"")</f>
        <v/>
      </c>
      <c r="R368" s="6" t="str">
        <f ca="1">IFERROR(__xludf.DUMMYFUNCTION("""COMPUTED_VALUE"""),"")</f>
        <v/>
      </c>
      <c r="S368" t="str">
        <f ca="1">IFERROR(__xludf.DUMMYFUNCTION("""COMPUTED_VALUE"""),"")</f>
        <v/>
      </c>
      <c r="T368" t="str">
        <f ca="1">IFERROR(__xludf.DUMMYFUNCTION("""COMPUTED_VALUE"""),"")</f>
        <v/>
      </c>
      <c r="U368" t="str">
        <f ca="1">IFERROR(__xludf.DUMMYFUNCTION("""COMPUTED_VALUE"""),"")</f>
        <v/>
      </c>
      <c r="V368" t="str">
        <f ca="1">IFERROR(__xludf.DUMMYFUNCTION("""COMPUTED_VALUE"""),"")</f>
        <v/>
      </c>
      <c r="W368" t="str">
        <f ca="1">IFERROR(__xludf.DUMMYFUNCTION("""COMPUTED_VALUE"""),"")</f>
        <v/>
      </c>
      <c r="X368" t="str">
        <f ca="1">IFERROR(__xludf.DUMMYFUNCTION("""COMPUTED_VALUE"""),"")</f>
        <v/>
      </c>
      <c r="Y368" t="str">
        <f ca="1">IFERROR(__xludf.DUMMYFUNCTION("""COMPUTED_VALUE"""),"")</f>
        <v/>
      </c>
      <c r="Z368" t="str">
        <f ca="1">IFERROR(__xludf.DUMMYFUNCTION("""COMPUTED_VALUE"""),"")</f>
        <v/>
      </c>
      <c r="AA368" t="str">
        <f ca="1">IFERROR(__xludf.DUMMYFUNCTION("""COMPUTED_VALUE"""),"Pas de commande")</f>
        <v>Pas de commande</v>
      </c>
      <c r="AB368" s="8" t="str">
        <f ca="1">IFERROR(__xludf.DUMMYFUNCTION("""COMPUTED_VALUE"""),"")</f>
        <v/>
      </c>
      <c r="AC368" s="8" t="str">
        <f ca="1">IFERROR(__xludf.DUMMYFUNCTION("""COMPUTED_VALUE"""),"")</f>
        <v/>
      </c>
      <c r="AD368" s="11" t="str">
        <f ca="1">IFERROR(__xludf.DUMMYFUNCTION("""COMPUTED_VALUE"""),"")</f>
        <v/>
      </c>
      <c r="AE368" t="str">
        <f ca="1">IFERROR(__xludf.DUMMYFUNCTION("""COMPUTED_VALUE"""),"")</f>
        <v/>
      </c>
    </row>
    <row r="369" spans="1:31" ht="12.75" x14ac:dyDescent="0.2">
      <c r="A369">
        <f ca="1">IFERROR(__xludf.DUMMYFUNCTION("""COMPUTED_VALUE"""),35479)</f>
        <v>35479</v>
      </c>
      <c r="B369" t="str">
        <f ca="1">IFERROR(__xludf.DUMMYFUNCTION("""COMPUTED_VALUE"""),"GUIPRY")</f>
        <v>GUIPRY</v>
      </c>
      <c r="C369" t="str">
        <f ca="1">IFERROR(__xludf.DUMMYFUNCTION("""COMPUTED_VALUE"""),"Super U")</f>
        <v>Super U</v>
      </c>
      <c r="D369" t="str">
        <f ca="1">IFERROR(__xludf.DUMMYFUNCTION("""COMPUTED_VALUE"""),"Coop U Enseigne Ouest")</f>
        <v>Coop U Enseigne Ouest</v>
      </c>
      <c r="E369">
        <f ca="1">IFERROR(__xludf.DUMMYFUNCTION("""COMPUTED_VALUE"""),35480)</f>
        <v>35480</v>
      </c>
      <c r="F369" t="str">
        <f ca="1">IFERROR(__xludf.DUMMYFUNCTION("""COMPUTED_VALUE"""),"35 AVENUE DU PORT")</f>
        <v>35 AVENUE DU PORT</v>
      </c>
      <c r="G369" t="str">
        <f ca="1">IFERROR(__xludf.DUMMYFUNCTION("""COMPUTED_VALUE"""),"02.99.34.71.79")</f>
        <v>02.99.34.71.79</v>
      </c>
      <c r="H369" t="str">
        <f ca="1">IFERROR(__xludf.DUMMYFUNCTION("""COMPUTED_VALUE"""),"BRIAND RPT SARL FINANCIERE VAD Mathilde")</f>
        <v>BRIAND RPT SARL FINANCIERE VAD Mathilde</v>
      </c>
      <c r="I369" t="str">
        <f ca="1">IFERROR(__xludf.DUMMYFUNCTION("""COMPUTED_VALUE"""),"mathilde.briand@systeme-u.fr")</f>
        <v>mathilde.briand@systeme-u.fr</v>
      </c>
      <c r="J369" t="str">
        <f ca="1">IFERROR(__xludf.DUMMYFUNCTION("""COMPUTED_VALUE"""),"sorel julie")</f>
        <v>sorel julie</v>
      </c>
      <c r="K369" t="str">
        <f ca="1">IFERROR(__xludf.DUMMYFUNCTION("""COMPUTED_VALUE"""),"julie.sorel@systeme-u.fr")</f>
        <v>julie.sorel@systeme-u.fr</v>
      </c>
      <c r="L369" t="str">
        <f ca="1">IFERROR(__xludf.DUMMYFUNCTION("""COMPUTED_VALUE"""),"")</f>
        <v/>
      </c>
      <c r="M369" t="str">
        <f ca="1">IFERROR(__xludf.DUMMYFUNCTION("""COMPUTED_VALUE"""),"99.Hors Périmetre")</f>
        <v>99.Hors Périmetre</v>
      </c>
      <c r="N369" t="str">
        <f ca="1">IFERROR(__xludf.DUMMYFUNCTION("""COMPUTED_VALUE"""),"")</f>
        <v/>
      </c>
      <c r="O369" t="str">
        <f ca="1">IFERROR(__xludf.DUMMYFUNCTION("""COMPUTED_VALUE"""),"")</f>
        <v/>
      </c>
      <c r="P369" t="str">
        <f ca="1">IFERROR(__xludf.DUMMYFUNCTION("""COMPUTED_VALUE"""),"")</f>
        <v/>
      </c>
      <c r="Q369" s="5" t="str">
        <f ca="1">IFERROR(__xludf.DUMMYFUNCTION("""COMPUTED_VALUE"""),"")</f>
        <v/>
      </c>
      <c r="R369" s="6" t="str">
        <f ca="1">IFERROR(__xludf.DUMMYFUNCTION("""COMPUTED_VALUE"""),"")</f>
        <v/>
      </c>
      <c r="S369" t="str">
        <f ca="1">IFERROR(__xludf.DUMMYFUNCTION("""COMPUTED_VALUE"""),"")</f>
        <v/>
      </c>
      <c r="T369" t="str">
        <f ca="1">IFERROR(__xludf.DUMMYFUNCTION("""COMPUTED_VALUE"""),"")</f>
        <v/>
      </c>
      <c r="U369" t="str">
        <f ca="1">IFERROR(__xludf.DUMMYFUNCTION("""COMPUTED_VALUE"""),"")</f>
        <v/>
      </c>
      <c r="V369" t="str">
        <f ca="1">IFERROR(__xludf.DUMMYFUNCTION("""COMPUTED_VALUE"""),"")</f>
        <v/>
      </c>
      <c r="W369" t="str">
        <f ca="1">IFERROR(__xludf.DUMMYFUNCTION("""COMPUTED_VALUE"""),"")</f>
        <v/>
      </c>
      <c r="X369" t="str">
        <f ca="1">IFERROR(__xludf.DUMMYFUNCTION("""COMPUTED_VALUE"""),"")</f>
        <v/>
      </c>
      <c r="Y369" t="str">
        <f ca="1">IFERROR(__xludf.DUMMYFUNCTION("""COMPUTED_VALUE"""),"")</f>
        <v/>
      </c>
      <c r="Z369" t="str">
        <f ca="1">IFERROR(__xludf.DUMMYFUNCTION("""COMPUTED_VALUE"""),"")</f>
        <v/>
      </c>
      <c r="AA369" t="str">
        <f ca="1">IFERROR(__xludf.DUMMYFUNCTION("""COMPUTED_VALUE"""),"Pas de commande")</f>
        <v>Pas de commande</v>
      </c>
      <c r="AB369" s="8" t="str">
        <f ca="1">IFERROR(__xludf.DUMMYFUNCTION("""COMPUTED_VALUE"""),"")</f>
        <v/>
      </c>
      <c r="AC369" s="8" t="str">
        <f ca="1">IFERROR(__xludf.DUMMYFUNCTION("""COMPUTED_VALUE"""),"")</f>
        <v/>
      </c>
      <c r="AD369" s="11" t="str">
        <f ca="1">IFERROR(__xludf.DUMMYFUNCTION("""COMPUTED_VALUE"""),"")</f>
        <v/>
      </c>
      <c r="AE369" t="str">
        <f ca="1">IFERROR(__xludf.DUMMYFUNCTION("""COMPUTED_VALUE"""),"")</f>
        <v/>
      </c>
    </row>
    <row r="370" spans="1:31" ht="12.75" x14ac:dyDescent="0.2">
      <c r="A370">
        <f ca="1">IFERROR(__xludf.DUMMYFUNCTION("""COMPUTED_VALUE"""),95258)</f>
        <v>95258</v>
      </c>
      <c r="B370" t="str">
        <f ca="1">IFERROR(__xludf.DUMMYFUNCTION("""COMPUTED_VALUE"""),"GUJAN MESTRAS")</f>
        <v>GUJAN MESTRAS</v>
      </c>
      <c r="C370" t="str">
        <f ca="1">IFERROR(__xludf.DUMMYFUNCTION("""COMPUTED_VALUE"""),"Hyper U")</f>
        <v>Hyper U</v>
      </c>
      <c r="D370" t="str">
        <f ca="1">IFERROR(__xludf.DUMMYFUNCTION("""COMPUTED_VALUE"""),"Coop U Enseigne Sud")</f>
        <v>Coop U Enseigne Sud</v>
      </c>
      <c r="E370">
        <f ca="1">IFERROR(__xludf.DUMMYFUNCTION("""COMPUTED_VALUE"""),33470)</f>
        <v>33470</v>
      </c>
      <c r="F370" t="str">
        <f ca="1">IFERROR(__xludf.DUMMYFUNCTION("""COMPUTED_VALUE"""),"AVENUE DE CESAREE")</f>
        <v>AVENUE DE CESAREE</v>
      </c>
      <c r="G370" t="str">
        <f ca="1">IFERROR(__xludf.DUMMYFUNCTION("""COMPUTED_VALUE"""),"05.56.22.36.00")</f>
        <v>05.56.22.36.00</v>
      </c>
      <c r="H370" t="str">
        <f ca="1">IFERROR(__xludf.DUMMYFUNCTION("""COMPUTED_VALUE"""),"VALLIER Jerome")</f>
        <v>VALLIER Jerome</v>
      </c>
      <c r="I370" t="str">
        <f ca="1">IFERROR(__xludf.DUMMYFUNCTION("""COMPUTED_VALUE"""),"jerome.vallier@systeme-u.fr")</f>
        <v>jerome.vallier@systeme-u.fr</v>
      </c>
      <c r="J370" t="str">
        <f ca="1">IFERROR(__xludf.DUMMYFUNCTION("""COMPUTED_VALUE"""),"Mme. Gosselin")</f>
        <v>Mme. Gosselin</v>
      </c>
      <c r="K370" t="str">
        <f ca="1">IFERROR(__xludf.DUMMYFUNCTION("""COMPUTED_VALUE"""),"hyperu.gujanmestras.qualite@systeme-u.fr")</f>
        <v>hyperu.gujanmestras.qualite@systeme-u.fr</v>
      </c>
      <c r="L370" t="str">
        <f ca="1">IFERROR(__xludf.DUMMYFUNCTION("""COMPUTED_VALUE"""),"")</f>
        <v/>
      </c>
      <c r="M370" t="str">
        <f ca="1">IFERROR(__xludf.DUMMYFUNCTION("""COMPUTED_VALUE"""),"99.Hors Périmetre")</f>
        <v>99.Hors Périmetre</v>
      </c>
      <c r="N370" t="str">
        <f ca="1">IFERROR(__xludf.DUMMYFUNCTION("""COMPUTED_VALUE"""),"")</f>
        <v/>
      </c>
      <c r="O370" t="str">
        <f ca="1">IFERROR(__xludf.DUMMYFUNCTION("""COMPUTED_VALUE"""),"")</f>
        <v/>
      </c>
      <c r="P370" t="str">
        <f ca="1">IFERROR(__xludf.DUMMYFUNCTION("""COMPUTED_VALUE"""),"")</f>
        <v/>
      </c>
      <c r="Q370" s="5" t="str">
        <f ca="1">IFERROR(__xludf.DUMMYFUNCTION("""COMPUTED_VALUE"""),"")</f>
        <v/>
      </c>
      <c r="R370" s="6" t="str">
        <f ca="1">IFERROR(__xludf.DUMMYFUNCTION("""COMPUTED_VALUE"""),"")</f>
        <v/>
      </c>
      <c r="S370" t="str">
        <f ca="1">IFERROR(__xludf.DUMMYFUNCTION("""COMPUTED_VALUE"""),"")</f>
        <v/>
      </c>
      <c r="T370" t="str">
        <f ca="1">IFERROR(__xludf.DUMMYFUNCTION("""COMPUTED_VALUE"""),"")</f>
        <v/>
      </c>
      <c r="U370" t="str">
        <f ca="1">IFERROR(__xludf.DUMMYFUNCTION("""COMPUTED_VALUE"""),"")</f>
        <v/>
      </c>
      <c r="V370" t="str">
        <f ca="1">IFERROR(__xludf.DUMMYFUNCTION("""COMPUTED_VALUE"""),"")</f>
        <v/>
      </c>
      <c r="W370" t="str">
        <f ca="1">IFERROR(__xludf.DUMMYFUNCTION("""COMPUTED_VALUE"""),"")</f>
        <v/>
      </c>
      <c r="X370" t="str">
        <f ca="1">IFERROR(__xludf.DUMMYFUNCTION("""COMPUTED_VALUE"""),"")</f>
        <v/>
      </c>
      <c r="Y370" t="str">
        <f ca="1">IFERROR(__xludf.DUMMYFUNCTION("""COMPUTED_VALUE"""),"")</f>
        <v/>
      </c>
      <c r="Z370" t="str">
        <f ca="1">IFERROR(__xludf.DUMMYFUNCTION("""COMPUTED_VALUE"""),"")</f>
        <v/>
      </c>
      <c r="AA370" t="str">
        <f ca="1">IFERROR(__xludf.DUMMYFUNCTION("""COMPUTED_VALUE"""),"Pas de commande")</f>
        <v>Pas de commande</v>
      </c>
      <c r="AB370" s="8" t="str">
        <f ca="1">IFERROR(__xludf.DUMMYFUNCTION("""COMPUTED_VALUE"""),"")</f>
        <v/>
      </c>
      <c r="AC370" s="8" t="str">
        <f ca="1">IFERROR(__xludf.DUMMYFUNCTION("""COMPUTED_VALUE"""),"")</f>
        <v/>
      </c>
      <c r="AD370" s="11" t="str">
        <f ca="1">IFERROR(__xludf.DUMMYFUNCTION("""COMPUTED_VALUE"""),"")</f>
        <v/>
      </c>
      <c r="AE370" t="str">
        <f ca="1">IFERROR(__xludf.DUMMYFUNCTION("""COMPUTED_VALUE"""),"")</f>
        <v/>
      </c>
    </row>
    <row r="371" spans="1:31" ht="12.75" x14ac:dyDescent="0.2">
      <c r="A371">
        <f ca="1">IFERROR(__xludf.DUMMYFUNCTION("""COMPUTED_VALUE"""),68536)</f>
        <v>68536</v>
      </c>
      <c r="B371" t="str">
        <f ca="1">IFERROR(__xludf.DUMMYFUNCTION("""COMPUTED_VALUE"""),"GUNDERSHOFFEN")</f>
        <v>GUNDERSHOFFEN</v>
      </c>
      <c r="C371" t="str">
        <f ca="1">IFERROR(__xludf.DUMMYFUNCTION("""COMPUTED_VALUE"""),"Super U")</f>
        <v>Super U</v>
      </c>
      <c r="D371" t="str">
        <f ca="1">IFERROR(__xludf.DUMMYFUNCTION("""COMPUTED_VALUE"""),"Coop U Enseigne Est")</f>
        <v>Coop U Enseigne Est</v>
      </c>
      <c r="E371">
        <f ca="1">IFERROR(__xludf.DUMMYFUNCTION("""COMPUTED_VALUE"""),67110)</f>
        <v>67110</v>
      </c>
      <c r="F371" t="str">
        <f ca="1">IFERROR(__xludf.DUMMYFUNCTION("""COMPUTED_VALUE"""),"ZA DE LA HARDT")</f>
        <v>ZA DE LA HARDT</v>
      </c>
      <c r="G371" t="str">
        <f ca="1">IFERROR(__xludf.DUMMYFUNCTION("""COMPUTED_VALUE"""),"03.88.07.84.60")</f>
        <v>03.88.07.84.60</v>
      </c>
      <c r="H371" t="str">
        <f ca="1">IFERROR(__xludf.DUMMYFUNCTION("""COMPUTED_VALUE"""),"LEROY Emmanuel")</f>
        <v>LEROY Emmanuel</v>
      </c>
      <c r="I371" t="str">
        <f ca="1">IFERROR(__xludf.DUMMYFUNCTION("""COMPUTED_VALUE"""),"emmanuel.leroy@systeme-u.fr")</f>
        <v>emmanuel.leroy@systeme-u.fr</v>
      </c>
      <c r="J371" t="str">
        <f ca="1">IFERROR(__xludf.DUMMYFUNCTION("""COMPUTED_VALUE"""),"")</f>
        <v/>
      </c>
      <c r="K371" t="str">
        <f ca="1">IFERROR(__xludf.DUMMYFUNCTION("""COMPUTED_VALUE"""),"")</f>
        <v/>
      </c>
      <c r="L371" t="str">
        <f ca="1">IFERROR(__xludf.DUMMYFUNCTION("""COMPUTED_VALUE"""),"")</f>
        <v/>
      </c>
      <c r="M371" t="str">
        <f ca="1">IFERROR(__xludf.DUMMYFUNCTION("""COMPUTED_VALUE"""),"99.Hors Périmetre")</f>
        <v>99.Hors Périmetre</v>
      </c>
      <c r="N371" t="str">
        <f ca="1">IFERROR(__xludf.DUMMYFUNCTION("""COMPUTED_VALUE"""),"")</f>
        <v/>
      </c>
      <c r="O371" t="str">
        <f ca="1">IFERROR(__xludf.DUMMYFUNCTION("""COMPUTED_VALUE"""),"")</f>
        <v/>
      </c>
      <c r="P371" t="str">
        <f ca="1">IFERROR(__xludf.DUMMYFUNCTION("""COMPUTED_VALUE"""),"")</f>
        <v/>
      </c>
      <c r="Q371" s="5" t="str">
        <f ca="1">IFERROR(__xludf.DUMMYFUNCTION("""COMPUTED_VALUE"""),"")</f>
        <v/>
      </c>
      <c r="R371" s="6" t="str">
        <f ca="1">IFERROR(__xludf.DUMMYFUNCTION("""COMPUTED_VALUE"""),"")</f>
        <v/>
      </c>
      <c r="S371" t="str">
        <f ca="1">IFERROR(__xludf.DUMMYFUNCTION("""COMPUTED_VALUE"""),"")</f>
        <v/>
      </c>
      <c r="T371" t="str">
        <f ca="1">IFERROR(__xludf.DUMMYFUNCTION("""COMPUTED_VALUE"""),"")</f>
        <v/>
      </c>
      <c r="U371" t="str">
        <f ca="1">IFERROR(__xludf.DUMMYFUNCTION("""COMPUTED_VALUE"""),"")</f>
        <v/>
      </c>
      <c r="V371" t="str">
        <f ca="1">IFERROR(__xludf.DUMMYFUNCTION("""COMPUTED_VALUE"""),"")</f>
        <v/>
      </c>
      <c r="W371" t="str">
        <f ca="1">IFERROR(__xludf.DUMMYFUNCTION("""COMPUTED_VALUE"""),"")</f>
        <v/>
      </c>
      <c r="X371" t="str">
        <f ca="1">IFERROR(__xludf.DUMMYFUNCTION("""COMPUTED_VALUE"""),"")</f>
        <v/>
      </c>
      <c r="Y371" t="str">
        <f ca="1">IFERROR(__xludf.DUMMYFUNCTION("""COMPUTED_VALUE"""),"")</f>
        <v/>
      </c>
      <c r="Z371" t="str">
        <f ca="1">IFERROR(__xludf.DUMMYFUNCTION("""COMPUTED_VALUE"""),"")</f>
        <v/>
      </c>
      <c r="AA371" t="str">
        <f ca="1">IFERROR(__xludf.DUMMYFUNCTION("""COMPUTED_VALUE"""),"Pas de commande")</f>
        <v>Pas de commande</v>
      </c>
      <c r="AB371" s="8" t="str">
        <f ca="1">IFERROR(__xludf.DUMMYFUNCTION("""COMPUTED_VALUE"""),"")</f>
        <v/>
      </c>
      <c r="AC371" s="8" t="str">
        <f ca="1">IFERROR(__xludf.DUMMYFUNCTION("""COMPUTED_VALUE"""),"")</f>
        <v/>
      </c>
      <c r="AD371" s="11" t="str">
        <f ca="1">IFERROR(__xludf.DUMMYFUNCTION("""COMPUTED_VALUE"""),"")</f>
        <v/>
      </c>
      <c r="AE371" t="str">
        <f ca="1">IFERROR(__xludf.DUMMYFUNCTION("""COMPUTED_VALUE"""),"")</f>
        <v/>
      </c>
    </row>
    <row r="372" spans="1:31" ht="12.75" x14ac:dyDescent="0.2">
      <c r="A372">
        <f ca="1">IFERROR(__xludf.DUMMYFUNCTION("""COMPUTED_VALUE"""),23700)</f>
        <v>23700</v>
      </c>
      <c r="B372" t="str">
        <f ca="1">IFERROR(__xludf.DUMMYFUNCTION("""COMPUTED_VALUE"""),"GUYANCOURT")</f>
        <v>GUYANCOURT</v>
      </c>
      <c r="C372" t="str">
        <f ca="1">IFERROR(__xludf.DUMMYFUNCTION("""COMPUTED_VALUE"""),"U Express")</f>
        <v>U Express</v>
      </c>
      <c r="D372" t="str">
        <f ca="1">IFERROR(__xludf.DUMMYFUNCTION("""COMPUTED_VALUE"""),"Coop U Enseigne NordOuest")</f>
        <v>Coop U Enseigne NordOuest</v>
      </c>
      <c r="E372">
        <f ca="1">IFERROR(__xludf.DUMMYFUNCTION("""COMPUTED_VALUE"""),78280)</f>
        <v>78280</v>
      </c>
      <c r="F372" t="str">
        <f ca="1">IFERROR(__xludf.DUMMYFUNCTION("""COMPUTED_VALUE"""),"CENTRE COMMERCIAL LOUIS BLÉRIOT")</f>
        <v>CENTRE COMMERCIAL LOUIS BLÉRIOT</v>
      </c>
      <c r="G372" t="str">
        <f ca="1">IFERROR(__xludf.DUMMYFUNCTION("""COMPUTED_VALUE"""),"01.30.48.21.40")</f>
        <v>01.30.48.21.40</v>
      </c>
      <c r="H372" t="str">
        <f ca="1">IFERROR(__xludf.DUMMYFUNCTION("""COMPUTED_VALUE"""),"GILLIET Frédéric")</f>
        <v>GILLIET Frédéric</v>
      </c>
      <c r="I372" t="str">
        <f ca="1">IFERROR(__xludf.DUMMYFUNCTION("""COMPUTED_VALUE"""),"frederic.gilliet@systeme-u.fr")</f>
        <v>frederic.gilliet@systeme-u.fr</v>
      </c>
      <c r="J372" t="str">
        <f ca="1">IFERROR(__xludf.DUMMYFUNCTION("""COMPUTED_VALUE"""),"")</f>
        <v/>
      </c>
      <c r="K372" t="str">
        <f ca="1">IFERROR(__xludf.DUMMYFUNCTION("""COMPUTED_VALUE"""),"")</f>
        <v/>
      </c>
      <c r="L372" t="str">
        <f ca="1">IFERROR(__xludf.DUMMYFUNCTION("""COMPUTED_VALUE"""),"")</f>
        <v/>
      </c>
      <c r="M372" t="str">
        <f ca="1">IFERROR(__xludf.DUMMYFUNCTION("""COMPUTED_VALUE"""),"99.Hors Périmetre")</f>
        <v>99.Hors Périmetre</v>
      </c>
      <c r="N372" t="str">
        <f ca="1">IFERROR(__xludf.DUMMYFUNCTION("""COMPUTED_VALUE"""),"")</f>
        <v/>
      </c>
      <c r="O372" t="str">
        <f ca="1">IFERROR(__xludf.DUMMYFUNCTION("""COMPUTED_VALUE"""),"")</f>
        <v/>
      </c>
      <c r="P372" t="str">
        <f ca="1">IFERROR(__xludf.DUMMYFUNCTION("""COMPUTED_VALUE"""),"")</f>
        <v/>
      </c>
      <c r="Q372" s="5" t="str">
        <f ca="1">IFERROR(__xludf.DUMMYFUNCTION("""COMPUTED_VALUE"""),"")</f>
        <v/>
      </c>
      <c r="R372" s="6" t="str">
        <f ca="1">IFERROR(__xludf.DUMMYFUNCTION("""COMPUTED_VALUE"""),"")</f>
        <v/>
      </c>
      <c r="S372" t="str">
        <f ca="1">IFERROR(__xludf.DUMMYFUNCTION("""COMPUTED_VALUE"""),"")</f>
        <v/>
      </c>
      <c r="T372" t="str">
        <f ca="1">IFERROR(__xludf.DUMMYFUNCTION("""COMPUTED_VALUE"""),"")</f>
        <v/>
      </c>
      <c r="U372" t="str">
        <f ca="1">IFERROR(__xludf.DUMMYFUNCTION("""COMPUTED_VALUE"""),"")</f>
        <v/>
      </c>
      <c r="V372" t="str">
        <f ca="1">IFERROR(__xludf.DUMMYFUNCTION("""COMPUTED_VALUE"""),"")</f>
        <v/>
      </c>
      <c r="W372" t="str">
        <f ca="1">IFERROR(__xludf.DUMMYFUNCTION("""COMPUTED_VALUE"""),"")</f>
        <v/>
      </c>
      <c r="X372" t="str">
        <f ca="1">IFERROR(__xludf.DUMMYFUNCTION("""COMPUTED_VALUE"""),"")</f>
        <v/>
      </c>
      <c r="Y372" t="str">
        <f ca="1">IFERROR(__xludf.DUMMYFUNCTION("""COMPUTED_VALUE"""),"")</f>
        <v/>
      </c>
      <c r="Z372" t="str">
        <f ca="1">IFERROR(__xludf.DUMMYFUNCTION("""COMPUTED_VALUE"""),"")</f>
        <v/>
      </c>
      <c r="AA372" t="str">
        <f ca="1">IFERROR(__xludf.DUMMYFUNCTION("""COMPUTED_VALUE"""),"Pas de commande")</f>
        <v>Pas de commande</v>
      </c>
      <c r="AB372" s="8" t="str">
        <f ca="1">IFERROR(__xludf.DUMMYFUNCTION("""COMPUTED_VALUE"""),"")</f>
        <v/>
      </c>
      <c r="AC372" s="8" t="str">
        <f ca="1">IFERROR(__xludf.DUMMYFUNCTION("""COMPUTED_VALUE"""),"")</f>
        <v/>
      </c>
      <c r="AD372" s="11" t="str">
        <f ca="1">IFERROR(__xludf.DUMMYFUNCTION("""COMPUTED_VALUE"""),"")</f>
        <v/>
      </c>
      <c r="AE372" t="str">
        <f ca="1">IFERROR(__xludf.DUMMYFUNCTION("""COMPUTED_VALUE"""),"")</f>
        <v/>
      </c>
    </row>
    <row r="373" spans="1:31" ht="12.75" x14ac:dyDescent="0.2">
      <c r="A373">
        <f ca="1">IFERROR(__xludf.DUMMYFUNCTION("""COMPUTED_VALUE"""),21643)</f>
        <v>21643</v>
      </c>
      <c r="B373" t="str">
        <f ca="1">IFERROR(__xludf.DUMMYFUNCTION("""COMPUTED_VALUE"""),"HANCHES")</f>
        <v>HANCHES</v>
      </c>
      <c r="C373" t="str">
        <f ca="1">IFERROR(__xludf.DUMMYFUNCTION("""COMPUTED_VALUE"""),"Hyper U")</f>
        <v>Hyper U</v>
      </c>
      <c r="D373" t="str">
        <f ca="1">IFERROR(__xludf.DUMMYFUNCTION("""COMPUTED_VALUE"""),"Coop U Enseigne NordOuest")</f>
        <v>Coop U Enseigne NordOuest</v>
      </c>
      <c r="E373">
        <f ca="1">IFERROR(__xludf.DUMMYFUNCTION("""COMPUTED_VALUE"""),28130)</f>
        <v>28130</v>
      </c>
      <c r="F373" t="str">
        <f ca="1">IFERROR(__xludf.DUMMYFUNCTION("""COMPUTED_VALUE"""),"ROUTE DE GALLARDON")</f>
        <v>ROUTE DE GALLARDON</v>
      </c>
      <c r="G373" t="str">
        <f ca="1">IFERROR(__xludf.DUMMYFUNCTION("""COMPUTED_VALUE"""),"02.37.18.28.60")</f>
        <v>02.37.18.28.60</v>
      </c>
      <c r="H373" t="str">
        <f ca="1">IFERROR(__xludf.DUMMYFUNCTION("""COMPUTED_VALUE"""),"DIERICK Sébastien")</f>
        <v>DIERICK Sébastien</v>
      </c>
      <c r="I373" t="str">
        <f ca="1">IFERROR(__xludf.DUMMYFUNCTION("""COMPUTED_VALUE"""),"sebastien.dierick@systeme-u.fr")</f>
        <v>sebastien.dierick@systeme-u.fr</v>
      </c>
      <c r="J373" t="str">
        <f ca="1">IFERROR(__xludf.DUMMYFUNCTION("""COMPUTED_VALUE"""),"Cathy LEHOUX")</f>
        <v>Cathy LEHOUX</v>
      </c>
      <c r="K373" t="str">
        <f ca="1">IFERROR(__xludf.DUMMYFUNCTION("""COMPUTED_VALUE"""),"hyperu.hanches@systeme-u.fr")</f>
        <v>hyperu.hanches@systeme-u.fr</v>
      </c>
      <c r="L373" t="str">
        <f ca="1">IFERROR(__xludf.DUMMYFUNCTION("""COMPUTED_VALUE"""),"")</f>
        <v/>
      </c>
      <c r="M373" t="str">
        <f ca="1">IFERROR(__xludf.DUMMYFUNCTION("""COMPUTED_VALUE"""),"99.Hors Périmetre")</f>
        <v>99.Hors Périmetre</v>
      </c>
      <c r="N373" t="str">
        <f ca="1">IFERROR(__xludf.DUMMYFUNCTION("""COMPUTED_VALUE"""),"")</f>
        <v/>
      </c>
      <c r="O373" t="str">
        <f ca="1">IFERROR(__xludf.DUMMYFUNCTION("""COMPUTED_VALUE"""),"")</f>
        <v/>
      </c>
      <c r="P373" t="str">
        <f ca="1">IFERROR(__xludf.DUMMYFUNCTION("""COMPUTED_VALUE"""),"")</f>
        <v/>
      </c>
      <c r="Q373" s="5" t="str">
        <f ca="1">IFERROR(__xludf.DUMMYFUNCTION("""COMPUTED_VALUE"""),"")</f>
        <v/>
      </c>
      <c r="R373" s="6" t="str">
        <f ca="1">IFERROR(__xludf.DUMMYFUNCTION("""COMPUTED_VALUE"""),"")</f>
        <v/>
      </c>
      <c r="S373" t="str">
        <f ca="1">IFERROR(__xludf.DUMMYFUNCTION("""COMPUTED_VALUE"""),"")</f>
        <v/>
      </c>
      <c r="T373" t="str">
        <f ca="1">IFERROR(__xludf.DUMMYFUNCTION("""COMPUTED_VALUE"""),"")</f>
        <v/>
      </c>
      <c r="U373" t="str">
        <f ca="1">IFERROR(__xludf.DUMMYFUNCTION("""COMPUTED_VALUE"""),"")</f>
        <v/>
      </c>
      <c r="V373" t="str">
        <f ca="1">IFERROR(__xludf.DUMMYFUNCTION("""COMPUTED_VALUE"""),"")</f>
        <v/>
      </c>
      <c r="W373" t="str">
        <f ca="1">IFERROR(__xludf.DUMMYFUNCTION("""COMPUTED_VALUE"""),"")</f>
        <v/>
      </c>
      <c r="X373" t="str">
        <f ca="1">IFERROR(__xludf.DUMMYFUNCTION("""COMPUTED_VALUE"""),"")</f>
        <v/>
      </c>
      <c r="Y373" t="str">
        <f ca="1">IFERROR(__xludf.DUMMYFUNCTION("""COMPUTED_VALUE"""),"")</f>
        <v/>
      </c>
      <c r="Z373" t="str">
        <f ca="1">IFERROR(__xludf.DUMMYFUNCTION("""COMPUTED_VALUE"""),"")</f>
        <v/>
      </c>
      <c r="AA373" t="str">
        <f ca="1">IFERROR(__xludf.DUMMYFUNCTION("""COMPUTED_VALUE"""),"Pas de commande")</f>
        <v>Pas de commande</v>
      </c>
      <c r="AB373" s="8" t="str">
        <f ca="1">IFERROR(__xludf.DUMMYFUNCTION("""COMPUTED_VALUE"""),"")</f>
        <v/>
      </c>
      <c r="AC373" s="8" t="str">
        <f ca="1">IFERROR(__xludf.DUMMYFUNCTION("""COMPUTED_VALUE"""),"")</f>
        <v/>
      </c>
      <c r="AD373" s="11" t="str">
        <f ca="1">IFERROR(__xludf.DUMMYFUNCTION("""COMPUTED_VALUE"""),"")</f>
        <v/>
      </c>
      <c r="AE373" t="str">
        <f ca="1">IFERROR(__xludf.DUMMYFUNCTION("""COMPUTED_VALUE"""),"")</f>
        <v/>
      </c>
    </row>
    <row r="374" spans="1:31" ht="12.75" x14ac:dyDescent="0.2">
      <c r="A374">
        <f ca="1">IFERROR(__xludf.DUMMYFUNCTION("""COMPUTED_VALUE"""),38034)</f>
        <v>38034</v>
      </c>
      <c r="B374" t="str">
        <f ca="1">IFERROR(__xludf.DUMMYFUNCTION("""COMPUTED_VALUE"""),"HAUTE-GOULAINE")</f>
        <v>HAUTE-GOULAINE</v>
      </c>
      <c r="C374" t="str">
        <f ca="1">IFERROR(__xludf.DUMMYFUNCTION("""COMPUTED_VALUE"""),"U Express")</f>
        <v>U Express</v>
      </c>
      <c r="D374" t="str">
        <f ca="1">IFERROR(__xludf.DUMMYFUNCTION("""COMPUTED_VALUE"""),"Coop U Enseigne Ouest")</f>
        <v>Coop U Enseigne Ouest</v>
      </c>
      <c r="E374">
        <f ca="1">IFERROR(__xludf.DUMMYFUNCTION("""COMPUTED_VALUE"""),44115)</f>
        <v>44115</v>
      </c>
      <c r="F374" t="str">
        <f ca="1">IFERROR(__xludf.DUMMYFUNCTION("""COMPUTED_VALUE"""),"9 PLACE BEAUSOLEIL")</f>
        <v>9 PLACE BEAUSOLEIL</v>
      </c>
      <c r="G374" t="str">
        <f ca="1">IFERROR(__xludf.DUMMYFUNCTION("""COMPUTED_VALUE"""),"02.40.06.12.69")</f>
        <v>02.40.06.12.69</v>
      </c>
      <c r="H374" t="str">
        <f ca="1">IFERROR(__xludf.DUMMYFUNCTION("""COMPUTED_VALUE"""),"LEVRON Jean-Claude")</f>
        <v>LEVRON Jean-Claude</v>
      </c>
      <c r="I374" t="str">
        <f ca="1">IFERROR(__xludf.DUMMYFUNCTION("""COMPUTED_VALUE"""),"samuel.levron@systeme-u.fr")</f>
        <v>samuel.levron@systeme-u.fr</v>
      </c>
      <c r="J374" t="str">
        <f ca="1">IFERROR(__xludf.DUMMYFUNCTION("""COMPUTED_VALUE"""),"Mme Grelot")</f>
        <v>Mme Grelot</v>
      </c>
      <c r="K374" t="str">
        <f ca="1">IFERROR(__xludf.DUMMYFUNCTION("""COMPUTED_VALUE"""),"uexpress.hautegoulaine@systeme-u.fr")</f>
        <v>uexpress.hautegoulaine@systeme-u.fr</v>
      </c>
      <c r="L374" t="str">
        <f ca="1">IFERROR(__xludf.DUMMYFUNCTION("""COMPUTED_VALUE"""),"")</f>
        <v/>
      </c>
      <c r="M374" t="str">
        <f ca="1">IFERROR(__xludf.DUMMYFUNCTION("""COMPUTED_VALUE"""),"99.Hors Périmetre")</f>
        <v>99.Hors Périmetre</v>
      </c>
      <c r="N374" t="str">
        <f ca="1">IFERROR(__xludf.DUMMYFUNCTION("""COMPUTED_VALUE"""),"")</f>
        <v/>
      </c>
      <c r="O374" t="str">
        <f ca="1">IFERROR(__xludf.DUMMYFUNCTION("""COMPUTED_VALUE"""),"")</f>
        <v/>
      </c>
      <c r="P374" t="str">
        <f ca="1">IFERROR(__xludf.DUMMYFUNCTION("""COMPUTED_VALUE"""),"")</f>
        <v/>
      </c>
      <c r="Q374" s="5" t="str">
        <f ca="1">IFERROR(__xludf.DUMMYFUNCTION("""COMPUTED_VALUE"""),"")</f>
        <v/>
      </c>
      <c r="R374" s="6" t="str">
        <f ca="1">IFERROR(__xludf.DUMMYFUNCTION("""COMPUTED_VALUE"""),"")</f>
        <v/>
      </c>
      <c r="S374" t="str">
        <f ca="1">IFERROR(__xludf.DUMMYFUNCTION("""COMPUTED_VALUE"""),"")</f>
        <v/>
      </c>
      <c r="T374" t="str">
        <f ca="1">IFERROR(__xludf.DUMMYFUNCTION("""COMPUTED_VALUE"""),"")</f>
        <v/>
      </c>
      <c r="U374" t="str">
        <f ca="1">IFERROR(__xludf.DUMMYFUNCTION("""COMPUTED_VALUE"""),"")</f>
        <v/>
      </c>
      <c r="V374" t="str">
        <f ca="1">IFERROR(__xludf.DUMMYFUNCTION("""COMPUTED_VALUE"""),"")</f>
        <v/>
      </c>
      <c r="W374" t="str">
        <f ca="1">IFERROR(__xludf.DUMMYFUNCTION("""COMPUTED_VALUE"""),"")</f>
        <v/>
      </c>
      <c r="X374" t="str">
        <f ca="1">IFERROR(__xludf.DUMMYFUNCTION("""COMPUTED_VALUE"""),"")</f>
        <v/>
      </c>
      <c r="Y374" t="str">
        <f ca="1">IFERROR(__xludf.DUMMYFUNCTION("""COMPUTED_VALUE"""),"")</f>
        <v/>
      </c>
      <c r="Z374" t="str">
        <f ca="1">IFERROR(__xludf.DUMMYFUNCTION("""COMPUTED_VALUE"""),"")</f>
        <v/>
      </c>
      <c r="AA374" t="str">
        <f ca="1">IFERROR(__xludf.DUMMYFUNCTION("""COMPUTED_VALUE"""),"Pas de commande")</f>
        <v>Pas de commande</v>
      </c>
      <c r="AB374" s="8" t="str">
        <f ca="1">IFERROR(__xludf.DUMMYFUNCTION("""COMPUTED_VALUE"""),"")</f>
        <v/>
      </c>
      <c r="AC374" s="8" t="str">
        <f ca="1">IFERROR(__xludf.DUMMYFUNCTION("""COMPUTED_VALUE"""),"")</f>
        <v/>
      </c>
      <c r="AD374" s="11" t="str">
        <f ca="1">IFERROR(__xludf.DUMMYFUNCTION("""COMPUTED_VALUE"""),"")</f>
        <v/>
      </c>
      <c r="AE374" t="str">
        <f ca="1">IFERROR(__xludf.DUMMYFUNCTION("""COMPUTED_VALUE"""),"")</f>
        <v/>
      </c>
    </row>
    <row r="375" spans="1:31" ht="12.75" x14ac:dyDescent="0.2">
      <c r="A375">
        <f ca="1">IFERROR(__xludf.DUMMYFUNCTION("""COMPUTED_VALUE"""),25932)</f>
        <v>25932</v>
      </c>
      <c r="B375" t="str">
        <f ca="1">IFERROR(__xludf.DUMMYFUNCTION("""COMPUTED_VALUE"""),"HAZEBROUCK")</f>
        <v>HAZEBROUCK</v>
      </c>
      <c r="C375" t="str">
        <f ca="1">IFERROR(__xludf.DUMMYFUNCTION("""COMPUTED_VALUE"""),"Super U")</f>
        <v>Super U</v>
      </c>
      <c r="D375" t="str">
        <f ca="1">IFERROR(__xludf.DUMMYFUNCTION("""COMPUTED_VALUE"""),"Coop U Enseigne NordOuest")</f>
        <v>Coop U Enseigne NordOuest</v>
      </c>
      <c r="E375">
        <f ca="1">IFERROR(__xludf.DUMMYFUNCTION("""COMPUTED_VALUE"""),59190)</f>
        <v>59190</v>
      </c>
      <c r="F375" t="str">
        <f ca="1">IFERROR(__xludf.DUMMYFUNCTION("""COMPUTED_VALUE"""),"88 RUE NOTRE DAME")</f>
        <v>88 RUE NOTRE DAME</v>
      </c>
      <c r="G375" t="str">
        <f ca="1">IFERROR(__xludf.DUMMYFUNCTION("""COMPUTED_VALUE"""),"03.28.41.48.05")</f>
        <v>03.28.41.48.05</v>
      </c>
      <c r="H375" t="str">
        <f ca="1">IFERROR(__xludf.DUMMYFUNCTION("""COMPUTED_VALUE"""),"WILLEPOTTE Marius-Christophe")</f>
        <v>WILLEPOTTE Marius-Christophe</v>
      </c>
      <c r="I375" t="str">
        <f ca="1">IFERROR(__xludf.DUMMYFUNCTION("""COMPUTED_VALUE"""),"marius.willepotte@systeme-u.fr")</f>
        <v>marius.willepotte@systeme-u.fr</v>
      </c>
      <c r="J375" t="str">
        <f ca="1">IFERROR(__xludf.DUMMYFUNCTION("""COMPUTED_VALUE"""),"GOMBERT CHRISTOPHE")</f>
        <v>GOMBERT CHRISTOPHE</v>
      </c>
      <c r="K375" t="str">
        <f ca="1">IFERROR(__xludf.DUMMYFUNCTION("""COMPUTED_VALUE"""),"superu.hazebrouck.direction@systeme-u.fr")</f>
        <v>superu.hazebrouck.direction@systeme-u.fr</v>
      </c>
      <c r="L375" t="str">
        <f ca="1">IFERROR(__xludf.DUMMYFUNCTION("""COMPUTED_VALUE"""),"")</f>
        <v/>
      </c>
      <c r="M375" t="str">
        <f ca="1">IFERROR(__xludf.DUMMYFUNCTION("""COMPUTED_VALUE"""),"99.Hors Périmetre")</f>
        <v>99.Hors Périmetre</v>
      </c>
      <c r="N375" t="str">
        <f ca="1">IFERROR(__xludf.DUMMYFUNCTION("""COMPUTED_VALUE"""),"")</f>
        <v/>
      </c>
      <c r="O375" t="str">
        <f ca="1">IFERROR(__xludf.DUMMYFUNCTION("""COMPUTED_VALUE"""),"")</f>
        <v/>
      </c>
      <c r="P375" t="str">
        <f ca="1">IFERROR(__xludf.DUMMYFUNCTION("""COMPUTED_VALUE"""),"")</f>
        <v/>
      </c>
      <c r="Q375" s="5" t="str">
        <f ca="1">IFERROR(__xludf.DUMMYFUNCTION("""COMPUTED_VALUE"""),"")</f>
        <v/>
      </c>
      <c r="R375" s="6" t="str">
        <f ca="1">IFERROR(__xludf.DUMMYFUNCTION("""COMPUTED_VALUE"""),"")</f>
        <v/>
      </c>
      <c r="S375" t="str">
        <f ca="1">IFERROR(__xludf.DUMMYFUNCTION("""COMPUTED_VALUE"""),"")</f>
        <v/>
      </c>
      <c r="T375" t="str">
        <f ca="1">IFERROR(__xludf.DUMMYFUNCTION("""COMPUTED_VALUE"""),"")</f>
        <v/>
      </c>
      <c r="U375" t="str">
        <f ca="1">IFERROR(__xludf.DUMMYFUNCTION("""COMPUTED_VALUE"""),"")</f>
        <v/>
      </c>
      <c r="V375" t="str">
        <f ca="1">IFERROR(__xludf.DUMMYFUNCTION("""COMPUTED_VALUE"""),"")</f>
        <v/>
      </c>
      <c r="W375" t="str">
        <f ca="1">IFERROR(__xludf.DUMMYFUNCTION("""COMPUTED_VALUE"""),"")</f>
        <v/>
      </c>
      <c r="X375" t="str">
        <f ca="1">IFERROR(__xludf.DUMMYFUNCTION("""COMPUTED_VALUE"""),"")</f>
        <v/>
      </c>
      <c r="Y375" t="str">
        <f ca="1">IFERROR(__xludf.DUMMYFUNCTION("""COMPUTED_VALUE"""),"")</f>
        <v/>
      </c>
      <c r="Z375" t="str">
        <f ca="1">IFERROR(__xludf.DUMMYFUNCTION("""COMPUTED_VALUE"""),"")</f>
        <v/>
      </c>
      <c r="AA375" t="str">
        <f ca="1">IFERROR(__xludf.DUMMYFUNCTION("""COMPUTED_VALUE"""),"Pas de commande")</f>
        <v>Pas de commande</v>
      </c>
      <c r="AB375" s="8" t="str">
        <f ca="1">IFERROR(__xludf.DUMMYFUNCTION("""COMPUTED_VALUE"""),"")</f>
        <v/>
      </c>
      <c r="AC375" s="8" t="str">
        <f ca="1">IFERROR(__xludf.DUMMYFUNCTION("""COMPUTED_VALUE"""),"")</f>
        <v/>
      </c>
      <c r="AD375" s="11" t="str">
        <f ca="1">IFERROR(__xludf.DUMMYFUNCTION("""COMPUTED_VALUE"""),"")</f>
        <v/>
      </c>
      <c r="AE375" t="str">
        <f ca="1">IFERROR(__xludf.DUMMYFUNCTION("""COMPUTED_VALUE"""),"")</f>
        <v/>
      </c>
    </row>
    <row r="376" spans="1:31" ht="12.75" x14ac:dyDescent="0.2">
      <c r="A376">
        <f ca="1">IFERROR(__xludf.DUMMYFUNCTION("""COMPUTED_VALUE"""),60013)</f>
        <v>60013</v>
      </c>
      <c r="B376" t="str">
        <f ca="1">IFERROR(__xludf.DUMMYFUNCTION("""COMPUTED_VALUE"""),"HERBITZHEIM")</f>
        <v>HERBITZHEIM</v>
      </c>
      <c r="C376" t="str">
        <f ca="1">IFERROR(__xludf.DUMMYFUNCTION("""COMPUTED_VALUE"""),"U Express")</f>
        <v>U Express</v>
      </c>
      <c r="D376" t="str">
        <f ca="1">IFERROR(__xludf.DUMMYFUNCTION("""COMPUTED_VALUE"""),"Coop U Enseigne Est")</f>
        <v>Coop U Enseigne Est</v>
      </c>
      <c r="E376">
        <f ca="1">IFERROR(__xludf.DUMMYFUNCTION("""COMPUTED_VALUE"""),67260)</f>
        <v>67260</v>
      </c>
      <c r="F376" t="str">
        <f ca="1">IFERROR(__xludf.DUMMYFUNCTION("""COMPUTED_VALUE"""),"55 RUE DE KESKASTEL")</f>
        <v>55 RUE DE KESKASTEL</v>
      </c>
      <c r="G376" t="str">
        <f ca="1">IFERROR(__xludf.DUMMYFUNCTION("""COMPUTED_VALUE"""),"03.88.00.52.52")</f>
        <v>03.88.00.52.52</v>
      </c>
      <c r="H376" t="str">
        <f ca="1">IFERROR(__xludf.DUMMYFUNCTION("""COMPUTED_VALUE"""),"ZIMMERMANN Jean-Luc")</f>
        <v>ZIMMERMANN Jean-Luc</v>
      </c>
      <c r="I376" t="str">
        <f ca="1">IFERROR(__xludf.DUMMYFUNCTION("""COMPUTED_VALUE"""),"jean-luc.zimmermann@systeme-u.fr")</f>
        <v>jean-luc.zimmermann@systeme-u.fr</v>
      </c>
      <c r="J376" t="str">
        <f ca="1">IFERROR(__xludf.DUMMYFUNCTION("""COMPUTED_VALUE"""),"")</f>
        <v/>
      </c>
      <c r="K376" t="str">
        <f ca="1">IFERROR(__xludf.DUMMYFUNCTION("""COMPUTED_VALUE"""),"")</f>
        <v/>
      </c>
      <c r="L376" t="str">
        <f ca="1">IFERROR(__xludf.DUMMYFUNCTION("""COMPUTED_VALUE"""),"")</f>
        <v/>
      </c>
      <c r="M376" t="str">
        <f ca="1">IFERROR(__xludf.DUMMYFUNCTION("""COMPUTED_VALUE"""),"99.Hors Périmetre")</f>
        <v>99.Hors Périmetre</v>
      </c>
      <c r="N376" t="str">
        <f ca="1">IFERROR(__xludf.DUMMYFUNCTION("""COMPUTED_VALUE"""),"")</f>
        <v/>
      </c>
      <c r="O376" t="str">
        <f ca="1">IFERROR(__xludf.DUMMYFUNCTION("""COMPUTED_VALUE"""),"")</f>
        <v/>
      </c>
      <c r="P376" t="str">
        <f ca="1">IFERROR(__xludf.DUMMYFUNCTION("""COMPUTED_VALUE"""),"")</f>
        <v/>
      </c>
      <c r="Q376" s="5" t="str">
        <f ca="1">IFERROR(__xludf.DUMMYFUNCTION("""COMPUTED_VALUE"""),"")</f>
        <v/>
      </c>
      <c r="R376" s="6" t="str">
        <f ca="1">IFERROR(__xludf.DUMMYFUNCTION("""COMPUTED_VALUE"""),"")</f>
        <v/>
      </c>
      <c r="S376" t="str">
        <f ca="1">IFERROR(__xludf.DUMMYFUNCTION("""COMPUTED_VALUE"""),"")</f>
        <v/>
      </c>
      <c r="T376" t="str">
        <f ca="1">IFERROR(__xludf.DUMMYFUNCTION("""COMPUTED_VALUE"""),"")</f>
        <v/>
      </c>
      <c r="U376" t="str">
        <f ca="1">IFERROR(__xludf.DUMMYFUNCTION("""COMPUTED_VALUE"""),"")</f>
        <v/>
      </c>
      <c r="V376" t="str">
        <f ca="1">IFERROR(__xludf.DUMMYFUNCTION("""COMPUTED_VALUE"""),"")</f>
        <v/>
      </c>
      <c r="W376" t="str">
        <f ca="1">IFERROR(__xludf.DUMMYFUNCTION("""COMPUTED_VALUE"""),"R5")</f>
        <v>R5</v>
      </c>
      <c r="X376" t="str">
        <f ca="1">IFERROR(__xludf.DUMMYFUNCTION("""COMPUTED_VALUE"""),"U StoreBox")</f>
        <v>U StoreBox</v>
      </c>
      <c r="Y376" t="str">
        <f ca="1">IFERROR(__xludf.DUMMYFUNCTION("""COMPUTED_VALUE"""),"Primo")</f>
        <v>Primo</v>
      </c>
      <c r="Z376" t="str">
        <f ca="1">IFERROR(__xludf.DUMMYFUNCTION("""COMPUTED_VALUE"""),"")</f>
        <v/>
      </c>
      <c r="AA376" t="str">
        <f ca="1">IFERROR(__xludf.DUMMYFUNCTION("""COMPUTED_VALUE"""),"Commande validée")</f>
        <v>Commande validée</v>
      </c>
      <c r="AB376" s="8" t="str">
        <f ca="1">IFERROR(__xludf.DUMMYFUNCTION("""COMPUTED_VALUE"""),"")</f>
        <v/>
      </c>
      <c r="AC376" s="8" t="str">
        <f ca="1">IFERROR(__xludf.DUMMYFUNCTION("""COMPUTED_VALUE"""),"")</f>
        <v/>
      </c>
      <c r="AD376" s="11" t="str">
        <f ca="1">IFERROR(__xludf.DUMMYFUNCTION("""COMPUTED_VALUE"""),"")</f>
        <v/>
      </c>
      <c r="AE376" t="str">
        <f ca="1">IFERROR(__xludf.DUMMYFUNCTION("""COMPUTED_VALUE"""),"")</f>
        <v/>
      </c>
    </row>
    <row r="377" spans="1:31" ht="12.75" x14ac:dyDescent="0.2">
      <c r="A377">
        <f ca="1">IFERROR(__xludf.DUMMYFUNCTION("""COMPUTED_VALUE"""),23530)</f>
        <v>23530</v>
      </c>
      <c r="B377" t="str">
        <f ca="1">IFERROR(__xludf.DUMMYFUNCTION("""COMPUTED_VALUE"""),"HERBLAY")</f>
        <v>HERBLAY</v>
      </c>
      <c r="C377" t="str">
        <f ca="1">IFERROR(__xludf.DUMMYFUNCTION("""COMPUTED_VALUE"""),"Super U")</f>
        <v>Super U</v>
      </c>
      <c r="D377" t="str">
        <f ca="1">IFERROR(__xludf.DUMMYFUNCTION("""COMPUTED_VALUE"""),"Coop U Enseigne NordOuest")</f>
        <v>Coop U Enseigne NordOuest</v>
      </c>
      <c r="E377">
        <f ca="1">IFERROR(__xludf.DUMMYFUNCTION("""COMPUTED_VALUE"""),95220)</f>
        <v>95220</v>
      </c>
      <c r="F377" t="str">
        <f ca="1">IFERROR(__xludf.DUMMYFUNCTION("""COMPUTED_VALUE"""),"MAIL JEAN-BAPTISTE POQUELIN")</f>
        <v>MAIL JEAN-BAPTISTE POQUELIN</v>
      </c>
      <c r="G377" t="str">
        <f ca="1">IFERROR(__xludf.DUMMYFUNCTION("""COMPUTED_VALUE"""),"01.39.97.01.51")</f>
        <v>01.39.97.01.51</v>
      </c>
      <c r="H377" t="str">
        <f ca="1">IFERROR(__xludf.DUMMYFUNCTION("""COMPUTED_VALUE"""),"BOINNE Patrick")</f>
        <v>BOINNE Patrick</v>
      </c>
      <c r="I377" t="str">
        <f ca="1">IFERROR(__xludf.DUMMYFUNCTION("""COMPUTED_VALUE"""),"patrick.boinne@systeme-u.fr")</f>
        <v>patrick.boinne@systeme-u.fr</v>
      </c>
      <c r="J377" t="str">
        <f ca="1">IFERROR(__xludf.DUMMYFUNCTION("""COMPUTED_VALUE"""),"Coubard Yohann")</f>
        <v>Coubard Yohann</v>
      </c>
      <c r="K377" t="str">
        <f ca="1">IFERROR(__xludf.DUMMYFUNCTION("""COMPUTED_VALUE"""),"yohann.superu@gmail.com")</f>
        <v>yohann.superu@gmail.com</v>
      </c>
      <c r="L377" t="str">
        <f ca="1">IFERROR(__xludf.DUMMYFUNCTION("""COMPUTED_VALUE"""),"")</f>
        <v/>
      </c>
      <c r="M377" t="str">
        <f ca="1">IFERROR(__xludf.DUMMYFUNCTION("""COMPUTED_VALUE"""),"99.Hors Périmetre")</f>
        <v>99.Hors Périmetre</v>
      </c>
      <c r="N377" t="str">
        <f ca="1">IFERROR(__xludf.DUMMYFUNCTION("""COMPUTED_VALUE"""),"")</f>
        <v/>
      </c>
      <c r="O377" t="str">
        <f ca="1">IFERROR(__xludf.DUMMYFUNCTION("""COMPUTED_VALUE"""),"")</f>
        <v/>
      </c>
      <c r="P377" t="str">
        <f ca="1">IFERROR(__xludf.DUMMYFUNCTION("""COMPUTED_VALUE"""),"")</f>
        <v/>
      </c>
      <c r="Q377" s="5" t="str">
        <f ca="1">IFERROR(__xludf.DUMMYFUNCTION("""COMPUTED_VALUE"""),"")</f>
        <v/>
      </c>
      <c r="R377" s="6" t="str">
        <f ca="1">IFERROR(__xludf.DUMMYFUNCTION("""COMPUTED_VALUE"""),"")</f>
        <v/>
      </c>
      <c r="S377" t="str">
        <f ca="1">IFERROR(__xludf.DUMMYFUNCTION("""COMPUTED_VALUE"""),"")</f>
        <v/>
      </c>
      <c r="T377" t="str">
        <f ca="1">IFERROR(__xludf.DUMMYFUNCTION("""COMPUTED_VALUE"""),"")</f>
        <v/>
      </c>
      <c r="U377" t="str">
        <f ca="1">IFERROR(__xludf.DUMMYFUNCTION("""COMPUTED_VALUE"""),"")</f>
        <v/>
      </c>
      <c r="V377" t="str">
        <f ca="1">IFERROR(__xludf.DUMMYFUNCTION("""COMPUTED_VALUE"""),"")</f>
        <v/>
      </c>
      <c r="W377" t="str">
        <f ca="1">IFERROR(__xludf.DUMMYFUNCTION("""COMPUTED_VALUE"""),"")</f>
        <v/>
      </c>
      <c r="X377" t="str">
        <f ca="1">IFERROR(__xludf.DUMMYFUNCTION("""COMPUTED_VALUE"""),"")</f>
        <v/>
      </c>
      <c r="Y377" t="str">
        <f ca="1">IFERROR(__xludf.DUMMYFUNCTION("""COMPUTED_VALUE"""),"")</f>
        <v/>
      </c>
      <c r="Z377" t="str">
        <f ca="1">IFERROR(__xludf.DUMMYFUNCTION("""COMPUTED_VALUE"""),"")</f>
        <v/>
      </c>
      <c r="AA377" t="str">
        <f ca="1">IFERROR(__xludf.DUMMYFUNCTION("""COMPUTED_VALUE"""),"Pas de commande")</f>
        <v>Pas de commande</v>
      </c>
      <c r="AB377" s="8" t="str">
        <f ca="1">IFERROR(__xludf.DUMMYFUNCTION("""COMPUTED_VALUE"""),"")</f>
        <v/>
      </c>
      <c r="AC377" s="8" t="str">
        <f ca="1">IFERROR(__xludf.DUMMYFUNCTION("""COMPUTED_VALUE"""),"")</f>
        <v/>
      </c>
      <c r="AD377" s="11" t="str">
        <f ca="1">IFERROR(__xludf.DUMMYFUNCTION("""COMPUTED_VALUE"""),"")</f>
        <v/>
      </c>
      <c r="AE377" t="str">
        <f ca="1">IFERROR(__xludf.DUMMYFUNCTION("""COMPUTED_VALUE"""),"")</f>
        <v/>
      </c>
    </row>
    <row r="378" spans="1:31" ht="12.75" x14ac:dyDescent="0.2">
      <c r="A378">
        <f ca="1">IFERROR(__xludf.DUMMYFUNCTION("""COMPUTED_VALUE"""),36394)</f>
        <v>36394</v>
      </c>
      <c r="B378" t="str">
        <f ca="1">IFERROR(__xludf.DUMMYFUNCTION("""COMPUTED_VALUE"""),"HERIC")</f>
        <v>HERIC</v>
      </c>
      <c r="C378" t="str">
        <f ca="1">IFERROR(__xludf.DUMMYFUNCTION("""COMPUTED_VALUE"""),"Super U")</f>
        <v>Super U</v>
      </c>
      <c r="D378" t="str">
        <f ca="1">IFERROR(__xludf.DUMMYFUNCTION("""COMPUTED_VALUE"""),"Coop U Enseigne Ouest")</f>
        <v>Coop U Enseigne Ouest</v>
      </c>
      <c r="E378">
        <f ca="1">IFERROR(__xludf.DUMMYFUNCTION("""COMPUTED_VALUE"""),44810)</f>
        <v>44810</v>
      </c>
      <c r="F378" t="str">
        <f ca="1">IFERROR(__xludf.DUMMYFUNCTION("""COMPUTED_VALUE"""),"51 RUE DE L'OCEAN")</f>
        <v>51 RUE DE L'OCEAN</v>
      </c>
      <c r="G378" t="str">
        <f ca="1">IFERROR(__xludf.DUMMYFUNCTION("""COMPUTED_VALUE"""),"02.40.57.60.49")</f>
        <v>02.40.57.60.49</v>
      </c>
      <c r="H378" t="str">
        <f ca="1">IFERROR(__xludf.DUMMYFUNCTION("""COMPUTED_VALUE"""),"MASSON Gilles")</f>
        <v>MASSON Gilles</v>
      </c>
      <c r="I378" t="str">
        <f ca="1">IFERROR(__xludf.DUMMYFUNCTION("""COMPUTED_VALUE"""),"gilles.masson@systeme-u.fr")</f>
        <v>gilles.masson@systeme-u.fr</v>
      </c>
      <c r="J378" t="str">
        <f ca="1">IFERROR(__xludf.DUMMYFUNCTION("""COMPUTED_VALUE"""),"Mme Angélique Dagau")</f>
        <v>Mme Angélique Dagau</v>
      </c>
      <c r="K378" t="str">
        <f ca="1">IFERROR(__xludf.DUMMYFUNCTION("""COMPUTED_VALUE"""),"superu.heric.informatique@systeme-u.fr")</f>
        <v>superu.heric.informatique@systeme-u.fr</v>
      </c>
      <c r="L378" t="str">
        <f ca="1">IFERROR(__xludf.DUMMYFUNCTION("""COMPUTED_VALUE"""),"")</f>
        <v/>
      </c>
      <c r="M378" t="str">
        <f ca="1">IFERROR(__xludf.DUMMYFUNCTION("""COMPUTED_VALUE"""),"99.Hors Périmetre")</f>
        <v>99.Hors Périmetre</v>
      </c>
      <c r="N378" t="str">
        <f ca="1">IFERROR(__xludf.DUMMYFUNCTION("""COMPUTED_VALUE"""),"")</f>
        <v/>
      </c>
      <c r="O378" t="str">
        <f ca="1">IFERROR(__xludf.DUMMYFUNCTION("""COMPUTED_VALUE"""),"")</f>
        <v/>
      </c>
      <c r="P378" t="str">
        <f ca="1">IFERROR(__xludf.DUMMYFUNCTION("""COMPUTED_VALUE"""),"")</f>
        <v/>
      </c>
      <c r="Q378" s="5" t="str">
        <f ca="1">IFERROR(__xludf.DUMMYFUNCTION("""COMPUTED_VALUE"""),"")</f>
        <v/>
      </c>
      <c r="R378" s="6" t="str">
        <f ca="1">IFERROR(__xludf.DUMMYFUNCTION("""COMPUTED_VALUE"""),"")</f>
        <v/>
      </c>
      <c r="S378" t="str">
        <f ca="1">IFERROR(__xludf.DUMMYFUNCTION("""COMPUTED_VALUE"""),"")</f>
        <v/>
      </c>
      <c r="T378" t="str">
        <f ca="1">IFERROR(__xludf.DUMMYFUNCTION("""COMPUTED_VALUE"""),"")</f>
        <v/>
      </c>
      <c r="U378" t="str">
        <f ca="1">IFERROR(__xludf.DUMMYFUNCTION("""COMPUTED_VALUE"""),"")</f>
        <v/>
      </c>
      <c r="V378" t="str">
        <f ca="1">IFERROR(__xludf.DUMMYFUNCTION("""COMPUTED_VALUE"""),"")</f>
        <v/>
      </c>
      <c r="W378" t="str">
        <f ca="1">IFERROR(__xludf.DUMMYFUNCTION("""COMPUTED_VALUE"""),"")</f>
        <v/>
      </c>
      <c r="X378" t="str">
        <f ca="1">IFERROR(__xludf.DUMMYFUNCTION("""COMPUTED_VALUE"""),"")</f>
        <v/>
      </c>
      <c r="Y378" t="str">
        <f ca="1">IFERROR(__xludf.DUMMYFUNCTION("""COMPUTED_VALUE"""),"")</f>
        <v/>
      </c>
      <c r="Z378" t="str">
        <f ca="1">IFERROR(__xludf.DUMMYFUNCTION("""COMPUTED_VALUE"""),"")</f>
        <v/>
      </c>
      <c r="AA378" t="str">
        <f ca="1">IFERROR(__xludf.DUMMYFUNCTION("""COMPUTED_VALUE"""),"Pas de commande")</f>
        <v>Pas de commande</v>
      </c>
      <c r="AB378" s="8" t="str">
        <f ca="1">IFERROR(__xludf.DUMMYFUNCTION("""COMPUTED_VALUE"""),"")</f>
        <v/>
      </c>
      <c r="AC378" s="8" t="str">
        <f ca="1">IFERROR(__xludf.DUMMYFUNCTION("""COMPUTED_VALUE"""),"")</f>
        <v/>
      </c>
      <c r="AD378" s="11" t="str">
        <f ca="1">IFERROR(__xludf.DUMMYFUNCTION("""COMPUTED_VALUE"""),"")</f>
        <v/>
      </c>
      <c r="AE378" t="str">
        <f ca="1">IFERROR(__xludf.DUMMYFUNCTION("""COMPUTED_VALUE"""),"")</f>
        <v/>
      </c>
    </row>
    <row r="379" spans="1:31" ht="12.75" x14ac:dyDescent="0.2">
      <c r="A379">
        <f ca="1">IFERROR(__xludf.DUMMYFUNCTION("""COMPUTED_VALUE"""),69010)</f>
        <v>69010</v>
      </c>
      <c r="B379" t="str">
        <f ca="1">IFERROR(__xludf.DUMMYFUNCTION("""COMPUTED_VALUE"""),"HERICOURT")</f>
        <v>HERICOURT</v>
      </c>
      <c r="C379" t="str">
        <f ca="1">IFERROR(__xludf.DUMMYFUNCTION("""COMPUTED_VALUE"""),"Super U")</f>
        <v>Super U</v>
      </c>
      <c r="D379" t="str">
        <f ca="1">IFERROR(__xludf.DUMMYFUNCTION("""COMPUTED_VALUE"""),"Coop U Enseigne Est")</f>
        <v>Coop U Enseigne Est</v>
      </c>
      <c r="E379">
        <f ca="1">IFERROR(__xludf.DUMMYFUNCTION("""COMPUTED_VALUE"""),70400)</f>
        <v>70400</v>
      </c>
      <c r="F379" t="str">
        <f ca="1">IFERROR(__xludf.DUMMYFUNCTION("""COMPUTED_VALUE"""),"100 FAUBOURG DE MONTBELIARD")</f>
        <v>100 FAUBOURG DE MONTBELIARD</v>
      </c>
      <c r="G379" t="str">
        <f ca="1">IFERROR(__xludf.DUMMYFUNCTION("""COMPUTED_VALUE"""),"03.84.56.87.73")</f>
        <v>03.84.56.87.73</v>
      </c>
      <c r="H379" t="str">
        <f ca="1">IFERROR(__xludf.DUMMYFUNCTION("""COMPUTED_VALUE"""),"QUIRICI Gérôme")</f>
        <v>QUIRICI Gérôme</v>
      </c>
      <c r="I379" t="str">
        <f ca="1">IFERROR(__xludf.DUMMYFUNCTION("""COMPUTED_VALUE"""),"gerome.quirici@systeme-u.fr")</f>
        <v>gerome.quirici@systeme-u.fr</v>
      </c>
      <c r="J379" t="str">
        <f ca="1">IFERROR(__xludf.DUMMYFUNCTION("""COMPUTED_VALUE"""),"")</f>
        <v/>
      </c>
      <c r="K379" t="str">
        <f ca="1">IFERROR(__xludf.DUMMYFUNCTION("""COMPUTED_VALUE"""),"")</f>
        <v/>
      </c>
      <c r="L379" t="str">
        <f ca="1">IFERROR(__xludf.DUMMYFUNCTION("""COMPUTED_VALUE"""),"Standard")</f>
        <v>Standard</v>
      </c>
      <c r="M379" t="str">
        <f ca="1">IFERROR(__xludf.DUMMYFUNCTION("""COMPUTED_VALUE"""),"0. Non démarré")</f>
        <v>0. Non démarré</v>
      </c>
      <c r="N379" t="str">
        <f ca="1">IFERROR(__xludf.DUMMYFUNCTION("""COMPUTED_VALUE"""),"")</f>
        <v/>
      </c>
      <c r="O379" t="str">
        <f ca="1">IFERROR(__xludf.DUMMYFUNCTION("""COMPUTED_VALUE"""),"")</f>
        <v/>
      </c>
      <c r="P379" t="str">
        <f ca="1">IFERROR(__xludf.DUMMYFUNCTION("""COMPUTED_VALUE"""),"")</f>
        <v/>
      </c>
      <c r="Q379" s="5" t="str">
        <f ca="1">IFERROR(__xludf.DUMMYFUNCTION("""COMPUTED_VALUE"""),"")</f>
        <v/>
      </c>
      <c r="R379" s="6" t="str">
        <f ca="1">IFERROR(__xludf.DUMMYFUNCTION("""COMPUTED_VALUE"""),"")</f>
        <v/>
      </c>
      <c r="S379" t="str">
        <f ca="1">IFERROR(__xludf.DUMMYFUNCTION("""COMPUTED_VALUE"""),"")</f>
        <v/>
      </c>
      <c r="T379" t="str">
        <f ca="1">IFERROR(__xludf.DUMMYFUNCTION("""COMPUTED_VALUE"""),"")</f>
        <v/>
      </c>
      <c r="U379" t="str">
        <f ca="1">IFERROR(__xludf.DUMMYFUNCTION("""COMPUTED_VALUE"""),"")</f>
        <v/>
      </c>
      <c r="V379" t="str">
        <f ca="1">IFERROR(__xludf.DUMMYFUNCTION("""COMPUTED_VALUE"""),"")</f>
        <v/>
      </c>
      <c r="W379" t="str">
        <f ca="1">IFERROR(__xludf.DUMMYFUNCTION("""COMPUTED_VALUE"""),"R5")</f>
        <v>R5</v>
      </c>
      <c r="X379" t="str">
        <f ca="1">IFERROR(__xludf.DUMMYFUNCTION("""COMPUTED_VALUE"""),"Pricer")</f>
        <v>Pricer</v>
      </c>
      <c r="Y379" t="str">
        <f ca="1">IFERROR(__xludf.DUMMYFUNCTION("""COMPUTED_VALUE"""),"")</f>
        <v/>
      </c>
      <c r="Z379" t="str">
        <f ca="1">IFERROR(__xludf.DUMMYFUNCTION("""COMPUTED_VALUE"""),"")</f>
        <v/>
      </c>
      <c r="AA379" t="str">
        <f ca="1">IFERROR(__xludf.DUMMYFUNCTION("""COMPUTED_VALUE"""),"Pas de commande")</f>
        <v>Pas de commande</v>
      </c>
      <c r="AB379" s="8" t="str">
        <f ca="1">IFERROR(__xludf.DUMMYFUNCTION("""COMPUTED_VALUE"""),"")</f>
        <v/>
      </c>
      <c r="AC379" s="8" t="str">
        <f ca="1">IFERROR(__xludf.DUMMYFUNCTION("""COMPUTED_VALUE"""),"")</f>
        <v/>
      </c>
      <c r="AD379" s="11" t="str">
        <f ca="1">IFERROR(__xludf.DUMMYFUNCTION("""COMPUTED_VALUE"""),"")</f>
        <v/>
      </c>
      <c r="AE379" t="str">
        <f ca="1">IFERROR(__xludf.DUMMYFUNCTION("""COMPUTED_VALUE"""),"")</f>
        <v/>
      </c>
    </row>
    <row r="380" spans="1:31" ht="12.75" x14ac:dyDescent="0.2">
      <c r="A380">
        <f ca="1">IFERROR(__xludf.DUMMYFUNCTION("""COMPUTED_VALUE"""),24294)</f>
        <v>24294</v>
      </c>
      <c r="B380" t="str">
        <f ca="1">IFERROR(__xludf.DUMMYFUNCTION("""COMPUTED_VALUE"""),"HEROUVILLE ST CLAIR")</f>
        <v>HEROUVILLE ST CLAIR</v>
      </c>
      <c r="C380" t="str">
        <f ca="1">IFERROR(__xludf.DUMMYFUNCTION("""COMPUTED_VALUE"""),"Super U")</f>
        <v>Super U</v>
      </c>
      <c r="D380" t="str">
        <f ca="1">IFERROR(__xludf.DUMMYFUNCTION("""COMPUTED_VALUE"""),"Coop U Enseigne NordOuest")</f>
        <v>Coop U Enseigne NordOuest</v>
      </c>
      <c r="E380">
        <f ca="1">IFERROR(__xludf.DUMMYFUNCTION("""COMPUTED_VALUE"""),14200)</f>
        <v>14200</v>
      </c>
      <c r="F380" t="str">
        <f ca="1">IFERROR(__xludf.DUMMYFUNCTION("""COMPUTED_VALUE"""),"31 BOULEVARD DE LA PAIX")</f>
        <v>31 BOULEVARD DE LA PAIX</v>
      </c>
      <c r="G380" t="str">
        <f ca="1">IFERROR(__xludf.DUMMYFUNCTION("""COMPUTED_VALUE"""),"02.31.06.18.40")</f>
        <v>02.31.06.18.40</v>
      </c>
      <c r="H380" t="str">
        <f ca="1">IFERROR(__xludf.DUMMYFUNCTION("""COMPUTED_VALUE"""),"DAUSSE Emmanuel")</f>
        <v>DAUSSE Emmanuel</v>
      </c>
      <c r="I380" t="str">
        <f ca="1">IFERROR(__xludf.DUMMYFUNCTION("""COMPUTED_VALUE"""),"emmanuel.dausse@systeme-u.fr")</f>
        <v>emmanuel.dausse@systeme-u.fr</v>
      </c>
      <c r="J380" t="str">
        <f ca="1">IFERROR(__xludf.DUMMYFUNCTION("""COMPUTED_VALUE"""),"Fabienne Bichet
Mr Jourdain")</f>
        <v>Fabienne Bichet
Mr Jourdain</v>
      </c>
      <c r="K380" t="str">
        <f ca="1">IFERROR(__xludf.DUMMYFUNCTION("""COMPUTED_VALUE"""),"superu.herouvillesaintclair@systeme-u.fr, superu.herouvillesaintclair.direction@systeme-u.fr")</f>
        <v>superu.herouvillesaintclair@systeme-u.fr, superu.herouvillesaintclair.direction@systeme-u.fr</v>
      </c>
      <c r="L380" t="str">
        <f ca="1">IFERROR(__xludf.DUMMYFUNCTION("""COMPUTED_VALUE"""),"Standard")</f>
        <v>Standard</v>
      </c>
      <c r="M380" t="str">
        <f ca="1">IFERROR(__xludf.DUMMYFUNCTION("""COMPUTED_VALUE"""),"0. Non démarré")</f>
        <v>0. Non démarré</v>
      </c>
      <c r="N380" t="str">
        <f ca="1">IFERROR(__xludf.DUMMYFUNCTION("""COMPUTED_VALUE"""),"")</f>
        <v/>
      </c>
      <c r="O380" t="str">
        <f ca="1">IFERROR(__xludf.DUMMYFUNCTION("""COMPUTED_VALUE"""),"")</f>
        <v/>
      </c>
      <c r="P380" t="str">
        <f ca="1">IFERROR(__xludf.DUMMYFUNCTION("""COMPUTED_VALUE"""),"")</f>
        <v/>
      </c>
      <c r="Q380" s="5" t="str">
        <f ca="1">IFERROR(__xludf.DUMMYFUNCTION("""COMPUTED_VALUE"""),"")</f>
        <v/>
      </c>
      <c r="R380" s="6" t="str">
        <f ca="1">IFERROR(__xludf.DUMMYFUNCTION("""COMPUTED_VALUE"""),"")</f>
        <v/>
      </c>
      <c r="S380" t="str">
        <f ca="1">IFERROR(__xludf.DUMMYFUNCTION("""COMPUTED_VALUE"""),"")</f>
        <v/>
      </c>
      <c r="T380" t="str">
        <f ca="1">IFERROR(__xludf.DUMMYFUNCTION("""COMPUTED_VALUE"""),"")</f>
        <v/>
      </c>
      <c r="U380" t="str">
        <f ca="1">IFERROR(__xludf.DUMMYFUNCTION("""COMPUTED_VALUE"""),"")</f>
        <v/>
      </c>
      <c r="V380" t="str">
        <f ca="1">IFERROR(__xludf.DUMMYFUNCTION("""COMPUTED_VALUE"""),"")</f>
        <v/>
      </c>
      <c r="W380" t="str">
        <f ca="1">IFERROR(__xludf.DUMMYFUNCTION("""COMPUTED_VALUE"""),"R5")</f>
        <v>R5</v>
      </c>
      <c r="X380" t="str">
        <f ca="1">IFERROR(__xludf.DUMMYFUNCTION("""COMPUTED_VALUE"""),"Pricer")</f>
        <v>Pricer</v>
      </c>
      <c r="Y380" t="str">
        <f ca="1">IFERROR(__xludf.DUMMYFUNCTION("""COMPUTED_VALUE"""),"")</f>
        <v/>
      </c>
      <c r="Z380" t="str">
        <f ca="1">IFERROR(__xludf.DUMMYFUNCTION("""COMPUTED_VALUE"""),"")</f>
        <v/>
      </c>
      <c r="AA380" t="str">
        <f ca="1">IFERROR(__xludf.DUMMYFUNCTION("""COMPUTED_VALUE"""),"Pas de commande")</f>
        <v>Pas de commande</v>
      </c>
      <c r="AB380" s="8" t="str">
        <f ca="1">IFERROR(__xludf.DUMMYFUNCTION("""COMPUTED_VALUE"""),"")</f>
        <v/>
      </c>
      <c r="AC380" s="8" t="str">
        <f ca="1">IFERROR(__xludf.DUMMYFUNCTION("""COMPUTED_VALUE"""),"")</f>
        <v/>
      </c>
      <c r="AD380" s="11" t="str">
        <f ca="1">IFERROR(__xludf.DUMMYFUNCTION("""COMPUTED_VALUE"""),"")</f>
        <v/>
      </c>
      <c r="AE380" t="str">
        <f ca="1">IFERROR(__xludf.DUMMYFUNCTION("""COMPUTED_VALUE"""),"")</f>
        <v/>
      </c>
    </row>
    <row r="381" spans="1:31" ht="12.75" x14ac:dyDescent="0.2">
      <c r="A381">
        <f ca="1">IFERROR(__xludf.DUMMYFUNCTION("""COMPUTED_VALUE"""),60028)</f>
        <v>60028</v>
      </c>
      <c r="B381" t="str">
        <f ca="1">IFERROR(__xludf.DUMMYFUNCTION("""COMPUTED_VALUE"""),"HOENHEIM")</f>
        <v>HOENHEIM</v>
      </c>
      <c r="C381" t="str">
        <f ca="1">IFERROR(__xludf.DUMMYFUNCTION("""COMPUTED_VALUE"""),"Super U")</f>
        <v>Super U</v>
      </c>
      <c r="D381" t="str">
        <f ca="1">IFERROR(__xludf.DUMMYFUNCTION("""COMPUTED_VALUE"""),"Coop U Enseigne Est")</f>
        <v>Coop U Enseigne Est</v>
      </c>
      <c r="E381">
        <f ca="1">IFERROR(__xludf.DUMMYFUNCTION("""COMPUTED_VALUE"""),67800)</f>
        <v>67800</v>
      </c>
      <c r="F381" t="str">
        <f ca="1">IFERROR(__xludf.DUMMYFUNCTION("""COMPUTED_VALUE"""),"13 route de la Wantzenau")</f>
        <v>13 route de la Wantzenau</v>
      </c>
      <c r="G381" t="str">
        <f ca="1">IFERROR(__xludf.DUMMYFUNCTION("""COMPUTED_VALUE"""),"03.88.33.44.88")</f>
        <v>03.88.33.44.88</v>
      </c>
      <c r="H381" t="str">
        <f ca="1">IFERROR(__xludf.DUMMYFUNCTION("""COMPUTED_VALUE"""),"ARNOLD Josiane")</f>
        <v>ARNOLD Josiane</v>
      </c>
      <c r="I381" t="str">
        <f ca="1">IFERROR(__xludf.DUMMYFUNCTION("""COMPUTED_VALUE"""),"josiane.arnold@systeme-u.fr")</f>
        <v>josiane.arnold@systeme-u.fr</v>
      </c>
      <c r="J381" t="str">
        <f ca="1">IFERROR(__xludf.DUMMYFUNCTION("""COMPUTED_VALUE"""),"M. ARNOLD")</f>
        <v>M. ARNOLD</v>
      </c>
      <c r="K381" t="str">
        <f ca="1">IFERROR(__xludf.DUMMYFUNCTION("""COMPUTED_VALUE"""),"daniel.arnold@systeme-u.fr")</f>
        <v>daniel.arnold@systeme-u.fr</v>
      </c>
      <c r="L381" t="str">
        <f ca="1">IFERROR(__xludf.DUMMYFUNCTION("""COMPUTED_VALUE"""),"")</f>
        <v/>
      </c>
      <c r="M381" t="str">
        <f ca="1">IFERROR(__xludf.DUMMYFUNCTION("""COMPUTED_VALUE"""),"99.Hors Périmetre")</f>
        <v>99.Hors Périmetre</v>
      </c>
      <c r="N381" t="str">
        <f ca="1">IFERROR(__xludf.DUMMYFUNCTION("""COMPUTED_VALUE"""),"")</f>
        <v/>
      </c>
      <c r="O381" t="str">
        <f ca="1">IFERROR(__xludf.DUMMYFUNCTION("""COMPUTED_VALUE"""),"")</f>
        <v/>
      </c>
      <c r="P381" t="str">
        <f ca="1">IFERROR(__xludf.DUMMYFUNCTION("""COMPUTED_VALUE"""),"")</f>
        <v/>
      </c>
      <c r="Q381" s="5" t="str">
        <f ca="1">IFERROR(__xludf.DUMMYFUNCTION("""COMPUTED_VALUE"""),"")</f>
        <v/>
      </c>
      <c r="R381" s="6" t="str">
        <f ca="1">IFERROR(__xludf.DUMMYFUNCTION("""COMPUTED_VALUE"""),"")</f>
        <v/>
      </c>
      <c r="S381" t="str">
        <f ca="1">IFERROR(__xludf.DUMMYFUNCTION("""COMPUTED_VALUE"""),"")</f>
        <v/>
      </c>
      <c r="T381" t="str">
        <f ca="1">IFERROR(__xludf.DUMMYFUNCTION("""COMPUTED_VALUE"""),"")</f>
        <v/>
      </c>
      <c r="U381" t="str">
        <f ca="1">IFERROR(__xludf.DUMMYFUNCTION("""COMPUTED_VALUE"""),"")</f>
        <v/>
      </c>
      <c r="V381" t="str">
        <f ca="1">IFERROR(__xludf.DUMMYFUNCTION("""COMPUTED_VALUE"""),"")</f>
        <v/>
      </c>
      <c r="W381" t="str">
        <f ca="1">IFERROR(__xludf.DUMMYFUNCTION("""COMPUTED_VALUE"""),"")</f>
        <v/>
      </c>
      <c r="X381" t="str">
        <f ca="1">IFERROR(__xludf.DUMMYFUNCTION("""COMPUTED_VALUE"""),"")</f>
        <v/>
      </c>
      <c r="Y381" t="str">
        <f ca="1">IFERROR(__xludf.DUMMYFUNCTION("""COMPUTED_VALUE"""),"")</f>
        <v/>
      </c>
      <c r="Z381" t="str">
        <f ca="1">IFERROR(__xludf.DUMMYFUNCTION("""COMPUTED_VALUE"""),"")</f>
        <v/>
      </c>
      <c r="AA381" t="str">
        <f ca="1">IFERROR(__xludf.DUMMYFUNCTION("""COMPUTED_VALUE"""),"Pas de commande")</f>
        <v>Pas de commande</v>
      </c>
      <c r="AB381" s="8" t="str">
        <f ca="1">IFERROR(__xludf.DUMMYFUNCTION("""COMPUTED_VALUE"""),"")</f>
        <v/>
      </c>
      <c r="AC381" s="8" t="str">
        <f ca="1">IFERROR(__xludf.DUMMYFUNCTION("""COMPUTED_VALUE"""),"")</f>
        <v/>
      </c>
      <c r="AD381" s="11" t="str">
        <f ca="1">IFERROR(__xludf.DUMMYFUNCTION("""COMPUTED_VALUE"""),"")</f>
        <v/>
      </c>
      <c r="AE381" t="str">
        <f ca="1">IFERROR(__xludf.DUMMYFUNCTION("""COMPUTED_VALUE"""),"")</f>
        <v/>
      </c>
    </row>
    <row r="382" spans="1:31" ht="12.75" x14ac:dyDescent="0.2">
      <c r="A382">
        <f ca="1">IFERROR(__xludf.DUMMYFUNCTION("""COMPUTED_VALUE"""),25924)</f>
        <v>25924</v>
      </c>
      <c r="B382" t="str">
        <f ca="1">IFERROR(__xludf.DUMMYFUNCTION("""COMPUTED_VALUE"""),"HOUPLINES")</f>
        <v>HOUPLINES</v>
      </c>
      <c r="C382" t="str">
        <f ca="1">IFERROR(__xludf.DUMMYFUNCTION("""COMPUTED_VALUE"""),"Super U")</f>
        <v>Super U</v>
      </c>
      <c r="D382" t="str">
        <f ca="1">IFERROR(__xludf.DUMMYFUNCTION("""COMPUTED_VALUE"""),"Coop U Enseigne NordOuest")</f>
        <v>Coop U Enseigne NordOuest</v>
      </c>
      <c r="E382">
        <f ca="1">IFERROR(__xludf.DUMMYFUNCTION("""COMPUTED_VALUE"""),59116)</f>
        <v>59116</v>
      </c>
      <c r="F382" t="str">
        <f ca="1">IFERROR(__xludf.DUMMYFUNCTION("""COMPUTED_VALUE"""),"18 PLACE DE LA RÉPUBLIQUE")</f>
        <v>18 PLACE DE LA RÉPUBLIQUE</v>
      </c>
      <c r="G382" t="str">
        <f ca="1">IFERROR(__xludf.DUMMYFUNCTION("""COMPUTED_VALUE"""),"03.20.44.09.60")</f>
        <v>03.20.44.09.60</v>
      </c>
      <c r="H382" t="str">
        <f ca="1">IFERROR(__xludf.DUMMYFUNCTION("""COMPUTED_VALUE"""),"WILLEPOTTE Marius-Christophe")</f>
        <v>WILLEPOTTE Marius-Christophe</v>
      </c>
      <c r="I382" t="str">
        <f ca="1">IFERROR(__xludf.DUMMYFUNCTION("""COMPUTED_VALUE"""),"marius.willepotte@systeme-u.fr")</f>
        <v>marius.willepotte@systeme-u.fr</v>
      </c>
      <c r="J382" t="str">
        <f ca="1">IFERROR(__xludf.DUMMYFUNCTION("""COMPUTED_VALUE"""),"Dehem Nathalie")</f>
        <v>Dehem Nathalie</v>
      </c>
      <c r="K382" t="str">
        <f ca="1">IFERROR(__xludf.DUMMYFUNCTION("""COMPUTED_VALUE"""),"superu.houplines@systeme-u.fr")</f>
        <v>superu.houplines@systeme-u.fr</v>
      </c>
      <c r="L382" t="str">
        <f ca="1">IFERROR(__xludf.DUMMYFUNCTION("""COMPUTED_VALUE"""),"")</f>
        <v/>
      </c>
      <c r="M382" t="str">
        <f ca="1">IFERROR(__xludf.DUMMYFUNCTION("""COMPUTED_VALUE"""),"99.Hors Périmetre")</f>
        <v>99.Hors Périmetre</v>
      </c>
      <c r="N382" t="str">
        <f ca="1">IFERROR(__xludf.DUMMYFUNCTION("""COMPUTED_VALUE"""),"")</f>
        <v/>
      </c>
      <c r="O382" t="str">
        <f ca="1">IFERROR(__xludf.DUMMYFUNCTION("""COMPUTED_VALUE"""),"")</f>
        <v/>
      </c>
      <c r="P382" t="str">
        <f ca="1">IFERROR(__xludf.DUMMYFUNCTION("""COMPUTED_VALUE"""),"")</f>
        <v/>
      </c>
      <c r="Q382" s="5" t="str">
        <f ca="1">IFERROR(__xludf.DUMMYFUNCTION("""COMPUTED_VALUE"""),"")</f>
        <v/>
      </c>
      <c r="R382" s="6" t="str">
        <f ca="1">IFERROR(__xludf.DUMMYFUNCTION("""COMPUTED_VALUE"""),"")</f>
        <v/>
      </c>
      <c r="S382" t="str">
        <f ca="1">IFERROR(__xludf.DUMMYFUNCTION("""COMPUTED_VALUE"""),"")</f>
        <v/>
      </c>
      <c r="T382" t="str">
        <f ca="1">IFERROR(__xludf.DUMMYFUNCTION("""COMPUTED_VALUE"""),"")</f>
        <v/>
      </c>
      <c r="U382" t="str">
        <f ca="1">IFERROR(__xludf.DUMMYFUNCTION("""COMPUTED_VALUE"""),"")</f>
        <v/>
      </c>
      <c r="V382" t="str">
        <f ca="1">IFERROR(__xludf.DUMMYFUNCTION("""COMPUTED_VALUE"""),"")</f>
        <v/>
      </c>
      <c r="W382" t="str">
        <f ca="1">IFERROR(__xludf.DUMMYFUNCTION("""COMPUTED_VALUE"""),"")</f>
        <v/>
      </c>
      <c r="X382" t="str">
        <f ca="1">IFERROR(__xludf.DUMMYFUNCTION("""COMPUTED_VALUE"""),"")</f>
        <v/>
      </c>
      <c r="Y382" t="str">
        <f ca="1">IFERROR(__xludf.DUMMYFUNCTION("""COMPUTED_VALUE"""),"")</f>
        <v/>
      </c>
      <c r="Z382" t="str">
        <f ca="1">IFERROR(__xludf.DUMMYFUNCTION("""COMPUTED_VALUE"""),"")</f>
        <v/>
      </c>
      <c r="AA382" t="str">
        <f ca="1">IFERROR(__xludf.DUMMYFUNCTION("""COMPUTED_VALUE"""),"Pas de commande")</f>
        <v>Pas de commande</v>
      </c>
      <c r="AB382" s="8" t="str">
        <f ca="1">IFERROR(__xludf.DUMMYFUNCTION("""COMPUTED_VALUE"""),"")</f>
        <v/>
      </c>
      <c r="AC382" s="8" t="str">
        <f ca="1">IFERROR(__xludf.DUMMYFUNCTION("""COMPUTED_VALUE"""),"")</f>
        <v/>
      </c>
      <c r="AD382" s="11" t="str">
        <f ca="1">IFERROR(__xludf.DUMMYFUNCTION("""COMPUTED_VALUE"""),"")</f>
        <v/>
      </c>
      <c r="AE382" t="str">
        <f ca="1">IFERROR(__xludf.DUMMYFUNCTION("""COMPUTED_VALUE"""),"")</f>
        <v/>
      </c>
    </row>
    <row r="383" spans="1:31" ht="12.75" x14ac:dyDescent="0.2">
      <c r="A383">
        <f ca="1">IFERROR(__xludf.DUMMYFUNCTION("""COMPUTED_VALUE"""),95166)</f>
        <v>95166</v>
      </c>
      <c r="B383" t="str">
        <f ca="1">IFERROR(__xludf.DUMMYFUNCTION("""COMPUTED_VALUE"""),"IDRON")</f>
        <v>IDRON</v>
      </c>
      <c r="C383" t="str">
        <f ca="1">IFERROR(__xludf.DUMMYFUNCTION("""COMPUTED_VALUE"""),"Super U")</f>
        <v>Super U</v>
      </c>
      <c r="D383" t="str">
        <f ca="1">IFERROR(__xludf.DUMMYFUNCTION("""COMPUTED_VALUE"""),"Coop U Enseigne Sud")</f>
        <v>Coop U Enseigne Sud</v>
      </c>
      <c r="E383">
        <f ca="1">IFERROR(__xludf.DUMMYFUNCTION("""COMPUTED_VALUE"""),64320)</f>
        <v>64320</v>
      </c>
      <c r="F383" t="str">
        <f ca="1">IFERROR(__xludf.DUMMYFUNCTION("""COMPUTED_VALUE"""),"CHEMIN DE CAM MARTY")</f>
        <v>CHEMIN DE CAM MARTY</v>
      </c>
      <c r="G383" t="str">
        <f ca="1">IFERROR(__xludf.DUMMYFUNCTION("""COMPUTED_VALUE"""),"05.59.02.09.97")</f>
        <v>05.59.02.09.97</v>
      </c>
      <c r="H383" t="str">
        <f ca="1">IFERROR(__xludf.DUMMYFUNCTION("""COMPUTED_VALUE"""),"LE DOUJET Daniel")</f>
        <v>LE DOUJET Daniel</v>
      </c>
      <c r="I383" t="str">
        <f ca="1">IFERROR(__xludf.DUMMYFUNCTION("""COMPUTED_VALUE"""),"francois.garcia@systeme-u.fr")</f>
        <v>francois.garcia@systeme-u.fr</v>
      </c>
      <c r="J383" t="str">
        <f ca="1">IFERROR(__xludf.DUMMYFUNCTION("""COMPUTED_VALUE"""),"VIGUIER Pascal")</f>
        <v>VIGUIER Pascal</v>
      </c>
      <c r="K383" t="str">
        <f ca="1">IFERROR(__xludf.DUMMYFUNCTION("""COMPUTED_VALUE"""),"superu.idron.direction@systeme-u.fr")</f>
        <v>superu.idron.direction@systeme-u.fr</v>
      </c>
      <c r="L383" t="str">
        <f ca="1">IFERROR(__xludf.DUMMYFUNCTION("""COMPUTED_VALUE"""),"")</f>
        <v/>
      </c>
      <c r="M383" t="str">
        <f ca="1">IFERROR(__xludf.DUMMYFUNCTION("""COMPUTED_VALUE"""),"99.Hors Périmetre")</f>
        <v>99.Hors Périmetre</v>
      </c>
      <c r="N383" t="str">
        <f ca="1">IFERROR(__xludf.DUMMYFUNCTION("""COMPUTED_VALUE"""),"")</f>
        <v/>
      </c>
      <c r="O383" t="str">
        <f ca="1">IFERROR(__xludf.DUMMYFUNCTION("""COMPUTED_VALUE"""),"")</f>
        <v/>
      </c>
      <c r="P383" t="str">
        <f ca="1">IFERROR(__xludf.DUMMYFUNCTION("""COMPUTED_VALUE"""),"")</f>
        <v/>
      </c>
      <c r="Q383" s="5" t="str">
        <f ca="1">IFERROR(__xludf.DUMMYFUNCTION("""COMPUTED_VALUE"""),"")</f>
        <v/>
      </c>
      <c r="R383" s="6" t="str">
        <f ca="1">IFERROR(__xludf.DUMMYFUNCTION("""COMPUTED_VALUE"""),"")</f>
        <v/>
      </c>
      <c r="S383" t="str">
        <f ca="1">IFERROR(__xludf.DUMMYFUNCTION("""COMPUTED_VALUE"""),"")</f>
        <v/>
      </c>
      <c r="T383" t="str">
        <f ca="1">IFERROR(__xludf.DUMMYFUNCTION("""COMPUTED_VALUE"""),"")</f>
        <v/>
      </c>
      <c r="U383" t="str">
        <f ca="1">IFERROR(__xludf.DUMMYFUNCTION("""COMPUTED_VALUE"""),"")</f>
        <v/>
      </c>
      <c r="V383" t="str">
        <f ca="1">IFERROR(__xludf.DUMMYFUNCTION("""COMPUTED_VALUE"""),"")</f>
        <v/>
      </c>
      <c r="W383" t="str">
        <f ca="1">IFERROR(__xludf.DUMMYFUNCTION("""COMPUTED_VALUE"""),"")</f>
        <v/>
      </c>
      <c r="X383" t="str">
        <f ca="1">IFERROR(__xludf.DUMMYFUNCTION("""COMPUTED_VALUE"""),"")</f>
        <v/>
      </c>
      <c r="Y383" t="str">
        <f ca="1">IFERROR(__xludf.DUMMYFUNCTION("""COMPUTED_VALUE"""),"")</f>
        <v/>
      </c>
      <c r="Z383" t="str">
        <f ca="1">IFERROR(__xludf.DUMMYFUNCTION("""COMPUTED_VALUE"""),"")</f>
        <v/>
      </c>
      <c r="AA383" t="str">
        <f ca="1">IFERROR(__xludf.DUMMYFUNCTION("""COMPUTED_VALUE"""),"Pas de commande")</f>
        <v>Pas de commande</v>
      </c>
      <c r="AB383" s="8" t="str">
        <f ca="1">IFERROR(__xludf.DUMMYFUNCTION("""COMPUTED_VALUE"""),"")</f>
        <v/>
      </c>
      <c r="AC383" s="8" t="str">
        <f ca="1">IFERROR(__xludf.DUMMYFUNCTION("""COMPUTED_VALUE"""),"")</f>
        <v/>
      </c>
      <c r="AD383" s="11" t="str">
        <f ca="1">IFERROR(__xludf.DUMMYFUNCTION("""COMPUTED_VALUE"""),"")</f>
        <v/>
      </c>
      <c r="AE383" t="str">
        <f ca="1">IFERROR(__xludf.DUMMYFUNCTION("""COMPUTED_VALUE"""),"")</f>
        <v/>
      </c>
    </row>
    <row r="384" spans="1:31" ht="12.75" x14ac:dyDescent="0.2">
      <c r="A384">
        <f ca="1">IFERROR(__xludf.DUMMYFUNCTION("""COMPUTED_VALUE"""),27439)</f>
        <v>27439</v>
      </c>
      <c r="B384" t="str">
        <f ca="1">IFERROR(__xludf.DUMMYFUNCTION("""COMPUTED_VALUE"""),"IFS")</f>
        <v>IFS</v>
      </c>
      <c r="C384" t="str">
        <f ca="1">IFERROR(__xludf.DUMMYFUNCTION("""COMPUTED_VALUE"""),"Super U")</f>
        <v>Super U</v>
      </c>
      <c r="D384" t="str">
        <f ca="1">IFERROR(__xludf.DUMMYFUNCTION("""COMPUTED_VALUE"""),"Coop U Enseigne NordOuest")</f>
        <v>Coop U Enseigne NordOuest</v>
      </c>
      <c r="E384">
        <f ca="1">IFERROR(__xludf.DUMMYFUNCTION("""COMPUTED_VALUE"""),14123)</f>
        <v>14123</v>
      </c>
      <c r="F384" t="str">
        <f ca="1">IFERROR(__xludf.DUMMYFUNCTION("""COMPUTED_VALUE"""),"ZAC DU HOGUET")</f>
        <v>ZAC DU HOGUET</v>
      </c>
      <c r="G384" t="str">
        <f ca="1">IFERROR(__xludf.DUMMYFUNCTION("""COMPUTED_VALUE"""),"02.31.35.00.50")</f>
        <v>02.31.35.00.50</v>
      </c>
      <c r="H384" t="str">
        <f ca="1">IFERROR(__xludf.DUMMYFUNCTION("""COMPUTED_VALUE"""),"BATAILLE Denis")</f>
        <v>BATAILLE Denis</v>
      </c>
      <c r="I384" t="str">
        <f ca="1">IFERROR(__xludf.DUMMYFUNCTION("""COMPUTED_VALUE"""),"denis.bataille@systeme-u.fr")</f>
        <v>denis.bataille@systeme-u.fr</v>
      </c>
      <c r="J384" t="str">
        <f ca="1">IFERROR(__xludf.DUMMYFUNCTION("""COMPUTED_VALUE"""),"")</f>
        <v/>
      </c>
      <c r="K384" t="str">
        <f ca="1">IFERROR(__xludf.DUMMYFUNCTION("""COMPUTED_VALUE"""),"")</f>
        <v/>
      </c>
      <c r="L384" t="str">
        <f ca="1">IFERROR(__xludf.DUMMYFUNCTION("""COMPUTED_VALUE"""),"")</f>
        <v/>
      </c>
      <c r="M384" t="str">
        <f ca="1">IFERROR(__xludf.DUMMYFUNCTION("""COMPUTED_VALUE"""),"99.Hors Périmetre")</f>
        <v>99.Hors Périmetre</v>
      </c>
      <c r="N384" t="str">
        <f ca="1">IFERROR(__xludf.DUMMYFUNCTION("""COMPUTED_VALUE"""),"")</f>
        <v/>
      </c>
      <c r="O384" t="str">
        <f ca="1">IFERROR(__xludf.DUMMYFUNCTION("""COMPUTED_VALUE"""),"")</f>
        <v/>
      </c>
      <c r="P384" t="str">
        <f ca="1">IFERROR(__xludf.DUMMYFUNCTION("""COMPUTED_VALUE"""),"")</f>
        <v/>
      </c>
      <c r="Q384" s="5" t="str">
        <f ca="1">IFERROR(__xludf.DUMMYFUNCTION("""COMPUTED_VALUE"""),"")</f>
        <v/>
      </c>
      <c r="R384" s="6" t="str">
        <f ca="1">IFERROR(__xludf.DUMMYFUNCTION("""COMPUTED_VALUE"""),"")</f>
        <v/>
      </c>
      <c r="S384" t="str">
        <f ca="1">IFERROR(__xludf.DUMMYFUNCTION("""COMPUTED_VALUE"""),"")</f>
        <v/>
      </c>
      <c r="T384" t="str">
        <f ca="1">IFERROR(__xludf.DUMMYFUNCTION("""COMPUTED_VALUE"""),"")</f>
        <v/>
      </c>
      <c r="U384" t="str">
        <f ca="1">IFERROR(__xludf.DUMMYFUNCTION("""COMPUTED_VALUE"""),"")</f>
        <v/>
      </c>
      <c r="V384" t="str">
        <f ca="1">IFERROR(__xludf.DUMMYFUNCTION("""COMPUTED_VALUE"""),"")</f>
        <v/>
      </c>
      <c r="W384" t="str">
        <f ca="1">IFERROR(__xludf.DUMMYFUNCTION("""COMPUTED_VALUE"""),"")</f>
        <v/>
      </c>
      <c r="X384" t="str">
        <f ca="1">IFERROR(__xludf.DUMMYFUNCTION("""COMPUTED_VALUE"""),"")</f>
        <v/>
      </c>
      <c r="Y384" t="str">
        <f ca="1">IFERROR(__xludf.DUMMYFUNCTION("""COMPUTED_VALUE"""),"")</f>
        <v/>
      </c>
      <c r="Z384" t="str">
        <f ca="1">IFERROR(__xludf.DUMMYFUNCTION("""COMPUTED_VALUE"""),"")</f>
        <v/>
      </c>
      <c r="AA384" t="str">
        <f ca="1">IFERROR(__xludf.DUMMYFUNCTION("""COMPUTED_VALUE"""),"Pas de commande")</f>
        <v>Pas de commande</v>
      </c>
      <c r="AB384" s="8" t="str">
        <f ca="1">IFERROR(__xludf.DUMMYFUNCTION("""COMPUTED_VALUE"""),"")</f>
        <v/>
      </c>
      <c r="AC384" s="8" t="str">
        <f ca="1">IFERROR(__xludf.DUMMYFUNCTION("""COMPUTED_VALUE"""),"")</f>
        <v/>
      </c>
      <c r="AD384" s="11" t="str">
        <f ca="1">IFERROR(__xludf.DUMMYFUNCTION("""COMPUTED_VALUE"""),"")</f>
        <v/>
      </c>
      <c r="AE384" t="str">
        <f ca="1">IFERROR(__xludf.DUMMYFUNCTION("""COMPUTED_VALUE"""),"")</f>
        <v/>
      </c>
    </row>
    <row r="385" spans="1:31" ht="12.75" x14ac:dyDescent="0.2">
      <c r="A385">
        <f ca="1">IFERROR(__xludf.DUMMYFUNCTION("""COMPUTED_VALUE"""),24707)</f>
        <v>24707</v>
      </c>
      <c r="B385" t="str">
        <f ca="1">IFERROR(__xludf.DUMMYFUNCTION("""COMPUTED_VALUE"""),"IGOVILLE")</f>
        <v>IGOVILLE</v>
      </c>
      <c r="C385" t="str">
        <f ca="1">IFERROR(__xludf.DUMMYFUNCTION("""COMPUTED_VALUE"""),"Super U")</f>
        <v>Super U</v>
      </c>
      <c r="D385" t="str">
        <f ca="1">IFERROR(__xludf.DUMMYFUNCTION("""COMPUTED_VALUE"""),"Coop U Enseigne NordOuest")</f>
        <v>Coop U Enseigne NordOuest</v>
      </c>
      <c r="E385">
        <f ca="1">IFERROR(__xludf.DUMMYFUNCTION("""COMPUTED_VALUE"""),27460)</f>
        <v>27460</v>
      </c>
      <c r="F385" t="str">
        <f ca="1">IFERROR(__xludf.DUMMYFUNCTION("""COMPUTED_VALUE"""),"24 ROUTE DE LYONS")</f>
        <v>24 ROUTE DE LYONS</v>
      </c>
      <c r="G385" t="str">
        <f ca="1">IFERROR(__xludf.DUMMYFUNCTION("""COMPUTED_VALUE"""),"02.35.23.50.92")</f>
        <v>02.35.23.50.92</v>
      </c>
      <c r="H385" t="str">
        <f ca="1">IFERROR(__xludf.DUMMYFUNCTION("""COMPUTED_VALUE"""),"CARON Stéphane")</f>
        <v>CARON Stéphane</v>
      </c>
      <c r="I385" t="str">
        <f ca="1">IFERROR(__xludf.DUMMYFUNCTION("""COMPUTED_VALUE"""),"stephane.caron@systeme-u.fr")</f>
        <v>stephane.caron@systeme-u.fr</v>
      </c>
      <c r="J385" t="str">
        <f ca="1">IFERROR(__xludf.DUMMYFUNCTION("""COMPUTED_VALUE"""),"M  HAJIWARA")</f>
        <v>M  HAJIWARA</v>
      </c>
      <c r="K385" t="str">
        <f ca="1">IFERROR(__xludf.DUMMYFUNCTION("""COMPUTED_VALUE"""),"superu.igoville.direction@systeme-u.fr")</f>
        <v>superu.igoville.direction@systeme-u.fr</v>
      </c>
      <c r="L385" t="str">
        <f ca="1">IFERROR(__xludf.DUMMYFUNCTION("""COMPUTED_VALUE"""),"")</f>
        <v/>
      </c>
      <c r="M385" t="str">
        <f ca="1">IFERROR(__xludf.DUMMYFUNCTION("""COMPUTED_VALUE"""),"99.Hors Périmetre")</f>
        <v>99.Hors Périmetre</v>
      </c>
      <c r="N385" t="str">
        <f ca="1">IFERROR(__xludf.DUMMYFUNCTION("""COMPUTED_VALUE"""),"")</f>
        <v/>
      </c>
      <c r="O385" t="str">
        <f ca="1">IFERROR(__xludf.DUMMYFUNCTION("""COMPUTED_VALUE"""),"")</f>
        <v/>
      </c>
      <c r="P385" t="str">
        <f ca="1">IFERROR(__xludf.DUMMYFUNCTION("""COMPUTED_VALUE"""),"")</f>
        <v/>
      </c>
      <c r="Q385" s="5" t="str">
        <f ca="1">IFERROR(__xludf.DUMMYFUNCTION("""COMPUTED_VALUE"""),"")</f>
        <v/>
      </c>
      <c r="R385" s="6" t="str">
        <f ca="1">IFERROR(__xludf.DUMMYFUNCTION("""COMPUTED_VALUE"""),"")</f>
        <v/>
      </c>
      <c r="S385" t="str">
        <f ca="1">IFERROR(__xludf.DUMMYFUNCTION("""COMPUTED_VALUE"""),"")</f>
        <v/>
      </c>
      <c r="T385" t="str">
        <f ca="1">IFERROR(__xludf.DUMMYFUNCTION("""COMPUTED_VALUE"""),"")</f>
        <v/>
      </c>
      <c r="U385" t="str">
        <f ca="1">IFERROR(__xludf.DUMMYFUNCTION("""COMPUTED_VALUE"""),"")</f>
        <v/>
      </c>
      <c r="V385" t="str">
        <f ca="1">IFERROR(__xludf.DUMMYFUNCTION("""COMPUTED_VALUE"""),"")</f>
        <v/>
      </c>
      <c r="W385" t="str">
        <f ca="1">IFERROR(__xludf.DUMMYFUNCTION("""COMPUTED_VALUE"""),"")</f>
        <v/>
      </c>
      <c r="X385" t="str">
        <f ca="1">IFERROR(__xludf.DUMMYFUNCTION("""COMPUTED_VALUE"""),"")</f>
        <v/>
      </c>
      <c r="Y385" t="str">
        <f ca="1">IFERROR(__xludf.DUMMYFUNCTION("""COMPUTED_VALUE"""),"")</f>
        <v/>
      </c>
      <c r="Z385" t="str">
        <f ca="1">IFERROR(__xludf.DUMMYFUNCTION("""COMPUTED_VALUE"""),"")</f>
        <v/>
      </c>
      <c r="AA385" t="str">
        <f ca="1">IFERROR(__xludf.DUMMYFUNCTION("""COMPUTED_VALUE"""),"Pas de commande")</f>
        <v>Pas de commande</v>
      </c>
      <c r="AB385" s="8" t="str">
        <f ca="1">IFERROR(__xludf.DUMMYFUNCTION("""COMPUTED_VALUE"""),"")</f>
        <v/>
      </c>
      <c r="AC385" s="8" t="str">
        <f ca="1">IFERROR(__xludf.DUMMYFUNCTION("""COMPUTED_VALUE"""),"")</f>
        <v/>
      </c>
      <c r="AD385" s="11" t="str">
        <f ca="1">IFERROR(__xludf.DUMMYFUNCTION("""COMPUTED_VALUE"""),"")</f>
        <v/>
      </c>
      <c r="AE385" t="str">
        <f ca="1">IFERROR(__xludf.DUMMYFUNCTION("""COMPUTED_VALUE"""),"")</f>
        <v/>
      </c>
    </row>
    <row r="386" spans="1:31" ht="12.75" x14ac:dyDescent="0.2">
      <c r="A386">
        <f ca="1">IFERROR(__xludf.DUMMYFUNCTION("""COMPUTED_VALUE"""),33018)</f>
        <v>33018</v>
      </c>
      <c r="B386" t="str">
        <f ca="1">IFERROR(__xludf.DUMMYFUNCTION("""COMPUTED_VALUE"""),"ILE D'YEU")</f>
        <v>ILE D'YEU</v>
      </c>
      <c r="C386" t="str">
        <f ca="1">IFERROR(__xludf.DUMMYFUNCTION("""COMPUTED_VALUE"""),"Super U")</f>
        <v>Super U</v>
      </c>
      <c r="D386" t="str">
        <f ca="1">IFERROR(__xludf.DUMMYFUNCTION("""COMPUTED_VALUE"""),"Coop U Enseigne Ouest")</f>
        <v>Coop U Enseigne Ouest</v>
      </c>
      <c r="E386">
        <f ca="1">IFERROR(__xludf.DUMMYFUNCTION("""COMPUTED_VALUE"""),85350)</f>
        <v>85350</v>
      </c>
      <c r="F386" t="str">
        <f ca="1">IFERROR(__xludf.DUMMYFUNCTION("""COMPUTED_VALUE"""),"BP 705")</f>
        <v>BP 705</v>
      </c>
      <c r="G386" t="str">
        <f ca="1">IFERROR(__xludf.DUMMYFUNCTION("""COMPUTED_VALUE"""),"02.51.58.36.35")</f>
        <v>02.51.58.36.35</v>
      </c>
      <c r="H386" t="str">
        <f ca="1">IFERROR(__xludf.DUMMYFUNCTION("""COMPUTED_VALUE"""),"SIMON RPT HOLDING FIN. SIMON Xavier")</f>
        <v>SIMON RPT HOLDING FIN. SIMON Xavier</v>
      </c>
      <c r="I386" t="str">
        <f ca="1">IFERROR(__xludf.DUMMYFUNCTION("""COMPUTED_VALUE"""),"mireille-xavier.simon@systeme-u.fr")</f>
        <v>mireille-xavier.simon@systeme-u.fr</v>
      </c>
      <c r="J386" t="str">
        <f ca="1">IFERROR(__xludf.DUMMYFUNCTION("""COMPUTED_VALUE"""),"BERNARD Emeline")</f>
        <v>BERNARD Emeline</v>
      </c>
      <c r="K386" t="str">
        <f ca="1">IFERROR(__xludf.DUMMYFUNCTION("""COMPUTED_VALUE"""),"superu.iledyeu@systeme-u.fr")</f>
        <v>superu.iledyeu@systeme-u.fr</v>
      </c>
      <c r="L386" t="str">
        <f ca="1">IFERROR(__xludf.DUMMYFUNCTION("""COMPUTED_VALUE"""),"")</f>
        <v/>
      </c>
      <c r="M386" t="str">
        <f ca="1">IFERROR(__xludf.DUMMYFUNCTION("""COMPUTED_VALUE"""),"99.Hors Périmetre")</f>
        <v>99.Hors Périmetre</v>
      </c>
      <c r="N386" t="str">
        <f ca="1">IFERROR(__xludf.DUMMYFUNCTION("""COMPUTED_VALUE"""),"")</f>
        <v/>
      </c>
      <c r="O386" t="str">
        <f ca="1">IFERROR(__xludf.DUMMYFUNCTION("""COMPUTED_VALUE"""),"")</f>
        <v/>
      </c>
      <c r="P386" t="str">
        <f ca="1">IFERROR(__xludf.DUMMYFUNCTION("""COMPUTED_VALUE"""),"")</f>
        <v/>
      </c>
      <c r="Q386" s="5" t="str">
        <f ca="1">IFERROR(__xludf.DUMMYFUNCTION("""COMPUTED_VALUE"""),"")</f>
        <v/>
      </c>
      <c r="R386" s="6" t="str">
        <f ca="1">IFERROR(__xludf.DUMMYFUNCTION("""COMPUTED_VALUE"""),"")</f>
        <v/>
      </c>
      <c r="S386" t="str">
        <f ca="1">IFERROR(__xludf.DUMMYFUNCTION("""COMPUTED_VALUE"""),"")</f>
        <v/>
      </c>
      <c r="T386" t="str">
        <f ca="1">IFERROR(__xludf.DUMMYFUNCTION("""COMPUTED_VALUE"""),"")</f>
        <v/>
      </c>
      <c r="U386" t="str">
        <f ca="1">IFERROR(__xludf.DUMMYFUNCTION("""COMPUTED_VALUE"""),"")</f>
        <v/>
      </c>
      <c r="V386" t="str">
        <f ca="1">IFERROR(__xludf.DUMMYFUNCTION("""COMPUTED_VALUE"""),"")</f>
        <v/>
      </c>
      <c r="W386" t="str">
        <f ca="1">IFERROR(__xludf.DUMMYFUNCTION("""COMPUTED_VALUE"""),"")</f>
        <v/>
      </c>
      <c r="X386" t="str">
        <f ca="1">IFERROR(__xludf.DUMMYFUNCTION("""COMPUTED_VALUE"""),"")</f>
        <v/>
      </c>
      <c r="Y386" t="str">
        <f ca="1">IFERROR(__xludf.DUMMYFUNCTION("""COMPUTED_VALUE"""),"")</f>
        <v/>
      </c>
      <c r="Z386" t="str">
        <f ca="1">IFERROR(__xludf.DUMMYFUNCTION("""COMPUTED_VALUE"""),"")</f>
        <v/>
      </c>
      <c r="AA386" t="str">
        <f ca="1">IFERROR(__xludf.DUMMYFUNCTION("""COMPUTED_VALUE"""),"Pas de commande")</f>
        <v>Pas de commande</v>
      </c>
      <c r="AB386" s="8" t="str">
        <f ca="1">IFERROR(__xludf.DUMMYFUNCTION("""COMPUTED_VALUE"""),"")</f>
        <v/>
      </c>
      <c r="AC386" s="8" t="str">
        <f ca="1">IFERROR(__xludf.DUMMYFUNCTION("""COMPUTED_VALUE"""),"")</f>
        <v/>
      </c>
      <c r="AD386" s="11" t="str">
        <f ca="1">IFERROR(__xludf.DUMMYFUNCTION("""COMPUTED_VALUE"""),"")</f>
        <v/>
      </c>
      <c r="AE386" t="str">
        <f ca="1">IFERROR(__xludf.DUMMYFUNCTION("""COMPUTED_VALUE"""),"")</f>
        <v/>
      </c>
    </row>
    <row r="387" spans="1:31" ht="12.75" x14ac:dyDescent="0.2">
      <c r="A387">
        <f ca="1">IFERROR(__xludf.DUMMYFUNCTION("""COMPUTED_VALUE"""),90585)</f>
        <v>90585</v>
      </c>
      <c r="B387" t="str">
        <f ca="1">IFERROR(__xludf.DUMMYFUNCTION("""COMPUTED_VALUE"""),"ILLE SUR TET")</f>
        <v>ILLE SUR TET</v>
      </c>
      <c r="C387" t="str">
        <f ca="1">IFERROR(__xludf.DUMMYFUNCTION("""COMPUTED_VALUE"""),"Super U")</f>
        <v>Super U</v>
      </c>
      <c r="D387" t="str">
        <f ca="1">IFERROR(__xludf.DUMMYFUNCTION("""COMPUTED_VALUE"""),"Coop U Enseigne Sud")</f>
        <v>Coop U Enseigne Sud</v>
      </c>
      <c r="E387">
        <f ca="1">IFERROR(__xludf.DUMMYFUNCTION("""COMPUTED_VALUE"""),66130)</f>
        <v>66130</v>
      </c>
      <c r="F387" t="str">
        <f ca="1">IFERROR(__xludf.DUMMYFUNCTION("""COMPUTED_VALUE"""),"CENTRE COMMERCIAL LE RIBERAL")</f>
        <v>CENTRE COMMERCIAL LE RIBERAL</v>
      </c>
      <c r="G387" t="str">
        <f ca="1">IFERROR(__xludf.DUMMYFUNCTION("""COMPUTED_VALUE"""),"04.68.84.87.70")</f>
        <v>04.68.84.87.70</v>
      </c>
      <c r="H387" t="str">
        <f ca="1">IFERROR(__xludf.DUMMYFUNCTION("""COMPUTED_VALUE"""),"GAUBERT Ghislain")</f>
        <v>GAUBERT Ghislain</v>
      </c>
      <c r="I387" t="str">
        <f ca="1">IFERROR(__xludf.DUMMYFUNCTION("""COMPUTED_VALUE"""),"ghislain.gaubert@systeme-u.fr")</f>
        <v>ghislain.gaubert@systeme-u.fr</v>
      </c>
      <c r="J387" t="str">
        <f ca="1">IFERROR(__xludf.DUMMYFUNCTION("""COMPUTED_VALUE"""),"")</f>
        <v/>
      </c>
      <c r="K387" t="str">
        <f ca="1">IFERROR(__xludf.DUMMYFUNCTION("""COMPUTED_VALUE"""),"")</f>
        <v/>
      </c>
      <c r="L387" t="str">
        <f ca="1">IFERROR(__xludf.DUMMYFUNCTION("""COMPUTED_VALUE"""),"")</f>
        <v/>
      </c>
      <c r="M387" t="str">
        <f ca="1">IFERROR(__xludf.DUMMYFUNCTION("""COMPUTED_VALUE"""),"99.Hors Périmetre")</f>
        <v>99.Hors Périmetre</v>
      </c>
      <c r="N387" t="str">
        <f ca="1">IFERROR(__xludf.DUMMYFUNCTION("""COMPUTED_VALUE"""),"")</f>
        <v/>
      </c>
      <c r="O387" t="str">
        <f ca="1">IFERROR(__xludf.DUMMYFUNCTION("""COMPUTED_VALUE"""),"")</f>
        <v/>
      </c>
      <c r="P387" t="str">
        <f ca="1">IFERROR(__xludf.DUMMYFUNCTION("""COMPUTED_VALUE"""),"")</f>
        <v/>
      </c>
      <c r="Q387" s="5" t="str">
        <f ca="1">IFERROR(__xludf.DUMMYFUNCTION("""COMPUTED_VALUE"""),"")</f>
        <v/>
      </c>
      <c r="R387" s="6" t="str">
        <f ca="1">IFERROR(__xludf.DUMMYFUNCTION("""COMPUTED_VALUE"""),"")</f>
        <v/>
      </c>
      <c r="S387" t="str">
        <f ca="1">IFERROR(__xludf.DUMMYFUNCTION("""COMPUTED_VALUE"""),"")</f>
        <v/>
      </c>
      <c r="T387" t="str">
        <f ca="1">IFERROR(__xludf.DUMMYFUNCTION("""COMPUTED_VALUE"""),"")</f>
        <v/>
      </c>
      <c r="U387" t="str">
        <f ca="1">IFERROR(__xludf.DUMMYFUNCTION("""COMPUTED_VALUE"""),"")</f>
        <v/>
      </c>
      <c r="V387" t="str">
        <f ca="1">IFERROR(__xludf.DUMMYFUNCTION("""COMPUTED_VALUE"""),"")</f>
        <v/>
      </c>
      <c r="W387" t="str">
        <f ca="1">IFERROR(__xludf.DUMMYFUNCTION("""COMPUTED_VALUE"""),"")</f>
        <v/>
      </c>
      <c r="X387" t="str">
        <f ca="1">IFERROR(__xludf.DUMMYFUNCTION("""COMPUTED_VALUE"""),"")</f>
        <v/>
      </c>
      <c r="Y387" t="str">
        <f ca="1">IFERROR(__xludf.DUMMYFUNCTION("""COMPUTED_VALUE"""),"")</f>
        <v/>
      </c>
      <c r="Z387" t="str">
        <f ca="1">IFERROR(__xludf.DUMMYFUNCTION("""COMPUTED_VALUE"""),"")</f>
        <v/>
      </c>
      <c r="AA387" t="str">
        <f ca="1">IFERROR(__xludf.DUMMYFUNCTION("""COMPUTED_VALUE"""),"Pas de commande")</f>
        <v>Pas de commande</v>
      </c>
      <c r="AB387" s="8" t="str">
        <f ca="1">IFERROR(__xludf.DUMMYFUNCTION("""COMPUTED_VALUE"""),"")</f>
        <v/>
      </c>
      <c r="AC387" s="8" t="str">
        <f ca="1">IFERROR(__xludf.DUMMYFUNCTION("""COMPUTED_VALUE"""),"")</f>
        <v/>
      </c>
      <c r="AD387" s="11" t="str">
        <f ca="1">IFERROR(__xludf.DUMMYFUNCTION("""COMPUTED_VALUE"""),"")</f>
        <v/>
      </c>
      <c r="AE387" t="str">
        <f ca="1">IFERROR(__xludf.DUMMYFUNCTION("""COMPUTED_VALUE"""),"")</f>
        <v/>
      </c>
    </row>
    <row r="388" spans="1:31" ht="12.75" x14ac:dyDescent="0.2">
      <c r="A388">
        <f ca="1">IFERROR(__xludf.DUMMYFUNCTION("""COMPUTED_VALUE"""),60705)</f>
        <v>60705</v>
      </c>
      <c r="B388" t="str">
        <f ca="1">IFERROR(__xludf.DUMMYFUNCTION("""COMPUTED_VALUE"""),"INGWILLER")</f>
        <v>INGWILLER</v>
      </c>
      <c r="C388" t="str">
        <f ca="1">IFERROR(__xludf.DUMMYFUNCTION("""COMPUTED_VALUE"""),"Super U")</f>
        <v>Super U</v>
      </c>
      <c r="D388" t="str">
        <f ca="1">IFERROR(__xludf.DUMMYFUNCTION("""COMPUTED_VALUE"""),"Coop U Enseigne Est")</f>
        <v>Coop U Enseigne Est</v>
      </c>
      <c r="E388">
        <f ca="1">IFERROR(__xludf.DUMMYFUNCTION("""COMPUTED_VALUE"""),67340)</f>
        <v>67340</v>
      </c>
      <c r="F388" t="str">
        <f ca="1">IFERROR(__xludf.DUMMYFUNCTION("""COMPUTED_VALUE"""),"Z.I.rue du Wittholzweg")</f>
        <v>Z.I.rue du Wittholzweg</v>
      </c>
      <c r="G388" t="str">
        <f ca="1">IFERROR(__xludf.DUMMYFUNCTION("""COMPUTED_VALUE"""),"03.88.89.28.89")</f>
        <v>03.88.89.28.89</v>
      </c>
      <c r="H388" t="str">
        <f ca="1">IFERROR(__xludf.DUMMYFUNCTION("""COMPUTED_VALUE"""),"MORENO RPT SAS SOFIMO Michel")</f>
        <v>MORENO RPT SAS SOFIMO Michel</v>
      </c>
      <c r="I388" t="str">
        <f ca="1">IFERROR(__xludf.DUMMYFUNCTION("""COMPUTED_VALUE"""),"michel.moreno@systeme-u.fr")</f>
        <v>michel.moreno@systeme-u.fr</v>
      </c>
      <c r="J388" t="str">
        <f ca="1">IFERROR(__xludf.DUMMYFUNCTION("""COMPUTED_VALUE"""),"Gauthier WILL")</f>
        <v>Gauthier WILL</v>
      </c>
      <c r="K388" t="str">
        <f ca="1">IFERROR(__xludf.DUMMYFUNCTION("""COMPUTED_VALUE"""),"superu.ingwiller.directeur@systeme-u.fr")</f>
        <v>superu.ingwiller.directeur@systeme-u.fr</v>
      </c>
      <c r="L388" t="str">
        <f ca="1">IFERROR(__xludf.DUMMYFUNCTION("""COMPUTED_VALUE"""),"")</f>
        <v/>
      </c>
      <c r="M388" t="str">
        <f ca="1">IFERROR(__xludf.DUMMYFUNCTION("""COMPUTED_VALUE"""),"99.Hors Périmetre")</f>
        <v>99.Hors Périmetre</v>
      </c>
      <c r="N388" t="str">
        <f ca="1">IFERROR(__xludf.DUMMYFUNCTION("""COMPUTED_VALUE"""),"")</f>
        <v/>
      </c>
      <c r="O388" t="str">
        <f ca="1">IFERROR(__xludf.DUMMYFUNCTION("""COMPUTED_VALUE"""),"")</f>
        <v/>
      </c>
      <c r="P388" t="str">
        <f ca="1">IFERROR(__xludf.DUMMYFUNCTION("""COMPUTED_VALUE"""),"")</f>
        <v/>
      </c>
      <c r="Q388" s="5" t="str">
        <f ca="1">IFERROR(__xludf.DUMMYFUNCTION("""COMPUTED_VALUE"""),"")</f>
        <v/>
      </c>
      <c r="R388" s="6" t="str">
        <f ca="1">IFERROR(__xludf.DUMMYFUNCTION("""COMPUTED_VALUE"""),"")</f>
        <v/>
      </c>
      <c r="S388" t="str">
        <f ca="1">IFERROR(__xludf.DUMMYFUNCTION("""COMPUTED_VALUE"""),"")</f>
        <v/>
      </c>
      <c r="T388" t="str">
        <f ca="1">IFERROR(__xludf.DUMMYFUNCTION("""COMPUTED_VALUE"""),"")</f>
        <v/>
      </c>
      <c r="U388" t="str">
        <f ca="1">IFERROR(__xludf.DUMMYFUNCTION("""COMPUTED_VALUE"""),"")</f>
        <v/>
      </c>
      <c r="V388" t="str">
        <f ca="1">IFERROR(__xludf.DUMMYFUNCTION("""COMPUTED_VALUE"""),"")</f>
        <v/>
      </c>
      <c r="W388" t="str">
        <f ca="1">IFERROR(__xludf.DUMMYFUNCTION("""COMPUTED_VALUE"""),"")</f>
        <v/>
      </c>
      <c r="X388" t="str">
        <f ca="1">IFERROR(__xludf.DUMMYFUNCTION("""COMPUTED_VALUE"""),"")</f>
        <v/>
      </c>
      <c r="Y388" t="str">
        <f ca="1">IFERROR(__xludf.DUMMYFUNCTION("""COMPUTED_VALUE"""),"")</f>
        <v/>
      </c>
      <c r="Z388" t="str">
        <f ca="1">IFERROR(__xludf.DUMMYFUNCTION("""COMPUTED_VALUE"""),"")</f>
        <v/>
      </c>
      <c r="AA388" t="str">
        <f ca="1">IFERROR(__xludf.DUMMYFUNCTION("""COMPUTED_VALUE"""),"Pas de commande")</f>
        <v>Pas de commande</v>
      </c>
      <c r="AB388" s="8" t="str">
        <f ca="1">IFERROR(__xludf.DUMMYFUNCTION("""COMPUTED_VALUE"""),"")</f>
        <v/>
      </c>
      <c r="AC388" s="8" t="str">
        <f ca="1">IFERROR(__xludf.DUMMYFUNCTION("""COMPUTED_VALUE"""),"")</f>
        <v/>
      </c>
      <c r="AD388" s="11" t="str">
        <f ca="1">IFERROR(__xludf.DUMMYFUNCTION("""COMPUTED_VALUE"""),"")</f>
        <v/>
      </c>
      <c r="AE388" t="str">
        <f ca="1">IFERROR(__xludf.DUMMYFUNCTION("""COMPUTED_VALUE"""),"")</f>
        <v/>
      </c>
    </row>
    <row r="389" spans="1:31" ht="12.75" x14ac:dyDescent="0.2">
      <c r="A389">
        <f ca="1">IFERROR(__xludf.DUMMYFUNCTION("""COMPUTED_VALUE"""),34168)</f>
        <v>34168</v>
      </c>
      <c r="B389" t="str">
        <f ca="1">IFERROR(__xludf.DUMMYFUNCTION("""COMPUTED_VALUE"""),"ISLE")</f>
        <v>ISLE</v>
      </c>
      <c r="C389" t="str">
        <f ca="1">IFERROR(__xludf.DUMMYFUNCTION("""COMPUTED_VALUE"""),"U Express")</f>
        <v>U Express</v>
      </c>
      <c r="D389" t="str">
        <f ca="1">IFERROR(__xludf.DUMMYFUNCTION("""COMPUTED_VALUE"""),"Coop Atlantique")</f>
        <v>Coop Atlantique</v>
      </c>
      <c r="E389">
        <f ca="1">IFERROR(__xludf.DUMMYFUNCTION("""COMPUTED_VALUE"""),87170)</f>
        <v>87170</v>
      </c>
      <c r="F389" t="str">
        <f ca="1">IFERROR(__xludf.DUMMYFUNCTION("""COMPUTED_VALUE"""),"3, RUE LOUIS ARAGON")</f>
        <v>3, RUE LOUIS ARAGON</v>
      </c>
      <c r="G389" t="str">
        <f ca="1">IFERROR(__xludf.DUMMYFUNCTION("""COMPUTED_VALUE"""),"05.55.50.02.43")</f>
        <v>05.55.50.02.43</v>
      </c>
      <c r="H389" t="str">
        <f ca="1">IFERROR(__xludf.DUMMYFUNCTION("""COMPUTED_VALUE"""),"FLAMBARD Hervé")</f>
        <v>FLAMBARD Hervé</v>
      </c>
      <c r="I389" t="str">
        <f ca="1">IFERROR(__xludf.DUMMYFUNCTION("""COMPUTED_VALUE"""),"bertrand.defontaine_coop_su_uex@systeme-u.fr")</f>
        <v>bertrand.defontaine_coop_su_uex@systeme-u.fr</v>
      </c>
      <c r="J389" t="str">
        <f ca="1">IFERROR(__xludf.DUMMYFUNCTION("""COMPUTED_VALUE"""),"Franck BOURDEAU / Gilles DUPUY")</f>
        <v>Franck BOURDEAU / Gilles DUPUY</v>
      </c>
      <c r="K389" t="str">
        <f ca="1">IFERROR(__xludf.DUMMYFUNCTION("""COMPUTED_VALUE"""),"uexpress.isle.direction@systeme-u.fr,nbrigant@coop-atlantique.fr,sjaud@coop-atlantique.fr")</f>
        <v>uexpress.isle.direction@systeme-u.fr,nbrigant@coop-atlantique.fr,sjaud@coop-atlantique.fr</v>
      </c>
      <c r="L389" t="str">
        <f ca="1">IFERROR(__xludf.DUMMYFUNCTION("""COMPUTED_VALUE"""),"")</f>
        <v/>
      </c>
      <c r="M389" t="str">
        <f ca="1">IFERROR(__xludf.DUMMYFUNCTION("""COMPUTED_VALUE"""),"99.Hors Périmetre")</f>
        <v>99.Hors Périmetre</v>
      </c>
      <c r="N389" t="str">
        <f ca="1">IFERROR(__xludf.DUMMYFUNCTION("""COMPUTED_VALUE"""),"")</f>
        <v/>
      </c>
      <c r="O389" t="str">
        <f ca="1">IFERROR(__xludf.DUMMYFUNCTION("""COMPUTED_VALUE"""),"")</f>
        <v/>
      </c>
      <c r="P389" t="str">
        <f ca="1">IFERROR(__xludf.DUMMYFUNCTION("""COMPUTED_VALUE"""),"")</f>
        <v/>
      </c>
      <c r="Q389" s="5" t="str">
        <f ca="1">IFERROR(__xludf.DUMMYFUNCTION("""COMPUTED_VALUE"""),"")</f>
        <v/>
      </c>
      <c r="R389" s="6" t="str">
        <f ca="1">IFERROR(__xludf.DUMMYFUNCTION("""COMPUTED_VALUE"""),"")</f>
        <v/>
      </c>
      <c r="S389" t="str">
        <f ca="1">IFERROR(__xludf.DUMMYFUNCTION("""COMPUTED_VALUE"""),"")</f>
        <v/>
      </c>
      <c r="T389" t="str">
        <f ca="1">IFERROR(__xludf.DUMMYFUNCTION("""COMPUTED_VALUE"""),"")</f>
        <v/>
      </c>
      <c r="U389" t="str">
        <f ca="1">IFERROR(__xludf.DUMMYFUNCTION("""COMPUTED_VALUE"""),"")</f>
        <v/>
      </c>
      <c r="V389" t="str">
        <f ca="1">IFERROR(__xludf.DUMMYFUNCTION("""COMPUTED_VALUE"""),"")</f>
        <v/>
      </c>
      <c r="W389" t="str">
        <f ca="1">IFERROR(__xludf.DUMMYFUNCTION("""COMPUTED_VALUE"""),"")</f>
        <v/>
      </c>
      <c r="X389" t="str">
        <f ca="1">IFERROR(__xludf.DUMMYFUNCTION("""COMPUTED_VALUE"""),"")</f>
        <v/>
      </c>
      <c r="Y389" t="str">
        <f ca="1">IFERROR(__xludf.DUMMYFUNCTION("""COMPUTED_VALUE"""),"")</f>
        <v/>
      </c>
      <c r="Z389" t="str">
        <f ca="1">IFERROR(__xludf.DUMMYFUNCTION("""COMPUTED_VALUE"""),"")</f>
        <v/>
      </c>
      <c r="AA389" t="str">
        <f ca="1">IFERROR(__xludf.DUMMYFUNCTION("""COMPUTED_VALUE"""),"Pas de commande")</f>
        <v>Pas de commande</v>
      </c>
      <c r="AB389" s="8" t="str">
        <f ca="1">IFERROR(__xludf.DUMMYFUNCTION("""COMPUTED_VALUE"""),"")</f>
        <v/>
      </c>
      <c r="AC389" s="8" t="str">
        <f ca="1">IFERROR(__xludf.DUMMYFUNCTION("""COMPUTED_VALUE"""),"")</f>
        <v/>
      </c>
      <c r="AD389" s="11" t="str">
        <f ca="1">IFERROR(__xludf.DUMMYFUNCTION("""COMPUTED_VALUE"""),"")</f>
        <v/>
      </c>
      <c r="AE389" t="str">
        <f ca="1">IFERROR(__xludf.DUMMYFUNCTION("""COMPUTED_VALUE"""),"")</f>
        <v/>
      </c>
    </row>
    <row r="390" spans="1:31" ht="12.75" x14ac:dyDescent="0.2">
      <c r="A390">
        <f ca="1">IFERROR(__xludf.DUMMYFUNCTION("""COMPUTED_VALUE"""),33069)</f>
        <v>33069</v>
      </c>
      <c r="B390" t="str">
        <f ca="1">IFERROR(__xludf.DUMMYFUNCTION("""COMPUTED_VALUE"""),"JANZE")</f>
        <v>JANZE</v>
      </c>
      <c r="C390" t="str">
        <f ca="1">IFERROR(__xludf.DUMMYFUNCTION("""COMPUTED_VALUE"""),"Super U")</f>
        <v>Super U</v>
      </c>
      <c r="D390" t="str">
        <f ca="1">IFERROR(__xludf.DUMMYFUNCTION("""COMPUTED_VALUE"""),"Coop U Enseigne Ouest")</f>
        <v>Coop U Enseigne Ouest</v>
      </c>
      <c r="E390">
        <f ca="1">IFERROR(__xludf.DUMMYFUNCTION("""COMPUTED_VALUE"""),35150)</f>
        <v>35150</v>
      </c>
      <c r="F390" t="str">
        <f ca="1">IFERROR(__xludf.DUMMYFUNCTION("""COMPUTED_VALUE"""),"BOULEVARD CHARCOT")</f>
        <v>BOULEVARD CHARCOT</v>
      </c>
      <c r="G390" t="str">
        <f ca="1">IFERROR(__xludf.DUMMYFUNCTION("""COMPUTED_VALUE"""),"02.99.47.03.04")</f>
        <v>02.99.47.03.04</v>
      </c>
      <c r="H390" t="str">
        <f ca="1">IFERROR(__xludf.DUMMYFUNCTION("""COMPUTED_VALUE"""),"BARBAULT RPT SARL J.U.V.A. Gilles")</f>
        <v>BARBAULT RPT SARL J.U.V.A. Gilles</v>
      </c>
      <c r="I390" t="str">
        <f ca="1">IFERROR(__xludf.DUMMYFUNCTION("""COMPUTED_VALUE"""),"gilles.barbault@systeme-u.fr")</f>
        <v>gilles.barbault@systeme-u.fr</v>
      </c>
      <c r="J390" t="str">
        <f ca="1">IFERROR(__xludf.DUMMYFUNCTION("""COMPUTED_VALUE"""),"Cécilia ou Grégory")</f>
        <v>Cécilia ou Grégory</v>
      </c>
      <c r="K390" t="str">
        <f ca="1">IFERROR(__xludf.DUMMYFUNCTION("""COMPUTED_VALUE"""),"superu.janze.informatique@systeme-u.fr,gregory.sanson@systeme-u.fr")</f>
        <v>superu.janze.informatique@systeme-u.fr,gregory.sanson@systeme-u.fr</v>
      </c>
      <c r="L390" t="str">
        <f ca="1">IFERROR(__xludf.DUMMYFUNCTION("""COMPUTED_VALUE"""),"")</f>
        <v/>
      </c>
      <c r="M390" t="str">
        <f ca="1">IFERROR(__xludf.DUMMYFUNCTION("""COMPUTED_VALUE"""),"99.Hors Périmetre")</f>
        <v>99.Hors Périmetre</v>
      </c>
      <c r="N390" t="str">
        <f ca="1">IFERROR(__xludf.DUMMYFUNCTION("""COMPUTED_VALUE"""),"")</f>
        <v/>
      </c>
      <c r="O390" t="str">
        <f ca="1">IFERROR(__xludf.DUMMYFUNCTION("""COMPUTED_VALUE"""),"")</f>
        <v/>
      </c>
      <c r="P390" t="str">
        <f ca="1">IFERROR(__xludf.DUMMYFUNCTION("""COMPUTED_VALUE"""),"")</f>
        <v/>
      </c>
      <c r="Q390" s="5" t="str">
        <f ca="1">IFERROR(__xludf.DUMMYFUNCTION("""COMPUTED_VALUE"""),"")</f>
        <v/>
      </c>
      <c r="R390" s="6" t="str">
        <f ca="1">IFERROR(__xludf.DUMMYFUNCTION("""COMPUTED_VALUE"""),"")</f>
        <v/>
      </c>
      <c r="S390" t="str">
        <f ca="1">IFERROR(__xludf.DUMMYFUNCTION("""COMPUTED_VALUE"""),"")</f>
        <v/>
      </c>
      <c r="T390" t="str">
        <f ca="1">IFERROR(__xludf.DUMMYFUNCTION("""COMPUTED_VALUE"""),"")</f>
        <v/>
      </c>
      <c r="U390" t="str">
        <f ca="1">IFERROR(__xludf.DUMMYFUNCTION("""COMPUTED_VALUE"""),"")</f>
        <v/>
      </c>
      <c r="V390" t="str">
        <f ca="1">IFERROR(__xludf.DUMMYFUNCTION("""COMPUTED_VALUE"""),"")</f>
        <v/>
      </c>
      <c r="W390" t="str">
        <f ca="1">IFERROR(__xludf.DUMMYFUNCTION("""COMPUTED_VALUE"""),"")</f>
        <v/>
      </c>
      <c r="X390" t="str">
        <f ca="1">IFERROR(__xludf.DUMMYFUNCTION("""COMPUTED_VALUE"""),"")</f>
        <v/>
      </c>
      <c r="Y390" t="str">
        <f ca="1">IFERROR(__xludf.DUMMYFUNCTION("""COMPUTED_VALUE"""),"")</f>
        <v/>
      </c>
      <c r="Z390" t="str">
        <f ca="1">IFERROR(__xludf.DUMMYFUNCTION("""COMPUTED_VALUE"""),"")</f>
        <v/>
      </c>
      <c r="AA390" t="str">
        <f ca="1">IFERROR(__xludf.DUMMYFUNCTION("""COMPUTED_VALUE"""),"Pas de commande")</f>
        <v>Pas de commande</v>
      </c>
      <c r="AB390" s="8" t="str">
        <f ca="1">IFERROR(__xludf.DUMMYFUNCTION("""COMPUTED_VALUE"""),"")</f>
        <v/>
      </c>
      <c r="AC390" s="8" t="str">
        <f ca="1">IFERROR(__xludf.DUMMYFUNCTION("""COMPUTED_VALUE"""),"")</f>
        <v/>
      </c>
      <c r="AD390" s="11" t="str">
        <f ca="1">IFERROR(__xludf.DUMMYFUNCTION("""COMPUTED_VALUE"""),"")</f>
        <v/>
      </c>
      <c r="AE390" t="str">
        <f ca="1">IFERROR(__xludf.DUMMYFUNCTION("""COMPUTED_VALUE"""),"")</f>
        <v/>
      </c>
    </row>
    <row r="391" spans="1:31" ht="12.75" x14ac:dyDescent="0.2">
      <c r="A391">
        <f ca="1">IFERROR(__xludf.DUMMYFUNCTION("""COMPUTED_VALUE"""),30051)</f>
        <v>30051</v>
      </c>
      <c r="B391" t="str">
        <f ca="1">IFERROR(__xludf.DUMMYFUNCTION("""COMPUTED_VALUE"""),"JARD-SUR-MER")</f>
        <v>JARD-SUR-MER</v>
      </c>
      <c r="C391" t="str">
        <f ca="1">IFERROR(__xludf.DUMMYFUNCTION("""COMPUTED_VALUE"""),"Super U")</f>
        <v>Super U</v>
      </c>
      <c r="D391" t="str">
        <f ca="1">IFERROR(__xludf.DUMMYFUNCTION("""COMPUTED_VALUE"""),"Coop U Enseigne Ouest")</f>
        <v>Coop U Enseigne Ouest</v>
      </c>
      <c r="E391">
        <f ca="1">IFERROR(__xludf.DUMMYFUNCTION("""COMPUTED_VALUE"""),85520)</f>
        <v>85520</v>
      </c>
      <c r="F391" t="str">
        <f ca="1">IFERROR(__xludf.DUMMYFUNCTION("""COMPUTED_VALUE"""),"RUE DE LA PERPOISE")</f>
        <v>RUE DE LA PERPOISE</v>
      </c>
      <c r="G391" t="str">
        <f ca="1">IFERROR(__xludf.DUMMYFUNCTION("""COMPUTED_VALUE"""),"02.51.33.44.96")</f>
        <v>02.51.33.44.96</v>
      </c>
      <c r="H391" t="str">
        <f ca="1">IFERROR(__xludf.DUMMYFUNCTION("""COMPUTED_VALUE"""),"MICHON RPT SARL JEMADIS Jean Marc")</f>
        <v>MICHON RPT SARL JEMADIS Jean Marc</v>
      </c>
      <c r="I391" t="str">
        <f ca="1">IFERROR(__xludf.DUMMYFUNCTION("""COMPUTED_VALUE"""),"jean-marc.michon@systeme-u.fr")</f>
        <v>jean-marc.michon@systeme-u.fr</v>
      </c>
      <c r="J391" t="str">
        <f ca="1">IFERROR(__xludf.DUMMYFUNCTION("""COMPUTED_VALUE"""),"RICHARD Laurent")</f>
        <v>RICHARD Laurent</v>
      </c>
      <c r="K391" t="str">
        <f ca="1">IFERROR(__xludf.DUMMYFUNCTION("""COMPUTED_VALUE"""),"superu.jardsurmer.direction@systeme-u.fr")</f>
        <v>superu.jardsurmer.direction@systeme-u.fr</v>
      </c>
      <c r="L391" t="str">
        <f ca="1">IFERROR(__xludf.DUMMYFUNCTION("""COMPUTED_VALUE"""),"")</f>
        <v/>
      </c>
      <c r="M391" t="str">
        <f ca="1">IFERROR(__xludf.DUMMYFUNCTION("""COMPUTED_VALUE"""),"99.Hors Périmetre")</f>
        <v>99.Hors Périmetre</v>
      </c>
      <c r="N391" t="str">
        <f ca="1">IFERROR(__xludf.DUMMYFUNCTION("""COMPUTED_VALUE"""),"")</f>
        <v/>
      </c>
      <c r="O391" t="str">
        <f ca="1">IFERROR(__xludf.DUMMYFUNCTION("""COMPUTED_VALUE"""),"")</f>
        <v/>
      </c>
      <c r="P391" t="str">
        <f ca="1">IFERROR(__xludf.DUMMYFUNCTION("""COMPUTED_VALUE"""),"")</f>
        <v/>
      </c>
      <c r="Q391" s="5" t="str">
        <f ca="1">IFERROR(__xludf.DUMMYFUNCTION("""COMPUTED_VALUE"""),"")</f>
        <v/>
      </c>
      <c r="R391" s="6" t="str">
        <f ca="1">IFERROR(__xludf.DUMMYFUNCTION("""COMPUTED_VALUE"""),"")</f>
        <v/>
      </c>
      <c r="S391" t="str">
        <f ca="1">IFERROR(__xludf.DUMMYFUNCTION("""COMPUTED_VALUE"""),"")</f>
        <v/>
      </c>
      <c r="T391" t="str">
        <f ca="1">IFERROR(__xludf.DUMMYFUNCTION("""COMPUTED_VALUE"""),"")</f>
        <v/>
      </c>
      <c r="U391" t="str">
        <f ca="1">IFERROR(__xludf.DUMMYFUNCTION("""COMPUTED_VALUE"""),"")</f>
        <v/>
      </c>
      <c r="V391" t="str">
        <f ca="1">IFERROR(__xludf.DUMMYFUNCTION("""COMPUTED_VALUE"""),"")</f>
        <v/>
      </c>
      <c r="W391" t="str">
        <f ca="1">IFERROR(__xludf.DUMMYFUNCTION("""COMPUTED_VALUE"""),"")</f>
        <v/>
      </c>
      <c r="X391" t="str">
        <f ca="1">IFERROR(__xludf.DUMMYFUNCTION("""COMPUTED_VALUE"""),"")</f>
        <v/>
      </c>
      <c r="Y391" t="str">
        <f ca="1">IFERROR(__xludf.DUMMYFUNCTION("""COMPUTED_VALUE"""),"")</f>
        <v/>
      </c>
      <c r="Z391" t="str">
        <f ca="1">IFERROR(__xludf.DUMMYFUNCTION("""COMPUTED_VALUE"""),"")</f>
        <v/>
      </c>
      <c r="AA391" t="str">
        <f ca="1">IFERROR(__xludf.DUMMYFUNCTION("""COMPUTED_VALUE"""),"Pas de commande")</f>
        <v>Pas de commande</v>
      </c>
      <c r="AB391" s="8" t="str">
        <f ca="1">IFERROR(__xludf.DUMMYFUNCTION("""COMPUTED_VALUE"""),"")</f>
        <v/>
      </c>
      <c r="AC391" s="8" t="str">
        <f ca="1">IFERROR(__xludf.DUMMYFUNCTION("""COMPUTED_VALUE"""),"")</f>
        <v/>
      </c>
      <c r="AD391" s="11" t="str">
        <f ca="1">IFERROR(__xludf.DUMMYFUNCTION("""COMPUTED_VALUE"""),"")</f>
        <v/>
      </c>
      <c r="AE391" t="str">
        <f ca="1">IFERROR(__xludf.DUMMYFUNCTION("""COMPUTED_VALUE"""),"")</f>
        <v/>
      </c>
    </row>
    <row r="392" spans="1:31" ht="12.75" x14ac:dyDescent="0.2">
      <c r="A392">
        <f ca="1">IFERROR(__xludf.DUMMYFUNCTION("""COMPUTED_VALUE"""),32071)</f>
        <v>32071</v>
      </c>
      <c r="B392" t="str">
        <f ca="1">IFERROR(__xludf.DUMMYFUNCTION("""COMPUTED_VALUE"""),"JARNAC")</f>
        <v>JARNAC</v>
      </c>
      <c r="C392" t="str">
        <f ca="1">IFERROR(__xludf.DUMMYFUNCTION("""COMPUTED_VALUE"""),"U Express")</f>
        <v>U Express</v>
      </c>
      <c r="D392" t="str">
        <f ca="1">IFERROR(__xludf.DUMMYFUNCTION("""COMPUTED_VALUE"""),"Coop Atlantique")</f>
        <v>Coop Atlantique</v>
      </c>
      <c r="E392">
        <f ca="1">IFERROR(__xludf.DUMMYFUNCTION("""COMPUTED_VALUE"""),16200)</f>
        <v>16200</v>
      </c>
      <c r="F392" t="str">
        <f ca="1">IFERROR(__xludf.DUMMYFUNCTION("""COMPUTED_VALUE"""),"AVENUE D'ECOSSE")</f>
        <v>AVENUE D'ECOSSE</v>
      </c>
      <c r="G392" t="str">
        <f ca="1">IFERROR(__xludf.DUMMYFUNCTION("""COMPUTED_VALUE"""),"05.45.81.19.30")</f>
        <v>05.45.81.19.30</v>
      </c>
      <c r="H392" t="str">
        <f ca="1">IFERROR(__xludf.DUMMYFUNCTION("""COMPUTED_VALUE"""),"FLAMBARD Hervé")</f>
        <v>FLAMBARD Hervé</v>
      </c>
      <c r="I392" t="str">
        <f ca="1">IFERROR(__xludf.DUMMYFUNCTION("""COMPUTED_VALUE"""),"bertrand.defontaine_coop_su_uex@systeme-u.fr")</f>
        <v>bertrand.defontaine_coop_su_uex@systeme-u.fr</v>
      </c>
      <c r="J392" t="str">
        <f ca="1">IFERROR(__xludf.DUMMYFUNCTION("""COMPUTED_VALUE"""),"Mme Barthélémy")</f>
        <v>Mme Barthélémy</v>
      </c>
      <c r="K392" t="str">
        <f ca="1">IFERROR(__xludf.DUMMYFUNCTION("""COMPUTED_VALUE"""),"superu.jarnac.direction@systeme-u.fr,nbrigant@coop-atlantique.fr,sjaud@coop-atlantique.fr")</f>
        <v>superu.jarnac.direction@systeme-u.fr,nbrigant@coop-atlantique.fr,sjaud@coop-atlantique.fr</v>
      </c>
      <c r="L392" t="str">
        <f ca="1">IFERROR(__xludf.DUMMYFUNCTION("""COMPUTED_VALUE"""),"")</f>
        <v/>
      </c>
      <c r="M392" t="str">
        <f ca="1">IFERROR(__xludf.DUMMYFUNCTION("""COMPUTED_VALUE"""),"99.Hors Périmetre")</f>
        <v>99.Hors Périmetre</v>
      </c>
      <c r="N392" t="str">
        <f ca="1">IFERROR(__xludf.DUMMYFUNCTION("""COMPUTED_VALUE"""),"")</f>
        <v/>
      </c>
      <c r="O392" t="str">
        <f ca="1">IFERROR(__xludf.DUMMYFUNCTION("""COMPUTED_VALUE"""),"")</f>
        <v/>
      </c>
      <c r="P392" t="str">
        <f ca="1">IFERROR(__xludf.DUMMYFUNCTION("""COMPUTED_VALUE"""),"")</f>
        <v/>
      </c>
      <c r="Q392" s="5" t="str">
        <f ca="1">IFERROR(__xludf.DUMMYFUNCTION("""COMPUTED_VALUE"""),"")</f>
        <v/>
      </c>
      <c r="R392" s="6" t="str">
        <f ca="1">IFERROR(__xludf.DUMMYFUNCTION("""COMPUTED_VALUE"""),"")</f>
        <v/>
      </c>
      <c r="S392" t="str">
        <f ca="1">IFERROR(__xludf.DUMMYFUNCTION("""COMPUTED_VALUE"""),"")</f>
        <v/>
      </c>
      <c r="T392" t="str">
        <f ca="1">IFERROR(__xludf.DUMMYFUNCTION("""COMPUTED_VALUE"""),"")</f>
        <v/>
      </c>
      <c r="U392" t="str">
        <f ca="1">IFERROR(__xludf.DUMMYFUNCTION("""COMPUTED_VALUE"""),"")</f>
        <v/>
      </c>
      <c r="V392" t="str">
        <f ca="1">IFERROR(__xludf.DUMMYFUNCTION("""COMPUTED_VALUE"""),"")</f>
        <v/>
      </c>
      <c r="W392" t="str">
        <f ca="1">IFERROR(__xludf.DUMMYFUNCTION("""COMPUTED_VALUE"""),"")</f>
        <v/>
      </c>
      <c r="X392" t="str">
        <f ca="1">IFERROR(__xludf.DUMMYFUNCTION("""COMPUTED_VALUE"""),"")</f>
        <v/>
      </c>
      <c r="Y392" t="str">
        <f ca="1">IFERROR(__xludf.DUMMYFUNCTION("""COMPUTED_VALUE"""),"")</f>
        <v/>
      </c>
      <c r="Z392" t="str">
        <f ca="1">IFERROR(__xludf.DUMMYFUNCTION("""COMPUTED_VALUE"""),"")</f>
        <v/>
      </c>
      <c r="AA392" t="str">
        <f ca="1">IFERROR(__xludf.DUMMYFUNCTION("""COMPUTED_VALUE"""),"Pas de commande")</f>
        <v>Pas de commande</v>
      </c>
      <c r="AB392" s="8" t="str">
        <f ca="1">IFERROR(__xludf.DUMMYFUNCTION("""COMPUTED_VALUE"""),"")</f>
        <v/>
      </c>
      <c r="AC392" s="8" t="str">
        <f ca="1">IFERROR(__xludf.DUMMYFUNCTION("""COMPUTED_VALUE"""),"")</f>
        <v/>
      </c>
      <c r="AD392" s="11" t="str">
        <f ca="1">IFERROR(__xludf.DUMMYFUNCTION("""COMPUTED_VALUE"""),"")</f>
        <v/>
      </c>
      <c r="AE392" t="str">
        <f ca="1">IFERROR(__xludf.DUMMYFUNCTION("""COMPUTED_VALUE"""),"")</f>
        <v/>
      </c>
    </row>
    <row r="393" spans="1:31" ht="12.75" x14ac:dyDescent="0.2">
      <c r="A393">
        <f ca="1">IFERROR(__xludf.DUMMYFUNCTION("""COMPUTED_VALUE"""),65442)</f>
        <v>65442</v>
      </c>
      <c r="B393" t="str">
        <f ca="1">IFERROR(__xludf.DUMMYFUNCTION("""COMPUTED_VALUE"""),"JOINVILLE")</f>
        <v>JOINVILLE</v>
      </c>
      <c r="C393" t="str">
        <f ca="1">IFERROR(__xludf.DUMMYFUNCTION("""COMPUTED_VALUE"""),"Super U")</f>
        <v>Super U</v>
      </c>
      <c r="D393" t="str">
        <f ca="1">IFERROR(__xludf.DUMMYFUNCTION("""COMPUTED_VALUE"""),"Coop U Enseigne Est")</f>
        <v>Coop U Enseigne Est</v>
      </c>
      <c r="E393">
        <f ca="1">IFERROR(__xludf.DUMMYFUNCTION("""COMPUTED_VALUE"""),52300)</f>
        <v>52300</v>
      </c>
      <c r="F393" t="str">
        <f ca="1">IFERROR(__xludf.DUMMYFUNCTION("""COMPUTED_VALUE"""),"Avenue de Lorraine")</f>
        <v>Avenue de Lorraine</v>
      </c>
      <c r="G393" t="str">
        <f ca="1">IFERROR(__xludf.DUMMYFUNCTION("""COMPUTED_VALUE"""),"03.25.04.25.51")</f>
        <v>03.25.04.25.51</v>
      </c>
      <c r="H393" t="str">
        <f ca="1">IFERROR(__xludf.DUMMYFUNCTION("""COMPUTED_VALUE"""),"CARBONI Sébastien")</f>
        <v>CARBONI Sébastien</v>
      </c>
      <c r="I393" t="str">
        <f ca="1">IFERROR(__xludf.DUMMYFUNCTION("""COMPUTED_VALUE"""),"sebastien.carboni@systeme-u.fr")</f>
        <v>sebastien.carboni@systeme-u.fr</v>
      </c>
      <c r="J393" t="str">
        <f ca="1">IFERROR(__xludf.DUMMYFUNCTION("""COMPUTED_VALUE"""),"Mr PAYSANT (directeur - UPLV)
Mme Guérinot (comptable - Pilote)")</f>
        <v>Mr PAYSANT (directeur - UPLV)
Mme Guérinot (comptable - Pilote)</v>
      </c>
      <c r="K393" t="str">
        <f ca="1">IFERROR(__xludf.DUMMYFUNCTION("""COMPUTED_VALUE"""),"superu.joinville.direction@systeme-u.fr")</f>
        <v>superu.joinville.direction@systeme-u.fr</v>
      </c>
      <c r="L393" t="str">
        <f ca="1">IFERROR(__xludf.DUMMYFUNCTION("""COMPUTED_VALUE"""),"")</f>
        <v/>
      </c>
      <c r="M393" t="str">
        <f ca="1">IFERROR(__xludf.DUMMYFUNCTION("""COMPUTED_VALUE"""),"99.Hors Périmetre")</f>
        <v>99.Hors Périmetre</v>
      </c>
      <c r="N393" t="str">
        <f ca="1">IFERROR(__xludf.DUMMYFUNCTION("""COMPUTED_VALUE"""),"")</f>
        <v/>
      </c>
      <c r="O393" t="str">
        <f ca="1">IFERROR(__xludf.DUMMYFUNCTION("""COMPUTED_VALUE"""),"")</f>
        <v/>
      </c>
      <c r="P393" t="str">
        <f ca="1">IFERROR(__xludf.DUMMYFUNCTION("""COMPUTED_VALUE"""),"")</f>
        <v/>
      </c>
      <c r="Q393" s="5" t="str">
        <f ca="1">IFERROR(__xludf.DUMMYFUNCTION("""COMPUTED_VALUE"""),"")</f>
        <v/>
      </c>
      <c r="R393" s="6" t="str">
        <f ca="1">IFERROR(__xludf.DUMMYFUNCTION("""COMPUTED_VALUE"""),"")</f>
        <v/>
      </c>
      <c r="S393" t="str">
        <f ca="1">IFERROR(__xludf.DUMMYFUNCTION("""COMPUTED_VALUE"""),"")</f>
        <v/>
      </c>
      <c r="T393" t="str">
        <f ca="1">IFERROR(__xludf.DUMMYFUNCTION("""COMPUTED_VALUE"""),"")</f>
        <v/>
      </c>
      <c r="U393" t="str">
        <f ca="1">IFERROR(__xludf.DUMMYFUNCTION("""COMPUTED_VALUE"""),"")</f>
        <v/>
      </c>
      <c r="V393" t="str">
        <f ca="1">IFERROR(__xludf.DUMMYFUNCTION("""COMPUTED_VALUE"""),"")</f>
        <v/>
      </c>
      <c r="W393" t="str">
        <f ca="1">IFERROR(__xludf.DUMMYFUNCTION("""COMPUTED_VALUE"""),"")</f>
        <v/>
      </c>
      <c r="X393" t="str">
        <f ca="1">IFERROR(__xludf.DUMMYFUNCTION("""COMPUTED_VALUE"""),"")</f>
        <v/>
      </c>
      <c r="Y393" t="str">
        <f ca="1">IFERROR(__xludf.DUMMYFUNCTION("""COMPUTED_VALUE"""),"")</f>
        <v/>
      </c>
      <c r="Z393" t="str">
        <f ca="1">IFERROR(__xludf.DUMMYFUNCTION("""COMPUTED_VALUE"""),"")</f>
        <v/>
      </c>
      <c r="AA393" t="str">
        <f ca="1">IFERROR(__xludf.DUMMYFUNCTION("""COMPUTED_VALUE"""),"Pas de commande")</f>
        <v>Pas de commande</v>
      </c>
      <c r="AB393" s="8" t="str">
        <f ca="1">IFERROR(__xludf.DUMMYFUNCTION("""COMPUTED_VALUE"""),"")</f>
        <v/>
      </c>
      <c r="AC393" s="8" t="str">
        <f ca="1">IFERROR(__xludf.DUMMYFUNCTION("""COMPUTED_VALUE"""),"")</f>
        <v/>
      </c>
      <c r="AD393" s="11" t="str">
        <f ca="1">IFERROR(__xludf.DUMMYFUNCTION("""COMPUTED_VALUE"""),"")</f>
        <v/>
      </c>
      <c r="AE393" t="str">
        <f ca="1">IFERROR(__xludf.DUMMYFUNCTION("""COMPUTED_VALUE"""),"")</f>
        <v/>
      </c>
    </row>
    <row r="394" spans="1:31" ht="12.75" x14ac:dyDescent="0.2">
      <c r="A394">
        <f ca="1">IFERROR(__xludf.DUMMYFUNCTION("""COMPUTED_VALUE"""),38028)</f>
        <v>38028</v>
      </c>
      <c r="B394" t="str">
        <f ca="1">IFERROR(__xludf.DUMMYFUNCTION("""COMPUTED_VALUE"""),"JOSSELIN")</f>
        <v>JOSSELIN</v>
      </c>
      <c r="C394" t="str">
        <f ca="1">IFERROR(__xludf.DUMMYFUNCTION("""COMPUTED_VALUE"""),"Super U")</f>
        <v>Super U</v>
      </c>
      <c r="D394" t="str">
        <f ca="1">IFERROR(__xludf.DUMMYFUNCTION("""COMPUTED_VALUE"""),"Coop U Enseigne Ouest")</f>
        <v>Coop U Enseigne Ouest</v>
      </c>
      <c r="E394">
        <f ca="1">IFERROR(__xludf.DUMMYFUNCTION("""COMPUTED_VALUE"""),56120)</f>
        <v>56120</v>
      </c>
      <c r="F394" t="str">
        <f ca="1">IFERROR(__xludf.DUMMYFUNCTION("""COMPUTED_VALUE"""),"PARC ACTIVITÉ DE BELLEVUE")</f>
        <v>PARC ACTIVITÉ DE BELLEVUE</v>
      </c>
      <c r="G394" t="str">
        <f ca="1">IFERROR(__xludf.DUMMYFUNCTION("""COMPUTED_VALUE"""),"02.97.75.61.23")</f>
        <v>02.97.75.61.23</v>
      </c>
      <c r="H394" t="str">
        <f ca="1">IFERROR(__xludf.DUMMYFUNCTION("""COMPUTED_VALUE"""),"KARMAMM RPT SAS LISAK Frederic")</f>
        <v>KARMAMM RPT SAS LISAK Frederic</v>
      </c>
      <c r="I394" t="str">
        <f ca="1">IFERROR(__xludf.DUMMYFUNCTION("""COMPUTED_VALUE"""),"frederic.karmamm@systeme-u.fr")</f>
        <v>frederic.karmamm@systeme-u.fr</v>
      </c>
      <c r="J394" t="str">
        <f ca="1">IFERROR(__xludf.DUMMYFUNCTION("""COMPUTED_VALUE"""),"GRANVALET Céline")</f>
        <v>GRANVALET Céline</v>
      </c>
      <c r="K394" t="str">
        <f ca="1">IFERROR(__xludf.DUMMYFUNCTION("""COMPUTED_VALUE"""),"superu.josselin.administratif@systeme-u.fr")</f>
        <v>superu.josselin.administratif@systeme-u.fr</v>
      </c>
      <c r="L394" t="str">
        <f ca="1">IFERROR(__xludf.DUMMYFUNCTION("""COMPUTED_VALUE"""),"Standard")</f>
        <v>Standard</v>
      </c>
      <c r="M394" t="str">
        <f ca="1">IFERROR(__xludf.DUMMYFUNCTION("""COMPUTED_VALUE"""),"0. Non démarré")</f>
        <v>0. Non démarré</v>
      </c>
      <c r="N394" t="str">
        <f ca="1">IFERROR(__xludf.DUMMYFUNCTION("""COMPUTED_VALUE"""),"")</f>
        <v/>
      </c>
      <c r="O394" t="str">
        <f ca="1">IFERROR(__xludf.DUMMYFUNCTION("""COMPUTED_VALUE"""),"")</f>
        <v/>
      </c>
      <c r="P394" t="str">
        <f ca="1">IFERROR(__xludf.DUMMYFUNCTION("""COMPUTED_VALUE"""),"")</f>
        <v/>
      </c>
      <c r="Q394" s="5" t="str">
        <f ca="1">IFERROR(__xludf.DUMMYFUNCTION("""COMPUTED_VALUE"""),"")</f>
        <v/>
      </c>
      <c r="R394" s="6" t="str">
        <f ca="1">IFERROR(__xludf.DUMMYFUNCTION("""COMPUTED_VALUE"""),"")</f>
        <v/>
      </c>
      <c r="S394" t="str">
        <f ca="1">IFERROR(__xludf.DUMMYFUNCTION("""COMPUTED_VALUE"""),"")</f>
        <v/>
      </c>
      <c r="T394" t="str">
        <f ca="1">IFERROR(__xludf.DUMMYFUNCTION("""COMPUTED_VALUE"""),"")</f>
        <v/>
      </c>
      <c r="U394" t="str">
        <f ca="1">IFERROR(__xludf.DUMMYFUNCTION("""COMPUTED_VALUE"""),"")</f>
        <v/>
      </c>
      <c r="V394" t="str">
        <f ca="1">IFERROR(__xludf.DUMMYFUNCTION("""COMPUTED_VALUE"""),"")</f>
        <v/>
      </c>
      <c r="W394" t="str">
        <f ca="1">IFERROR(__xludf.DUMMYFUNCTION("""COMPUTED_VALUE"""),"R5")</f>
        <v>R5</v>
      </c>
      <c r="X394" t="str">
        <f ca="1">IFERROR(__xludf.DUMMYFUNCTION("""COMPUTED_VALUE"""),"Pricer")</f>
        <v>Pricer</v>
      </c>
      <c r="Y394" t="str">
        <f ca="1">IFERROR(__xludf.DUMMYFUNCTION("""COMPUTED_VALUE"""),"")</f>
        <v/>
      </c>
      <c r="Z394" t="str">
        <f ca="1">IFERROR(__xludf.DUMMYFUNCTION("""COMPUTED_VALUE"""),"")</f>
        <v/>
      </c>
      <c r="AA394" t="str">
        <f ca="1">IFERROR(__xludf.DUMMYFUNCTION("""COMPUTED_VALUE"""),"Pas de commande")</f>
        <v>Pas de commande</v>
      </c>
      <c r="AB394" s="8" t="str">
        <f ca="1">IFERROR(__xludf.DUMMYFUNCTION("""COMPUTED_VALUE"""),"")</f>
        <v/>
      </c>
      <c r="AC394" s="8" t="str">
        <f ca="1">IFERROR(__xludf.DUMMYFUNCTION("""COMPUTED_VALUE"""),"")</f>
        <v/>
      </c>
      <c r="AD394" s="11" t="str">
        <f ca="1">IFERROR(__xludf.DUMMYFUNCTION("""COMPUTED_VALUE"""),"")</f>
        <v/>
      </c>
      <c r="AE394" t="str">
        <f ca="1">IFERROR(__xludf.DUMMYFUNCTION("""COMPUTED_VALUE"""),"")</f>
        <v/>
      </c>
    </row>
    <row r="395" spans="1:31" ht="12.75" x14ac:dyDescent="0.2">
      <c r="A395">
        <f ca="1">IFERROR(__xludf.DUMMYFUNCTION("""COMPUTED_VALUE"""),36726)</f>
        <v>36726</v>
      </c>
      <c r="B395" t="str">
        <f ca="1">IFERROR(__xludf.DUMMYFUNCTION("""COMPUTED_VALUE"""),"JOUE-LES-TOURS")</f>
        <v>JOUE-LES-TOURS</v>
      </c>
      <c r="C395" t="str">
        <f ca="1">IFERROR(__xludf.DUMMYFUNCTION("""COMPUTED_VALUE"""),"Super U")</f>
        <v>Super U</v>
      </c>
      <c r="D395" t="str">
        <f ca="1">IFERROR(__xludf.DUMMYFUNCTION("""COMPUTED_VALUE"""),"Coop U Enseigne Ouest")</f>
        <v>Coop U Enseigne Ouest</v>
      </c>
      <c r="E395">
        <f ca="1">IFERROR(__xludf.DUMMYFUNCTION("""COMPUTED_VALUE"""),37300)</f>
        <v>37300</v>
      </c>
      <c r="F395" t="str">
        <f ca="1">IFERROR(__xludf.DUMMYFUNCTION("""COMPUTED_VALUE"""),"BOULEVARD DES BRETONNIÈRES")</f>
        <v>BOULEVARD DES BRETONNIÈRES</v>
      </c>
      <c r="G395" t="str">
        <f ca="1">IFERROR(__xludf.DUMMYFUNCTION("""COMPUTED_VALUE"""),"02.47.67.75.41")</f>
        <v>02.47.67.75.41</v>
      </c>
      <c r="H395" t="str">
        <f ca="1">IFERROR(__xludf.DUMMYFUNCTION("""COMPUTED_VALUE"""),"DEVAULX DE CHAMBORD Mathieu")</f>
        <v>DEVAULX DE CHAMBORD Mathieu</v>
      </c>
      <c r="I395" t="str">
        <f ca="1">IFERROR(__xludf.DUMMYFUNCTION("""COMPUTED_VALUE"""),"mathieu.devaulx@systeme-u.fr")</f>
        <v>mathieu.devaulx@systeme-u.fr</v>
      </c>
      <c r="J395" t="str">
        <f ca="1">IFERROR(__xludf.DUMMYFUNCTION("""COMPUTED_VALUE"""),"Mme Fouquet")</f>
        <v>Mme Fouquet</v>
      </c>
      <c r="K395" t="str">
        <f ca="1">IFERROR(__xludf.DUMMYFUNCTION("""COMPUTED_VALUE"""),"SUPERU.JOUELESTOURS.GESCOM@systeme-u.fr")</f>
        <v>SUPERU.JOUELESTOURS.GESCOM@systeme-u.fr</v>
      </c>
      <c r="L395" t="str">
        <f ca="1">IFERROR(__xludf.DUMMYFUNCTION("""COMPUTED_VALUE"""),"")</f>
        <v/>
      </c>
      <c r="M395" t="str">
        <f ca="1">IFERROR(__xludf.DUMMYFUNCTION("""COMPUTED_VALUE"""),"99.Hors Périmetre")</f>
        <v>99.Hors Périmetre</v>
      </c>
      <c r="N395" t="str">
        <f ca="1">IFERROR(__xludf.DUMMYFUNCTION("""COMPUTED_VALUE"""),"")</f>
        <v/>
      </c>
      <c r="O395" t="str">
        <f ca="1">IFERROR(__xludf.DUMMYFUNCTION("""COMPUTED_VALUE"""),"")</f>
        <v/>
      </c>
      <c r="P395" t="str">
        <f ca="1">IFERROR(__xludf.DUMMYFUNCTION("""COMPUTED_VALUE"""),"")</f>
        <v/>
      </c>
      <c r="Q395" s="5" t="str">
        <f ca="1">IFERROR(__xludf.DUMMYFUNCTION("""COMPUTED_VALUE"""),"")</f>
        <v/>
      </c>
      <c r="R395" s="6" t="str">
        <f ca="1">IFERROR(__xludf.DUMMYFUNCTION("""COMPUTED_VALUE"""),"")</f>
        <v/>
      </c>
      <c r="S395" t="str">
        <f ca="1">IFERROR(__xludf.DUMMYFUNCTION("""COMPUTED_VALUE"""),"")</f>
        <v/>
      </c>
      <c r="T395" t="str">
        <f ca="1">IFERROR(__xludf.DUMMYFUNCTION("""COMPUTED_VALUE"""),"")</f>
        <v/>
      </c>
      <c r="U395" t="str">
        <f ca="1">IFERROR(__xludf.DUMMYFUNCTION("""COMPUTED_VALUE"""),"")</f>
        <v/>
      </c>
      <c r="V395" t="str">
        <f ca="1">IFERROR(__xludf.DUMMYFUNCTION("""COMPUTED_VALUE"""),"")</f>
        <v/>
      </c>
      <c r="W395" t="str">
        <f ca="1">IFERROR(__xludf.DUMMYFUNCTION("""COMPUTED_VALUE"""),"")</f>
        <v/>
      </c>
      <c r="X395" t="str">
        <f ca="1">IFERROR(__xludf.DUMMYFUNCTION("""COMPUTED_VALUE"""),"")</f>
        <v/>
      </c>
      <c r="Y395" t="str">
        <f ca="1">IFERROR(__xludf.DUMMYFUNCTION("""COMPUTED_VALUE"""),"")</f>
        <v/>
      </c>
      <c r="Z395" t="str">
        <f ca="1">IFERROR(__xludf.DUMMYFUNCTION("""COMPUTED_VALUE"""),"")</f>
        <v/>
      </c>
      <c r="AA395" t="str">
        <f ca="1">IFERROR(__xludf.DUMMYFUNCTION("""COMPUTED_VALUE"""),"Pas de commande")</f>
        <v>Pas de commande</v>
      </c>
      <c r="AB395" s="8" t="str">
        <f ca="1">IFERROR(__xludf.DUMMYFUNCTION("""COMPUTED_VALUE"""),"")</f>
        <v/>
      </c>
      <c r="AC395" s="8" t="str">
        <f ca="1">IFERROR(__xludf.DUMMYFUNCTION("""COMPUTED_VALUE"""),"")</f>
        <v/>
      </c>
      <c r="AD395" s="11" t="str">
        <f ca="1">IFERROR(__xludf.DUMMYFUNCTION("""COMPUTED_VALUE"""),"")</f>
        <v/>
      </c>
      <c r="AE395" t="str">
        <f ca="1">IFERROR(__xludf.DUMMYFUNCTION("""COMPUTED_VALUE"""),"")</f>
        <v/>
      </c>
    </row>
    <row r="396" spans="1:31" ht="12.75" x14ac:dyDescent="0.2">
      <c r="A396">
        <f ca="1">IFERROR(__xludf.DUMMYFUNCTION("""COMPUTED_VALUE"""),20493)</f>
        <v>20493</v>
      </c>
      <c r="B396" t="str">
        <f ca="1">IFERROR(__xludf.DUMMYFUNCTION("""COMPUTED_VALUE"""),"JULLOUVILLE LES PINS")</f>
        <v>JULLOUVILLE LES PINS</v>
      </c>
      <c r="C396" t="str">
        <f ca="1">IFERROR(__xludf.DUMMYFUNCTION("""COMPUTED_VALUE"""),"U Express")</f>
        <v>U Express</v>
      </c>
      <c r="D396" t="str">
        <f ca="1">IFERROR(__xludf.DUMMYFUNCTION("""COMPUTED_VALUE"""),"Coop U Enseigne NordOuest")</f>
        <v>Coop U Enseigne NordOuest</v>
      </c>
      <c r="E396">
        <f ca="1">IFERROR(__xludf.DUMMYFUNCTION("""COMPUTED_VALUE"""),50610)</f>
        <v>50610</v>
      </c>
      <c r="F396" t="str">
        <f ca="1">IFERROR(__xludf.DUMMYFUNCTION("""COMPUTED_VALUE"""),"40 AVENUE DE LA LIBÉRATION")</f>
        <v>40 AVENUE DE LA LIBÉRATION</v>
      </c>
      <c r="G396" t="str">
        <f ca="1">IFERROR(__xludf.DUMMYFUNCTION("""COMPUTED_VALUE"""),"02.33.61.84.44")</f>
        <v>02.33.61.84.44</v>
      </c>
      <c r="H396" t="str">
        <f ca="1">IFERROR(__xludf.DUMMYFUNCTION("""COMPUTED_VALUE"""),"HERVIEU Pascal")</f>
        <v>HERVIEU Pascal</v>
      </c>
      <c r="I396" t="str">
        <f ca="1">IFERROR(__xludf.DUMMYFUNCTION("""COMPUTED_VALUE"""),"pascal.hervieu@systeme-u.fr")</f>
        <v>pascal.hervieu@systeme-u.fr</v>
      </c>
      <c r="J396" t="str">
        <f ca="1">IFERROR(__xludf.DUMMYFUNCTION("""COMPUTED_VALUE"""),"")</f>
        <v/>
      </c>
      <c r="K396" t="str">
        <f ca="1">IFERROR(__xludf.DUMMYFUNCTION("""COMPUTED_VALUE"""),"")</f>
        <v/>
      </c>
      <c r="L396" t="str">
        <f ca="1">IFERROR(__xludf.DUMMYFUNCTION("""COMPUTED_VALUE"""),"")</f>
        <v/>
      </c>
      <c r="M396" t="str">
        <f ca="1">IFERROR(__xludf.DUMMYFUNCTION("""COMPUTED_VALUE"""),"99.Hors Périmetre")</f>
        <v>99.Hors Périmetre</v>
      </c>
      <c r="N396" t="str">
        <f ca="1">IFERROR(__xludf.DUMMYFUNCTION("""COMPUTED_VALUE"""),"")</f>
        <v/>
      </c>
      <c r="O396" t="str">
        <f ca="1">IFERROR(__xludf.DUMMYFUNCTION("""COMPUTED_VALUE"""),"")</f>
        <v/>
      </c>
      <c r="P396" t="str">
        <f ca="1">IFERROR(__xludf.DUMMYFUNCTION("""COMPUTED_VALUE"""),"")</f>
        <v/>
      </c>
      <c r="Q396" s="5" t="str">
        <f ca="1">IFERROR(__xludf.DUMMYFUNCTION("""COMPUTED_VALUE"""),"")</f>
        <v/>
      </c>
      <c r="R396" s="6" t="str">
        <f ca="1">IFERROR(__xludf.DUMMYFUNCTION("""COMPUTED_VALUE"""),"")</f>
        <v/>
      </c>
      <c r="S396" t="str">
        <f ca="1">IFERROR(__xludf.DUMMYFUNCTION("""COMPUTED_VALUE"""),"")</f>
        <v/>
      </c>
      <c r="T396" t="str">
        <f ca="1">IFERROR(__xludf.DUMMYFUNCTION("""COMPUTED_VALUE"""),"")</f>
        <v/>
      </c>
      <c r="U396" t="str">
        <f ca="1">IFERROR(__xludf.DUMMYFUNCTION("""COMPUTED_VALUE"""),"")</f>
        <v/>
      </c>
      <c r="V396" t="str">
        <f ca="1">IFERROR(__xludf.DUMMYFUNCTION("""COMPUTED_VALUE"""),"")</f>
        <v/>
      </c>
      <c r="W396" t="str">
        <f ca="1">IFERROR(__xludf.DUMMYFUNCTION("""COMPUTED_VALUE"""),"")</f>
        <v/>
      </c>
      <c r="X396" t="str">
        <f ca="1">IFERROR(__xludf.DUMMYFUNCTION("""COMPUTED_VALUE"""),"")</f>
        <v/>
      </c>
      <c r="Y396" t="str">
        <f ca="1">IFERROR(__xludf.DUMMYFUNCTION("""COMPUTED_VALUE"""),"")</f>
        <v/>
      </c>
      <c r="Z396" t="str">
        <f ca="1">IFERROR(__xludf.DUMMYFUNCTION("""COMPUTED_VALUE"""),"")</f>
        <v/>
      </c>
      <c r="AA396" t="str">
        <f ca="1">IFERROR(__xludf.DUMMYFUNCTION("""COMPUTED_VALUE"""),"Pas de commande")</f>
        <v>Pas de commande</v>
      </c>
      <c r="AB396" s="8" t="str">
        <f ca="1">IFERROR(__xludf.DUMMYFUNCTION("""COMPUTED_VALUE"""),"")</f>
        <v/>
      </c>
      <c r="AC396" s="8" t="str">
        <f ca="1">IFERROR(__xludf.DUMMYFUNCTION("""COMPUTED_VALUE"""),"")</f>
        <v/>
      </c>
      <c r="AD396" s="11" t="str">
        <f ca="1">IFERROR(__xludf.DUMMYFUNCTION("""COMPUTED_VALUE"""),"")</f>
        <v/>
      </c>
      <c r="AE396" t="str">
        <f ca="1">IFERROR(__xludf.DUMMYFUNCTION("""COMPUTED_VALUE"""),"")</f>
        <v/>
      </c>
    </row>
    <row r="397" spans="1:31" ht="12.75" x14ac:dyDescent="0.2">
      <c r="A397">
        <f ca="1">IFERROR(__xludf.DUMMYFUNCTION("""COMPUTED_VALUE"""),23417)</f>
        <v>23417</v>
      </c>
      <c r="B397" t="str">
        <f ca="1">IFERROR(__xludf.DUMMYFUNCTION("""COMPUTED_VALUE"""),"JUZIERS")</f>
        <v>JUZIERS</v>
      </c>
      <c r="C397" t="str">
        <f ca="1">IFERROR(__xludf.DUMMYFUNCTION("""COMPUTED_VALUE"""),"Super U")</f>
        <v>Super U</v>
      </c>
      <c r="D397" t="str">
        <f ca="1">IFERROR(__xludf.DUMMYFUNCTION("""COMPUTED_VALUE"""),"Coop U Enseigne NordOuest")</f>
        <v>Coop U Enseigne NordOuest</v>
      </c>
      <c r="E397">
        <f ca="1">IFERROR(__xludf.DUMMYFUNCTION("""COMPUTED_VALUE"""),78820)</f>
        <v>78820</v>
      </c>
      <c r="F397" t="str">
        <f ca="1">IFERROR(__xludf.DUMMYFUNCTION("""COMPUTED_VALUE"""),"233 AVENUE DE PARIS")</f>
        <v>233 AVENUE DE PARIS</v>
      </c>
      <c r="G397" t="str">
        <f ca="1">IFERROR(__xludf.DUMMYFUNCTION("""COMPUTED_VALUE"""),"01.34.75.06.50")</f>
        <v>01.34.75.06.50</v>
      </c>
      <c r="H397" t="str">
        <f ca="1">IFERROR(__xludf.DUMMYFUNCTION("""COMPUTED_VALUE"""),"AGOSTINI Philippe")</f>
        <v>AGOSTINI Philippe</v>
      </c>
      <c r="I397" t="str">
        <f ca="1">IFERROR(__xludf.DUMMYFUNCTION("""COMPUTED_VALUE"""),"philippe.agostini@systeme-u.fr")</f>
        <v>philippe.agostini@systeme-u.fr</v>
      </c>
      <c r="J397" t="str">
        <f ca="1">IFERROR(__xludf.DUMMYFUNCTION("""COMPUTED_VALUE"""),"Rose martine")</f>
        <v>Rose martine</v>
      </c>
      <c r="K397" t="str">
        <f ca="1">IFERROR(__xludf.DUMMYFUNCTION("""COMPUTED_VALUE"""),"superu.juziers.direction@systeme-u.fr")</f>
        <v>superu.juziers.direction@systeme-u.fr</v>
      </c>
      <c r="L397" t="str">
        <f ca="1">IFERROR(__xludf.DUMMYFUNCTION("""COMPUTED_VALUE"""),"")</f>
        <v/>
      </c>
      <c r="M397" t="str">
        <f ca="1">IFERROR(__xludf.DUMMYFUNCTION("""COMPUTED_VALUE"""),"99.Hors Périmetre")</f>
        <v>99.Hors Périmetre</v>
      </c>
      <c r="N397" t="str">
        <f ca="1">IFERROR(__xludf.DUMMYFUNCTION("""COMPUTED_VALUE"""),"")</f>
        <v/>
      </c>
      <c r="O397" t="str">
        <f ca="1">IFERROR(__xludf.DUMMYFUNCTION("""COMPUTED_VALUE"""),"")</f>
        <v/>
      </c>
      <c r="P397" t="str">
        <f ca="1">IFERROR(__xludf.DUMMYFUNCTION("""COMPUTED_VALUE"""),"")</f>
        <v/>
      </c>
      <c r="Q397" s="5" t="str">
        <f ca="1">IFERROR(__xludf.DUMMYFUNCTION("""COMPUTED_VALUE"""),"")</f>
        <v/>
      </c>
      <c r="R397" s="6" t="str">
        <f ca="1">IFERROR(__xludf.DUMMYFUNCTION("""COMPUTED_VALUE"""),"")</f>
        <v/>
      </c>
      <c r="S397" t="str">
        <f ca="1">IFERROR(__xludf.DUMMYFUNCTION("""COMPUTED_VALUE"""),"")</f>
        <v/>
      </c>
      <c r="T397" t="str">
        <f ca="1">IFERROR(__xludf.DUMMYFUNCTION("""COMPUTED_VALUE"""),"")</f>
        <v/>
      </c>
      <c r="U397" t="str">
        <f ca="1">IFERROR(__xludf.DUMMYFUNCTION("""COMPUTED_VALUE"""),"")</f>
        <v/>
      </c>
      <c r="V397" t="str">
        <f ca="1">IFERROR(__xludf.DUMMYFUNCTION("""COMPUTED_VALUE"""),"")</f>
        <v/>
      </c>
      <c r="W397" t="str">
        <f ca="1">IFERROR(__xludf.DUMMYFUNCTION("""COMPUTED_VALUE"""),"")</f>
        <v/>
      </c>
      <c r="X397" t="str">
        <f ca="1">IFERROR(__xludf.DUMMYFUNCTION("""COMPUTED_VALUE"""),"")</f>
        <v/>
      </c>
      <c r="Y397" t="str">
        <f ca="1">IFERROR(__xludf.DUMMYFUNCTION("""COMPUTED_VALUE"""),"")</f>
        <v/>
      </c>
      <c r="Z397" t="str">
        <f ca="1">IFERROR(__xludf.DUMMYFUNCTION("""COMPUTED_VALUE"""),"")</f>
        <v/>
      </c>
      <c r="AA397" t="str">
        <f ca="1">IFERROR(__xludf.DUMMYFUNCTION("""COMPUTED_VALUE"""),"Pas de commande")</f>
        <v>Pas de commande</v>
      </c>
      <c r="AB397" s="8" t="str">
        <f ca="1">IFERROR(__xludf.DUMMYFUNCTION("""COMPUTED_VALUE"""),"")</f>
        <v/>
      </c>
      <c r="AC397" s="8" t="str">
        <f ca="1">IFERROR(__xludf.DUMMYFUNCTION("""COMPUTED_VALUE"""),"")</f>
        <v/>
      </c>
      <c r="AD397" s="11" t="str">
        <f ca="1">IFERROR(__xludf.DUMMYFUNCTION("""COMPUTED_VALUE"""),"")</f>
        <v/>
      </c>
      <c r="AE397" t="str">
        <f ca="1">IFERROR(__xludf.DUMMYFUNCTION("""COMPUTED_VALUE"""),"")</f>
        <v/>
      </c>
    </row>
    <row r="398" spans="1:31" ht="12.75" x14ac:dyDescent="0.2">
      <c r="A398">
        <f ca="1">IFERROR(__xludf.DUMMYFUNCTION("""COMPUTED_VALUE"""),33430)</f>
        <v>33430</v>
      </c>
      <c r="B398" t="str">
        <f ca="1">IFERROR(__xludf.DUMMYFUNCTION("""COMPUTED_VALUE"""),"KOUROU")</f>
        <v>KOUROU</v>
      </c>
      <c r="C398" t="str">
        <f ca="1">IFERROR(__xludf.DUMMYFUNCTION("""COMPUTED_VALUE"""),"Super U")</f>
        <v>Super U</v>
      </c>
      <c r="D398" t="str">
        <f ca="1">IFERROR(__xludf.DUMMYFUNCTION("""COMPUTED_VALUE"""),"Coop U Enseigne Ouest")</f>
        <v>Coop U Enseigne Ouest</v>
      </c>
      <c r="E398">
        <f ca="1">IFERROR(__xludf.DUMMYFUNCTION("""COMPUTED_VALUE"""),97310)</f>
        <v>97310</v>
      </c>
      <c r="F398" t="str">
        <f ca="1">IFERROR(__xludf.DUMMYFUNCTION("""COMPUTED_VALUE"""),"AVENUE GASTON MONNERVILLE")</f>
        <v>AVENUE GASTON MONNERVILLE</v>
      </c>
      <c r="G398" t="str">
        <f ca="1">IFERROR(__xludf.DUMMYFUNCTION("""COMPUTED_VALUE"""),"05.94.32.24.58")</f>
        <v>05.94.32.24.58</v>
      </c>
      <c r="H398" t="str">
        <f ca="1">IFERROR(__xludf.DUMMYFUNCTION("""COMPUTED_VALUE"""),"DU Jan")</f>
        <v>DU Jan</v>
      </c>
      <c r="I398" t="str">
        <f ca="1">IFERROR(__xludf.DUMMYFUNCTION("""COMPUTED_VALUE"""),"jan.du@systeme-u.fr")</f>
        <v>jan.du@systeme-u.fr</v>
      </c>
      <c r="J398" t="str">
        <f ca="1">IFERROR(__xludf.DUMMYFUNCTION("""COMPUTED_VALUE"""),"Karim FOURNIER")</f>
        <v>Karim FOURNIER</v>
      </c>
      <c r="K398" t="str">
        <f ca="1">IFERROR(__xludf.DUMMYFUNCTION("""COMPUTED_VALUE"""),"superu.kourou.direction@systeme-u.fr,geoffray.gauthier@systeme-u.fr")</f>
        <v>superu.kourou.direction@systeme-u.fr,geoffray.gauthier@systeme-u.fr</v>
      </c>
      <c r="L398" t="str">
        <f ca="1">IFERROR(__xludf.DUMMYFUNCTION("""COMPUTED_VALUE"""),"")</f>
        <v/>
      </c>
      <c r="M398" t="str">
        <f ca="1">IFERROR(__xludf.DUMMYFUNCTION("""COMPUTED_VALUE"""),"99.Hors Périmetre")</f>
        <v>99.Hors Périmetre</v>
      </c>
      <c r="N398" t="str">
        <f ca="1">IFERROR(__xludf.DUMMYFUNCTION("""COMPUTED_VALUE"""),"")</f>
        <v/>
      </c>
      <c r="O398" t="str">
        <f ca="1">IFERROR(__xludf.DUMMYFUNCTION("""COMPUTED_VALUE"""),"")</f>
        <v/>
      </c>
      <c r="P398" t="str">
        <f ca="1">IFERROR(__xludf.DUMMYFUNCTION("""COMPUTED_VALUE"""),"")</f>
        <v/>
      </c>
      <c r="Q398" s="5" t="str">
        <f ca="1">IFERROR(__xludf.DUMMYFUNCTION("""COMPUTED_VALUE"""),"")</f>
        <v/>
      </c>
      <c r="R398" s="6" t="str">
        <f ca="1">IFERROR(__xludf.DUMMYFUNCTION("""COMPUTED_VALUE"""),"")</f>
        <v/>
      </c>
      <c r="S398" t="str">
        <f ca="1">IFERROR(__xludf.DUMMYFUNCTION("""COMPUTED_VALUE"""),"")</f>
        <v/>
      </c>
      <c r="T398" t="str">
        <f ca="1">IFERROR(__xludf.DUMMYFUNCTION("""COMPUTED_VALUE"""),"")</f>
        <v/>
      </c>
      <c r="U398" t="str">
        <f ca="1">IFERROR(__xludf.DUMMYFUNCTION("""COMPUTED_VALUE"""),"")</f>
        <v/>
      </c>
      <c r="V398" t="str">
        <f ca="1">IFERROR(__xludf.DUMMYFUNCTION("""COMPUTED_VALUE"""),"")</f>
        <v/>
      </c>
      <c r="W398" t="str">
        <f ca="1">IFERROR(__xludf.DUMMYFUNCTION("""COMPUTED_VALUE"""),"")</f>
        <v/>
      </c>
      <c r="X398" t="str">
        <f ca="1">IFERROR(__xludf.DUMMYFUNCTION("""COMPUTED_VALUE"""),"")</f>
        <v/>
      </c>
      <c r="Y398" t="str">
        <f ca="1">IFERROR(__xludf.DUMMYFUNCTION("""COMPUTED_VALUE"""),"")</f>
        <v/>
      </c>
      <c r="Z398" t="str">
        <f ca="1">IFERROR(__xludf.DUMMYFUNCTION("""COMPUTED_VALUE"""),"")</f>
        <v/>
      </c>
      <c r="AA398" t="str">
        <f ca="1">IFERROR(__xludf.DUMMYFUNCTION("""COMPUTED_VALUE"""),"Pas de commande")</f>
        <v>Pas de commande</v>
      </c>
      <c r="AB398" s="8" t="str">
        <f ca="1">IFERROR(__xludf.DUMMYFUNCTION("""COMPUTED_VALUE"""),"")</f>
        <v/>
      </c>
      <c r="AC398" s="8" t="str">
        <f ca="1">IFERROR(__xludf.DUMMYFUNCTION("""COMPUTED_VALUE"""),"")</f>
        <v/>
      </c>
      <c r="AD398" s="11" t="str">
        <f ca="1">IFERROR(__xludf.DUMMYFUNCTION("""COMPUTED_VALUE"""),"")</f>
        <v/>
      </c>
      <c r="AE398" t="str">
        <f ca="1">IFERROR(__xludf.DUMMYFUNCTION("""COMPUTED_VALUE"""),"")</f>
        <v/>
      </c>
    </row>
    <row r="399" spans="1:31" ht="12.75" x14ac:dyDescent="0.2">
      <c r="A399">
        <f ca="1">IFERROR(__xludf.DUMMYFUNCTION("""COMPUTED_VALUE"""),36181)</f>
        <v>36181</v>
      </c>
      <c r="B399" t="str">
        <f ca="1">IFERROR(__xludf.DUMMYFUNCTION("""COMPUTED_VALUE"""),"L HERMITAGE")</f>
        <v>L HERMITAGE</v>
      </c>
      <c r="C399" t="str">
        <f ca="1">IFERROR(__xludf.DUMMYFUNCTION("""COMPUTED_VALUE"""),"Super U")</f>
        <v>Super U</v>
      </c>
      <c r="D399" t="str">
        <f ca="1">IFERROR(__xludf.DUMMYFUNCTION("""COMPUTED_VALUE"""),"Coop U Enseigne Ouest")</f>
        <v>Coop U Enseigne Ouest</v>
      </c>
      <c r="E399">
        <f ca="1">IFERROR(__xludf.DUMMYFUNCTION("""COMPUTED_VALUE"""),35590)</f>
        <v>35590</v>
      </c>
      <c r="F399" t="str">
        <f ca="1">IFERROR(__xludf.DUMMYFUNCTION("""COMPUTED_VALUE"""),"LA MUSSE")</f>
        <v>LA MUSSE</v>
      </c>
      <c r="G399" t="str">
        <f ca="1">IFERROR(__xludf.DUMMYFUNCTION("""COMPUTED_VALUE"""),"02.99.64.11.61")</f>
        <v>02.99.64.11.61</v>
      </c>
      <c r="H399" t="str">
        <f ca="1">IFERROR(__xludf.DUMMYFUNCTION("""COMPUTED_VALUE"""),"FRIN RPT SARL LF FINANCES Loic")</f>
        <v>FRIN RPT SARL LF FINANCES Loic</v>
      </c>
      <c r="I399" t="str">
        <f ca="1">IFERROR(__xludf.DUMMYFUNCTION("""COMPUTED_VALUE"""),"loic.frin@systeme-u.fr")</f>
        <v>loic.frin@systeme-u.fr</v>
      </c>
      <c r="J399" t="str">
        <f ca="1">IFERROR(__xludf.DUMMYFUNCTION("""COMPUTED_VALUE"""),"Mme Guigourez")</f>
        <v>Mme Guigourez</v>
      </c>
      <c r="K399" t="str">
        <f ca="1">IFERROR(__xludf.DUMMYFUNCTION("""COMPUTED_VALUE"""),"karine.guigourez@systeme-u.fr")</f>
        <v>karine.guigourez@systeme-u.fr</v>
      </c>
      <c r="L399" t="str">
        <f ca="1">IFERROR(__xludf.DUMMYFUNCTION("""COMPUTED_VALUE"""),"")</f>
        <v/>
      </c>
      <c r="M399" t="str">
        <f ca="1">IFERROR(__xludf.DUMMYFUNCTION("""COMPUTED_VALUE"""),"99.Hors Périmetre")</f>
        <v>99.Hors Périmetre</v>
      </c>
      <c r="N399" t="str">
        <f ca="1">IFERROR(__xludf.DUMMYFUNCTION("""COMPUTED_VALUE"""),"")</f>
        <v/>
      </c>
      <c r="O399" t="str">
        <f ca="1">IFERROR(__xludf.DUMMYFUNCTION("""COMPUTED_VALUE"""),"")</f>
        <v/>
      </c>
      <c r="P399" t="str">
        <f ca="1">IFERROR(__xludf.DUMMYFUNCTION("""COMPUTED_VALUE"""),"")</f>
        <v/>
      </c>
      <c r="Q399" s="5" t="str">
        <f ca="1">IFERROR(__xludf.DUMMYFUNCTION("""COMPUTED_VALUE"""),"")</f>
        <v/>
      </c>
      <c r="R399" s="6" t="str">
        <f ca="1">IFERROR(__xludf.DUMMYFUNCTION("""COMPUTED_VALUE"""),"")</f>
        <v/>
      </c>
      <c r="S399" t="str">
        <f ca="1">IFERROR(__xludf.DUMMYFUNCTION("""COMPUTED_VALUE"""),"")</f>
        <v/>
      </c>
      <c r="T399" t="str">
        <f ca="1">IFERROR(__xludf.DUMMYFUNCTION("""COMPUTED_VALUE"""),"")</f>
        <v/>
      </c>
      <c r="U399" t="str">
        <f ca="1">IFERROR(__xludf.DUMMYFUNCTION("""COMPUTED_VALUE"""),"")</f>
        <v/>
      </c>
      <c r="V399" t="str">
        <f ca="1">IFERROR(__xludf.DUMMYFUNCTION("""COMPUTED_VALUE"""),"")</f>
        <v/>
      </c>
      <c r="W399" t="str">
        <f ca="1">IFERROR(__xludf.DUMMYFUNCTION("""COMPUTED_VALUE"""),"")</f>
        <v/>
      </c>
      <c r="X399" t="str">
        <f ca="1">IFERROR(__xludf.DUMMYFUNCTION("""COMPUTED_VALUE"""),"")</f>
        <v/>
      </c>
      <c r="Y399" t="str">
        <f ca="1">IFERROR(__xludf.DUMMYFUNCTION("""COMPUTED_VALUE"""),"")</f>
        <v/>
      </c>
      <c r="Z399" t="str">
        <f ca="1">IFERROR(__xludf.DUMMYFUNCTION("""COMPUTED_VALUE"""),"")</f>
        <v/>
      </c>
      <c r="AA399" t="str">
        <f ca="1">IFERROR(__xludf.DUMMYFUNCTION("""COMPUTED_VALUE"""),"Pas de commande")</f>
        <v>Pas de commande</v>
      </c>
      <c r="AB399" s="8" t="str">
        <f ca="1">IFERROR(__xludf.DUMMYFUNCTION("""COMPUTED_VALUE"""),"")</f>
        <v/>
      </c>
      <c r="AC399" s="8" t="str">
        <f ca="1">IFERROR(__xludf.DUMMYFUNCTION("""COMPUTED_VALUE"""),"")</f>
        <v/>
      </c>
      <c r="AD399" s="11" t="str">
        <f ca="1">IFERROR(__xludf.DUMMYFUNCTION("""COMPUTED_VALUE"""),"")</f>
        <v/>
      </c>
      <c r="AE399" t="str">
        <f ca="1">IFERROR(__xludf.DUMMYFUNCTION("""COMPUTED_VALUE"""),"")</f>
        <v/>
      </c>
    </row>
    <row r="400" spans="1:31" ht="12.75" x14ac:dyDescent="0.2">
      <c r="A400">
        <f ca="1">IFERROR(__xludf.DUMMYFUNCTION("""COMPUTED_VALUE"""),66090)</f>
        <v>66090</v>
      </c>
      <c r="B400" t="str">
        <f ca="1">IFERROR(__xludf.DUMMYFUNCTION("""COMPUTED_VALUE"""),"L HORME")</f>
        <v>L HORME</v>
      </c>
      <c r="C400" t="str">
        <f ca="1">IFERROR(__xludf.DUMMYFUNCTION("""COMPUTED_VALUE"""),"Super U")</f>
        <v>Super U</v>
      </c>
      <c r="D400" t="str">
        <f ca="1">IFERROR(__xludf.DUMMYFUNCTION("""COMPUTED_VALUE"""),"Coop U Enseigne Est")</f>
        <v>Coop U Enseigne Est</v>
      </c>
      <c r="E400">
        <f ca="1">IFERROR(__xludf.DUMMYFUNCTION("""COMPUTED_VALUE"""),42152)</f>
        <v>42152</v>
      </c>
      <c r="F400" t="str">
        <f ca="1">IFERROR(__xludf.DUMMYFUNCTION("""COMPUTED_VALUE"""),"38 TER AVENUE PASTEUR")</f>
        <v>38 TER AVENUE PASTEUR</v>
      </c>
      <c r="G400" t="str">
        <f ca="1">IFERROR(__xludf.DUMMYFUNCTION("""COMPUTED_VALUE"""),"04.77.22.51.86")</f>
        <v>04.77.22.51.86</v>
      </c>
      <c r="H400" t="str">
        <f ca="1">IFERROR(__xludf.DUMMYFUNCTION("""COMPUTED_VALUE"""),"INACIO Rui")</f>
        <v>INACIO Rui</v>
      </c>
      <c r="I400" t="str">
        <f ca="1">IFERROR(__xludf.DUMMYFUNCTION("""COMPUTED_VALUE"""),"rui.inacio@systeme-u.fr")</f>
        <v>rui.inacio@systeme-u.fr</v>
      </c>
      <c r="J400" t="str">
        <f ca="1">IFERROR(__xludf.DUMMYFUNCTION("""COMPUTED_VALUE"""),"OLIVIER CROS")</f>
        <v>OLIVIER CROS</v>
      </c>
      <c r="K400" t="str">
        <f ca="1">IFERROR(__xludf.DUMMYFUNCTION("""COMPUTED_VALUE"""),"superu.lhorme.directeur@systeme-u.fr")</f>
        <v>superu.lhorme.directeur@systeme-u.fr</v>
      </c>
      <c r="L400" t="str">
        <f ca="1">IFERROR(__xludf.DUMMYFUNCTION("""COMPUTED_VALUE"""),"")</f>
        <v/>
      </c>
      <c r="M400" t="str">
        <f ca="1">IFERROR(__xludf.DUMMYFUNCTION("""COMPUTED_VALUE"""),"99.Hors Périmetre")</f>
        <v>99.Hors Périmetre</v>
      </c>
      <c r="N400" t="str">
        <f ca="1">IFERROR(__xludf.DUMMYFUNCTION("""COMPUTED_VALUE"""),"")</f>
        <v/>
      </c>
      <c r="O400" t="str">
        <f ca="1">IFERROR(__xludf.DUMMYFUNCTION("""COMPUTED_VALUE"""),"")</f>
        <v/>
      </c>
      <c r="P400" t="str">
        <f ca="1">IFERROR(__xludf.DUMMYFUNCTION("""COMPUTED_VALUE"""),"")</f>
        <v/>
      </c>
      <c r="Q400" s="5" t="str">
        <f ca="1">IFERROR(__xludf.DUMMYFUNCTION("""COMPUTED_VALUE"""),"")</f>
        <v/>
      </c>
      <c r="R400" s="6" t="str">
        <f ca="1">IFERROR(__xludf.DUMMYFUNCTION("""COMPUTED_VALUE"""),"")</f>
        <v/>
      </c>
      <c r="S400" t="str">
        <f ca="1">IFERROR(__xludf.DUMMYFUNCTION("""COMPUTED_VALUE"""),"")</f>
        <v/>
      </c>
      <c r="T400" t="str">
        <f ca="1">IFERROR(__xludf.DUMMYFUNCTION("""COMPUTED_VALUE"""),"")</f>
        <v/>
      </c>
      <c r="U400" t="str">
        <f ca="1">IFERROR(__xludf.DUMMYFUNCTION("""COMPUTED_VALUE"""),"")</f>
        <v/>
      </c>
      <c r="V400" t="str">
        <f ca="1">IFERROR(__xludf.DUMMYFUNCTION("""COMPUTED_VALUE"""),"")</f>
        <v/>
      </c>
      <c r="W400" t="str">
        <f ca="1">IFERROR(__xludf.DUMMYFUNCTION("""COMPUTED_VALUE"""),"")</f>
        <v/>
      </c>
      <c r="X400" t="str">
        <f ca="1">IFERROR(__xludf.DUMMYFUNCTION("""COMPUTED_VALUE"""),"")</f>
        <v/>
      </c>
      <c r="Y400" t="str">
        <f ca="1">IFERROR(__xludf.DUMMYFUNCTION("""COMPUTED_VALUE"""),"")</f>
        <v/>
      </c>
      <c r="Z400" t="str">
        <f ca="1">IFERROR(__xludf.DUMMYFUNCTION("""COMPUTED_VALUE"""),"")</f>
        <v/>
      </c>
      <c r="AA400" t="str">
        <f ca="1">IFERROR(__xludf.DUMMYFUNCTION("""COMPUTED_VALUE"""),"Pas de commande")</f>
        <v>Pas de commande</v>
      </c>
      <c r="AB400" s="8" t="str">
        <f ca="1">IFERROR(__xludf.DUMMYFUNCTION("""COMPUTED_VALUE"""),"")</f>
        <v/>
      </c>
      <c r="AC400" s="8" t="str">
        <f ca="1">IFERROR(__xludf.DUMMYFUNCTION("""COMPUTED_VALUE"""),"")</f>
        <v/>
      </c>
      <c r="AD400" s="11" t="str">
        <f ca="1">IFERROR(__xludf.DUMMYFUNCTION("""COMPUTED_VALUE"""),"")</f>
        <v/>
      </c>
      <c r="AE400" t="str">
        <f ca="1">IFERROR(__xludf.DUMMYFUNCTION("""COMPUTED_VALUE"""),"")</f>
        <v/>
      </c>
    </row>
    <row r="401" spans="1:31" ht="12.75" x14ac:dyDescent="0.2">
      <c r="A401">
        <f ca="1">IFERROR(__xludf.DUMMYFUNCTION("""COMPUTED_VALUE"""),32224)</f>
        <v>32224</v>
      </c>
      <c r="B401" t="str">
        <f ca="1">IFERROR(__xludf.DUMMYFUNCTION("""COMPUTED_VALUE"""),"L'AIGUILLON-SUR-MER")</f>
        <v>L'AIGUILLON-SUR-MER</v>
      </c>
      <c r="C401" t="str">
        <f ca="1">IFERROR(__xludf.DUMMYFUNCTION("""COMPUTED_VALUE"""),"Super U")</f>
        <v>Super U</v>
      </c>
      <c r="D401" t="str">
        <f ca="1">IFERROR(__xludf.DUMMYFUNCTION("""COMPUTED_VALUE"""),"Coop U Enseigne Ouest")</f>
        <v>Coop U Enseigne Ouest</v>
      </c>
      <c r="E401">
        <f ca="1">IFERROR(__xludf.DUMMYFUNCTION("""COMPUTED_VALUE"""),85460)</f>
        <v>85460</v>
      </c>
      <c r="F401" t="str">
        <f ca="1">IFERROR(__xludf.DUMMYFUNCTION("""COMPUTED_VALUE"""),"ROUTE DE SAINT MICHEL")</f>
        <v>ROUTE DE SAINT MICHEL</v>
      </c>
      <c r="G401" t="str">
        <f ca="1">IFERROR(__xludf.DUMMYFUNCTION("""COMPUTED_VALUE"""),"02.51.56.41.86")</f>
        <v>02.51.56.41.86</v>
      </c>
      <c r="H401" t="str">
        <f ca="1">IFERROR(__xludf.DUMMYFUNCTION("""COMPUTED_VALUE"""),"PEIGNET RPT SARL EVOLIA Christophe")</f>
        <v>PEIGNET RPT SARL EVOLIA Christophe</v>
      </c>
      <c r="I401" t="str">
        <f ca="1">IFERROR(__xludf.DUMMYFUNCTION("""COMPUTED_VALUE"""),"christophe.peignet@systeme-u.fr")</f>
        <v>christophe.peignet@systeme-u.fr</v>
      </c>
      <c r="J401" t="str">
        <f ca="1">IFERROR(__xludf.DUMMYFUNCTION("""COMPUTED_VALUE"""),"Malika Reffay
GLUMINEAU Mathieu")</f>
        <v>Malika Reffay
GLUMINEAU Mathieu</v>
      </c>
      <c r="K401" t="str">
        <f ca="1">IFERROR(__xludf.DUMMYFUNCTION("""COMPUTED_VALUE"""),"superu.aiguillonsurmer.administratif@systeme-u.fr")</f>
        <v>superu.aiguillonsurmer.administratif@systeme-u.fr</v>
      </c>
      <c r="L401" t="str">
        <f ca="1">IFERROR(__xludf.DUMMYFUNCTION("""COMPUTED_VALUE"""),"")</f>
        <v/>
      </c>
      <c r="M401" t="str">
        <f ca="1">IFERROR(__xludf.DUMMYFUNCTION("""COMPUTED_VALUE"""),"99.Hors Périmetre")</f>
        <v>99.Hors Périmetre</v>
      </c>
      <c r="N401" t="str">
        <f ca="1">IFERROR(__xludf.DUMMYFUNCTION("""COMPUTED_VALUE"""),"")</f>
        <v/>
      </c>
      <c r="O401" t="str">
        <f ca="1">IFERROR(__xludf.DUMMYFUNCTION("""COMPUTED_VALUE"""),"")</f>
        <v/>
      </c>
      <c r="P401" t="str">
        <f ca="1">IFERROR(__xludf.DUMMYFUNCTION("""COMPUTED_VALUE"""),"")</f>
        <v/>
      </c>
      <c r="Q401" s="5" t="str">
        <f ca="1">IFERROR(__xludf.DUMMYFUNCTION("""COMPUTED_VALUE"""),"")</f>
        <v/>
      </c>
      <c r="R401" s="6" t="str">
        <f ca="1">IFERROR(__xludf.DUMMYFUNCTION("""COMPUTED_VALUE"""),"")</f>
        <v/>
      </c>
      <c r="S401" t="str">
        <f ca="1">IFERROR(__xludf.DUMMYFUNCTION("""COMPUTED_VALUE"""),"")</f>
        <v/>
      </c>
      <c r="T401" t="str">
        <f ca="1">IFERROR(__xludf.DUMMYFUNCTION("""COMPUTED_VALUE"""),"")</f>
        <v/>
      </c>
      <c r="U401" t="str">
        <f ca="1">IFERROR(__xludf.DUMMYFUNCTION("""COMPUTED_VALUE"""),"")</f>
        <v/>
      </c>
      <c r="V401" t="str">
        <f ca="1">IFERROR(__xludf.DUMMYFUNCTION("""COMPUTED_VALUE"""),"")</f>
        <v/>
      </c>
      <c r="W401" t="str">
        <f ca="1">IFERROR(__xludf.DUMMYFUNCTION("""COMPUTED_VALUE"""),"")</f>
        <v/>
      </c>
      <c r="X401" t="str">
        <f ca="1">IFERROR(__xludf.DUMMYFUNCTION("""COMPUTED_VALUE"""),"")</f>
        <v/>
      </c>
      <c r="Y401" t="str">
        <f ca="1">IFERROR(__xludf.DUMMYFUNCTION("""COMPUTED_VALUE"""),"")</f>
        <v/>
      </c>
      <c r="Z401" t="str">
        <f ca="1">IFERROR(__xludf.DUMMYFUNCTION("""COMPUTED_VALUE"""),"")</f>
        <v/>
      </c>
      <c r="AA401" t="str">
        <f ca="1">IFERROR(__xludf.DUMMYFUNCTION("""COMPUTED_VALUE"""),"Pas de commande")</f>
        <v>Pas de commande</v>
      </c>
      <c r="AB401" s="8" t="str">
        <f ca="1">IFERROR(__xludf.DUMMYFUNCTION("""COMPUTED_VALUE"""),"")</f>
        <v/>
      </c>
      <c r="AC401" s="8" t="str">
        <f ca="1">IFERROR(__xludf.DUMMYFUNCTION("""COMPUTED_VALUE"""),"")</f>
        <v/>
      </c>
      <c r="AD401" s="11" t="str">
        <f ca="1">IFERROR(__xludf.DUMMYFUNCTION("""COMPUTED_VALUE"""),"")</f>
        <v/>
      </c>
      <c r="AE401" t="str">
        <f ca="1">IFERROR(__xludf.DUMMYFUNCTION("""COMPUTED_VALUE"""),"")</f>
        <v/>
      </c>
    </row>
    <row r="402" spans="1:31" ht="12.75" x14ac:dyDescent="0.2">
      <c r="A402">
        <f ca="1">IFERROR(__xludf.DUMMYFUNCTION("""COMPUTED_VALUE"""),66106)</f>
        <v>66106</v>
      </c>
      <c r="B402" t="str">
        <f ca="1">IFERROR(__xludf.DUMMYFUNCTION("""COMPUTED_VALUE"""),"L'ARBRESLE")</f>
        <v>L'ARBRESLE</v>
      </c>
      <c r="C402" t="str">
        <f ca="1">IFERROR(__xludf.DUMMYFUNCTION("""COMPUTED_VALUE"""),"Super U")</f>
        <v>Super U</v>
      </c>
      <c r="D402" t="str">
        <f ca="1">IFERROR(__xludf.DUMMYFUNCTION("""COMPUTED_VALUE"""),"Coop U Enseigne Est")</f>
        <v>Coop U Enseigne Est</v>
      </c>
      <c r="E402">
        <f ca="1">IFERROR(__xludf.DUMMYFUNCTION("""COMPUTED_VALUE"""),69210)</f>
        <v>69210</v>
      </c>
      <c r="F402" t="str">
        <f ca="1">IFERROR(__xludf.DUMMYFUNCTION("""COMPUTED_VALUE"""),"ZAC DES MARTINETS")</f>
        <v>ZAC DES MARTINETS</v>
      </c>
      <c r="G402" t="str">
        <f ca="1">IFERROR(__xludf.DUMMYFUNCTION("""COMPUTED_VALUE"""),"04.74.01.29.37")</f>
        <v>04.74.01.29.37</v>
      </c>
      <c r="H402" t="str">
        <f ca="1">IFERROR(__xludf.DUMMYFUNCTION("""COMPUTED_VALUE"""),"ALBOUD RPT SAS FIN L'ABRESLE Jacques")</f>
        <v>ALBOUD RPT SAS FIN L'ABRESLE Jacques</v>
      </c>
      <c r="I402" t="str">
        <f ca="1">IFERROR(__xludf.DUMMYFUNCTION("""COMPUTED_VALUE"""),"jacques.alboud@systeme-u.fr")</f>
        <v>jacques.alboud@systeme-u.fr</v>
      </c>
      <c r="J402" t="str">
        <f ca="1">IFERROR(__xludf.DUMMYFUNCTION("""COMPUTED_VALUE"""),"COTTAVOZ Romain")</f>
        <v>COTTAVOZ Romain</v>
      </c>
      <c r="K402" t="str">
        <f ca="1">IFERROR(__xludf.DUMMYFUNCTION("""COMPUTED_VALUE"""),"romain.cottavoz@systeme-u.fr,superu.larbresle.administratif@systeme-u.fr")</f>
        <v>romain.cottavoz@systeme-u.fr,superu.larbresle.administratif@systeme-u.fr</v>
      </c>
      <c r="L402" t="str">
        <f ca="1">IFERROR(__xludf.DUMMYFUNCTION("""COMPUTED_VALUE"""),"")</f>
        <v/>
      </c>
      <c r="M402" t="str">
        <f ca="1">IFERROR(__xludf.DUMMYFUNCTION("""COMPUTED_VALUE"""),"99.Hors Périmetre")</f>
        <v>99.Hors Périmetre</v>
      </c>
      <c r="N402" t="str">
        <f ca="1">IFERROR(__xludf.DUMMYFUNCTION("""COMPUTED_VALUE"""),"")</f>
        <v/>
      </c>
      <c r="O402" t="str">
        <f ca="1">IFERROR(__xludf.DUMMYFUNCTION("""COMPUTED_VALUE"""),"")</f>
        <v/>
      </c>
      <c r="P402" t="str">
        <f ca="1">IFERROR(__xludf.DUMMYFUNCTION("""COMPUTED_VALUE"""),"")</f>
        <v/>
      </c>
      <c r="Q402" s="5" t="str">
        <f ca="1">IFERROR(__xludf.DUMMYFUNCTION("""COMPUTED_VALUE"""),"")</f>
        <v/>
      </c>
      <c r="R402" s="6" t="str">
        <f ca="1">IFERROR(__xludf.DUMMYFUNCTION("""COMPUTED_VALUE"""),"")</f>
        <v/>
      </c>
      <c r="S402" t="str">
        <f ca="1">IFERROR(__xludf.DUMMYFUNCTION("""COMPUTED_VALUE"""),"")</f>
        <v/>
      </c>
      <c r="T402" t="str">
        <f ca="1">IFERROR(__xludf.DUMMYFUNCTION("""COMPUTED_VALUE"""),"")</f>
        <v/>
      </c>
      <c r="U402" t="str">
        <f ca="1">IFERROR(__xludf.DUMMYFUNCTION("""COMPUTED_VALUE"""),"")</f>
        <v/>
      </c>
      <c r="V402" t="str">
        <f ca="1">IFERROR(__xludf.DUMMYFUNCTION("""COMPUTED_VALUE"""),"")</f>
        <v/>
      </c>
      <c r="W402" t="str">
        <f ca="1">IFERROR(__xludf.DUMMYFUNCTION("""COMPUTED_VALUE"""),"")</f>
        <v/>
      </c>
      <c r="X402" t="str">
        <f ca="1">IFERROR(__xludf.DUMMYFUNCTION("""COMPUTED_VALUE"""),"")</f>
        <v/>
      </c>
      <c r="Y402" t="str">
        <f ca="1">IFERROR(__xludf.DUMMYFUNCTION("""COMPUTED_VALUE"""),"")</f>
        <v/>
      </c>
      <c r="Z402" t="str">
        <f ca="1">IFERROR(__xludf.DUMMYFUNCTION("""COMPUTED_VALUE"""),"")</f>
        <v/>
      </c>
      <c r="AA402" t="str">
        <f ca="1">IFERROR(__xludf.DUMMYFUNCTION("""COMPUTED_VALUE"""),"Pas de commande")</f>
        <v>Pas de commande</v>
      </c>
      <c r="AB402" s="8" t="str">
        <f ca="1">IFERROR(__xludf.DUMMYFUNCTION("""COMPUTED_VALUE"""),"")</f>
        <v/>
      </c>
      <c r="AC402" s="8" t="str">
        <f ca="1">IFERROR(__xludf.DUMMYFUNCTION("""COMPUTED_VALUE"""),"")</f>
        <v/>
      </c>
      <c r="AD402" s="11" t="str">
        <f ca="1">IFERROR(__xludf.DUMMYFUNCTION("""COMPUTED_VALUE"""),"")</f>
        <v/>
      </c>
      <c r="AE402" t="str">
        <f ca="1">IFERROR(__xludf.DUMMYFUNCTION("""COMPUTED_VALUE"""),"")</f>
        <v/>
      </c>
    </row>
    <row r="403" spans="1:31" ht="12.75" x14ac:dyDescent="0.2">
      <c r="A403">
        <f ca="1">IFERROR(__xludf.DUMMYFUNCTION("""COMPUTED_VALUE"""),39903)</f>
        <v>39903</v>
      </c>
      <c r="B403" t="str">
        <f ca="1">IFERROR(__xludf.DUMMYFUNCTION("""COMPUTED_VALUE"""),"L'HUISSERIE")</f>
        <v>L'HUISSERIE</v>
      </c>
      <c r="C403" t="str">
        <f ca="1">IFERROR(__xludf.DUMMYFUNCTION("""COMPUTED_VALUE"""),"U Express")</f>
        <v>U Express</v>
      </c>
      <c r="D403" t="str">
        <f ca="1">IFERROR(__xludf.DUMMYFUNCTION("""COMPUTED_VALUE"""),"Coop U Enseigne Ouest")</f>
        <v>Coop U Enseigne Ouest</v>
      </c>
      <c r="E403">
        <f ca="1">IFERROR(__xludf.DUMMYFUNCTION("""COMPUTED_VALUE"""),53970)</f>
        <v>53970</v>
      </c>
      <c r="F403" t="str">
        <f ca="1">IFERROR(__xludf.DUMMYFUNCTION("""COMPUTED_VALUE"""),"ZONE ARTISANALE DE L'AUBEPIN")</f>
        <v>ZONE ARTISANALE DE L'AUBEPIN</v>
      </c>
      <c r="G403" t="str">
        <f ca="1">IFERROR(__xludf.DUMMYFUNCTION("""COMPUTED_VALUE"""),"02.43.69.61.53")</f>
        <v>02.43.69.61.53</v>
      </c>
      <c r="H403" t="str">
        <f ca="1">IFERROR(__xludf.DUMMYFUNCTION("""COMPUTED_VALUE"""),"LEROY Yannick")</f>
        <v>LEROY Yannick</v>
      </c>
      <c r="I403" t="str">
        <f ca="1">IFERROR(__xludf.DUMMYFUNCTION("""COMPUTED_VALUE"""),"yannick.leroy@systeme-u.fr")</f>
        <v>yannick.leroy@systeme-u.fr</v>
      </c>
      <c r="J403" t="str">
        <f ca="1">IFERROR(__xludf.DUMMYFUNCTION("""COMPUTED_VALUE"""),"Racinais Aurore")</f>
        <v>Racinais Aurore</v>
      </c>
      <c r="K403" t="str">
        <f ca="1">IFERROR(__xludf.DUMMYFUNCTION("""COMPUTED_VALUE"""),"uexpress.lhuisserie@systeme-u.fr")</f>
        <v>uexpress.lhuisserie@systeme-u.fr</v>
      </c>
      <c r="L403" t="str">
        <f ca="1">IFERROR(__xludf.DUMMYFUNCTION("""COMPUTED_VALUE"""),"")</f>
        <v/>
      </c>
      <c r="M403" t="str">
        <f ca="1">IFERROR(__xludf.DUMMYFUNCTION("""COMPUTED_VALUE"""),"99.Hors Périmetre")</f>
        <v>99.Hors Périmetre</v>
      </c>
      <c r="N403" t="str">
        <f ca="1">IFERROR(__xludf.DUMMYFUNCTION("""COMPUTED_VALUE"""),"")</f>
        <v/>
      </c>
      <c r="O403" t="str">
        <f ca="1">IFERROR(__xludf.DUMMYFUNCTION("""COMPUTED_VALUE"""),"")</f>
        <v/>
      </c>
      <c r="P403" t="str">
        <f ca="1">IFERROR(__xludf.DUMMYFUNCTION("""COMPUTED_VALUE"""),"")</f>
        <v/>
      </c>
      <c r="Q403" s="5" t="str">
        <f ca="1">IFERROR(__xludf.DUMMYFUNCTION("""COMPUTED_VALUE"""),"")</f>
        <v/>
      </c>
      <c r="R403" s="6" t="str">
        <f ca="1">IFERROR(__xludf.DUMMYFUNCTION("""COMPUTED_VALUE"""),"")</f>
        <v/>
      </c>
      <c r="S403" t="str">
        <f ca="1">IFERROR(__xludf.DUMMYFUNCTION("""COMPUTED_VALUE"""),"")</f>
        <v/>
      </c>
      <c r="T403" t="str">
        <f ca="1">IFERROR(__xludf.DUMMYFUNCTION("""COMPUTED_VALUE"""),"")</f>
        <v/>
      </c>
      <c r="U403" t="str">
        <f ca="1">IFERROR(__xludf.DUMMYFUNCTION("""COMPUTED_VALUE"""),"")</f>
        <v/>
      </c>
      <c r="V403" t="str">
        <f ca="1">IFERROR(__xludf.DUMMYFUNCTION("""COMPUTED_VALUE"""),"")</f>
        <v/>
      </c>
      <c r="W403" t="str">
        <f ca="1">IFERROR(__xludf.DUMMYFUNCTION("""COMPUTED_VALUE"""),"")</f>
        <v/>
      </c>
      <c r="X403" t="str">
        <f ca="1">IFERROR(__xludf.DUMMYFUNCTION("""COMPUTED_VALUE"""),"")</f>
        <v/>
      </c>
      <c r="Y403" t="str">
        <f ca="1">IFERROR(__xludf.DUMMYFUNCTION("""COMPUTED_VALUE"""),"")</f>
        <v/>
      </c>
      <c r="Z403" t="str">
        <f ca="1">IFERROR(__xludf.DUMMYFUNCTION("""COMPUTED_VALUE"""),"")</f>
        <v/>
      </c>
      <c r="AA403" t="str">
        <f ca="1">IFERROR(__xludf.DUMMYFUNCTION("""COMPUTED_VALUE"""),"Pas de commande")</f>
        <v>Pas de commande</v>
      </c>
      <c r="AB403" s="8" t="str">
        <f ca="1">IFERROR(__xludf.DUMMYFUNCTION("""COMPUTED_VALUE"""),"")</f>
        <v/>
      </c>
      <c r="AC403" s="8" t="str">
        <f ca="1">IFERROR(__xludf.DUMMYFUNCTION("""COMPUTED_VALUE"""),"")</f>
        <v/>
      </c>
      <c r="AD403" s="11" t="str">
        <f ca="1">IFERROR(__xludf.DUMMYFUNCTION("""COMPUTED_VALUE"""),"")</f>
        <v/>
      </c>
      <c r="AE403" t="str">
        <f ca="1">IFERROR(__xludf.DUMMYFUNCTION("""COMPUTED_VALUE"""),"")</f>
        <v/>
      </c>
    </row>
    <row r="404" spans="1:31" ht="12.75" x14ac:dyDescent="0.2">
      <c r="A404">
        <f ca="1">IFERROR(__xludf.DUMMYFUNCTION("""COMPUTED_VALUE"""),33492)</f>
        <v>33492</v>
      </c>
      <c r="B404" t="str">
        <f ca="1">IFERROR(__xludf.DUMMYFUNCTION("""COMPUTED_VALUE"""),"L'ILE-BOUCHARD")</f>
        <v>L'ILE-BOUCHARD</v>
      </c>
      <c r="C404" t="str">
        <f ca="1">IFERROR(__xludf.DUMMYFUNCTION("""COMPUTED_VALUE"""),"Super U")</f>
        <v>Super U</v>
      </c>
      <c r="D404" t="str">
        <f ca="1">IFERROR(__xludf.DUMMYFUNCTION("""COMPUTED_VALUE"""),"Coop U Enseigne Ouest")</f>
        <v>Coop U Enseigne Ouest</v>
      </c>
      <c r="E404">
        <f ca="1">IFERROR(__xludf.DUMMYFUNCTION("""COMPUTED_VALUE"""),37220)</f>
        <v>37220</v>
      </c>
      <c r="F404" t="str">
        <f ca="1">IFERROR(__xludf.DUMMYFUNCTION("""COMPUTED_VALUE"""),"CENTRE COMMERCIAL LES QAUTRE VENTS")</f>
        <v>CENTRE COMMERCIAL LES QAUTRE VENTS</v>
      </c>
      <c r="G404" t="str">
        <f ca="1">IFERROR(__xludf.DUMMYFUNCTION("""COMPUTED_VALUE"""),"02.47.58.61.64")</f>
        <v>02.47.58.61.64</v>
      </c>
      <c r="H404" t="str">
        <f ca="1">IFERROR(__xludf.DUMMYFUNCTION("""COMPUTED_VALUE"""),"LE CLEZIO RPT VAL DE VIENNE Olivier")</f>
        <v>LE CLEZIO RPT VAL DE VIENNE Olivier</v>
      </c>
      <c r="I404" t="str">
        <f ca="1">IFERROR(__xludf.DUMMYFUNCTION("""COMPUTED_VALUE"""),"olivier.le-clezio@systeme-u.fr")</f>
        <v>olivier.le-clezio@systeme-u.fr</v>
      </c>
      <c r="J404" t="str">
        <f ca="1">IFERROR(__xludf.DUMMYFUNCTION("""COMPUTED_VALUE"""),"Séverine Tranchant")</f>
        <v>Séverine Tranchant</v>
      </c>
      <c r="K404" t="str">
        <f ca="1">IFERROR(__xludf.DUMMYFUNCTION("""COMPUTED_VALUE"""),"superu.ilebouchard.rh@systeme-u.fr")</f>
        <v>superu.ilebouchard.rh@systeme-u.fr</v>
      </c>
      <c r="L404" t="str">
        <f ca="1">IFERROR(__xludf.DUMMYFUNCTION("""COMPUTED_VALUE"""),"")</f>
        <v/>
      </c>
      <c r="M404" t="str">
        <f ca="1">IFERROR(__xludf.DUMMYFUNCTION("""COMPUTED_VALUE"""),"99.Hors Périmetre")</f>
        <v>99.Hors Périmetre</v>
      </c>
      <c r="N404" t="str">
        <f ca="1">IFERROR(__xludf.DUMMYFUNCTION("""COMPUTED_VALUE"""),"")</f>
        <v/>
      </c>
      <c r="O404" t="str">
        <f ca="1">IFERROR(__xludf.DUMMYFUNCTION("""COMPUTED_VALUE"""),"")</f>
        <v/>
      </c>
      <c r="P404" t="str">
        <f ca="1">IFERROR(__xludf.DUMMYFUNCTION("""COMPUTED_VALUE"""),"")</f>
        <v/>
      </c>
      <c r="Q404" s="5" t="str">
        <f ca="1">IFERROR(__xludf.DUMMYFUNCTION("""COMPUTED_VALUE"""),"")</f>
        <v/>
      </c>
      <c r="R404" s="6" t="str">
        <f ca="1">IFERROR(__xludf.DUMMYFUNCTION("""COMPUTED_VALUE"""),"")</f>
        <v/>
      </c>
      <c r="S404" t="str">
        <f ca="1">IFERROR(__xludf.DUMMYFUNCTION("""COMPUTED_VALUE"""),"")</f>
        <v/>
      </c>
      <c r="T404" t="str">
        <f ca="1">IFERROR(__xludf.DUMMYFUNCTION("""COMPUTED_VALUE"""),"")</f>
        <v/>
      </c>
      <c r="U404" t="str">
        <f ca="1">IFERROR(__xludf.DUMMYFUNCTION("""COMPUTED_VALUE"""),"")</f>
        <v/>
      </c>
      <c r="V404" t="str">
        <f ca="1">IFERROR(__xludf.DUMMYFUNCTION("""COMPUTED_VALUE"""),"")</f>
        <v/>
      </c>
      <c r="W404" t="str">
        <f ca="1">IFERROR(__xludf.DUMMYFUNCTION("""COMPUTED_VALUE"""),"")</f>
        <v/>
      </c>
      <c r="X404" t="str">
        <f ca="1">IFERROR(__xludf.DUMMYFUNCTION("""COMPUTED_VALUE"""),"")</f>
        <v/>
      </c>
      <c r="Y404" t="str">
        <f ca="1">IFERROR(__xludf.DUMMYFUNCTION("""COMPUTED_VALUE"""),"")</f>
        <v/>
      </c>
      <c r="Z404" t="str">
        <f ca="1">IFERROR(__xludf.DUMMYFUNCTION("""COMPUTED_VALUE"""),"")</f>
        <v/>
      </c>
      <c r="AA404" t="str">
        <f ca="1">IFERROR(__xludf.DUMMYFUNCTION("""COMPUTED_VALUE"""),"Pas de commande")</f>
        <v>Pas de commande</v>
      </c>
      <c r="AB404" s="8" t="str">
        <f ca="1">IFERROR(__xludf.DUMMYFUNCTION("""COMPUTED_VALUE"""),"")</f>
        <v/>
      </c>
      <c r="AC404" s="8" t="str">
        <f ca="1">IFERROR(__xludf.DUMMYFUNCTION("""COMPUTED_VALUE"""),"")</f>
        <v/>
      </c>
      <c r="AD404" s="11" t="str">
        <f ca="1">IFERROR(__xludf.DUMMYFUNCTION("""COMPUTED_VALUE"""),"")</f>
        <v/>
      </c>
      <c r="AE404" t="str">
        <f ca="1">IFERROR(__xludf.DUMMYFUNCTION("""COMPUTED_VALUE"""),"")</f>
        <v/>
      </c>
    </row>
    <row r="405" spans="1:31" ht="12.75" x14ac:dyDescent="0.2">
      <c r="A405">
        <f ca="1">IFERROR(__xludf.DUMMYFUNCTION("""COMPUTED_VALUE"""),90517)</f>
        <v>90517</v>
      </c>
      <c r="B405" t="str">
        <f ca="1">IFERROR(__xludf.DUMMYFUNCTION("""COMPUTED_VALUE"""),"GOLFE JUAN")</f>
        <v>GOLFE JUAN</v>
      </c>
      <c r="C405" t="str">
        <f ca="1">IFERROR(__xludf.DUMMYFUNCTION("""COMPUTED_VALUE"""),"U Express")</f>
        <v>U Express</v>
      </c>
      <c r="D405" t="str">
        <f ca="1">IFERROR(__xludf.DUMMYFUNCTION("""COMPUTED_VALUE"""),"Coop MISTRAL")</f>
        <v>Coop MISTRAL</v>
      </c>
      <c r="E405">
        <f ca="1">IFERROR(__xludf.DUMMYFUNCTION("""COMPUTED_VALUE"""),6220)</f>
        <v>6220</v>
      </c>
      <c r="F405" t="str">
        <f ca="1">IFERROR(__xludf.DUMMYFUNCTION("""COMPUTED_VALUE"""),"8 AVENUE DU MIDI")</f>
        <v>8 AVENUE DU MIDI</v>
      </c>
      <c r="G405" t="str">
        <f ca="1">IFERROR(__xludf.DUMMYFUNCTION("""COMPUTED_VALUE"""),"04.92.90.44.55")</f>
        <v>04.92.90.44.55</v>
      </c>
      <c r="H405" t="str">
        <f ca="1">IFERROR(__xludf.DUMMYFUNCTION("""COMPUTED_VALUE"""),"MAIOLINO Bernard")</f>
        <v>MAIOLINO Bernard</v>
      </c>
      <c r="I405" t="str">
        <f ca="1">IFERROR(__xludf.DUMMYFUNCTION("""COMPUTED_VALUE"""),"bernard.maiolino@systeme-u.fr")</f>
        <v>bernard.maiolino@systeme-u.fr</v>
      </c>
      <c r="J405" t="str">
        <f ca="1">IFERROR(__xludf.DUMMYFUNCTION("""COMPUTED_VALUE"""),"Mr STAELS")</f>
        <v>Mr STAELS</v>
      </c>
      <c r="K405" t="str">
        <f ca="1">IFERROR(__xludf.DUMMYFUNCTION("""COMPUTED_VALUE"""),"uexpress.golfejuan@mistral-u.fr")</f>
        <v>uexpress.golfejuan@mistral-u.fr</v>
      </c>
      <c r="L405" t="str">
        <f ca="1">IFERROR(__xludf.DUMMYFUNCTION("""COMPUTED_VALUE"""),"")</f>
        <v/>
      </c>
      <c r="M405" t="str">
        <f ca="1">IFERROR(__xludf.DUMMYFUNCTION("""COMPUTED_VALUE"""),"")</f>
        <v/>
      </c>
      <c r="N405" t="str">
        <f ca="1">IFERROR(__xludf.DUMMYFUNCTION("""COMPUTED_VALUE"""),"")</f>
        <v/>
      </c>
      <c r="O405" t="str">
        <f ca="1">IFERROR(__xludf.DUMMYFUNCTION("""COMPUTED_VALUE"""),"")</f>
        <v/>
      </c>
      <c r="P405" t="str">
        <f ca="1">IFERROR(__xludf.DUMMYFUNCTION("""COMPUTED_VALUE"""),"")</f>
        <v/>
      </c>
      <c r="Q405" s="5" t="str">
        <f ca="1">IFERROR(__xludf.DUMMYFUNCTION("""COMPUTED_VALUE"""),"")</f>
        <v/>
      </c>
      <c r="R405" s="6" t="str">
        <f ca="1">IFERROR(__xludf.DUMMYFUNCTION("""COMPUTED_VALUE"""),"")</f>
        <v/>
      </c>
      <c r="S405" t="str">
        <f ca="1">IFERROR(__xludf.DUMMYFUNCTION("""COMPUTED_VALUE"""),"")</f>
        <v/>
      </c>
      <c r="T405" t="str">
        <f ca="1">IFERROR(__xludf.DUMMYFUNCTION("""COMPUTED_VALUE"""),"")</f>
        <v/>
      </c>
      <c r="U405" t="str">
        <f ca="1">IFERROR(__xludf.DUMMYFUNCTION("""COMPUTED_VALUE"""),"")</f>
        <v/>
      </c>
      <c r="V405" t="str">
        <f ca="1">IFERROR(__xludf.DUMMYFUNCTION("""COMPUTED_VALUE"""),"")</f>
        <v/>
      </c>
      <c r="W405" t="str">
        <f ca="1">IFERROR(__xludf.DUMMYFUNCTION("""COMPUTED_VALUE"""),"R5")</f>
        <v>R5</v>
      </c>
      <c r="X405" t="str">
        <f ca="1">IFERROR(__xludf.DUMMYFUNCTION("""COMPUTED_VALUE"""),"Pricer")</f>
        <v>Pricer</v>
      </c>
      <c r="Y405" t="str">
        <f ca="1">IFERROR(__xludf.DUMMYFUNCTION("""COMPUTED_VALUE"""),"")</f>
        <v/>
      </c>
      <c r="Z405" t="str">
        <f ca="1">IFERROR(__xludf.DUMMYFUNCTION("""COMPUTED_VALUE"""),"")</f>
        <v/>
      </c>
      <c r="AA405" t="str">
        <f ca="1">IFERROR(__xludf.DUMMYFUNCTION("""COMPUTED_VALUE"""),"Pas de commande")</f>
        <v>Pas de commande</v>
      </c>
      <c r="AB405" s="8" t="str">
        <f ca="1">IFERROR(__xludf.DUMMYFUNCTION("""COMPUTED_VALUE"""),"")</f>
        <v/>
      </c>
      <c r="AC405" s="8" t="str">
        <f ca="1">IFERROR(__xludf.DUMMYFUNCTION("""COMPUTED_VALUE"""),"")</f>
        <v/>
      </c>
      <c r="AD405" s="11" t="str">
        <f ca="1">IFERROR(__xludf.DUMMYFUNCTION("""COMPUTED_VALUE"""),"")</f>
        <v/>
      </c>
      <c r="AE405" t="str">
        <f ca="1">IFERROR(__xludf.DUMMYFUNCTION("""COMPUTED_VALUE"""),"")</f>
        <v/>
      </c>
    </row>
    <row r="406" spans="1:31" ht="12.75" x14ac:dyDescent="0.2">
      <c r="A406">
        <f ca="1">IFERROR(__xludf.DUMMYFUNCTION("""COMPUTED_VALUE"""),90445)</f>
        <v>90445</v>
      </c>
      <c r="B406" t="str">
        <f ca="1">IFERROR(__xludf.DUMMYFUNCTION("""COMPUTED_VALUE"""),"L'ISLE S/SORGUE")</f>
        <v>L'ISLE S/SORGUE</v>
      </c>
      <c r="C406" t="str">
        <f ca="1">IFERROR(__xludf.DUMMYFUNCTION("""COMPUTED_VALUE"""),"Super U")</f>
        <v>Super U</v>
      </c>
      <c r="D406" t="str">
        <f ca="1">IFERROR(__xludf.DUMMYFUNCTION("""COMPUTED_VALUE"""),"Coop U Enseigne Sud")</f>
        <v>Coop U Enseigne Sud</v>
      </c>
      <c r="E406">
        <f ca="1">IFERROR(__xludf.DUMMYFUNCTION("""COMPUTED_VALUE"""),84800)</f>
        <v>84800</v>
      </c>
      <c r="F406" t="str">
        <f ca="1">IFERROR(__xludf.DUMMYFUNCTION("""COMPUTED_VALUE"""),"ROUTE DE CARPENTRAS")</f>
        <v>ROUTE DE CARPENTRAS</v>
      </c>
      <c r="G406" t="str">
        <f ca="1">IFERROR(__xludf.DUMMYFUNCTION("""COMPUTED_VALUE"""),"04.90.21.27.20")</f>
        <v>04.90.21.27.20</v>
      </c>
      <c r="H406" t="str">
        <f ca="1">IFERROR(__xludf.DUMMYFUNCTION("""COMPUTED_VALUE"""),"VALL Alain")</f>
        <v>VALL Alain</v>
      </c>
      <c r="I406" t="str">
        <f ca="1">IFERROR(__xludf.DUMMYFUNCTION("""COMPUTED_VALUE"""),"benoit.vall@systeme-u.fr")</f>
        <v>benoit.vall@systeme-u.fr</v>
      </c>
      <c r="J406" t="str">
        <f ca="1">IFERROR(__xludf.DUMMYFUNCTION("""COMPUTED_VALUE"""),"Emilie VALL (directrice)")</f>
        <v>Emilie VALL (directrice)</v>
      </c>
      <c r="K406" t="str">
        <f ca="1">IFERROR(__xludf.DUMMYFUNCTION("""COMPUTED_VALUE"""),"emilie.vall@systeme-u.fr,superu.islesursorgue@systeme-u.fr")</f>
        <v>emilie.vall@systeme-u.fr,superu.islesursorgue@systeme-u.fr</v>
      </c>
      <c r="L406" t="str">
        <f ca="1">IFERROR(__xludf.DUMMYFUNCTION("""COMPUTED_VALUE"""),"")</f>
        <v/>
      </c>
      <c r="M406" t="str">
        <f ca="1">IFERROR(__xludf.DUMMYFUNCTION("""COMPUTED_VALUE"""),"99.Hors Périmetre")</f>
        <v>99.Hors Périmetre</v>
      </c>
      <c r="N406" t="str">
        <f ca="1">IFERROR(__xludf.DUMMYFUNCTION("""COMPUTED_VALUE"""),"")</f>
        <v/>
      </c>
      <c r="O406" t="str">
        <f ca="1">IFERROR(__xludf.DUMMYFUNCTION("""COMPUTED_VALUE"""),"")</f>
        <v/>
      </c>
      <c r="P406" t="str">
        <f ca="1">IFERROR(__xludf.DUMMYFUNCTION("""COMPUTED_VALUE"""),"")</f>
        <v/>
      </c>
      <c r="Q406" s="5" t="str">
        <f ca="1">IFERROR(__xludf.DUMMYFUNCTION("""COMPUTED_VALUE"""),"")</f>
        <v/>
      </c>
      <c r="R406" s="6" t="str">
        <f ca="1">IFERROR(__xludf.DUMMYFUNCTION("""COMPUTED_VALUE"""),"")</f>
        <v/>
      </c>
      <c r="S406" t="str">
        <f ca="1">IFERROR(__xludf.DUMMYFUNCTION("""COMPUTED_VALUE"""),"")</f>
        <v/>
      </c>
      <c r="T406" t="str">
        <f ca="1">IFERROR(__xludf.DUMMYFUNCTION("""COMPUTED_VALUE"""),"")</f>
        <v/>
      </c>
      <c r="U406" t="str">
        <f ca="1">IFERROR(__xludf.DUMMYFUNCTION("""COMPUTED_VALUE"""),"")</f>
        <v/>
      </c>
      <c r="V406" t="str">
        <f ca="1">IFERROR(__xludf.DUMMYFUNCTION("""COMPUTED_VALUE"""),"")</f>
        <v/>
      </c>
      <c r="W406" t="str">
        <f ca="1">IFERROR(__xludf.DUMMYFUNCTION("""COMPUTED_VALUE"""),"")</f>
        <v/>
      </c>
      <c r="X406" t="str">
        <f ca="1">IFERROR(__xludf.DUMMYFUNCTION("""COMPUTED_VALUE"""),"")</f>
        <v/>
      </c>
      <c r="Y406" t="str">
        <f ca="1">IFERROR(__xludf.DUMMYFUNCTION("""COMPUTED_VALUE"""),"")</f>
        <v/>
      </c>
      <c r="Z406" t="str">
        <f ca="1">IFERROR(__xludf.DUMMYFUNCTION("""COMPUTED_VALUE"""),"")</f>
        <v/>
      </c>
      <c r="AA406" t="str">
        <f ca="1">IFERROR(__xludf.DUMMYFUNCTION("""COMPUTED_VALUE"""),"Pas de commande")</f>
        <v>Pas de commande</v>
      </c>
      <c r="AB406" s="8" t="str">
        <f ca="1">IFERROR(__xludf.DUMMYFUNCTION("""COMPUTED_VALUE"""),"")</f>
        <v/>
      </c>
      <c r="AC406" s="8" t="str">
        <f ca="1">IFERROR(__xludf.DUMMYFUNCTION("""COMPUTED_VALUE"""),"")</f>
        <v/>
      </c>
      <c r="AD406" s="11" t="str">
        <f ca="1">IFERROR(__xludf.DUMMYFUNCTION("""COMPUTED_VALUE"""),"")</f>
        <v/>
      </c>
      <c r="AE406" t="str">
        <f ca="1">IFERROR(__xludf.DUMMYFUNCTION("""COMPUTED_VALUE"""),"")</f>
        <v/>
      </c>
    </row>
    <row r="407" spans="1:31" ht="12.75" x14ac:dyDescent="0.2">
      <c r="A407">
        <f ca="1">IFERROR(__xludf.DUMMYFUNCTION("""COMPUTED_VALUE"""),66507)</f>
        <v>66507</v>
      </c>
      <c r="B407" t="str">
        <f ca="1">IFERROR(__xludf.DUMMYFUNCTION("""COMPUTED_VALUE"""),"LA BATHIE")</f>
        <v>LA BATHIE</v>
      </c>
      <c r="C407" t="str">
        <f ca="1">IFERROR(__xludf.DUMMYFUNCTION("""COMPUTED_VALUE"""),"Super U")</f>
        <v>Super U</v>
      </c>
      <c r="D407" t="str">
        <f ca="1">IFERROR(__xludf.DUMMYFUNCTION("""COMPUTED_VALUE"""),"Coop U Enseigne Est")</f>
        <v>Coop U Enseigne Est</v>
      </c>
      <c r="E407">
        <f ca="1">IFERROR(__xludf.DUMMYFUNCTION("""COMPUTED_VALUE"""),73540)</f>
        <v>73540</v>
      </c>
      <c r="F407" t="str">
        <f ca="1">IFERROR(__xludf.DUMMYFUNCTION("""COMPUTED_VALUE"""),"Route de l'Energie")</f>
        <v>Route de l'Energie</v>
      </c>
      <c r="G407" t="str">
        <f ca="1">IFERROR(__xludf.DUMMYFUNCTION("""COMPUTED_VALUE"""),"04.79.31.06.20")</f>
        <v>04.79.31.06.20</v>
      </c>
      <c r="H407" t="str">
        <f ca="1">IFERROR(__xludf.DUMMYFUNCTION("""COMPUTED_VALUE"""),"BORNAND Maurice")</f>
        <v>BORNAND Maurice</v>
      </c>
      <c r="I407" t="str">
        <f ca="1">IFERROR(__xludf.DUMMYFUNCTION("""COMPUTED_VALUE"""),"maurice.bornand@systeme-u.fr")</f>
        <v>maurice.bornand@systeme-u.fr</v>
      </c>
      <c r="J407" t="str">
        <f ca="1">IFERROR(__xludf.DUMMYFUNCTION("""COMPUTED_VALUE"""),"")</f>
        <v/>
      </c>
      <c r="K407" t="str">
        <f ca="1">IFERROR(__xludf.DUMMYFUNCTION("""COMPUTED_VALUE"""),"")</f>
        <v/>
      </c>
      <c r="L407" t="str">
        <f ca="1">IFERROR(__xludf.DUMMYFUNCTION("""COMPUTED_VALUE"""),"")</f>
        <v/>
      </c>
      <c r="M407" t="str">
        <f ca="1">IFERROR(__xludf.DUMMYFUNCTION("""COMPUTED_VALUE"""),"99.Hors Périmetre")</f>
        <v>99.Hors Périmetre</v>
      </c>
      <c r="N407" t="str">
        <f ca="1">IFERROR(__xludf.DUMMYFUNCTION("""COMPUTED_VALUE"""),"")</f>
        <v/>
      </c>
      <c r="O407" t="str">
        <f ca="1">IFERROR(__xludf.DUMMYFUNCTION("""COMPUTED_VALUE"""),"")</f>
        <v/>
      </c>
      <c r="P407" t="str">
        <f ca="1">IFERROR(__xludf.DUMMYFUNCTION("""COMPUTED_VALUE"""),"")</f>
        <v/>
      </c>
      <c r="Q407" s="5" t="str">
        <f ca="1">IFERROR(__xludf.DUMMYFUNCTION("""COMPUTED_VALUE"""),"")</f>
        <v/>
      </c>
      <c r="R407" s="6" t="str">
        <f ca="1">IFERROR(__xludf.DUMMYFUNCTION("""COMPUTED_VALUE"""),"")</f>
        <v/>
      </c>
      <c r="S407" t="str">
        <f ca="1">IFERROR(__xludf.DUMMYFUNCTION("""COMPUTED_VALUE"""),"")</f>
        <v/>
      </c>
      <c r="T407" t="str">
        <f ca="1">IFERROR(__xludf.DUMMYFUNCTION("""COMPUTED_VALUE"""),"")</f>
        <v/>
      </c>
      <c r="U407" t="str">
        <f ca="1">IFERROR(__xludf.DUMMYFUNCTION("""COMPUTED_VALUE"""),"")</f>
        <v/>
      </c>
      <c r="V407" t="str">
        <f ca="1">IFERROR(__xludf.DUMMYFUNCTION("""COMPUTED_VALUE"""),"")</f>
        <v/>
      </c>
      <c r="W407" t="str">
        <f ca="1">IFERROR(__xludf.DUMMYFUNCTION("""COMPUTED_VALUE"""),"")</f>
        <v/>
      </c>
      <c r="X407" t="str">
        <f ca="1">IFERROR(__xludf.DUMMYFUNCTION("""COMPUTED_VALUE"""),"")</f>
        <v/>
      </c>
      <c r="Y407" t="str">
        <f ca="1">IFERROR(__xludf.DUMMYFUNCTION("""COMPUTED_VALUE"""),"")</f>
        <v/>
      </c>
      <c r="Z407" t="str">
        <f ca="1">IFERROR(__xludf.DUMMYFUNCTION("""COMPUTED_VALUE"""),"")</f>
        <v/>
      </c>
      <c r="AA407" t="str">
        <f ca="1">IFERROR(__xludf.DUMMYFUNCTION("""COMPUTED_VALUE"""),"Pas de commande")</f>
        <v>Pas de commande</v>
      </c>
      <c r="AB407" s="8" t="str">
        <f ca="1">IFERROR(__xludf.DUMMYFUNCTION("""COMPUTED_VALUE"""),"")</f>
        <v/>
      </c>
      <c r="AC407" s="8" t="str">
        <f ca="1">IFERROR(__xludf.DUMMYFUNCTION("""COMPUTED_VALUE"""),"")</f>
        <v/>
      </c>
      <c r="AD407" s="11" t="str">
        <f ca="1">IFERROR(__xludf.DUMMYFUNCTION("""COMPUTED_VALUE"""),"")</f>
        <v/>
      </c>
      <c r="AE407" t="str">
        <f ca="1">IFERROR(__xludf.DUMMYFUNCTION("""COMPUTED_VALUE"""),"")</f>
        <v/>
      </c>
    </row>
    <row r="408" spans="1:31" ht="12.75" x14ac:dyDescent="0.2">
      <c r="A408">
        <f ca="1">IFERROR(__xludf.DUMMYFUNCTION("""COMPUTED_VALUE"""),38263)</f>
        <v>38263</v>
      </c>
      <c r="B408" t="str">
        <f ca="1">IFERROR(__xludf.DUMMYFUNCTION("""COMPUTED_VALUE"""),"LA BAZOGE")</f>
        <v>LA BAZOGE</v>
      </c>
      <c r="C408" t="str">
        <f ca="1">IFERROR(__xludf.DUMMYFUNCTION("""COMPUTED_VALUE"""),"U Express")</f>
        <v>U Express</v>
      </c>
      <c r="D408" t="str">
        <f ca="1">IFERROR(__xludf.DUMMYFUNCTION("""COMPUTED_VALUE"""),"Coop U Enseigne Ouest")</f>
        <v>Coop U Enseigne Ouest</v>
      </c>
      <c r="E408">
        <f ca="1">IFERROR(__xludf.DUMMYFUNCTION("""COMPUTED_VALUE"""),72650)</f>
        <v>72650</v>
      </c>
      <c r="F408" t="str">
        <f ca="1">IFERROR(__xludf.DUMMYFUNCTION("""COMPUTED_VALUE"""),"11 AVENUE DU MANS")</f>
        <v>11 AVENUE DU MANS</v>
      </c>
      <c r="G408" t="str">
        <f ca="1">IFERROR(__xludf.DUMMYFUNCTION("""COMPUTED_VALUE"""),"02.43.88.37.70")</f>
        <v>02.43.88.37.70</v>
      </c>
      <c r="H408" t="str">
        <f ca="1">IFERROR(__xludf.DUMMYFUNCTION("""COMPUTED_VALUE"""),"SAMELE Thierry")</f>
        <v>SAMELE Thierry</v>
      </c>
      <c r="I408" t="str">
        <f ca="1">IFERROR(__xludf.DUMMYFUNCTION("""COMPUTED_VALUE"""),"thierry.samele@systeme-u.fr")</f>
        <v>thierry.samele@systeme-u.fr</v>
      </c>
      <c r="J408" t="str">
        <f ca="1">IFERROR(__xludf.DUMMYFUNCTION("""COMPUTED_VALUE"""),"")</f>
        <v/>
      </c>
      <c r="K408" t="str">
        <f ca="1">IFERROR(__xludf.DUMMYFUNCTION("""COMPUTED_VALUE"""),"")</f>
        <v/>
      </c>
      <c r="L408" t="str">
        <f ca="1">IFERROR(__xludf.DUMMYFUNCTION("""COMPUTED_VALUE"""),"")</f>
        <v/>
      </c>
      <c r="M408" t="str">
        <f ca="1">IFERROR(__xludf.DUMMYFUNCTION("""COMPUTED_VALUE"""),"99.Hors Périmetre")</f>
        <v>99.Hors Périmetre</v>
      </c>
      <c r="N408" t="str">
        <f ca="1">IFERROR(__xludf.DUMMYFUNCTION("""COMPUTED_VALUE"""),"")</f>
        <v/>
      </c>
      <c r="O408" t="str">
        <f ca="1">IFERROR(__xludf.DUMMYFUNCTION("""COMPUTED_VALUE"""),"")</f>
        <v/>
      </c>
      <c r="P408" t="str">
        <f ca="1">IFERROR(__xludf.DUMMYFUNCTION("""COMPUTED_VALUE"""),"")</f>
        <v/>
      </c>
      <c r="Q408" s="5" t="str">
        <f ca="1">IFERROR(__xludf.DUMMYFUNCTION("""COMPUTED_VALUE"""),"")</f>
        <v/>
      </c>
      <c r="R408" s="6" t="str">
        <f ca="1">IFERROR(__xludf.DUMMYFUNCTION("""COMPUTED_VALUE"""),"")</f>
        <v/>
      </c>
      <c r="S408" t="str">
        <f ca="1">IFERROR(__xludf.DUMMYFUNCTION("""COMPUTED_VALUE"""),"")</f>
        <v/>
      </c>
      <c r="T408" t="str">
        <f ca="1">IFERROR(__xludf.DUMMYFUNCTION("""COMPUTED_VALUE"""),"")</f>
        <v/>
      </c>
      <c r="U408" t="str">
        <f ca="1">IFERROR(__xludf.DUMMYFUNCTION("""COMPUTED_VALUE"""),"")</f>
        <v/>
      </c>
      <c r="V408" t="str">
        <f ca="1">IFERROR(__xludf.DUMMYFUNCTION("""COMPUTED_VALUE"""),"")</f>
        <v/>
      </c>
      <c r="W408" t="str">
        <f ca="1">IFERROR(__xludf.DUMMYFUNCTION("""COMPUTED_VALUE"""),"")</f>
        <v/>
      </c>
      <c r="X408" t="str">
        <f ca="1">IFERROR(__xludf.DUMMYFUNCTION("""COMPUTED_VALUE"""),"")</f>
        <v/>
      </c>
      <c r="Y408" t="str">
        <f ca="1">IFERROR(__xludf.DUMMYFUNCTION("""COMPUTED_VALUE"""),"")</f>
        <v/>
      </c>
      <c r="Z408" t="str">
        <f ca="1">IFERROR(__xludf.DUMMYFUNCTION("""COMPUTED_VALUE"""),"")</f>
        <v/>
      </c>
      <c r="AA408" t="str">
        <f ca="1">IFERROR(__xludf.DUMMYFUNCTION("""COMPUTED_VALUE"""),"Pas de commande")</f>
        <v>Pas de commande</v>
      </c>
      <c r="AB408" s="8" t="str">
        <f ca="1">IFERROR(__xludf.DUMMYFUNCTION("""COMPUTED_VALUE"""),"")</f>
        <v/>
      </c>
      <c r="AC408" s="8" t="str">
        <f ca="1">IFERROR(__xludf.DUMMYFUNCTION("""COMPUTED_VALUE"""),"")</f>
        <v/>
      </c>
      <c r="AD408" s="11" t="str">
        <f ca="1">IFERROR(__xludf.DUMMYFUNCTION("""COMPUTED_VALUE"""),"")</f>
        <v/>
      </c>
      <c r="AE408" t="str">
        <f ca="1">IFERROR(__xludf.DUMMYFUNCTION("""COMPUTED_VALUE"""),"")</f>
        <v/>
      </c>
    </row>
    <row r="409" spans="1:31" ht="12.75" x14ac:dyDescent="0.2">
      <c r="A409">
        <f ca="1">IFERROR(__xludf.DUMMYFUNCTION("""COMPUTED_VALUE"""),60050)</f>
        <v>60050</v>
      </c>
      <c r="B409" t="str">
        <f ca="1">IFERROR(__xludf.DUMMYFUNCTION("""COMPUTED_VALUE"""),"LA BRESSE")</f>
        <v>LA BRESSE</v>
      </c>
      <c r="C409" t="str">
        <f ca="1">IFERROR(__xludf.DUMMYFUNCTION("""COMPUTED_VALUE"""),"Super U")</f>
        <v>Super U</v>
      </c>
      <c r="D409" t="str">
        <f ca="1">IFERROR(__xludf.DUMMYFUNCTION("""COMPUTED_VALUE"""),"Coop U Enseigne Est")</f>
        <v>Coop U Enseigne Est</v>
      </c>
      <c r="E409">
        <f ca="1">IFERROR(__xludf.DUMMYFUNCTION("""COMPUTED_VALUE"""),88250)</f>
        <v>88250</v>
      </c>
      <c r="F409" t="str">
        <f ca="1">IFERROR(__xludf.DUMMYFUNCTION("""COMPUTED_VALUE"""),"21 rue Paul Claudel")</f>
        <v>21 rue Paul Claudel</v>
      </c>
      <c r="G409" t="str">
        <f ca="1">IFERROR(__xludf.DUMMYFUNCTION("""COMPUTED_VALUE"""),"03.29.25.40.68")</f>
        <v>03.29.25.40.68</v>
      </c>
      <c r="H409" t="str">
        <f ca="1">IFERROR(__xludf.DUMMYFUNCTION("""COMPUTED_VALUE"""),"FUMEY Valéry")</f>
        <v>FUMEY Valéry</v>
      </c>
      <c r="I409" t="str">
        <f ca="1">IFERROR(__xludf.DUMMYFUNCTION("""COMPUTED_VALUE"""),"valery.fumey@systeme-u.fr")</f>
        <v>valery.fumey@systeme-u.fr</v>
      </c>
      <c r="J409" t="str">
        <f ca="1">IFERROR(__xludf.DUMMYFUNCTION("""COMPUTED_VALUE"""),"Mme PETITJEAN-MATISSE")</f>
        <v>Mme PETITJEAN-MATISSE</v>
      </c>
      <c r="K409" t="str">
        <f ca="1">IFERROR(__xludf.DUMMYFUNCTION("""COMPUTED_VALUE"""),"superu.labresse.compta@systeme-u.fr")</f>
        <v>superu.labresse.compta@systeme-u.fr</v>
      </c>
      <c r="L409" t="str">
        <f ca="1">IFERROR(__xludf.DUMMYFUNCTION("""COMPUTED_VALUE"""),"")</f>
        <v/>
      </c>
      <c r="M409" t="str">
        <f ca="1">IFERROR(__xludf.DUMMYFUNCTION("""COMPUTED_VALUE"""),"")</f>
        <v/>
      </c>
      <c r="N409" t="str">
        <f ca="1">IFERROR(__xludf.DUMMYFUNCTION("""COMPUTED_VALUE"""),"")</f>
        <v/>
      </c>
      <c r="O409" t="str">
        <f ca="1">IFERROR(__xludf.DUMMYFUNCTION("""COMPUTED_VALUE"""),"")</f>
        <v/>
      </c>
      <c r="P409" t="str">
        <f ca="1">IFERROR(__xludf.DUMMYFUNCTION("""COMPUTED_VALUE"""),"")</f>
        <v/>
      </c>
      <c r="Q409" s="5" t="str">
        <f ca="1">IFERROR(__xludf.DUMMYFUNCTION("""COMPUTED_VALUE"""),"")</f>
        <v/>
      </c>
      <c r="R409" s="6" t="str">
        <f ca="1">IFERROR(__xludf.DUMMYFUNCTION("""COMPUTED_VALUE"""),"")</f>
        <v/>
      </c>
      <c r="S409" t="str">
        <f ca="1">IFERROR(__xludf.DUMMYFUNCTION("""COMPUTED_VALUE"""),"")</f>
        <v/>
      </c>
      <c r="T409" t="str">
        <f ca="1">IFERROR(__xludf.DUMMYFUNCTION("""COMPUTED_VALUE"""),"")</f>
        <v/>
      </c>
      <c r="U409" t="str">
        <f ca="1">IFERROR(__xludf.DUMMYFUNCTION("""COMPUTED_VALUE"""),"")</f>
        <v/>
      </c>
      <c r="V409" t="str">
        <f ca="1">IFERROR(__xludf.DUMMYFUNCTION("""COMPUTED_VALUE"""),"")</f>
        <v/>
      </c>
      <c r="W409" t="str">
        <f ca="1">IFERROR(__xludf.DUMMYFUNCTION("""COMPUTED_VALUE"""),"R3")</f>
        <v>R3</v>
      </c>
      <c r="X409" t="str">
        <f ca="1">IFERROR(__xludf.DUMMYFUNCTION("""COMPUTED_VALUE"""),"Pricer &lt;8Go")</f>
        <v>Pricer &lt;8Go</v>
      </c>
      <c r="Y409" t="str">
        <f ca="1">IFERROR(__xludf.DUMMYFUNCTION("""COMPUTED_VALUE"""),"")</f>
        <v/>
      </c>
      <c r="Z409" t="str">
        <f ca="1">IFERROR(__xludf.DUMMYFUNCTION("""COMPUTED_VALUE"""),"")</f>
        <v/>
      </c>
      <c r="AA409" t="str">
        <f ca="1">IFERROR(__xludf.DUMMYFUNCTION("""COMPUTED_VALUE"""),"Pas de commande")</f>
        <v>Pas de commande</v>
      </c>
      <c r="AB409" s="8" t="str">
        <f ca="1">IFERROR(__xludf.DUMMYFUNCTION("""COMPUTED_VALUE"""),"")</f>
        <v/>
      </c>
      <c r="AC409" s="8" t="str">
        <f ca="1">IFERROR(__xludf.DUMMYFUNCTION("""COMPUTED_VALUE"""),"")</f>
        <v/>
      </c>
      <c r="AD409" s="11" t="str">
        <f ca="1">IFERROR(__xludf.DUMMYFUNCTION("""COMPUTED_VALUE"""),"")</f>
        <v/>
      </c>
      <c r="AE409" t="str">
        <f ca="1">IFERROR(__xludf.DUMMYFUNCTION("""COMPUTED_VALUE"""),"")</f>
        <v/>
      </c>
    </row>
    <row r="410" spans="1:31" ht="12.75" x14ac:dyDescent="0.2">
      <c r="A410">
        <f ca="1">IFERROR(__xludf.DUMMYFUNCTION("""COMPUTED_VALUE"""),30566)</f>
        <v>30566</v>
      </c>
      <c r="B410" t="str">
        <f ca="1">IFERROR(__xludf.DUMMYFUNCTION("""COMPUTED_VALUE"""),"LA BRUFFIÈRE")</f>
        <v>LA BRUFFIÈRE</v>
      </c>
      <c r="C410" t="str">
        <f ca="1">IFERROR(__xludf.DUMMYFUNCTION("""COMPUTED_VALUE"""),"Super U")</f>
        <v>Super U</v>
      </c>
      <c r="D410" t="str">
        <f ca="1">IFERROR(__xludf.DUMMYFUNCTION("""COMPUTED_VALUE"""),"Coop U Enseigne Ouest")</f>
        <v>Coop U Enseigne Ouest</v>
      </c>
      <c r="E410">
        <f ca="1">IFERROR(__xludf.DUMMYFUNCTION("""COMPUTED_VALUE"""),85530)</f>
        <v>85530</v>
      </c>
      <c r="F410" t="str">
        <f ca="1">IFERROR(__xludf.DUMMYFUNCTION("""COMPUTED_VALUE"""),"RUE DE LA BRÛLERIE")</f>
        <v>RUE DE LA BRÛLERIE</v>
      </c>
      <c r="G410" t="str">
        <f ca="1">IFERROR(__xludf.DUMMYFUNCTION("""COMPUTED_VALUE"""),"02.51.42.58.37")</f>
        <v>02.51.42.58.37</v>
      </c>
      <c r="H410" t="str">
        <f ca="1">IFERROR(__xludf.DUMMYFUNCTION("""COMPUTED_VALUE"""),"BROSSET RPT SARL ICB Annie")</f>
        <v>BROSSET RPT SARL ICB Annie</v>
      </c>
      <c r="I410" t="str">
        <f ca="1">IFERROR(__xludf.DUMMYFUNCTION("""COMPUTED_VALUE"""),"annie.brosset@systeme-u.fr")</f>
        <v>annie.brosset@systeme-u.fr</v>
      </c>
      <c r="J410" t="str">
        <f ca="1">IFERROR(__xludf.DUMMYFUNCTION("""COMPUTED_VALUE"""),"M. CARCAUD")</f>
        <v>M. CARCAUD</v>
      </c>
      <c r="K410" t="str">
        <f ca="1">IFERROR(__xludf.DUMMYFUNCTION("""COMPUTED_VALUE"""),"superu.labruffiere.eldph@systeme-u.fr")</f>
        <v>superu.labruffiere.eldph@systeme-u.fr</v>
      </c>
      <c r="L410" t="str">
        <f ca="1">IFERROR(__xludf.DUMMYFUNCTION("""COMPUTED_VALUE"""),"")</f>
        <v/>
      </c>
      <c r="M410" t="str">
        <f ca="1">IFERROR(__xludf.DUMMYFUNCTION("""COMPUTED_VALUE"""),"99.Hors Périmetre")</f>
        <v>99.Hors Périmetre</v>
      </c>
      <c r="N410" t="str">
        <f ca="1">IFERROR(__xludf.DUMMYFUNCTION("""COMPUTED_VALUE"""),"")</f>
        <v/>
      </c>
      <c r="O410" t="str">
        <f ca="1">IFERROR(__xludf.DUMMYFUNCTION("""COMPUTED_VALUE"""),"")</f>
        <v/>
      </c>
      <c r="P410" t="str">
        <f ca="1">IFERROR(__xludf.DUMMYFUNCTION("""COMPUTED_VALUE"""),"")</f>
        <v/>
      </c>
      <c r="Q410" s="5" t="str">
        <f ca="1">IFERROR(__xludf.DUMMYFUNCTION("""COMPUTED_VALUE"""),"")</f>
        <v/>
      </c>
      <c r="R410" s="6" t="str">
        <f ca="1">IFERROR(__xludf.DUMMYFUNCTION("""COMPUTED_VALUE"""),"")</f>
        <v/>
      </c>
      <c r="S410" t="str">
        <f ca="1">IFERROR(__xludf.DUMMYFUNCTION("""COMPUTED_VALUE"""),"")</f>
        <v/>
      </c>
      <c r="T410" t="str">
        <f ca="1">IFERROR(__xludf.DUMMYFUNCTION("""COMPUTED_VALUE"""),"")</f>
        <v/>
      </c>
      <c r="U410" t="str">
        <f ca="1">IFERROR(__xludf.DUMMYFUNCTION("""COMPUTED_VALUE"""),"")</f>
        <v/>
      </c>
      <c r="V410" t="str">
        <f ca="1">IFERROR(__xludf.DUMMYFUNCTION("""COMPUTED_VALUE"""),"")</f>
        <v/>
      </c>
      <c r="W410" t="str">
        <f ca="1">IFERROR(__xludf.DUMMYFUNCTION("""COMPUTED_VALUE"""),"")</f>
        <v/>
      </c>
      <c r="X410" t="str">
        <f ca="1">IFERROR(__xludf.DUMMYFUNCTION("""COMPUTED_VALUE"""),"")</f>
        <v/>
      </c>
      <c r="Y410" t="str">
        <f ca="1">IFERROR(__xludf.DUMMYFUNCTION("""COMPUTED_VALUE"""),"")</f>
        <v/>
      </c>
      <c r="Z410" t="str">
        <f ca="1">IFERROR(__xludf.DUMMYFUNCTION("""COMPUTED_VALUE"""),"")</f>
        <v/>
      </c>
      <c r="AA410" t="str">
        <f ca="1">IFERROR(__xludf.DUMMYFUNCTION("""COMPUTED_VALUE"""),"Pas de commande")</f>
        <v>Pas de commande</v>
      </c>
      <c r="AB410" s="8" t="str">
        <f ca="1">IFERROR(__xludf.DUMMYFUNCTION("""COMPUTED_VALUE"""),"")</f>
        <v/>
      </c>
      <c r="AC410" s="8" t="str">
        <f ca="1">IFERROR(__xludf.DUMMYFUNCTION("""COMPUTED_VALUE"""),"")</f>
        <v/>
      </c>
      <c r="AD410" s="11" t="str">
        <f ca="1">IFERROR(__xludf.DUMMYFUNCTION("""COMPUTED_VALUE"""),"")</f>
        <v/>
      </c>
      <c r="AE410" t="str">
        <f ca="1">IFERROR(__xludf.DUMMYFUNCTION("""COMPUTED_VALUE"""),"")</f>
        <v/>
      </c>
    </row>
    <row r="411" spans="1:31" ht="12.75" x14ac:dyDescent="0.2">
      <c r="A411">
        <f ca="1">IFERROR(__xludf.DUMMYFUNCTION("""COMPUTED_VALUE"""),99233)</f>
        <v>99233</v>
      </c>
      <c r="B411" t="str">
        <f ca="1">IFERROR(__xludf.DUMMYFUNCTION("""COMPUTED_VALUE"""),"LA-CHALOUPE-ST-LEU-IDR")</f>
        <v>LA-CHALOUPE-ST-LEU-IDR</v>
      </c>
      <c r="C411" t="str">
        <f ca="1">IFERROR(__xludf.DUMMYFUNCTION("""COMPUTED_VALUE"""),"U Express")</f>
        <v>U Express</v>
      </c>
      <c r="D411" t="str">
        <f ca="1">IFERROR(__xludf.DUMMYFUNCTION("""COMPUTED_VALUE"""),"Coop U Enseigne Sud")</f>
        <v>Coop U Enseigne Sud</v>
      </c>
      <c r="E411">
        <f ca="1">IFERROR(__xludf.DUMMYFUNCTION("""COMPUTED_VALUE"""),97416)</f>
        <v>97416</v>
      </c>
      <c r="F411" t="str">
        <f ca="1">IFERROR(__xludf.DUMMYFUNCTION("""COMPUTED_VALUE"""),"260 RUE ALEXANDRE BEGUE")</f>
        <v>260 RUE ALEXANDRE BEGUE</v>
      </c>
      <c r="G411" t="str">
        <f ca="1">IFERROR(__xludf.DUMMYFUNCTION("""COMPUTED_VALUE"""),"02.62.54.81.85")</f>
        <v>02.62.54.81.85</v>
      </c>
      <c r="H411" t="str">
        <f ca="1">IFERROR(__xludf.DUMMYFUNCTION("""COMPUTED_VALUE"""),"FOCK SHO THIEN Bernard")</f>
        <v>FOCK SHO THIEN Bernard</v>
      </c>
      <c r="I411" t="str">
        <f ca="1">IFERROR(__xludf.DUMMYFUNCTION("""COMPUTED_VALUE"""),"bernard.fock@systeme-u.fr")</f>
        <v>bernard.fock@systeme-u.fr</v>
      </c>
      <c r="J411" t="str">
        <f ca="1">IFERROR(__xludf.DUMMYFUNCTION("""COMPUTED_VALUE"""),"FOCK SHO THIEN Christophe ")</f>
        <v xml:space="preserve">FOCK SHO THIEN Christophe </v>
      </c>
      <c r="K411" t="str">
        <f ca="1">IFERROR(__xludf.DUMMYFUNCTION("""COMPUTED_VALUE"""),"")</f>
        <v/>
      </c>
      <c r="L411" t="str">
        <f ca="1">IFERROR(__xludf.DUMMYFUNCTION("""COMPUTED_VALUE"""),"")</f>
        <v/>
      </c>
      <c r="M411" t="str">
        <f ca="1">IFERROR(__xludf.DUMMYFUNCTION("""COMPUTED_VALUE"""),"99.Hors Périmetre")</f>
        <v>99.Hors Périmetre</v>
      </c>
      <c r="N411" t="str">
        <f ca="1">IFERROR(__xludf.DUMMYFUNCTION("""COMPUTED_VALUE"""),"")</f>
        <v/>
      </c>
      <c r="O411" t="str">
        <f ca="1">IFERROR(__xludf.DUMMYFUNCTION("""COMPUTED_VALUE"""),"")</f>
        <v/>
      </c>
      <c r="P411" t="str">
        <f ca="1">IFERROR(__xludf.DUMMYFUNCTION("""COMPUTED_VALUE"""),"")</f>
        <v/>
      </c>
      <c r="Q411" s="5" t="str">
        <f ca="1">IFERROR(__xludf.DUMMYFUNCTION("""COMPUTED_VALUE"""),"")</f>
        <v/>
      </c>
      <c r="R411" s="6" t="str">
        <f ca="1">IFERROR(__xludf.DUMMYFUNCTION("""COMPUTED_VALUE"""),"")</f>
        <v/>
      </c>
      <c r="S411" t="str">
        <f ca="1">IFERROR(__xludf.DUMMYFUNCTION("""COMPUTED_VALUE"""),"")</f>
        <v/>
      </c>
      <c r="T411" t="str">
        <f ca="1">IFERROR(__xludf.DUMMYFUNCTION("""COMPUTED_VALUE"""),"")</f>
        <v/>
      </c>
      <c r="U411" t="str">
        <f ca="1">IFERROR(__xludf.DUMMYFUNCTION("""COMPUTED_VALUE"""),"")</f>
        <v/>
      </c>
      <c r="V411" t="str">
        <f ca="1">IFERROR(__xludf.DUMMYFUNCTION("""COMPUTED_VALUE"""),"")</f>
        <v/>
      </c>
      <c r="W411" t="str">
        <f ca="1">IFERROR(__xludf.DUMMYFUNCTION("""COMPUTED_VALUE"""),"")</f>
        <v/>
      </c>
      <c r="X411" t="str">
        <f ca="1">IFERROR(__xludf.DUMMYFUNCTION("""COMPUTED_VALUE"""),"")</f>
        <v/>
      </c>
      <c r="Y411" t="str">
        <f ca="1">IFERROR(__xludf.DUMMYFUNCTION("""COMPUTED_VALUE"""),"")</f>
        <v/>
      </c>
      <c r="Z411" t="str">
        <f ca="1">IFERROR(__xludf.DUMMYFUNCTION("""COMPUTED_VALUE"""),"")</f>
        <v/>
      </c>
      <c r="AA411" t="str">
        <f ca="1">IFERROR(__xludf.DUMMYFUNCTION("""COMPUTED_VALUE"""),"Pas de commande")</f>
        <v>Pas de commande</v>
      </c>
      <c r="AB411" s="8" t="str">
        <f ca="1">IFERROR(__xludf.DUMMYFUNCTION("""COMPUTED_VALUE"""),"")</f>
        <v/>
      </c>
      <c r="AC411" s="8" t="str">
        <f ca="1">IFERROR(__xludf.DUMMYFUNCTION("""COMPUTED_VALUE"""),"")</f>
        <v/>
      </c>
      <c r="AD411" s="11" t="str">
        <f ca="1">IFERROR(__xludf.DUMMYFUNCTION("""COMPUTED_VALUE"""),"")</f>
        <v/>
      </c>
      <c r="AE411" t="str">
        <f ca="1">IFERROR(__xludf.DUMMYFUNCTION("""COMPUTED_VALUE"""),"")</f>
        <v/>
      </c>
    </row>
    <row r="412" spans="1:31" ht="12.75" x14ac:dyDescent="0.2">
      <c r="A412">
        <f ca="1">IFERROR(__xludf.DUMMYFUNCTION("""COMPUTED_VALUE"""),33212)</f>
        <v>33212</v>
      </c>
      <c r="B412" t="str">
        <f ca="1">IFERROR(__xludf.DUMMYFUNCTION("""COMPUTED_VALUE"""),"LA CHARTRE-SUR-LE-LOIR 72")</f>
        <v>LA CHARTRE-SUR-LE-LOIR 72</v>
      </c>
      <c r="C412" t="str">
        <f ca="1">IFERROR(__xludf.DUMMYFUNCTION("""COMPUTED_VALUE"""),"Super U")</f>
        <v>Super U</v>
      </c>
      <c r="D412" t="str">
        <f ca="1">IFERROR(__xludf.DUMMYFUNCTION("""COMPUTED_VALUE"""),"Coop U Enseigne Ouest")</f>
        <v>Coop U Enseigne Ouest</v>
      </c>
      <c r="E412">
        <f ca="1">IFERROR(__xludf.DUMMYFUNCTION("""COMPUTED_VALUE"""),72340)</f>
        <v>72340</v>
      </c>
      <c r="F412" t="str">
        <f ca="1">IFERROR(__xludf.DUMMYFUNCTION("""COMPUTED_VALUE"""),"LA MALADRERIE")</f>
        <v>LA MALADRERIE</v>
      </c>
      <c r="G412" t="str">
        <f ca="1">IFERROR(__xludf.DUMMYFUNCTION("""COMPUTED_VALUE"""),"02.43.79.07.23")</f>
        <v>02.43.79.07.23</v>
      </c>
      <c r="H412" t="str">
        <f ca="1">IFERROR(__xludf.DUMMYFUNCTION("""COMPUTED_VALUE"""),"RONDEAU RPT PL RONDEAU INVEST Ludovic")</f>
        <v>RONDEAU RPT PL RONDEAU INVEST Ludovic</v>
      </c>
      <c r="I412" t="str">
        <f ca="1">IFERROR(__xludf.DUMMYFUNCTION("""COMPUTED_VALUE"""),"ludovic.rondeau@systeme-u.fr")</f>
        <v>ludovic.rondeau@systeme-u.fr</v>
      </c>
      <c r="J412" t="str">
        <f ca="1">IFERROR(__xludf.DUMMYFUNCTION("""COMPUTED_VALUE"""),"POTTIER RENAUD")</f>
        <v>POTTIER RENAUD</v>
      </c>
      <c r="K412" t="str">
        <f ca="1">IFERROR(__xludf.DUMMYFUNCTION("""COMPUTED_VALUE"""),"renaud.pottier@systeme-u.fr")</f>
        <v>renaud.pottier@systeme-u.fr</v>
      </c>
      <c r="L412" t="str">
        <f ca="1">IFERROR(__xludf.DUMMYFUNCTION("""COMPUTED_VALUE"""),"")</f>
        <v/>
      </c>
      <c r="M412" t="str">
        <f ca="1">IFERROR(__xludf.DUMMYFUNCTION("""COMPUTED_VALUE"""),"99.Hors Périmetre")</f>
        <v>99.Hors Périmetre</v>
      </c>
      <c r="N412" t="str">
        <f ca="1">IFERROR(__xludf.DUMMYFUNCTION("""COMPUTED_VALUE"""),"")</f>
        <v/>
      </c>
      <c r="O412" t="str">
        <f ca="1">IFERROR(__xludf.DUMMYFUNCTION("""COMPUTED_VALUE"""),"")</f>
        <v/>
      </c>
      <c r="P412" t="str">
        <f ca="1">IFERROR(__xludf.DUMMYFUNCTION("""COMPUTED_VALUE"""),"")</f>
        <v/>
      </c>
      <c r="Q412" s="5" t="str">
        <f ca="1">IFERROR(__xludf.DUMMYFUNCTION("""COMPUTED_VALUE"""),"")</f>
        <v/>
      </c>
      <c r="R412" s="6" t="str">
        <f ca="1">IFERROR(__xludf.DUMMYFUNCTION("""COMPUTED_VALUE"""),"")</f>
        <v/>
      </c>
      <c r="S412" t="str">
        <f ca="1">IFERROR(__xludf.DUMMYFUNCTION("""COMPUTED_VALUE"""),"")</f>
        <v/>
      </c>
      <c r="T412" t="str">
        <f ca="1">IFERROR(__xludf.DUMMYFUNCTION("""COMPUTED_VALUE"""),"")</f>
        <v/>
      </c>
      <c r="U412" t="str">
        <f ca="1">IFERROR(__xludf.DUMMYFUNCTION("""COMPUTED_VALUE"""),"")</f>
        <v/>
      </c>
      <c r="V412" t="str">
        <f ca="1">IFERROR(__xludf.DUMMYFUNCTION("""COMPUTED_VALUE"""),"")</f>
        <v/>
      </c>
      <c r="W412" t="str">
        <f ca="1">IFERROR(__xludf.DUMMYFUNCTION("""COMPUTED_VALUE"""),"")</f>
        <v/>
      </c>
      <c r="X412" t="str">
        <f ca="1">IFERROR(__xludf.DUMMYFUNCTION("""COMPUTED_VALUE"""),"")</f>
        <v/>
      </c>
      <c r="Y412" t="str">
        <f ca="1">IFERROR(__xludf.DUMMYFUNCTION("""COMPUTED_VALUE"""),"")</f>
        <v/>
      </c>
      <c r="Z412" t="str">
        <f ca="1">IFERROR(__xludf.DUMMYFUNCTION("""COMPUTED_VALUE"""),"")</f>
        <v/>
      </c>
      <c r="AA412" t="str">
        <f ca="1">IFERROR(__xludf.DUMMYFUNCTION("""COMPUTED_VALUE"""),"Pas de commande")</f>
        <v>Pas de commande</v>
      </c>
      <c r="AB412" s="8" t="str">
        <f ca="1">IFERROR(__xludf.DUMMYFUNCTION("""COMPUTED_VALUE"""),"")</f>
        <v/>
      </c>
      <c r="AC412" s="8" t="str">
        <f ca="1">IFERROR(__xludf.DUMMYFUNCTION("""COMPUTED_VALUE"""),"")</f>
        <v/>
      </c>
      <c r="AD412" s="11" t="str">
        <f ca="1">IFERROR(__xludf.DUMMYFUNCTION("""COMPUTED_VALUE"""),"")</f>
        <v/>
      </c>
      <c r="AE412" t="str">
        <f ca="1">IFERROR(__xludf.DUMMYFUNCTION("""COMPUTED_VALUE"""),"")</f>
        <v/>
      </c>
    </row>
    <row r="413" spans="1:31" ht="12.75" x14ac:dyDescent="0.2">
      <c r="A413">
        <f ca="1">IFERROR(__xludf.DUMMYFUNCTION("""COMPUTED_VALUE"""),32801)</f>
        <v>32801</v>
      </c>
      <c r="B413" t="str">
        <f ca="1">IFERROR(__xludf.DUMMYFUNCTION("""COMPUTED_VALUE"""),"LA CHATAIGNERAIE")</f>
        <v>LA CHATAIGNERAIE</v>
      </c>
      <c r="C413" t="str">
        <f ca="1">IFERROR(__xludf.DUMMYFUNCTION("""COMPUTED_VALUE"""),"Super U")</f>
        <v>Super U</v>
      </c>
      <c r="D413" t="str">
        <f ca="1">IFERROR(__xludf.DUMMYFUNCTION("""COMPUTED_VALUE"""),"Coop U Enseigne Ouest")</f>
        <v>Coop U Enseigne Ouest</v>
      </c>
      <c r="E413">
        <f ca="1">IFERROR(__xludf.DUMMYFUNCTION("""COMPUTED_VALUE"""),85120)</f>
        <v>85120</v>
      </c>
      <c r="F413" t="str">
        <f ca="1">IFERROR(__xludf.DUMMYFUNCTION("""COMPUTED_VALUE"""),"52, AVENUE DU GÉNÉRAL DE GAULLE")</f>
        <v>52, AVENUE DU GÉNÉRAL DE GAULLE</v>
      </c>
      <c r="G413" t="str">
        <f ca="1">IFERROR(__xludf.DUMMYFUNCTION("""COMPUTED_VALUE"""),"02.51.87.87.87")</f>
        <v>02.51.87.87.87</v>
      </c>
      <c r="H413" t="str">
        <f ca="1">IFERROR(__xludf.DUMMYFUNCTION("""COMPUTED_VALUE"""),"LAVILLE Lionel")</f>
        <v>LAVILLE Lionel</v>
      </c>
      <c r="I413" t="str">
        <f ca="1">IFERROR(__xludf.DUMMYFUNCTION("""COMPUTED_VALUE"""),"lionel.laville@systeme-u.fr")</f>
        <v>lionel.laville@systeme-u.fr</v>
      </c>
      <c r="J413" t="str">
        <f ca="1">IFERROR(__xludf.DUMMYFUNCTION("""COMPUTED_VALUE"""),"Geay Stéphane ")</f>
        <v xml:space="preserve">Geay Stéphane </v>
      </c>
      <c r="K413" t="str">
        <f ca="1">IFERROR(__xludf.DUMMYFUNCTION("""COMPUTED_VALUE"""),"superu.lachataigneraie.administratif@systeme-u.fr")</f>
        <v>superu.lachataigneraie.administratif@systeme-u.fr</v>
      </c>
      <c r="L413" t="str">
        <f ca="1">IFERROR(__xludf.DUMMYFUNCTION("""COMPUTED_VALUE"""),"")</f>
        <v/>
      </c>
      <c r="M413" t="str">
        <f ca="1">IFERROR(__xludf.DUMMYFUNCTION("""COMPUTED_VALUE"""),"99.Hors Périmetre")</f>
        <v>99.Hors Périmetre</v>
      </c>
      <c r="N413" t="str">
        <f ca="1">IFERROR(__xludf.DUMMYFUNCTION("""COMPUTED_VALUE"""),"")</f>
        <v/>
      </c>
      <c r="O413" t="str">
        <f ca="1">IFERROR(__xludf.DUMMYFUNCTION("""COMPUTED_VALUE"""),"")</f>
        <v/>
      </c>
      <c r="P413" t="str">
        <f ca="1">IFERROR(__xludf.DUMMYFUNCTION("""COMPUTED_VALUE"""),"")</f>
        <v/>
      </c>
      <c r="Q413" s="5" t="str">
        <f ca="1">IFERROR(__xludf.DUMMYFUNCTION("""COMPUTED_VALUE"""),"")</f>
        <v/>
      </c>
      <c r="R413" s="6" t="str">
        <f ca="1">IFERROR(__xludf.DUMMYFUNCTION("""COMPUTED_VALUE"""),"")</f>
        <v/>
      </c>
      <c r="S413" t="str">
        <f ca="1">IFERROR(__xludf.DUMMYFUNCTION("""COMPUTED_VALUE"""),"")</f>
        <v/>
      </c>
      <c r="T413" t="str">
        <f ca="1">IFERROR(__xludf.DUMMYFUNCTION("""COMPUTED_VALUE"""),"")</f>
        <v/>
      </c>
      <c r="U413" t="str">
        <f ca="1">IFERROR(__xludf.DUMMYFUNCTION("""COMPUTED_VALUE"""),"")</f>
        <v/>
      </c>
      <c r="V413" t="str">
        <f ca="1">IFERROR(__xludf.DUMMYFUNCTION("""COMPUTED_VALUE"""),"")</f>
        <v/>
      </c>
      <c r="W413" t="str">
        <f ca="1">IFERROR(__xludf.DUMMYFUNCTION("""COMPUTED_VALUE"""),"")</f>
        <v/>
      </c>
      <c r="X413" t="str">
        <f ca="1">IFERROR(__xludf.DUMMYFUNCTION("""COMPUTED_VALUE"""),"")</f>
        <v/>
      </c>
      <c r="Y413" t="str">
        <f ca="1">IFERROR(__xludf.DUMMYFUNCTION("""COMPUTED_VALUE"""),"")</f>
        <v/>
      </c>
      <c r="Z413" t="str">
        <f ca="1">IFERROR(__xludf.DUMMYFUNCTION("""COMPUTED_VALUE"""),"")</f>
        <v/>
      </c>
      <c r="AA413" t="str">
        <f ca="1">IFERROR(__xludf.DUMMYFUNCTION("""COMPUTED_VALUE"""),"Pas de commande")</f>
        <v>Pas de commande</v>
      </c>
      <c r="AB413" s="8" t="str">
        <f ca="1">IFERROR(__xludf.DUMMYFUNCTION("""COMPUTED_VALUE"""),"")</f>
        <v/>
      </c>
      <c r="AC413" s="8" t="str">
        <f ca="1">IFERROR(__xludf.DUMMYFUNCTION("""COMPUTED_VALUE"""),"")</f>
        <v/>
      </c>
      <c r="AD413" s="11" t="str">
        <f ca="1">IFERROR(__xludf.DUMMYFUNCTION("""COMPUTED_VALUE"""),"")</f>
        <v/>
      </c>
      <c r="AE413" t="str">
        <f ca="1">IFERROR(__xludf.DUMMYFUNCTION("""COMPUTED_VALUE"""),"")</f>
        <v/>
      </c>
    </row>
    <row r="414" spans="1:31" ht="12.75" x14ac:dyDescent="0.2">
      <c r="A414">
        <f ca="1">IFERROR(__xludf.DUMMYFUNCTION("""COMPUTED_VALUE"""),36793)</f>
        <v>36793</v>
      </c>
      <c r="B414" t="str">
        <f ca="1">IFERROR(__xludf.DUMMYFUNCTION("""COMPUTED_VALUE"""),"LA CHATRE")</f>
        <v>LA CHATRE</v>
      </c>
      <c r="C414" t="str">
        <f ca="1">IFERROR(__xludf.DUMMYFUNCTION("""COMPUTED_VALUE"""),"Super U")</f>
        <v>Super U</v>
      </c>
      <c r="D414" t="str">
        <f ca="1">IFERROR(__xludf.DUMMYFUNCTION("""COMPUTED_VALUE"""),"Coop U Enseigne Ouest")</f>
        <v>Coop U Enseigne Ouest</v>
      </c>
      <c r="E414">
        <f ca="1">IFERROR(__xludf.DUMMYFUNCTION("""COMPUTED_VALUE"""),36400)</f>
        <v>36400</v>
      </c>
      <c r="F414" t="str">
        <f ca="1">IFERROR(__xludf.DUMMYFUNCTION("""COMPUTED_VALUE"""),"AVENUE D'AUVERGNE")</f>
        <v>AVENUE D'AUVERGNE</v>
      </c>
      <c r="G414" t="str">
        <f ca="1">IFERROR(__xludf.DUMMYFUNCTION("""COMPUTED_VALUE"""),"02.54.62.16.21")</f>
        <v>02.54.62.16.21</v>
      </c>
      <c r="H414" t="str">
        <f ca="1">IFERROR(__xludf.DUMMYFUNCTION("""COMPUTED_VALUE"""),"BOURIAUD Corinne")</f>
        <v>BOURIAUD Corinne</v>
      </c>
      <c r="I414" t="str">
        <f ca="1">IFERROR(__xludf.DUMMYFUNCTION("""COMPUTED_VALUE"""),"corinne.bouriaud@systeme-u.fr")</f>
        <v>corinne.bouriaud@systeme-u.fr</v>
      </c>
      <c r="J414" t="str">
        <f ca="1">IFERROR(__xludf.DUMMYFUNCTION("""COMPUTED_VALUE"""),"BRUNAUD Isabelle")</f>
        <v>BRUNAUD Isabelle</v>
      </c>
      <c r="K414" t="str">
        <f ca="1">IFERROR(__xludf.DUMMYFUNCTION("""COMPUTED_VALUE"""),"superu.lachatre@systeme-u.fr")</f>
        <v>superu.lachatre@systeme-u.fr</v>
      </c>
      <c r="L414" t="str">
        <f ca="1">IFERROR(__xludf.DUMMYFUNCTION("""COMPUTED_VALUE"""),"")</f>
        <v/>
      </c>
      <c r="M414" t="str">
        <f ca="1">IFERROR(__xludf.DUMMYFUNCTION("""COMPUTED_VALUE"""),"99.Hors Périmetre")</f>
        <v>99.Hors Périmetre</v>
      </c>
      <c r="N414" t="str">
        <f ca="1">IFERROR(__xludf.DUMMYFUNCTION("""COMPUTED_VALUE"""),"")</f>
        <v/>
      </c>
      <c r="O414" t="str">
        <f ca="1">IFERROR(__xludf.DUMMYFUNCTION("""COMPUTED_VALUE"""),"")</f>
        <v/>
      </c>
      <c r="P414" t="str">
        <f ca="1">IFERROR(__xludf.DUMMYFUNCTION("""COMPUTED_VALUE"""),"")</f>
        <v/>
      </c>
      <c r="Q414" s="5" t="str">
        <f ca="1">IFERROR(__xludf.DUMMYFUNCTION("""COMPUTED_VALUE"""),"")</f>
        <v/>
      </c>
      <c r="R414" s="6" t="str">
        <f ca="1">IFERROR(__xludf.DUMMYFUNCTION("""COMPUTED_VALUE"""),"")</f>
        <v/>
      </c>
      <c r="S414" t="str">
        <f ca="1">IFERROR(__xludf.DUMMYFUNCTION("""COMPUTED_VALUE"""),"")</f>
        <v/>
      </c>
      <c r="T414" t="str">
        <f ca="1">IFERROR(__xludf.DUMMYFUNCTION("""COMPUTED_VALUE"""),"")</f>
        <v/>
      </c>
      <c r="U414" t="str">
        <f ca="1">IFERROR(__xludf.DUMMYFUNCTION("""COMPUTED_VALUE"""),"")</f>
        <v/>
      </c>
      <c r="V414" t="str">
        <f ca="1">IFERROR(__xludf.DUMMYFUNCTION("""COMPUTED_VALUE"""),"")</f>
        <v/>
      </c>
      <c r="W414" t="str">
        <f ca="1">IFERROR(__xludf.DUMMYFUNCTION("""COMPUTED_VALUE"""),"")</f>
        <v/>
      </c>
      <c r="X414" t="str">
        <f ca="1">IFERROR(__xludf.DUMMYFUNCTION("""COMPUTED_VALUE"""),"")</f>
        <v/>
      </c>
      <c r="Y414" t="str">
        <f ca="1">IFERROR(__xludf.DUMMYFUNCTION("""COMPUTED_VALUE"""),"")</f>
        <v/>
      </c>
      <c r="Z414" t="str">
        <f ca="1">IFERROR(__xludf.DUMMYFUNCTION("""COMPUTED_VALUE"""),"")</f>
        <v/>
      </c>
      <c r="AA414" t="str">
        <f ca="1">IFERROR(__xludf.DUMMYFUNCTION("""COMPUTED_VALUE"""),"Pas de commande")</f>
        <v>Pas de commande</v>
      </c>
      <c r="AB414" s="8" t="str">
        <f ca="1">IFERROR(__xludf.DUMMYFUNCTION("""COMPUTED_VALUE"""),"")</f>
        <v/>
      </c>
      <c r="AC414" s="8" t="str">
        <f ca="1">IFERROR(__xludf.DUMMYFUNCTION("""COMPUTED_VALUE"""),"")</f>
        <v/>
      </c>
      <c r="AD414" s="11" t="str">
        <f ca="1">IFERROR(__xludf.DUMMYFUNCTION("""COMPUTED_VALUE"""),"")</f>
        <v/>
      </c>
      <c r="AE414" t="str">
        <f ca="1">IFERROR(__xludf.DUMMYFUNCTION("""COMPUTED_VALUE"""),"")</f>
        <v/>
      </c>
    </row>
    <row r="415" spans="1:31" ht="12.75" x14ac:dyDescent="0.2">
      <c r="A415">
        <f ca="1">IFERROR(__xludf.DUMMYFUNCTION("""COMPUTED_VALUE"""),66043)</f>
        <v>66043</v>
      </c>
      <c r="B415" t="str">
        <f ca="1">IFERROR(__xludf.DUMMYFUNCTION("""COMPUTED_VALUE"""),"LA CLUSAZ SOLEMONT")</f>
        <v>LA CLUSAZ SOLEMONT</v>
      </c>
      <c r="C415" t="str">
        <f ca="1">IFERROR(__xludf.DUMMYFUNCTION("""COMPUTED_VALUE"""),"U Express")</f>
        <v>U Express</v>
      </c>
      <c r="D415" t="str">
        <f ca="1">IFERROR(__xludf.DUMMYFUNCTION("""COMPUTED_VALUE"""),"Coop U Enseigne Est")</f>
        <v>Coop U Enseigne Est</v>
      </c>
      <c r="E415">
        <f ca="1">IFERROR(__xludf.DUMMYFUNCTION("""COMPUTED_VALUE"""),74220)</f>
        <v>74220</v>
      </c>
      <c r="F415" t="str">
        <f ca="1">IFERROR(__xludf.DUMMYFUNCTION("""COMPUTED_VALUE"""),"538 RTE DES GRANDES ALPES")</f>
        <v>538 RTE DES GRANDES ALPES</v>
      </c>
      <c r="G415" t="str">
        <f ca="1">IFERROR(__xludf.DUMMYFUNCTION("""COMPUTED_VALUE"""),"04.50.02.48.28")</f>
        <v>04.50.02.48.28</v>
      </c>
      <c r="H415" t="str">
        <f ca="1">IFERROR(__xludf.DUMMYFUNCTION("""COMPUTED_VALUE"""),"POLLET VILLARD Antoine")</f>
        <v>POLLET VILLARD Antoine</v>
      </c>
      <c r="I415" t="str">
        <f ca="1">IFERROR(__xludf.DUMMYFUNCTION("""COMPUTED_VALUE"""),"antoine.pollet-villard@systeme-u.fr")</f>
        <v>antoine.pollet-villard@systeme-u.fr</v>
      </c>
      <c r="J415" t="str">
        <f ca="1">IFERROR(__xludf.DUMMYFUNCTION("""COMPUTED_VALUE"""),"")</f>
        <v/>
      </c>
      <c r="K415" t="str">
        <f ca="1">IFERROR(__xludf.DUMMYFUNCTION("""COMPUTED_VALUE"""),"")</f>
        <v/>
      </c>
      <c r="L415" t="str">
        <f ca="1">IFERROR(__xludf.DUMMYFUNCTION("""COMPUTED_VALUE"""),"")</f>
        <v/>
      </c>
      <c r="M415" t="str">
        <f ca="1">IFERROR(__xludf.DUMMYFUNCTION("""COMPUTED_VALUE"""),"99.Hors Périmetre")</f>
        <v>99.Hors Périmetre</v>
      </c>
      <c r="N415" t="str">
        <f ca="1">IFERROR(__xludf.DUMMYFUNCTION("""COMPUTED_VALUE"""),"")</f>
        <v/>
      </c>
      <c r="O415" t="str">
        <f ca="1">IFERROR(__xludf.DUMMYFUNCTION("""COMPUTED_VALUE"""),"")</f>
        <v/>
      </c>
      <c r="P415" t="str">
        <f ca="1">IFERROR(__xludf.DUMMYFUNCTION("""COMPUTED_VALUE"""),"")</f>
        <v/>
      </c>
      <c r="Q415" s="5" t="str">
        <f ca="1">IFERROR(__xludf.DUMMYFUNCTION("""COMPUTED_VALUE"""),"")</f>
        <v/>
      </c>
      <c r="R415" s="6" t="str">
        <f ca="1">IFERROR(__xludf.DUMMYFUNCTION("""COMPUTED_VALUE"""),"")</f>
        <v/>
      </c>
      <c r="S415" t="str">
        <f ca="1">IFERROR(__xludf.DUMMYFUNCTION("""COMPUTED_VALUE"""),"")</f>
        <v/>
      </c>
      <c r="T415" t="str">
        <f ca="1">IFERROR(__xludf.DUMMYFUNCTION("""COMPUTED_VALUE"""),"")</f>
        <v/>
      </c>
      <c r="U415" t="str">
        <f ca="1">IFERROR(__xludf.DUMMYFUNCTION("""COMPUTED_VALUE"""),"")</f>
        <v/>
      </c>
      <c r="V415" t="str">
        <f ca="1">IFERROR(__xludf.DUMMYFUNCTION("""COMPUTED_VALUE"""),"")</f>
        <v/>
      </c>
      <c r="W415" t="str">
        <f ca="1">IFERROR(__xludf.DUMMYFUNCTION("""COMPUTED_VALUE"""),"")</f>
        <v/>
      </c>
      <c r="X415" t="str">
        <f ca="1">IFERROR(__xludf.DUMMYFUNCTION("""COMPUTED_VALUE"""),"")</f>
        <v/>
      </c>
      <c r="Y415" t="str">
        <f ca="1">IFERROR(__xludf.DUMMYFUNCTION("""COMPUTED_VALUE"""),"")</f>
        <v/>
      </c>
      <c r="Z415" t="str">
        <f ca="1">IFERROR(__xludf.DUMMYFUNCTION("""COMPUTED_VALUE"""),"")</f>
        <v/>
      </c>
      <c r="AA415" t="str">
        <f ca="1">IFERROR(__xludf.DUMMYFUNCTION("""COMPUTED_VALUE"""),"Pas de commande")</f>
        <v>Pas de commande</v>
      </c>
      <c r="AB415" s="8" t="str">
        <f ca="1">IFERROR(__xludf.DUMMYFUNCTION("""COMPUTED_VALUE"""),"")</f>
        <v/>
      </c>
      <c r="AC415" s="8" t="str">
        <f ca="1">IFERROR(__xludf.DUMMYFUNCTION("""COMPUTED_VALUE"""),"")</f>
        <v/>
      </c>
      <c r="AD415" s="11" t="str">
        <f ca="1">IFERROR(__xludf.DUMMYFUNCTION("""COMPUTED_VALUE"""),"")</f>
        <v/>
      </c>
      <c r="AE415" t="str">
        <f ca="1">IFERROR(__xludf.DUMMYFUNCTION("""COMPUTED_VALUE"""),"")</f>
        <v/>
      </c>
    </row>
    <row r="416" spans="1:31" ht="12.75" x14ac:dyDescent="0.2">
      <c r="A416">
        <f ca="1">IFERROR(__xludf.DUMMYFUNCTION("""COMPUTED_VALUE"""),90457)</f>
        <v>90457</v>
      </c>
      <c r="B416" t="str">
        <f ca="1">IFERROR(__xludf.DUMMYFUNCTION("""COMPUTED_VALUE"""),"LA COLLE S/LOUP")</f>
        <v>LA COLLE S/LOUP</v>
      </c>
      <c r="C416" t="str">
        <f ca="1">IFERROR(__xludf.DUMMYFUNCTION("""COMPUTED_VALUE"""),"U Express")</f>
        <v>U Express</v>
      </c>
      <c r="D416" t="str">
        <f ca="1">IFERROR(__xludf.DUMMYFUNCTION("""COMPUTED_VALUE"""),"Coop U Enseigne Sud")</f>
        <v>Coop U Enseigne Sud</v>
      </c>
      <c r="E416">
        <f ca="1">IFERROR(__xludf.DUMMYFUNCTION("""COMPUTED_VALUE"""),6480)</f>
        <v>6480</v>
      </c>
      <c r="F416" t="str">
        <f ca="1">IFERROR(__xludf.DUMMYFUNCTION("""COMPUTED_VALUE"""),"BD HONORE TEISSEIRE")</f>
        <v>BD HONORE TEISSEIRE</v>
      </c>
      <c r="G416" t="str">
        <f ca="1">IFERROR(__xludf.DUMMYFUNCTION("""COMPUTED_VALUE"""),"04.93.32.67.22")</f>
        <v>04.93.32.67.22</v>
      </c>
      <c r="H416" t="str">
        <f ca="1">IFERROR(__xludf.DUMMYFUNCTION("""COMPUTED_VALUE"""),"PANNETIER Francoise")</f>
        <v>PANNETIER Francoise</v>
      </c>
      <c r="I416" t="str">
        <f ca="1">IFERROR(__xludf.DUMMYFUNCTION("""COMPUTED_VALUE"""),"francoise.pannetier@systeme-u.fr")</f>
        <v>francoise.pannetier@systeme-u.fr</v>
      </c>
      <c r="J416" t="str">
        <f ca="1">IFERROR(__xludf.DUMMYFUNCTION("""COMPUTED_VALUE"""),"")</f>
        <v/>
      </c>
      <c r="K416" t="str">
        <f ca="1">IFERROR(__xludf.DUMMYFUNCTION("""COMPUTED_VALUE"""),"")</f>
        <v/>
      </c>
      <c r="L416" t="str">
        <f ca="1">IFERROR(__xludf.DUMMYFUNCTION("""COMPUTED_VALUE"""),"")</f>
        <v/>
      </c>
      <c r="M416" t="str">
        <f ca="1">IFERROR(__xludf.DUMMYFUNCTION("""COMPUTED_VALUE"""),"99.Hors Périmetre")</f>
        <v>99.Hors Périmetre</v>
      </c>
      <c r="N416" t="str">
        <f ca="1">IFERROR(__xludf.DUMMYFUNCTION("""COMPUTED_VALUE"""),"")</f>
        <v/>
      </c>
      <c r="O416" t="str">
        <f ca="1">IFERROR(__xludf.DUMMYFUNCTION("""COMPUTED_VALUE"""),"")</f>
        <v/>
      </c>
      <c r="P416" t="str">
        <f ca="1">IFERROR(__xludf.DUMMYFUNCTION("""COMPUTED_VALUE"""),"")</f>
        <v/>
      </c>
      <c r="Q416" s="5" t="str">
        <f ca="1">IFERROR(__xludf.DUMMYFUNCTION("""COMPUTED_VALUE"""),"")</f>
        <v/>
      </c>
      <c r="R416" s="6" t="str">
        <f ca="1">IFERROR(__xludf.DUMMYFUNCTION("""COMPUTED_VALUE"""),"")</f>
        <v/>
      </c>
      <c r="S416" t="str">
        <f ca="1">IFERROR(__xludf.DUMMYFUNCTION("""COMPUTED_VALUE"""),"")</f>
        <v/>
      </c>
      <c r="T416" t="str">
        <f ca="1">IFERROR(__xludf.DUMMYFUNCTION("""COMPUTED_VALUE"""),"")</f>
        <v/>
      </c>
      <c r="U416" t="str">
        <f ca="1">IFERROR(__xludf.DUMMYFUNCTION("""COMPUTED_VALUE"""),"")</f>
        <v/>
      </c>
      <c r="V416" t="str">
        <f ca="1">IFERROR(__xludf.DUMMYFUNCTION("""COMPUTED_VALUE"""),"")</f>
        <v/>
      </c>
      <c r="W416" t="str">
        <f ca="1">IFERROR(__xludf.DUMMYFUNCTION("""COMPUTED_VALUE"""),"")</f>
        <v/>
      </c>
      <c r="X416" t="str">
        <f ca="1">IFERROR(__xludf.DUMMYFUNCTION("""COMPUTED_VALUE"""),"")</f>
        <v/>
      </c>
      <c r="Y416" t="str">
        <f ca="1">IFERROR(__xludf.DUMMYFUNCTION("""COMPUTED_VALUE"""),"")</f>
        <v/>
      </c>
      <c r="Z416" t="str">
        <f ca="1">IFERROR(__xludf.DUMMYFUNCTION("""COMPUTED_VALUE"""),"")</f>
        <v/>
      </c>
      <c r="AA416" t="str">
        <f ca="1">IFERROR(__xludf.DUMMYFUNCTION("""COMPUTED_VALUE"""),"Pas de commande")</f>
        <v>Pas de commande</v>
      </c>
      <c r="AB416" s="8" t="str">
        <f ca="1">IFERROR(__xludf.DUMMYFUNCTION("""COMPUTED_VALUE"""),"")</f>
        <v/>
      </c>
      <c r="AC416" s="8" t="str">
        <f ca="1">IFERROR(__xludf.DUMMYFUNCTION("""COMPUTED_VALUE"""),"")</f>
        <v/>
      </c>
      <c r="AD416" s="11" t="str">
        <f ca="1">IFERROR(__xludf.DUMMYFUNCTION("""COMPUTED_VALUE"""),"")</f>
        <v/>
      </c>
      <c r="AE416" t="str">
        <f ca="1">IFERROR(__xludf.DUMMYFUNCTION("""COMPUTED_VALUE"""),"")</f>
        <v/>
      </c>
    </row>
    <row r="417" spans="1:31" ht="12.75" x14ac:dyDescent="0.2">
      <c r="A417">
        <f ca="1">IFERROR(__xludf.DUMMYFUNCTION("""COMPUTED_VALUE"""),24944)</f>
        <v>24944</v>
      </c>
      <c r="B417" t="str">
        <f ca="1">IFERROR(__xludf.DUMMYFUNCTION("""COMPUTED_VALUE"""),"#N/A")</f>
        <v>#N/A</v>
      </c>
      <c r="C417" t="str">
        <f ca="1">IFERROR(__xludf.DUMMYFUNCTION("""COMPUTED_VALUE"""),"#N/A")</f>
        <v>#N/A</v>
      </c>
      <c r="D417" t="str">
        <f ca="1">IFERROR(__xludf.DUMMYFUNCTION("""COMPUTED_VALUE"""),"#N/A")</f>
        <v>#N/A</v>
      </c>
      <c r="E417" t="str">
        <f ca="1">IFERROR(__xludf.DUMMYFUNCTION("""COMPUTED_VALUE"""),"")</f>
        <v/>
      </c>
      <c r="F417" t="str">
        <f ca="1">IFERROR(__xludf.DUMMYFUNCTION("""COMPUTED_VALUE"""),"#N/A")</f>
        <v>#N/A</v>
      </c>
      <c r="G417" t="str">
        <f ca="1">IFERROR(__xludf.DUMMYFUNCTION("""COMPUTED_VALUE"""),"#N/A")</f>
        <v>#N/A</v>
      </c>
      <c r="H417" t="str">
        <f ca="1">IFERROR(__xludf.DUMMYFUNCTION("""COMPUTED_VALUE"""),"#N/A")</f>
        <v>#N/A</v>
      </c>
      <c r="I417" t="str">
        <f ca="1">IFERROR(__xludf.DUMMYFUNCTION("""COMPUTED_VALUE"""),"#N/A")</f>
        <v>#N/A</v>
      </c>
      <c r="J417" t="str">
        <f ca="1">IFERROR(__xludf.DUMMYFUNCTION("""COMPUTED_VALUE"""),"Gilles EVRARD")</f>
        <v>Gilles EVRARD</v>
      </c>
      <c r="K417" t="str">
        <f ca="1">IFERROR(__xludf.DUMMYFUNCTION("""COMPUTED_VALUE"""),"gilles.evrard@syrinxpan.fr")</f>
        <v>gilles.evrard@syrinxpan.fr</v>
      </c>
      <c r="L417" t="str">
        <f ca="1">IFERROR(__xludf.DUMMYFUNCTION("""COMPUTED_VALUE"""),"")</f>
        <v/>
      </c>
      <c r="M417" t="str">
        <f ca="1">IFERROR(__xludf.DUMMYFUNCTION("""COMPUTED_VALUE"""),"99.Hors Périmetre")</f>
        <v>99.Hors Périmetre</v>
      </c>
      <c r="N417" t="str">
        <f ca="1">IFERROR(__xludf.DUMMYFUNCTION("""COMPUTED_VALUE"""),"")</f>
        <v/>
      </c>
      <c r="O417" t="str">
        <f ca="1">IFERROR(__xludf.DUMMYFUNCTION("""COMPUTED_VALUE"""),"")</f>
        <v/>
      </c>
      <c r="P417" t="str">
        <f ca="1">IFERROR(__xludf.DUMMYFUNCTION("""COMPUTED_VALUE"""),"")</f>
        <v/>
      </c>
      <c r="Q417" s="5" t="str">
        <f ca="1">IFERROR(__xludf.DUMMYFUNCTION("""COMPUTED_VALUE"""),"")</f>
        <v/>
      </c>
      <c r="R417" s="6" t="str">
        <f ca="1">IFERROR(__xludf.DUMMYFUNCTION("""COMPUTED_VALUE"""),"")</f>
        <v/>
      </c>
      <c r="S417" t="str">
        <f ca="1">IFERROR(__xludf.DUMMYFUNCTION("""COMPUTED_VALUE"""),"")</f>
        <v/>
      </c>
      <c r="T417" t="str">
        <f ca="1">IFERROR(__xludf.DUMMYFUNCTION("""COMPUTED_VALUE"""),"")</f>
        <v/>
      </c>
      <c r="U417" t="str">
        <f ca="1">IFERROR(__xludf.DUMMYFUNCTION("""COMPUTED_VALUE"""),"")</f>
        <v/>
      </c>
      <c r="V417" t="str">
        <f ca="1">IFERROR(__xludf.DUMMYFUNCTION("""COMPUTED_VALUE"""),"")</f>
        <v/>
      </c>
      <c r="W417" t="str">
        <f ca="1">IFERROR(__xludf.DUMMYFUNCTION("""COMPUTED_VALUE"""),"")</f>
        <v/>
      </c>
      <c r="X417" t="str">
        <f ca="1">IFERROR(__xludf.DUMMYFUNCTION("""COMPUTED_VALUE"""),"")</f>
        <v/>
      </c>
      <c r="Y417" t="str">
        <f ca="1">IFERROR(__xludf.DUMMYFUNCTION("""COMPUTED_VALUE"""),"")</f>
        <v/>
      </c>
      <c r="Z417" t="str">
        <f ca="1">IFERROR(__xludf.DUMMYFUNCTION("""COMPUTED_VALUE"""),"")</f>
        <v/>
      </c>
      <c r="AA417" t="str">
        <f ca="1">IFERROR(__xludf.DUMMYFUNCTION("""COMPUTED_VALUE"""),"Pas de commande")</f>
        <v>Pas de commande</v>
      </c>
      <c r="AB417" s="8" t="str">
        <f ca="1">IFERROR(__xludf.DUMMYFUNCTION("""COMPUTED_VALUE"""),"")</f>
        <v/>
      </c>
      <c r="AC417" s="8" t="str">
        <f ca="1">IFERROR(__xludf.DUMMYFUNCTION("""COMPUTED_VALUE"""),"")</f>
        <v/>
      </c>
      <c r="AD417" s="11" t="str">
        <f ca="1">IFERROR(__xludf.DUMMYFUNCTION("""COMPUTED_VALUE"""),"")</f>
        <v/>
      </c>
      <c r="AE417" t="str">
        <f ca="1">IFERROR(__xludf.DUMMYFUNCTION("""COMPUTED_VALUE"""),"")</f>
        <v/>
      </c>
    </row>
    <row r="418" spans="1:31" ht="12.75" x14ac:dyDescent="0.2">
      <c r="A418">
        <f ca="1">IFERROR(__xludf.DUMMYFUNCTION("""COMPUTED_VALUE"""),32072)</f>
        <v>32072</v>
      </c>
      <c r="B418" t="str">
        <f ca="1">IFERROR(__xludf.DUMMYFUNCTION("""COMPUTED_VALUE"""),"LA COURONNE")</f>
        <v>LA COURONNE</v>
      </c>
      <c r="C418" t="str">
        <f ca="1">IFERROR(__xludf.DUMMYFUNCTION("""COMPUTED_VALUE"""),"Super U")</f>
        <v>Super U</v>
      </c>
      <c r="D418" t="str">
        <f ca="1">IFERROR(__xludf.DUMMYFUNCTION("""COMPUTED_VALUE"""),"Coop Atlantique")</f>
        <v>Coop Atlantique</v>
      </c>
      <c r="E418">
        <f ca="1">IFERROR(__xludf.DUMMYFUNCTION("""COMPUTED_VALUE"""),16400)</f>
        <v>16400</v>
      </c>
      <c r="F418" t="str">
        <f ca="1">IFERROR(__xludf.DUMMYFUNCTION("""COMPUTED_VALUE"""),"96 AVENUE DE LA GARE")</f>
        <v>96 AVENUE DE LA GARE</v>
      </c>
      <c r="G418" t="str">
        <f ca="1">IFERROR(__xludf.DUMMYFUNCTION("""COMPUTED_VALUE"""),"05.45.67.26.94")</f>
        <v>05.45.67.26.94</v>
      </c>
      <c r="H418" t="str">
        <f ca="1">IFERROR(__xludf.DUMMYFUNCTION("""COMPUTED_VALUE"""),"FLAMBARD Hervé")</f>
        <v>FLAMBARD Hervé</v>
      </c>
      <c r="I418" t="str">
        <f ca="1">IFERROR(__xludf.DUMMYFUNCTION("""COMPUTED_VALUE"""),"bertrand.defontaine_coop_su_uex@systeme-u.fr")</f>
        <v>bertrand.defontaine_coop_su_uex@systeme-u.fr</v>
      </c>
      <c r="J418" t="str">
        <f ca="1">IFERROR(__xludf.DUMMYFUNCTION("""COMPUTED_VALUE"""),"Nicolas MARCHESSEAU")</f>
        <v>Nicolas MARCHESSEAU</v>
      </c>
      <c r="K418" t="str">
        <f ca="1">IFERROR(__xludf.DUMMYFUNCTION("""COMPUTED_VALUE"""),"superu.lacouronne.direction@systeme-u.fr,nbrigant@coop-atlantique.fr,sjaud@coop-atlantique.fr,nmarchesseau@coop-atlantique.fr")</f>
        <v>superu.lacouronne.direction@systeme-u.fr,nbrigant@coop-atlantique.fr,sjaud@coop-atlantique.fr,nmarchesseau@coop-atlantique.fr</v>
      </c>
      <c r="L418" t="str">
        <f ca="1">IFERROR(__xludf.DUMMYFUNCTION("""COMPUTED_VALUE"""),"")</f>
        <v/>
      </c>
      <c r="M418" t="str">
        <f ca="1">IFERROR(__xludf.DUMMYFUNCTION("""COMPUTED_VALUE"""),"99.Hors Périmetre")</f>
        <v>99.Hors Périmetre</v>
      </c>
      <c r="N418" t="str">
        <f ca="1">IFERROR(__xludf.DUMMYFUNCTION("""COMPUTED_VALUE"""),"")</f>
        <v/>
      </c>
      <c r="O418" t="str">
        <f ca="1">IFERROR(__xludf.DUMMYFUNCTION("""COMPUTED_VALUE"""),"")</f>
        <v/>
      </c>
      <c r="P418" t="str">
        <f ca="1">IFERROR(__xludf.DUMMYFUNCTION("""COMPUTED_VALUE"""),"")</f>
        <v/>
      </c>
      <c r="Q418" s="5" t="str">
        <f ca="1">IFERROR(__xludf.DUMMYFUNCTION("""COMPUTED_VALUE"""),"")</f>
        <v/>
      </c>
      <c r="R418" s="6" t="str">
        <f ca="1">IFERROR(__xludf.DUMMYFUNCTION("""COMPUTED_VALUE"""),"")</f>
        <v/>
      </c>
      <c r="S418" t="str">
        <f ca="1">IFERROR(__xludf.DUMMYFUNCTION("""COMPUTED_VALUE"""),"")</f>
        <v/>
      </c>
      <c r="T418" t="str">
        <f ca="1">IFERROR(__xludf.DUMMYFUNCTION("""COMPUTED_VALUE"""),"")</f>
        <v/>
      </c>
      <c r="U418" t="str">
        <f ca="1">IFERROR(__xludf.DUMMYFUNCTION("""COMPUTED_VALUE"""),"")</f>
        <v/>
      </c>
      <c r="V418" t="str">
        <f ca="1">IFERROR(__xludf.DUMMYFUNCTION("""COMPUTED_VALUE"""),"")</f>
        <v/>
      </c>
      <c r="W418" t="str">
        <f ca="1">IFERROR(__xludf.DUMMYFUNCTION("""COMPUTED_VALUE"""),"")</f>
        <v/>
      </c>
      <c r="X418" t="str">
        <f ca="1">IFERROR(__xludf.DUMMYFUNCTION("""COMPUTED_VALUE"""),"")</f>
        <v/>
      </c>
      <c r="Y418" t="str">
        <f ca="1">IFERROR(__xludf.DUMMYFUNCTION("""COMPUTED_VALUE"""),"")</f>
        <v/>
      </c>
      <c r="Z418" t="str">
        <f ca="1">IFERROR(__xludf.DUMMYFUNCTION("""COMPUTED_VALUE"""),"")</f>
        <v/>
      </c>
      <c r="AA418" t="str">
        <f ca="1">IFERROR(__xludf.DUMMYFUNCTION("""COMPUTED_VALUE"""),"Pas de commande")</f>
        <v>Pas de commande</v>
      </c>
      <c r="AB418" s="8" t="str">
        <f ca="1">IFERROR(__xludf.DUMMYFUNCTION("""COMPUTED_VALUE"""),"")</f>
        <v/>
      </c>
      <c r="AC418" s="8" t="str">
        <f ca="1">IFERROR(__xludf.DUMMYFUNCTION("""COMPUTED_VALUE"""),"")</f>
        <v/>
      </c>
      <c r="AD418" s="11" t="str">
        <f ca="1">IFERROR(__xludf.DUMMYFUNCTION("""COMPUTED_VALUE"""),"")</f>
        <v/>
      </c>
      <c r="AE418" t="str">
        <f ca="1">IFERROR(__xludf.DUMMYFUNCTION("""COMPUTED_VALUE"""),"")</f>
        <v/>
      </c>
    </row>
    <row r="419" spans="1:31" ht="12.75" x14ac:dyDescent="0.2">
      <c r="A419">
        <f ca="1">IFERROR(__xludf.DUMMYFUNCTION("""COMPUTED_VALUE"""),90347)</f>
        <v>90347</v>
      </c>
      <c r="B419" t="str">
        <f ca="1">IFERROR(__xludf.DUMMYFUNCTION("""COMPUTED_VALUE"""),"LA FARE LES OLIVIERS")</f>
        <v>LA FARE LES OLIVIERS</v>
      </c>
      <c r="C419" t="str">
        <f ca="1">IFERROR(__xludf.DUMMYFUNCTION("""COMPUTED_VALUE"""),"Super U")</f>
        <v>Super U</v>
      </c>
      <c r="D419" t="str">
        <f ca="1">IFERROR(__xludf.DUMMYFUNCTION("""COMPUTED_VALUE"""),"Coop U Enseigne Sud")</f>
        <v>Coop U Enseigne Sud</v>
      </c>
      <c r="E419">
        <f ca="1">IFERROR(__xludf.DUMMYFUNCTION("""COMPUTED_VALUE"""),13580)</f>
        <v>13580</v>
      </c>
      <c r="F419" t="str">
        <f ca="1">IFERROR(__xludf.DUMMYFUNCTION("""COMPUTED_VALUE"""),"AVENUE DE MONTRICHER")</f>
        <v>AVENUE DE MONTRICHER</v>
      </c>
      <c r="G419" t="str">
        <f ca="1">IFERROR(__xludf.DUMMYFUNCTION("""COMPUTED_VALUE"""),"04.90.42.58.29")</f>
        <v>04.90.42.58.29</v>
      </c>
      <c r="H419" t="str">
        <f ca="1">IFERROR(__xludf.DUMMYFUNCTION("""COMPUTED_VALUE"""),"PIERRE Thierry")</f>
        <v>PIERRE Thierry</v>
      </c>
      <c r="I419" t="str">
        <f ca="1">IFERROR(__xludf.DUMMYFUNCTION("""COMPUTED_VALUE"""),"thierry.pierre@systeme-u.fr")</f>
        <v>thierry.pierre@systeme-u.fr</v>
      </c>
      <c r="J419" t="str">
        <f ca="1">IFERROR(__xludf.DUMMYFUNCTION("""COMPUTED_VALUE"""),"HARDY Céline
Cécilia (UPLV)")</f>
        <v>HARDY Céline
Cécilia (UPLV)</v>
      </c>
      <c r="K419" t="str">
        <f ca="1">IFERROR(__xludf.DUMMYFUNCTION("""COMPUTED_VALUE"""),"superu.lafarelesoliviers.compta@systeme-u.fr, superu.lafarelesoliviers@systeme-u.fr")</f>
        <v>superu.lafarelesoliviers.compta@systeme-u.fr, superu.lafarelesoliviers@systeme-u.fr</v>
      </c>
      <c r="L419" t="str">
        <f ca="1">IFERROR(__xludf.DUMMYFUNCTION("""COMPUTED_VALUE"""),"")</f>
        <v/>
      </c>
      <c r="M419" t="str">
        <f ca="1">IFERROR(__xludf.DUMMYFUNCTION("""COMPUTED_VALUE"""),"99.Hors Périmetre")</f>
        <v>99.Hors Périmetre</v>
      </c>
      <c r="N419" t="str">
        <f ca="1">IFERROR(__xludf.DUMMYFUNCTION("""COMPUTED_VALUE"""),"")</f>
        <v/>
      </c>
      <c r="O419" t="str">
        <f ca="1">IFERROR(__xludf.DUMMYFUNCTION("""COMPUTED_VALUE"""),"")</f>
        <v/>
      </c>
      <c r="P419" t="str">
        <f ca="1">IFERROR(__xludf.DUMMYFUNCTION("""COMPUTED_VALUE"""),"")</f>
        <v/>
      </c>
      <c r="Q419" s="5" t="str">
        <f ca="1">IFERROR(__xludf.DUMMYFUNCTION("""COMPUTED_VALUE"""),"")</f>
        <v/>
      </c>
      <c r="R419" s="6" t="str">
        <f ca="1">IFERROR(__xludf.DUMMYFUNCTION("""COMPUTED_VALUE"""),"")</f>
        <v/>
      </c>
      <c r="S419" t="str">
        <f ca="1">IFERROR(__xludf.DUMMYFUNCTION("""COMPUTED_VALUE"""),"")</f>
        <v/>
      </c>
      <c r="T419" t="str">
        <f ca="1">IFERROR(__xludf.DUMMYFUNCTION("""COMPUTED_VALUE"""),"")</f>
        <v/>
      </c>
      <c r="U419" t="str">
        <f ca="1">IFERROR(__xludf.DUMMYFUNCTION("""COMPUTED_VALUE"""),"")</f>
        <v/>
      </c>
      <c r="V419" t="str">
        <f ca="1">IFERROR(__xludf.DUMMYFUNCTION("""COMPUTED_VALUE"""),"")</f>
        <v/>
      </c>
      <c r="W419" t="str">
        <f ca="1">IFERROR(__xludf.DUMMYFUNCTION("""COMPUTED_VALUE"""),"")</f>
        <v/>
      </c>
      <c r="X419" t="str">
        <f ca="1">IFERROR(__xludf.DUMMYFUNCTION("""COMPUTED_VALUE"""),"")</f>
        <v/>
      </c>
      <c r="Y419" t="str">
        <f ca="1">IFERROR(__xludf.DUMMYFUNCTION("""COMPUTED_VALUE"""),"")</f>
        <v/>
      </c>
      <c r="Z419" t="str">
        <f ca="1">IFERROR(__xludf.DUMMYFUNCTION("""COMPUTED_VALUE"""),"")</f>
        <v/>
      </c>
      <c r="AA419" t="str">
        <f ca="1">IFERROR(__xludf.DUMMYFUNCTION("""COMPUTED_VALUE"""),"Pas de commande")</f>
        <v>Pas de commande</v>
      </c>
      <c r="AB419" s="8" t="str">
        <f ca="1">IFERROR(__xludf.DUMMYFUNCTION("""COMPUTED_VALUE"""),"")</f>
        <v/>
      </c>
      <c r="AC419" s="8" t="str">
        <f ca="1">IFERROR(__xludf.DUMMYFUNCTION("""COMPUTED_VALUE"""),"")</f>
        <v/>
      </c>
      <c r="AD419" s="11" t="str">
        <f ca="1">IFERROR(__xludf.DUMMYFUNCTION("""COMPUTED_VALUE"""),"")</f>
        <v/>
      </c>
      <c r="AE419" t="str">
        <f ca="1">IFERROR(__xludf.DUMMYFUNCTION("""COMPUTED_VALUE"""),"")</f>
        <v/>
      </c>
    </row>
    <row r="420" spans="1:31" ht="12.75" x14ac:dyDescent="0.2">
      <c r="A420">
        <f ca="1">IFERROR(__xludf.DUMMYFUNCTION("""COMPUTED_VALUE"""),23859)</f>
        <v>23859</v>
      </c>
      <c r="B420" t="str">
        <f ca="1">IFERROR(__xludf.DUMMYFUNCTION("""COMPUTED_VALUE"""),"LA FERTE GAUCHER")</f>
        <v>LA FERTE GAUCHER</v>
      </c>
      <c r="C420" t="str">
        <f ca="1">IFERROR(__xludf.DUMMYFUNCTION("""COMPUTED_VALUE"""),"Super U")</f>
        <v>Super U</v>
      </c>
      <c r="D420" t="str">
        <f ca="1">IFERROR(__xludf.DUMMYFUNCTION("""COMPUTED_VALUE"""),"Coop U Enseigne NordOuest")</f>
        <v>Coop U Enseigne NordOuest</v>
      </c>
      <c r="E420">
        <f ca="1">IFERROR(__xludf.DUMMYFUNCTION("""COMPUTED_VALUE"""),77320)</f>
        <v>77320</v>
      </c>
      <c r="F420" t="str">
        <f ca="1">IFERROR(__xludf.DUMMYFUNCTION("""COMPUTED_VALUE"""),"7 AVENUE DE LA MAISON BLANCHE")</f>
        <v>7 AVENUE DE LA MAISON BLANCHE</v>
      </c>
      <c r="G420" t="str">
        <f ca="1">IFERROR(__xludf.DUMMYFUNCTION("""COMPUTED_VALUE"""),"01.64.65.56.50")</f>
        <v>01.64.65.56.50</v>
      </c>
      <c r="H420" t="str">
        <f ca="1">IFERROR(__xludf.DUMMYFUNCTION("""COMPUTED_VALUE"""),"AUBE Denis")</f>
        <v>AUBE Denis</v>
      </c>
      <c r="I420" t="str">
        <f ca="1">IFERROR(__xludf.DUMMYFUNCTION("""COMPUTED_VALUE"""),"denis.aube@systeme-u.fr")</f>
        <v>denis.aube@systeme-u.fr</v>
      </c>
      <c r="J420" t="str">
        <f ca="1">IFERROR(__xludf.DUMMYFUNCTION("""COMPUTED_VALUE"""),"M. SORIN")</f>
        <v>M. SORIN</v>
      </c>
      <c r="K420" t="str">
        <f ca="1">IFERROR(__xludf.DUMMYFUNCTION("""COMPUTED_VALUE"""),"")</f>
        <v/>
      </c>
      <c r="L420" t="str">
        <f ca="1">IFERROR(__xludf.DUMMYFUNCTION("""COMPUTED_VALUE"""),"")</f>
        <v/>
      </c>
      <c r="M420" t="str">
        <f ca="1">IFERROR(__xludf.DUMMYFUNCTION("""COMPUTED_VALUE"""),"99.Hors Périmetre")</f>
        <v>99.Hors Périmetre</v>
      </c>
      <c r="N420" t="str">
        <f ca="1">IFERROR(__xludf.DUMMYFUNCTION("""COMPUTED_VALUE"""),"")</f>
        <v/>
      </c>
      <c r="O420" t="str">
        <f ca="1">IFERROR(__xludf.DUMMYFUNCTION("""COMPUTED_VALUE"""),"")</f>
        <v/>
      </c>
      <c r="P420" t="str">
        <f ca="1">IFERROR(__xludf.DUMMYFUNCTION("""COMPUTED_VALUE"""),"")</f>
        <v/>
      </c>
      <c r="Q420" s="5" t="str">
        <f ca="1">IFERROR(__xludf.DUMMYFUNCTION("""COMPUTED_VALUE"""),"")</f>
        <v/>
      </c>
      <c r="R420" s="6" t="str">
        <f ca="1">IFERROR(__xludf.DUMMYFUNCTION("""COMPUTED_VALUE"""),"")</f>
        <v/>
      </c>
      <c r="S420" t="str">
        <f ca="1">IFERROR(__xludf.DUMMYFUNCTION("""COMPUTED_VALUE"""),"")</f>
        <v/>
      </c>
      <c r="T420" t="str">
        <f ca="1">IFERROR(__xludf.DUMMYFUNCTION("""COMPUTED_VALUE"""),"")</f>
        <v/>
      </c>
      <c r="U420" t="str">
        <f ca="1">IFERROR(__xludf.DUMMYFUNCTION("""COMPUTED_VALUE"""),"")</f>
        <v/>
      </c>
      <c r="V420" t="str">
        <f ca="1">IFERROR(__xludf.DUMMYFUNCTION("""COMPUTED_VALUE"""),"")</f>
        <v/>
      </c>
      <c r="W420" t="str">
        <f ca="1">IFERROR(__xludf.DUMMYFUNCTION("""COMPUTED_VALUE"""),"")</f>
        <v/>
      </c>
      <c r="X420" t="str">
        <f ca="1">IFERROR(__xludf.DUMMYFUNCTION("""COMPUTED_VALUE"""),"")</f>
        <v/>
      </c>
      <c r="Y420" t="str">
        <f ca="1">IFERROR(__xludf.DUMMYFUNCTION("""COMPUTED_VALUE"""),"")</f>
        <v/>
      </c>
      <c r="Z420" t="str">
        <f ca="1">IFERROR(__xludf.DUMMYFUNCTION("""COMPUTED_VALUE"""),"")</f>
        <v/>
      </c>
      <c r="AA420" t="str">
        <f ca="1">IFERROR(__xludf.DUMMYFUNCTION("""COMPUTED_VALUE"""),"Pas de commande")</f>
        <v>Pas de commande</v>
      </c>
      <c r="AB420" s="8" t="str">
        <f ca="1">IFERROR(__xludf.DUMMYFUNCTION("""COMPUTED_VALUE"""),"")</f>
        <v/>
      </c>
      <c r="AC420" s="8" t="str">
        <f ca="1">IFERROR(__xludf.DUMMYFUNCTION("""COMPUTED_VALUE"""),"")</f>
        <v/>
      </c>
      <c r="AD420" s="11" t="str">
        <f ca="1">IFERROR(__xludf.DUMMYFUNCTION("""COMPUTED_VALUE"""),"")</f>
        <v/>
      </c>
      <c r="AE420" t="str">
        <f ca="1">IFERROR(__xludf.DUMMYFUNCTION("""COMPUTED_VALUE"""),"")</f>
        <v/>
      </c>
    </row>
    <row r="421" spans="1:31" ht="12.75" x14ac:dyDescent="0.2">
      <c r="A421">
        <f ca="1">IFERROR(__xludf.DUMMYFUNCTION("""COMPUTED_VALUE"""),23905)</f>
        <v>23905</v>
      </c>
      <c r="B421" t="str">
        <f ca="1">IFERROR(__xludf.DUMMYFUNCTION("""COMPUTED_VALUE"""),"LA FRETTE SUR SEINE")</f>
        <v>LA FRETTE SUR SEINE</v>
      </c>
      <c r="C421" t="str">
        <f ca="1">IFERROR(__xludf.DUMMYFUNCTION("""COMPUTED_VALUE"""),"U Express")</f>
        <v>U Express</v>
      </c>
      <c r="D421" t="str">
        <f ca="1">IFERROR(__xludf.DUMMYFUNCTION("""COMPUTED_VALUE"""),"Coop U Enseigne NordOuest")</f>
        <v>Coop U Enseigne NordOuest</v>
      </c>
      <c r="E421">
        <f ca="1">IFERROR(__xludf.DUMMYFUNCTION("""COMPUTED_VALUE"""),95530)</f>
        <v>95530</v>
      </c>
      <c r="F421" t="str">
        <f ca="1">IFERROR(__xludf.DUMMYFUNCTION("""COMPUTED_VALUE"""),"4 PLACE DE LA GARE")</f>
        <v>4 PLACE DE LA GARE</v>
      </c>
      <c r="G421" t="str">
        <f ca="1">IFERROR(__xludf.DUMMYFUNCTION("""COMPUTED_VALUE"""),"01.30.40.56.00")</f>
        <v>01.30.40.56.00</v>
      </c>
      <c r="H421" t="str">
        <f ca="1">IFERROR(__xludf.DUMMYFUNCTION("""COMPUTED_VALUE"""),"BOINNE Patrick")</f>
        <v>BOINNE Patrick</v>
      </c>
      <c r="I421" t="str">
        <f ca="1">IFERROR(__xludf.DUMMYFUNCTION("""COMPUTED_VALUE"""),"patrick.boinne@systeme-u.fr")</f>
        <v>patrick.boinne@systeme-u.fr</v>
      </c>
      <c r="J421" t="str">
        <f ca="1">IFERROR(__xludf.DUMMYFUNCTION("""COMPUTED_VALUE"""),"Mr Osterero")</f>
        <v>Mr Osterero</v>
      </c>
      <c r="K421" t="str">
        <f ca="1">IFERROR(__xludf.DUMMYFUNCTION("""COMPUTED_VALUE"""),"uexpress.lafrettesurseine@systeme-u.fr")</f>
        <v>uexpress.lafrettesurseine@systeme-u.fr</v>
      </c>
      <c r="L421" t="str">
        <f ca="1">IFERROR(__xludf.DUMMYFUNCTION("""COMPUTED_VALUE"""),"Standard")</f>
        <v>Standard</v>
      </c>
      <c r="M421" t="str">
        <f ca="1">IFERROR(__xludf.DUMMYFUNCTION("""COMPUTED_VALUE"""),"0. Non démarré")</f>
        <v>0. Non démarré</v>
      </c>
      <c r="N421" t="str">
        <f ca="1">IFERROR(__xludf.DUMMYFUNCTION("""COMPUTED_VALUE"""),"")</f>
        <v/>
      </c>
      <c r="O421" t="str">
        <f ca="1">IFERROR(__xludf.DUMMYFUNCTION("""COMPUTED_VALUE"""),"")</f>
        <v/>
      </c>
      <c r="P421" t="str">
        <f ca="1">IFERROR(__xludf.DUMMYFUNCTION("""COMPUTED_VALUE"""),"")</f>
        <v/>
      </c>
      <c r="Q421" s="5" t="str">
        <f ca="1">IFERROR(__xludf.DUMMYFUNCTION("""COMPUTED_VALUE"""),"")</f>
        <v/>
      </c>
      <c r="R421" s="6" t="str">
        <f ca="1">IFERROR(__xludf.DUMMYFUNCTION("""COMPUTED_VALUE"""),"")</f>
        <v/>
      </c>
      <c r="S421" t="str">
        <f ca="1">IFERROR(__xludf.DUMMYFUNCTION("""COMPUTED_VALUE"""),"")</f>
        <v/>
      </c>
      <c r="T421" t="str">
        <f ca="1">IFERROR(__xludf.DUMMYFUNCTION("""COMPUTED_VALUE"""),"")</f>
        <v/>
      </c>
      <c r="U421" t="str">
        <f ca="1">IFERROR(__xludf.DUMMYFUNCTION("""COMPUTED_VALUE"""),"")</f>
        <v/>
      </c>
      <c r="V421" t="str">
        <f ca="1">IFERROR(__xludf.DUMMYFUNCTION("""COMPUTED_VALUE"""),"")</f>
        <v/>
      </c>
      <c r="W421" t="str">
        <f ca="1">IFERROR(__xludf.DUMMYFUNCTION("""COMPUTED_VALUE"""),"R3")</f>
        <v>R3</v>
      </c>
      <c r="X421" t="str">
        <f ca="1">IFERROR(__xludf.DUMMYFUNCTION("""COMPUTED_VALUE"""),"Pricer")</f>
        <v>Pricer</v>
      </c>
      <c r="Y421" t="str">
        <f ca="1">IFERROR(__xludf.DUMMYFUNCTION("""COMPUTED_VALUE"""),"")</f>
        <v/>
      </c>
      <c r="Z421" t="str">
        <f ca="1">IFERROR(__xludf.DUMMYFUNCTION("""COMPUTED_VALUE"""),"")</f>
        <v/>
      </c>
      <c r="AA421" t="str">
        <f ca="1">IFERROR(__xludf.DUMMYFUNCTION("""COMPUTED_VALUE"""),"Pas de commande")</f>
        <v>Pas de commande</v>
      </c>
      <c r="AB421" s="8" t="str">
        <f ca="1">IFERROR(__xludf.DUMMYFUNCTION("""COMPUTED_VALUE"""),"")</f>
        <v/>
      </c>
      <c r="AC421" s="8" t="str">
        <f ca="1">IFERROR(__xludf.DUMMYFUNCTION("""COMPUTED_VALUE"""),"")</f>
        <v/>
      </c>
      <c r="AD421" s="11" t="str">
        <f ca="1">IFERROR(__xludf.DUMMYFUNCTION("""COMPUTED_VALUE"""),"")</f>
        <v/>
      </c>
      <c r="AE421" t="str">
        <f ca="1">IFERROR(__xludf.DUMMYFUNCTION("""COMPUTED_VALUE"""),"Ivanti en cours d'installation")</f>
        <v>Ivanti en cours d'installation</v>
      </c>
    </row>
    <row r="422" spans="1:31" ht="12.75" x14ac:dyDescent="0.2">
      <c r="A422">
        <f ca="1">IFERROR(__xludf.DUMMYFUNCTION("""COMPUTED_VALUE"""),38036)</f>
        <v>38036</v>
      </c>
      <c r="B422" t="str">
        <f ca="1">IFERROR(__xludf.DUMMYFUNCTION("""COMPUTED_VALUE"""),"LA GARNACHE")</f>
        <v>LA GARNACHE</v>
      </c>
      <c r="C422" t="str">
        <f ca="1">IFERROR(__xludf.DUMMYFUNCTION("""COMPUTED_VALUE"""),"U Express")</f>
        <v>U Express</v>
      </c>
      <c r="D422" t="str">
        <f ca="1">IFERROR(__xludf.DUMMYFUNCTION("""COMPUTED_VALUE"""),"Coop U Enseigne Ouest")</f>
        <v>Coop U Enseigne Ouest</v>
      </c>
      <c r="E422">
        <f ca="1">IFERROR(__xludf.DUMMYFUNCTION("""COMPUTED_VALUE"""),85710)</f>
        <v>85710</v>
      </c>
      <c r="F422" t="str">
        <f ca="1">IFERROR(__xludf.DUMMYFUNCTION("""COMPUTED_VALUE"""),"CENTRE COMMERCIAL")</f>
        <v>CENTRE COMMERCIAL</v>
      </c>
      <c r="G422" t="str">
        <f ca="1">IFERROR(__xludf.DUMMYFUNCTION("""COMPUTED_VALUE"""),"02.51.35.34.98")</f>
        <v>02.51.35.34.98</v>
      </c>
      <c r="H422" t="str">
        <f ca="1">IFERROR(__xludf.DUMMYFUNCTION("""COMPUTED_VALUE"""),"MICHAUD Nicolas")</f>
        <v>MICHAUD Nicolas</v>
      </c>
      <c r="I422" t="str">
        <f ca="1">IFERROR(__xludf.DUMMYFUNCTION("""COMPUTED_VALUE"""),"nicolas.michaud@systeme-u.fr")</f>
        <v>nicolas.michaud@systeme-u.fr</v>
      </c>
      <c r="J422" t="str">
        <f ca="1">IFERROR(__xludf.DUMMYFUNCTION("""COMPUTED_VALUE"""),"Mme Michaud")</f>
        <v>Mme Michaud</v>
      </c>
      <c r="K422" t="str">
        <f ca="1">IFERROR(__xludf.DUMMYFUNCTION("""COMPUTED_VALUE"""),"utile.lagarnache.compta@systeme-u.fr")</f>
        <v>utile.lagarnache.compta@systeme-u.fr</v>
      </c>
      <c r="L422" t="str">
        <f ca="1">IFERROR(__xludf.DUMMYFUNCTION("""COMPUTED_VALUE"""),"Standard")</f>
        <v>Standard</v>
      </c>
      <c r="M422" t="str">
        <f ca="1">IFERROR(__xludf.DUMMYFUNCTION("""COMPUTED_VALUE"""),"0. Non démarré")</f>
        <v>0. Non démarré</v>
      </c>
      <c r="N422" t="str">
        <f ca="1">IFERROR(__xludf.DUMMYFUNCTION("""COMPUTED_VALUE"""),"")</f>
        <v/>
      </c>
      <c r="O422" t="str">
        <f ca="1">IFERROR(__xludf.DUMMYFUNCTION("""COMPUTED_VALUE"""),"")</f>
        <v/>
      </c>
      <c r="P422" t="str">
        <f ca="1">IFERROR(__xludf.DUMMYFUNCTION("""COMPUTED_VALUE"""),"")</f>
        <v/>
      </c>
      <c r="Q422" s="5" t="str">
        <f ca="1">IFERROR(__xludf.DUMMYFUNCTION("""COMPUTED_VALUE"""),"")</f>
        <v/>
      </c>
      <c r="R422" s="6" t="str">
        <f ca="1">IFERROR(__xludf.DUMMYFUNCTION("""COMPUTED_VALUE"""),"")</f>
        <v/>
      </c>
      <c r="S422" t="str">
        <f ca="1">IFERROR(__xludf.DUMMYFUNCTION("""COMPUTED_VALUE"""),"")</f>
        <v/>
      </c>
      <c r="T422" t="str">
        <f ca="1">IFERROR(__xludf.DUMMYFUNCTION("""COMPUTED_VALUE"""),"")</f>
        <v/>
      </c>
      <c r="U422" t="str">
        <f ca="1">IFERROR(__xludf.DUMMYFUNCTION("""COMPUTED_VALUE"""),"")</f>
        <v/>
      </c>
      <c r="V422" t="str">
        <f ca="1">IFERROR(__xludf.DUMMYFUNCTION("""COMPUTED_VALUE"""),"")</f>
        <v/>
      </c>
      <c r="W422" t="str">
        <f ca="1">IFERROR(__xludf.DUMMYFUNCTION("""COMPUTED_VALUE"""),"R5")</f>
        <v>R5</v>
      </c>
      <c r="X422" t="str">
        <f ca="1">IFERROR(__xludf.DUMMYFUNCTION("""COMPUTED_VALUE"""),"Pricer")</f>
        <v>Pricer</v>
      </c>
      <c r="Y422" t="str">
        <f ca="1">IFERROR(__xludf.DUMMYFUNCTION("""COMPUTED_VALUE"""),"")</f>
        <v/>
      </c>
      <c r="Z422" t="str">
        <f ca="1">IFERROR(__xludf.DUMMYFUNCTION("""COMPUTED_VALUE"""),"")</f>
        <v/>
      </c>
      <c r="AA422" t="str">
        <f ca="1">IFERROR(__xludf.DUMMYFUNCTION("""COMPUTED_VALUE"""),"Pas de commande")</f>
        <v>Pas de commande</v>
      </c>
      <c r="AB422" s="8" t="str">
        <f ca="1">IFERROR(__xludf.DUMMYFUNCTION("""COMPUTED_VALUE"""),"")</f>
        <v/>
      </c>
      <c r="AC422" s="8" t="str">
        <f ca="1">IFERROR(__xludf.DUMMYFUNCTION("""COMPUTED_VALUE"""),"")</f>
        <v/>
      </c>
      <c r="AD422" s="11" t="str">
        <f ca="1">IFERROR(__xludf.DUMMYFUNCTION("""COMPUTED_VALUE"""),"")</f>
        <v/>
      </c>
      <c r="AE422" t="str">
        <f ca="1">IFERROR(__xludf.DUMMYFUNCTION("""COMPUTED_VALUE"""),"")</f>
        <v/>
      </c>
    </row>
    <row r="423" spans="1:31" ht="12.75" x14ac:dyDescent="0.2">
      <c r="A423">
        <f ca="1">IFERROR(__xludf.DUMMYFUNCTION("""COMPUTED_VALUE"""),90008)</f>
        <v>90008</v>
      </c>
      <c r="B423" t="str">
        <f ca="1">IFERROR(__xludf.DUMMYFUNCTION("""COMPUTED_VALUE"""),"LA GRANDE MOTTE")</f>
        <v>LA GRANDE MOTTE</v>
      </c>
      <c r="C423" t="str">
        <f ca="1">IFERROR(__xludf.DUMMYFUNCTION("""COMPUTED_VALUE"""),"Super U")</f>
        <v>Super U</v>
      </c>
      <c r="D423" t="str">
        <f ca="1">IFERROR(__xludf.DUMMYFUNCTION("""COMPUTED_VALUE"""),"Coop U Enseigne Sud")</f>
        <v>Coop U Enseigne Sud</v>
      </c>
      <c r="E423">
        <f ca="1">IFERROR(__xludf.DUMMYFUNCTION("""COMPUTED_VALUE"""),34280)</f>
        <v>34280</v>
      </c>
      <c r="F423" t="str">
        <f ca="1">IFERROR(__xludf.DUMMYFUNCTION("""COMPUTED_VALUE"""),"205 RUE DES ARTISANS")</f>
        <v>205 RUE DES ARTISANS</v>
      </c>
      <c r="G423" t="str">
        <f ca="1">IFERROR(__xludf.DUMMYFUNCTION("""COMPUTED_VALUE"""),"04.67.29.89.15")</f>
        <v>04.67.29.89.15</v>
      </c>
      <c r="H423" t="str">
        <f ca="1">IFERROR(__xludf.DUMMYFUNCTION("""COMPUTED_VALUE"""),"")</f>
        <v/>
      </c>
      <c r="I423" t="str">
        <f ca="1">IFERROR(__xludf.DUMMYFUNCTION("""COMPUTED_VALUE"""),"alexandre.allahham@systeme-u.fr")</f>
        <v>alexandre.allahham@systeme-u.fr</v>
      </c>
      <c r="J423" t="str">
        <f ca="1">IFERROR(__xludf.DUMMYFUNCTION("""COMPUTED_VALUE"""),"")</f>
        <v/>
      </c>
      <c r="K423" t="str">
        <f ca="1">IFERROR(__xludf.DUMMYFUNCTION("""COMPUTED_VALUE"""),"superu.lagrandemotte.direction@systeme-u.fr")</f>
        <v>superu.lagrandemotte.direction@systeme-u.fr</v>
      </c>
      <c r="L423" t="str">
        <f ca="1">IFERROR(__xludf.DUMMYFUNCTION("""COMPUTED_VALUE"""),"")</f>
        <v/>
      </c>
      <c r="M423" t="str">
        <f ca="1">IFERROR(__xludf.DUMMYFUNCTION("""COMPUTED_VALUE"""),"99.Hors Périmetre")</f>
        <v>99.Hors Périmetre</v>
      </c>
      <c r="N423" t="str">
        <f ca="1">IFERROR(__xludf.DUMMYFUNCTION("""COMPUTED_VALUE"""),"")</f>
        <v/>
      </c>
      <c r="O423" t="str">
        <f ca="1">IFERROR(__xludf.DUMMYFUNCTION("""COMPUTED_VALUE"""),"")</f>
        <v/>
      </c>
      <c r="P423" t="str">
        <f ca="1">IFERROR(__xludf.DUMMYFUNCTION("""COMPUTED_VALUE"""),"")</f>
        <v/>
      </c>
      <c r="Q423" s="5" t="str">
        <f ca="1">IFERROR(__xludf.DUMMYFUNCTION("""COMPUTED_VALUE"""),"")</f>
        <v/>
      </c>
      <c r="R423" s="6" t="str">
        <f ca="1">IFERROR(__xludf.DUMMYFUNCTION("""COMPUTED_VALUE"""),"")</f>
        <v/>
      </c>
      <c r="S423" t="str">
        <f ca="1">IFERROR(__xludf.DUMMYFUNCTION("""COMPUTED_VALUE"""),"")</f>
        <v/>
      </c>
      <c r="T423" t="str">
        <f ca="1">IFERROR(__xludf.DUMMYFUNCTION("""COMPUTED_VALUE"""),"")</f>
        <v/>
      </c>
      <c r="U423" t="str">
        <f ca="1">IFERROR(__xludf.DUMMYFUNCTION("""COMPUTED_VALUE"""),"")</f>
        <v/>
      </c>
      <c r="V423" t="str">
        <f ca="1">IFERROR(__xludf.DUMMYFUNCTION("""COMPUTED_VALUE"""),"")</f>
        <v/>
      </c>
      <c r="W423" t="str">
        <f ca="1">IFERROR(__xludf.DUMMYFUNCTION("""COMPUTED_VALUE"""),"")</f>
        <v/>
      </c>
      <c r="X423" t="str">
        <f ca="1">IFERROR(__xludf.DUMMYFUNCTION("""COMPUTED_VALUE"""),"")</f>
        <v/>
      </c>
      <c r="Y423" t="str">
        <f ca="1">IFERROR(__xludf.DUMMYFUNCTION("""COMPUTED_VALUE"""),"")</f>
        <v/>
      </c>
      <c r="Z423" t="str">
        <f ca="1">IFERROR(__xludf.DUMMYFUNCTION("""COMPUTED_VALUE"""),"")</f>
        <v/>
      </c>
      <c r="AA423" t="str">
        <f ca="1">IFERROR(__xludf.DUMMYFUNCTION("""COMPUTED_VALUE"""),"Pas de commande")</f>
        <v>Pas de commande</v>
      </c>
      <c r="AB423" s="8" t="str">
        <f ca="1">IFERROR(__xludf.DUMMYFUNCTION("""COMPUTED_VALUE"""),"")</f>
        <v/>
      </c>
      <c r="AC423" s="8" t="str">
        <f ca="1">IFERROR(__xludf.DUMMYFUNCTION("""COMPUTED_VALUE"""),"")</f>
        <v/>
      </c>
      <c r="AD423" s="11" t="str">
        <f ca="1">IFERROR(__xludf.DUMMYFUNCTION("""COMPUTED_VALUE"""),"")</f>
        <v/>
      </c>
      <c r="AE423" t="str">
        <f ca="1">IFERROR(__xludf.DUMMYFUNCTION("""COMPUTED_VALUE"""),"")</f>
        <v/>
      </c>
    </row>
    <row r="424" spans="1:31" ht="12.75" x14ac:dyDescent="0.2">
      <c r="A424">
        <f ca="1">IFERROR(__xludf.DUMMYFUNCTION("""COMPUTED_VALUE"""),35754)</f>
        <v>35754</v>
      </c>
      <c r="B424" t="str">
        <f ca="1">IFERROR(__xludf.DUMMYFUNCTION("""COMPUTED_VALUE"""),"LA GUERCHE-DE-BRETAGNE")</f>
        <v>LA GUERCHE-DE-BRETAGNE</v>
      </c>
      <c r="C424" t="str">
        <f ca="1">IFERROR(__xludf.DUMMYFUNCTION("""COMPUTED_VALUE"""),"Super U")</f>
        <v>Super U</v>
      </c>
      <c r="D424" t="str">
        <f ca="1">IFERROR(__xludf.DUMMYFUNCTION("""COMPUTED_VALUE"""),"Coop U Enseigne Ouest")</f>
        <v>Coop U Enseigne Ouest</v>
      </c>
      <c r="E424">
        <f ca="1">IFERROR(__xludf.DUMMYFUNCTION("""COMPUTED_VALUE"""),35130)</f>
        <v>35130</v>
      </c>
      <c r="F424" t="str">
        <f ca="1">IFERROR(__xludf.DUMMYFUNCTION("""COMPUTED_VALUE"""),"ROUTE DE NANTES")</f>
        <v>ROUTE DE NANTES</v>
      </c>
      <c r="G424" t="str">
        <f ca="1">IFERROR(__xludf.DUMMYFUNCTION("""COMPUTED_VALUE"""),"02.99.96.36.69")</f>
        <v>02.99.96.36.69</v>
      </c>
      <c r="H424" t="str">
        <f ca="1">IFERROR(__xludf.DUMMYFUNCTION("""COMPUTED_VALUE"""),"ROUSSEAU RPT SARL VALERO Emmanuelle")</f>
        <v>ROUSSEAU RPT SARL VALERO Emmanuelle</v>
      </c>
      <c r="I424" t="str">
        <f ca="1">IFERROR(__xludf.DUMMYFUNCTION("""COMPUTED_VALUE"""),"emmanuelle.rousseau-vallee@systeme-u.fr")</f>
        <v>emmanuelle.rousseau-vallee@systeme-u.fr</v>
      </c>
      <c r="J424" t="str">
        <f ca="1">IFERROR(__xludf.DUMMYFUNCTION("""COMPUTED_VALUE"""),"TROVALET Sophie")</f>
        <v>TROVALET Sophie</v>
      </c>
      <c r="K424" t="str">
        <f ca="1">IFERROR(__xludf.DUMMYFUNCTION("""COMPUTED_VALUE"""),"")</f>
        <v/>
      </c>
      <c r="L424" t="str">
        <f ca="1">IFERROR(__xludf.DUMMYFUNCTION("""COMPUTED_VALUE"""),"")</f>
        <v/>
      </c>
      <c r="M424" t="str">
        <f ca="1">IFERROR(__xludf.DUMMYFUNCTION("""COMPUTED_VALUE"""),"99.Hors Périmetre")</f>
        <v>99.Hors Périmetre</v>
      </c>
      <c r="N424" t="str">
        <f ca="1">IFERROR(__xludf.DUMMYFUNCTION("""COMPUTED_VALUE"""),"")</f>
        <v/>
      </c>
      <c r="O424" t="str">
        <f ca="1">IFERROR(__xludf.DUMMYFUNCTION("""COMPUTED_VALUE"""),"")</f>
        <v/>
      </c>
      <c r="P424" t="str">
        <f ca="1">IFERROR(__xludf.DUMMYFUNCTION("""COMPUTED_VALUE"""),"")</f>
        <v/>
      </c>
      <c r="Q424" s="5" t="str">
        <f ca="1">IFERROR(__xludf.DUMMYFUNCTION("""COMPUTED_VALUE"""),"")</f>
        <v/>
      </c>
      <c r="R424" s="6" t="str">
        <f ca="1">IFERROR(__xludf.DUMMYFUNCTION("""COMPUTED_VALUE"""),"")</f>
        <v/>
      </c>
      <c r="S424" t="str">
        <f ca="1">IFERROR(__xludf.DUMMYFUNCTION("""COMPUTED_VALUE"""),"")</f>
        <v/>
      </c>
      <c r="T424" t="str">
        <f ca="1">IFERROR(__xludf.DUMMYFUNCTION("""COMPUTED_VALUE"""),"")</f>
        <v/>
      </c>
      <c r="U424" t="str">
        <f ca="1">IFERROR(__xludf.DUMMYFUNCTION("""COMPUTED_VALUE"""),"")</f>
        <v/>
      </c>
      <c r="V424" t="str">
        <f ca="1">IFERROR(__xludf.DUMMYFUNCTION("""COMPUTED_VALUE"""),"")</f>
        <v/>
      </c>
      <c r="W424" t="str">
        <f ca="1">IFERROR(__xludf.DUMMYFUNCTION("""COMPUTED_VALUE"""),"")</f>
        <v/>
      </c>
      <c r="X424" t="str">
        <f ca="1">IFERROR(__xludf.DUMMYFUNCTION("""COMPUTED_VALUE"""),"")</f>
        <v/>
      </c>
      <c r="Y424" t="str">
        <f ca="1">IFERROR(__xludf.DUMMYFUNCTION("""COMPUTED_VALUE"""),"")</f>
        <v/>
      </c>
      <c r="Z424" t="str">
        <f ca="1">IFERROR(__xludf.DUMMYFUNCTION("""COMPUTED_VALUE"""),"")</f>
        <v/>
      </c>
      <c r="AA424" t="str">
        <f ca="1">IFERROR(__xludf.DUMMYFUNCTION("""COMPUTED_VALUE"""),"Pas de commande")</f>
        <v>Pas de commande</v>
      </c>
      <c r="AB424" s="8" t="str">
        <f ca="1">IFERROR(__xludf.DUMMYFUNCTION("""COMPUTED_VALUE"""),"")</f>
        <v/>
      </c>
      <c r="AC424" s="8" t="str">
        <f ca="1">IFERROR(__xludf.DUMMYFUNCTION("""COMPUTED_VALUE"""),"")</f>
        <v/>
      </c>
      <c r="AD424" s="11" t="str">
        <f ca="1">IFERROR(__xludf.DUMMYFUNCTION("""COMPUTED_VALUE"""),"")</f>
        <v/>
      </c>
      <c r="AE424" t="str">
        <f ca="1">IFERROR(__xludf.DUMMYFUNCTION("""COMPUTED_VALUE"""),"")</f>
        <v/>
      </c>
    </row>
    <row r="425" spans="1:31" ht="12.75" x14ac:dyDescent="0.2">
      <c r="A425">
        <f ca="1">IFERROR(__xludf.DUMMYFUNCTION("""COMPUTED_VALUE"""),22348)</f>
        <v>22348</v>
      </c>
      <c r="B425" t="str">
        <f ca="1">IFERROR(__xludf.DUMMYFUNCTION("""COMPUTED_VALUE"""),"LA HAYE PESNEL")</f>
        <v>LA HAYE PESNEL</v>
      </c>
      <c r="C425" t="str">
        <f ca="1">IFERROR(__xludf.DUMMYFUNCTION("""COMPUTED_VALUE"""),"U Express")</f>
        <v>U Express</v>
      </c>
      <c r="D425" t="str">
        <f ca="1">IFERROR(__xludf.DUMMYFUNCTION("""COMPUTED_VALUE"""),"Coop U Enseigne NordOuest")</f>
        <v>Coop U Enseigne NordOuest</v>
      </c>
      <c r="E425">
        <f ca="1">IFERROR(__xludf.DUMMYFUNCTION("""COMPUTED_VALUE"""),50320)</f>
        <v>50320</v>
      </c>
      <c r="F425" t="str">
        <f ca="1">IFERROR(__xludf.DUMMYFUNCTION("""COMPUTED_VALUE"""),"20 RUE DE LA LIBERATION")</f>
        <v>20 RUE DE LA LIBERATION</v>
      </c>
      <c r="G425" t="str">
        <f ca="1">IFERROR(__xludf.DUMMYFUNCTION("""COMPUTED_VALUE"""),"02.33.61.55.34")</f>
        <v>02.33.61.55.34</v>
      </c>
      <c r="H425" t="str">
        <f ca="1">IFERROR(__xludf.DUMMYFUNCTION("""COMPUTED_VALUE"""),"LEMOINE Patrick")</f>
        <v>LEMOINE Patrick</v>
      </c>
      <c r="I425" t="str">
        <f ca="1">IFERROR(__xludf.DUMMYFUNCTION("""COMPUTED_VALUE"""),"patrick.lemoine@systeme-u.fr")</f>
        <v>patrick.lemoine@systeme-u.fr</v>
      </c>
      <c r="J425" t="str">
        <f ca="1">IFERROR(__xludf.DUMMYFUNCTION("""COMPUTED_VALUE"""),"SEBIRE Michael")</f>
        <v>SEBIRE Michael</v>
      </c>
      <c r="K425" t="str">
        <f ca="1">IFERROR(__xludf.DUMMYFUNCTION("""COMPUTED_VALUE"""),"superu.lahayepesnel@systeme-u.fr")</f>
        <v>superu.lahayepesnel@systeme-u.fr</v>
      </c>
      <c r="L425" t="str">
        <f ca="1">IFERROR(__xludf.DUMMYFUNCTION("""COMPUTED_VALUE"""),"")</f>
        <v/>
      </c>
      <c r="M425" t="str">
        <f ca="1">IFERROR(__xludf.DUMMYFUNCTION("""COMPUTED_VALUE"""),"99.Hors Périmetre")</f>
        <v>99.Hors Périmetre</v>
      </c>
      <c r="N425" t="str">
        <f ca="1">IFERROR(__xludf.DUMMYFUNCTION("""COMPUTED_VALUE"""),"")</f>
        <v/>
      </c>
      <c r="O425" t="str">
        <f ca="1">IFERROR(__xludf.DUMMYFUNCTION("""COMPUTED_VALUE"""),"")</f>
        <v/>
      </c>
      <c r="P425" t="str">
        <f ca="1">IFERROR(__xludf.DUMMYFUNCTION("""COMPUTED_VALUE"""),"")</f>
        <v/>
      </c>
      <c r="Q425" s="5" t="str">
        <f ca="1">IFERROR(__xludf.DUMMYFUNCTION("""COMPUTED_VALUE"""),"")</f>
        <v/>
      </c>
      <c r="R425" s="6" t="str">
        <f ca="1">IFERROR(__xludf.DUMMYFUNCTION("""COMPUTED_VALUE"""),"")</f>
        <v/>
      </c>
      <c r="S425" t="str">
        <f ca="1">IFERROR(__xludf.DUMMYFUNCTION("""COMPUTED_VALUE"""),"")</f>
        <v/>
      </c>
      <c r="T425" t="str">
        <f ca="1">IFERROR(__xludf.DUMMYFUNCTION("""COMPUTED_VALUE"""),"")</f>
        <v/>
      </c>
      <c r="U425" t="str">
        <f ca="1">IFERROR(__xludf.DUMMYFUNCTION("""COMPUTED_VALUE"""),"")</f>
        <v/>
      </c>
      <c r="V425" t="str">
        <f ca="1">IFERROR(__xludf.DUMMYFUNCTION("""COMPUTED_VALUE"""),"")</f>
        <v/>
      </c>
      <c r="W425" t="str">
        <f ca="1">IFERROR(__xludf.DUMMYFUNCTION("""COMPUTED_VALUE"""),"")</f>
        <v/>
      </c>
      <c r="X425" t="str">
        <f ca="1">IFERROR(__xludf.DUMMYFUNCTION("""COMPUTED_VALUE"""),"")</f>
        <v/>
      </c>
      <c r="Y425" t="str">
        <f ca="1">IFERROR(__xludf.DUMMYFUNCTION("""COMPUTED_VALUE"""),"")</f>
        <v/>
      </c>
      <c r="Z425" t="str">
        <f ca="1">IFERROR(__xludf.DUMMYFUNCTION("""COMPUTED_VALUE"""),"")</f>
        <v/>
      </c>
      <c r="AA425" t="str">
        <f ca="1">IFERROR(__xludf.DUMMYFUNCTION("""COMPUTED_VALUE"""),"Pas de commande")</f>
        <v>Pas de commande</v>
      </c>
      <c r="AB425" s="8" t="str">
        <f ca="1">IFERROR(__xludf.DUMMYFUNCTION("""COMPUTED_VALUE"""),"")</f>
        <v/>
      </c>
      <c r="AC425" s="8" t="str">
        <f ca="1">IFERROR(__xludf.DUMMYFUNCTION("""COMPUTED_VALUE"""),"")</f>
        <v/>
      </c>
      <c r="AD425" s="11" t="str">
        <f ca="1">IFERROR(__xludf.DUMMYFUNCTION("""COMPUTED_VALUE"""),"")</f>
        <v/>
      </c>
      <c r="AE425" t="str">
        <f ca="1">IFERROR(__xludf.DUMMYFUNCTION("""COMPUTED_VALUE"""),"")</f>
        <v/>
      </c>
    </row>
    <row r="426" spans="1:31" ht="12.75" x14ac:dyDescent="0.2">
      <c r="A426">
        <f ca="1">IFERROR(__xludf.DUMMYFUNCTION("""COMPUTED_VALUE"""),32372)</f>
        <v>32372</v>
      </c>
      <c r="B426" t="str">
        <f ca="1">IFERROR(__xludf.DUMMYFUNCTION("""COMPUTED_VALUE"""),"LA MONTAGNE")</f>
        <v>LA MONTAGNE</v>
      </c>
      <c r="C426" t="str">
        <f ca="1">IFERROR(__xludf.DUMMYFUNCTION("""COMPUTED_VALUE"""),"Hyper U")</f>
        <v>Hyper U</v>
      </c>
      <c r="D426" t="str">
        <f ca="1">IFERROR(__xludf.DUMMYFUNCTION("""COMPUTED_VALUE"""),"Coop U Enseigne Ouest")</f>
        <v>Coop U Enseigne Ouest</v>
      </c>
      <c r="E426">
        <f ca="1">IFERROR(__xludf.DUMMYFUNCTION("""COMPUTED_VALUE"""),44620)</f>
        <v>44620</v>
      </c>
      <c r="F426" t="str">
        <f ca="1">IFERROR(__xludf.DUMMYFUNCTION("""COMPUTED_VALUE"""),"8 AVENUE DE LA LIBERATION")</f>
        <v>8 AVENUE DE LA LIBERATION</v>
      </c>
      <c r="G426" t="str">
        <f ca="1">IFERROR(__xludf.DUMMYFUNCTION("""COMPUTED_VALUE"""),"02.40.65.95.15")</f>
        <v>02.40.65.95.15</v>
      </c>
      <c r="H426" t="str">
        <f ca="1">IFERROR(__xludf.DUMMYFUNCTION("""COMPUTED_VALUE"""),"DURIEUX Philippe")</f>
        <v>DURIEUX Philippe</v>
      </c>
      <c r="I426" t="str">
        <f ca="1">IFERROR(__xludf.DUMMYFUNCTION("""COMPUTED_VALUE"""),"philippe.durieux@systeme-u.fr")</f>
        <v>philippe.durieux@systeme-u.fr</v>
      </c>
      <c r="J426" t="str">
        <f ca="1">IFERROR(__xludf.DUMMYFUNCTION("""COMPUTED_VALUE"""),"Mr Grazini (directeur)
Mme Lambourg (Ulis - UPLV)")</f>
        <v>Mr Grazini (directeur)
Mme Lambourg (Ulis - UPLV)</v>
      </c>
      <c r="K426" t="str">
        <f ca="1">IFERROR(__xludf.DUMMYFUNCTION("""COMPUTED_VALUE"""),"hyperu.lamontagne.gescom@systeme-u.fr, hyperu.lamontagne.direction@systeme-u.fr")</f>
        <v>hyperu.lamontagne.gescom@systeme-u.fr, hyperu.lamontagne.direction@systeme-u.fr</v>
      </c>
      <c r="L426" t="str">
        <f ca="1">IFERROR(__xludf.DUMMYFUNCTION("""COMPUTED_VALUE"""),"")</f>
        <v/>
      </c>
      <c r="M426" t="str">
        <f ca="1">IFERROR(__xludf.DUMMYFUNCTION("""COMPUTED_VALUE"""),"99.Hors Périmetre")</f>
        <v>99.Hors Périmetre</v>
      </c>
      <c r="N426" t="str">
        <f ca="1">IFERROR(__xludf.DUMMYFUNCTION("""COMPUTED_VALUE"""),"")</f>
        <v/>
      </c>
      <c r="O426" t="str">
        <f ca="1">IFERROR(__xludf.DUMMYFUNCTION("""COMPUTED_VALUE"""),"")</f>
        <v/>
      </c>
      <c r="P426" t="str">
        <f ca="1">IFERROR(__xludf.DUMMYFUNCTION("""COMPUTED_VALUE"""),"")</f>
        <v/>
      </c>
      <c r="Q426" s="5" t="str">
        <f ca="1">IFERROR(__xludf.DUMMYFUNCTION("""COMPUTED_VALUE"""),"")</f>
        <v/>
      </c>
      <c r="R426" s="6" t="str">
        <f ca="1">IFERROR(__xludf.DUMMYFUNCTION("""COMPUTED_VALUE"""),"")</f>
        <v/>
      </c>
      <c r="S426" t="str">
        <f ca="1">IFERROR(__xludf.DUMMYFUNCTION("""COMPUTED_VALUE"""),"")</f>
        <v/>
      </c>
      <c r="T426" t="str">
        <f ca="1">IFERROR(__xludf.DUMMYFUNCTION("""COMPUTED_VALUE"""),"")</f>
        <v/>
      </c>
      <c r="U426" t="str">
        <f ca="1">IFERROR(__xludf.DUMMYFUNCTION("""COMPUTED_VALUE"""),"")</f>
        <v/>
      </c>
      <c r="V426" t="str">
        <f ca="1">IFERROR(__xludf.DUMMYFUNCTION("""COMPUTED_VALUE"""),"")</f>
        <v/>
      </c>
      <c r="W426" t="str">
        <f ca="1">IFERROR(__xludf.DUMMYFUNCTION("""COMPUTED_VALUE"""),"")</f>
        <v/>
      </c>
      <c r="X426" t="str">
        <f ca="1">IFERROR(__xludf.DUMMYFUNCTION("""COMPUTED_VALUE"""),"")</f>
        <v/>
      </c>
      <c r="Y426" t="str">
        <f ca="1">IFERROR(__xludf.DUMMYFUNCTION("""COMPUTED_VALUE"""),"")</f>
        <v/>
      </c>
      <c r="Z426" t="str">
        <f ca="1">IFERROR(__xludf.DUMMYFUNCTION("""COMPUTED_VALUE"""),"")</f>
        <v/>
      </c>
      <c r="AA426" t="str">
        <f ca="1">IFERROR(__xludf.DUMMYFUNCTION("""COMPUTED_VALUE"""),"Pas de commande")</f>
        <v>Pas de commande</v>
      </c>
      <c r="AB426" s="8" t="str">
        <f ca="1">IFERROR(__xludf.DUMMYFUNCTION("""COMPUTED_VALUE"""),"")</f>
        <v/>
      </c>
      <c r="AC426" s="8" t="str">
        <f ca="1">IFERROR(__xludf.DUMMYFUNCTION("""COMPUTED_VALUE"""),"")</f>
        <v/>
      </c>
      <c r="AD426" s="11" t="str">
        <f ca="1">IFERROR(__xludf.DUMMYFUNCTION("""COMPUTED_VALUE"""),"")</f>
        <v/>
      </c>
      <c r="AE426" t="str">
        <f ca="1">IFERROR(__xludf.DUMMYFUNCTION("""COMPUTED_VALUE"""),"")</f>
        <v/>
      </c>
    </row>
    <row r="427" spans="1:31" ht="12.75" x14ac:dyDescent="0.2">
      <c r="A427">
        <f ca="1">IFERROR(__xludf.DUMMYFUNCTION("""COMPUTED_VALUE"""),39393)</f>
        <v>39393</v>
      </c>
      <c r="B427" t="str">
        <f ca="1">IFERROR(__xludf.DUMMYFUNCTION("""COMPUTED_VALUE"""),"LA MOTHE-ACHARD")</f>
        <v>LA MOTHE-ACHARD</v>
      </c>
      <c r="C427" t="str">
        <f ca="1">IFERROR(__xludf.DUMMYFUNCTION("""COMPUTED_VALUE"""),"Super U")</f>
        <v>Super U</v>
      </c>
      <c r="D427" t="str">
        <f ca="1">IFERROR(__xludf.DUMMYFUNCTION("""COMPUTED_VALUE"""),"Coop U Enseigne Ouest")</f>
        <v>Coop U Enseigne Ouest</v>
      </c>
      <c r="E427">
        <f ca="1">IFERROR(__xludf.DUMMYFUNCTION("""COMPUTED_VALUE"""),85150)</f>
        <v>85150</v>
      </c>
      <c r="F427" t="str">
        <f ca="1">IFERROR(__xludf.DUMMYFUNCTION("""COMPUTED_VALUE"""),"1 RUE DES BLES")</f>
        <v>1 RUE DES BLES</v>
      </c>
      <c r="G427" t="str">
        <f ca="1">IFERROR(__xludf.DUMMYFUNCTION("""COMPUTED_VALUE"""),"02.51.38.61.20")</f>
        <v>02.51.38.61.20</v>
      </c>
      <c r="H427" t="str">
        <f ca="1">IFERROR(__xludf.DUMMYFUNCTION("""COMPUTED_VALUE"""),"BRETAUDEAU Olivier")</f>
        <v>BRETAUDEAU Olivier</v>
      </c>
      <c r="I427" t="str">
        <f ca="1">IFERROR(__xludf.DUMMYFUNCTION("""COMPUTED_VALUE"""),"olivier.bretaudeau@systeme-u.fr")</f>
        <v>olivier.bretaudeau@systeme-u.fr</v>
      </c>
      <c r="J427" t="str">
        <f ca="1">IFERROR(__xludf.DUMMYFUNCTION("""COMPUTED_VALUE"""),"")</f>
        <v/>
      </c>
      <c r="K427" t="str">
        <f ca="1">IFERROR(__xludf.DUMMYFUNCTION("""COMPUTED_VALUE"""),"")</f>
        <v/>
      </c>
      <c r="L427" t="str">
        <f ca="1">IFERROR(__xludf.DUMMYFUNCTION("""COMPUTED_VALUE"""),"")</f>
        <v/>
      </c>
      <c r="M427" t="str">
        <f ca="1">IFERROR(__xludf.DUMMYFUNCTION("""COMPUTED_VALUE"""),"99.Hors Périmetre")</f>
        <v>99.Hors Périmetre</v>
      </c>
      <c r="N427" t="str">
        <f ca="1">IFERROR(__xludf.DUMMYFUNCTION("""COMPUTED_VALUE"""),"")</f>
        <v/>
      </c>
      <c r="O427" t="str">
        <f ca="1">IFERROR(__xludf.DUMMYFUNCTION("""COMPUTED_VALUE"""),"")</f>
        <v/>
      </c>
      <c r="P427" t="str">
        <f ca="1">IFERROR(__xludf.DUMMYFUNCTION("""COMPUTED_VALUE"""),"")</f>
        <v/>
      </c>
      <c r="Q427" s="5" t="str">
        <f ca="1">IFERROR(__xludf.DUMMYFUNCTION("""COMPUTED_VALUE"""),"")</f>
        <v/>
      </c>
      <c r="R427" s="6" t="str">
        <f ca="1">IFERROR(__xludf.DUMMYFUNCTION("""COMPUTED_VALUE"""),"")</f>
        <v/>
      </c>
      <c r="S427" t="str">
        <f ca="1">IFERROR(__xludf.DUMMYFUNCTION("""COMPUTED_VALUE"""),"")</f>
        <v/>
      </c>
      <c r="T427" t="str">
        <f ca="1">IFERROR(__xludf.DUMMYFUNCTION("""COMPUTED_VALUE"""),"")</f>
        <v/>
      </c>
      <c r="U427" t="str">
        <f ca="1">IFERROR(__xludf.DUMMYFUNCTION("""COMPUTED_VALUE"""),"")</f>
        <v/>
      </c>
      <c r="V427" t="str">
        <f ca="1">IFERROR(__xludf.DUMMYFUNCTION("""COMPUTED_VALUE"""),"")</f>
        <v/>
      </c>
      <c r="W427" t="str">
        <f ca="1">IFERROR(__xludf.DUMMYFUNCTION("""COMPUTED_VALUE"""),"")</f>
        <v/>
      </c>
      <c r="X427" t="str">
        <f ca="1">IFERROR(__xludf.DUMMYFUNCTION("""COMPUTED_VALUE"""),"")</f>
        <v/>
      </c>
      <c r="Y427" t="str">
        <f ca="1">IFERROR(__xludf.DUMMYFUNCTION("""COMPUTED_VALUE"""),"")</f>
        <v/>
      </c>
      <c r="Z427" t="str">
        <f ca="1">IFERROR(__xludf.DUMMYFUNCTION("""COMPUTED_VALUE"""),"")</f>
        <v/>
      </c>
      <c r="AA427" t="str">
        <f ca="1">IFERROR(__xludf.DUMMYFUNCTION("""COMPUTED_VALUE"""),"Pas de commande")</f>
        <v>Pas de commande</v>
      </c>
      <c r="AB427" s="8" t="str">
        <f ca="1">IFERROR(__xludf.DUMMYFUNCTION("""COMPUTED_VALUE"""),"")</f>
        <v/>
      </c>
      <c r="AC427" s="8" t="str">
        <f ca="1">IFERROR(__xludf.DUMMYFUNCTION("""COMPUTED_VALUE"""),"")</f>
        <v/>
      </c>
      <c r="AD427" s="11" t="str">
        <f ca="1">IFERROR(__xludf.DUMMYFUNCTION("""COMPUTED_VALUE"""),"")</f>
        <v/>
      </c>
      <c r="AE427" t="str">
        <f ca="1">IFERROR(__xludf.DUMMYFUNCTION("""COMPUTED_VALUE"""),"")</f>
        <v/>
      </c>
    </row>
    <row r="428" spans="1:31" ht="12.75" x14ac:dyDescent="0.2">
      <c r="A428">
        <f ca="1">IFERROR(__xludf.DUMMYFUNCTION("""COMPUTED_VALUE"""),66075)</f>
        <v>66075</v>
      </c>
      <c r="B428" t="str">
        <f ca="1">IFERROR(__xludf.DUMMYFUNCTION("""COMPUTED_VALUE"""),"LA MOTTE SERVOLEX")</f>
        <v>LA MOTTE SERVOLEX</v>
      </c>
      <c r="C428" t="str">
        <f ca="1">IFERROR(__xludf.DUMMYFUNCTION("""COMPUTED_VALUE"""),"Super U")</f>
        <v>Super U</v>
      </c>
      <c r="D428" t="str">
        <f ca="1">IFERROR(__xludf.DUMMYFUNCTION("""COMPUTED_VALUE"""),"Coop U Enseigne Est")</f>
        <v>Coop U Enseigne Est</v>
      </c>
      <c r="E428">
        <f ca="1">IFERROR(__xludf.DUMMYFUNCTION("""COMPUTED_VALUE"""),73290)</f>
        <v>73290</v>
      </c>
      <c r="F428" t="str">
        <f ca="1">IFERROR(__xludf.DUMMYFUNCTION("""COMPUTED_VALUE"""),"75 rue Lavoisier")</f>
        <v>75 rue Lavoisier</v>
      </c>
      <c r="G428" t="str">
        <f ca="1">IFERROR(__xludf.DUMMYFUNCTION("""COMPUTED_VALUE"""),"04.79.25.64.22")</f>
        <v>04.79.25.64.22</v>
      </c>
      <c r="H428" t="str">
        <f ca="1">IFERROR(__xludf.DUMMYFUNCTION("""COMPUTED_VALUE"""),"MOLLARD Xavier")</f>
        <v>MOLLARD Xavier</v>
      </c>
      <c r="I428" t="str">
        <f ca="1">IFERROR(__xludf.DUMMYFUNCTION("""COMPUTED_VALUE"""),"xavier.mollard@systeme-u.fr")</f>
        <v>xavier.mollard@systeme-u.fr</v>
      </c>
      <c r="J428" t="str">
        <f ca="1">IFERROR(__xludf.DUMMYFUNCTION("""COMPUTED_VALUE"""),"Balmefrezol Thierry")</f>
        <v>Balmefrezol Thierry</v>
      </c>
      <c r="K428" t="str">
        <f ca="1">IFERROR(__xludf.DUMMYFUNCTION("""COMPUTED_VALUE"""),"superu.lamotteservolex@systeme-u.fr")</f>
        <v>superu.lamotteservolex@systeme-u.fr</v>
      </c>
      <c r="L428" t="str">
        <f ca="1">IFERROR(__xludf.DUMMYFUNCTION("""COMPUTED_VALUE"""),"")</f>
        <v/>
      </c>
      <c r="M428" t="str">
        <f ca="1">IFERROR(__xludf.DUMMYFUNCTION("""COMPUTED_VALUE"""),"99.Hors Périmetre")</f>
        <v>99.Hors Périmetre</v>
      </c>
      <c r="N428" t="str">
        <f ca="1">IFERROR(__xludf.DUMMYFUNCTION("""COMPUTED_VALUE"""),"")</f>
        <v/>
      </c>
      <c r="O428" t="str">
        <f ca="1">IFERROR(__xludf.DUMMYFUNCTION("""COMPUTED_VALUE"""),"")</f>
        <v/>
      </c>
      <c r="P428" t="str">
        <f ca="1">IFERROR(__xludf.DUMMYFUNCTION("""COMPUTED_VALUE"""),"")</f>
        <v/>
      </c>
      <c r="Q428" s="5" t="str">
        <f ca="1">IFERROR(__xludf.DUMMYFUNCTION("""COMPUTED_VALUE"""),"")</f>
        <v/>
      </c>
      <c r="R428" s="6" t="str">
        <f ca="1">IFERROR(__xludf.DUMMYFUNCTION("""COMPUTED_VALUE"""),"")</f>
        <v/>
      </c>
      <c r="S428" t="str">
        <f ca="1">IFERROR(__xludf.DUMMYFUNCTION("""COMPUTED_VALUE"""),"")</f>
        <v/>
      </c>
      <c r="T428" t="str">
        <f ca="1">IFERROR(__xludf.DUMMYFUNCTION("""COMPUTED_VALUE"""),"")</f>
        <v/>
      </c>
      <c r="U428" t="str">
        <f ca="1">IFERROR(__xludf.DUMMYFUNCTION("""COMPUTED_VALUE"""),"")</f>
        <v/>
      </c>
      <c r="V428" t="str">
        <f ca="1">IFERROR(__xludf.DUMMYFUNCTION("""COMPUTED_VALUE"""),"")</f>
        <v/>
      </c>
      <c r="W428" t="str">
        <f ca="1">IFERROR(__xludf.DUMMYFUNCTION("""COMPUTED_VALUE"""),"")</f>
        <v/>
      </c>
      <c r="X428" t="str">
        <f ca="1">IFERROR(__xludf.DUMMYFUNCTION("""COMPUTED_VALUE"""),"")</f>
        <v/>
      </c>
      <c r="Y428" t="str">
        <f ca="1">IFERROR(__xludf.DUMMYFUNCTION("""COMPUTED_VALUE"""),"")</f>
        <v/>
      </c>
      <c r="Z428" t="str">
        <f ca="1">IFERROR(__xludf.DUMMYFUNCTION("""COMPUTED_VALUE"""),"")</f>
        <v/>
      </c>
      <c r="AA428" t="str">
        <f ca="1">IFERROR(__xludf.DUMMYFUNCTION("""COMPUTED_VALUE"""),"Pas de commande")</f>
        <v>Pas de commande</v>
      </c>
      <c r="AB428" s="8" t="str">
        <f ca="1">IFERROR(__xludf.DUMMYFUNCTION("""COMPUTED_VALUE"""),"")</f>
        <v/>
      </c>
      <c r="AC428" s="8" t="str">
        <f ca="1">IFERROR(__xludf.DUMMYFUNCTION("""COMPUTED_VALUE"""),"")</f>
        <v/>
      </c>
      <c r="AD428" s="11" t="str">
        <f ca="1">IFERROR(__xludf.DUMMYFUNCTION("""COMPUTED_VALUE"""),"")</f>
        <v/>
      </c>
      <c r="AE428" t="str">
        <f ca="1">IFERROR(__xludf.DUMMYFUNCTION("""COMPUTED_VALUE"""),"")</f>
        <v/>
      </c>
    </row>
    <row r="429" spans="1:31" ht="12.75" x14ac:dyDescent="0.2">
      <c r="A429">
        <f ca="1">IFERROR(__xludf.DUMMYFUNCTION("""COMPUTED_VALUE"""),66156)</f>
        <v>66156</v>
      </c>
      <c r="B429" t="str">
        <f ca="1">IFERROR(__xludf.DUMMYFUNCTION("""COMPUTED_VALUE"""),"LA MURE")</f>
        <v>LA MURE</v>
      </c>
      <c r="C429" t="str">
        <f ca="1">IFERROR(__xludf.DUMMYFUNCTION("""COMPUTED_VALUE"""),"Super U")</f>
        <v>Super U</v>
      </c>
      <c r="D429" t="str">
        <f ca="1">IFERROR(__xludf.DUMMYFUNCTION("""COMPUTED_VALUE"""),"Coop U Enseigne Est")</f>
        <v>Coop U Enseigne Est</v>
      </c>
      <c r="E429">
        <f ca="1">IFERROR(__xludf.DUMMYFUNCTION("""COMPUTED_VALUE"""),38350)</f>
        <v>38350</v>
      </c>
      <c r="F429" t="str">
        <f ca="1">IFERROR(__xludf.DUMMYFUNCTION("""COMPUTED_VALUE"""),"26 Avenue du Docteur Tagnard")</f>
        <v>26 Avenue du Docteur Tagnard</v>
      </c>
      <c r="G429" t="str">
        <f ca="1">IFERROR(__xludf.DUMMYFUNCTION("""COMPUTED_VALUE"""),"04.76.81.30.75")</f>
        <v>04.76.81.30.75</v>
      </c>
      <c r="H429" t="str">
        <f ca="1">IFERROR(__xludf.DUMMYFUNCTION("""COMPUTED_VALUE"""),"RABILLER Jean françois")</f>
        <v>RABILLER Jean françois</v>
      </c>
      <c r="I429" t="str">
        <f ca="1">IFERROR(__xludf.DUMMYFUNCTION("""COMPUTED_VALUE"""),"jean-francois.rabiller@systeme-u.fr")</f>
        <v>jean-francois.rabiller@systeme-u.fr</v>
      </c>
      <c r="J429" t="str">
        <f ca="1">IFERROR(__xludf.DUMMYFUNCTION("""COMPUTED_VALUE"""),"Mme. DUPUICH")</f>
        <v>Mme. DUPUICH</v>
      </c>
      <c r="K429" t="str">
        <f ca="1">IFERROR(__xludf.DUMMYFUNCTION("""COMPUTED_VALUE"""),"superu.lamure@systeme-u.fr")</f>
        <v>superu.lamure@systeme-u.fr</v>
      </c>
      <c r="L429" t="str">
        <f ca="1">IFERROR(__xludf.DUMMYFUNCTION("""COMPUTED_VALUE"""),"")</f>
        <v/>
      </c>
      <c r="M429" t="str">
        <f ca="1">IFERROR(__xludf.DUMMYFUNCTION("""COMPUTED_VALUE"""),"99.Hors Périmetre")</f>
        <v>99.Hors Périmetre</v>
      </c>
      <c r="N429" t="str">
        <f ca="1">IFERROR(__xludf.DUMMYFUNCTION("""COMPUTED_VALUE"""),"")</f>
        <v/>
      </c>
      <c r="O429" t="str">
        <f ca="1">IFERROR(__xludf.DUMMYFUNCTION("""COMPUTED_VALUE"""),"")</f>
        <v/>
      </c>
      <c r="P429" t="str">
        <f ca="1">IFERROR(__xludf.DUMMYFUNCTION("""COMPUTED_VALUE"""),"")</f>
        <v/>
      </c>
      <c r="Q429" s="5" t="str">
        <f ca="1">IFERROR(__xludf.DUMMYFUNCTION("""COMPUTED_VALUE"""),"")</f>
        <v/>
      </c>
      <c r="R429" s="6" t="str">
        <f ca="1">IFERROR(__xludf.DUMMYFUNCTION("""COMPUTED_VALUE"""),"")</f>
        <v/>
      </c>
      <c r="S429" t="str">
        <f ca="1">IFERROR(__xludf.DUMMYFUNCTION("""COMPUTED_VALUE"""),"")</f>
        <v/>
      </c>
      <c r="T429" t="str">
        <f ca="1">IFERROR(__xludf.DUMMYFUNCTION("""COMPUTED_VALUE"""),"")</f>
        <v/>
      </c>
      <c r="U429" t="str">
        <f ca="1">IFERROR(__xludf.DUMMYFUNCTION("""COMPUTED_VALUE"""),"")</f>
        <v/>
      </c>
      <c r="V429" t="str">
        <f ca="1">IFERROR(__xludf.DUMMYFUNCTION("""COMPUTED_VALUE"""),"")</f>
        <v/>
      </c>
      <c r="W429" t="str">
        <f ca="1">IFERROR(__xludf.DUMMYFUNCTION("""COMPUTED_VALUE"""),"")</f>
        <v/>
      </c>
      <c r="X429" t="str">
        <f ca="1">IFERROR(__xludf.DUMMYFUNCTION("""COMPUTED_VALUE"""),"")</f>
        <v/>
      </c>
      <c r="Y429" t="str">
        <f ca="1">IFERROR(__xludf.DUMMYFUNCTION("""COMPUTED_VALUE"""),"")</f>
        <v/>
      </c>
      <c r="Z429" t="str">
        <f ca="1">IFERROR(__xludf.DUMMYFUNCTION("""COMPUTED_VALUE"""),"")</f>
        <v/>
      </c>
      <c r="AA429" t="str">
        <f ca="1">IFERROR(__xludf.DUMMYFUNCTION("""COMPUTED_VALUE"""),"Pas de commande")</f>
        <v>Pas de commande</v>
      </c>
      <c r="AB429" s="8" t="str">
        <f ca="1">IFERROR(__xludf.DUMMYFUNCTION("""COMPUTED_VALUE"""),"")</f>
        <v/>
      </c>
      <c r="AC429" s="8" t="str">
        <f ca="1">IFERROR(__xludf.DUMMYFUNCTION("""COMPUTED_VALUE"""),"")</f>
        <v/>
      </c>
      <c r="AD429" s="11" t="str">
        <f ca="1">IFERROR(__xludf.DUMMYFUNCTION("""COMPUTED_VALUE"""),"")</f>
        <v/>
      </c>
      <c r="AE429" t="str">
        <f ca="1">IFERROR(__xludf.DUMMYFUNCTION("""COMPUTED_VALUE"""),"")</f>
        <v/>
      </c>
    </row>
    <row r="430" spans="1:31" ht="12.75" x14ac:dyDescent="0.2">
      <c r="A430">
        <f ca="1">IFERROR(__xludf.DUMMYFUNCTION("""COMPUTED_VALUE"""),38524)</f>
        <v>38524</v>
      </c>
      <c r="B430" t="str">
        <f ca="1">IFERROR(__xludf.DUMMYFUNCTION("""COMPUTED_VALUE"""),"LA POMMERAYE")</f>
        <v>LA POMMERAYE</v>
      </c>
      <c r="C430" t="str">
        <f ca="1">IFERROR(__xludf.DUMMYFUNCTION("""COMPUTED_VALUE"""),"Super U")</f>
        <v>Super U</v>
      </c>
      <c r="D430" t="str">
        <f ca="1">IFERROR(__xludf.DUMMYFUNCTION("""COMPUTED_VALUE"""),"Coop U Enseigne Ouest")</f>
        <v>Coop U Enseigne Ouest</v>
      </c>
      <c r="E430">
        <f ca="1">IFERROR(__xludf.DUMMYFUNCTION("""COMPUTED_VALUE"""),49620)</f>
        <v>49620</v>
      </c>
      <c r="F430" t="str">
        <f ca="1">IFERROR(__xludf.DUMMYFUNCTION("""COMPUTED_VALUE"""),"ROUTE DE BOURGNEUF")</f>
        <v>ROUTE DE BOURGNEUF</v>
      </c>
      <c r="G430" t="str">
        <f ca="1">IFERROR(__xludf.DUMMYFUNCTION("""COMPUTED_VALUE"""),"02.41.72.17.20")</f>
        <v>02.41.72.17.20</v>
      </c>
      <c r="H430" t="str">
        <f ca="1">IFERROR(__xludf.DUMMYFUNCTION("""COMPUTED_VALUE"""),"LOISEAU RPT SARL J.P.F. Jacky")</f>
        <v>LOISEAU RPT SARL J.P.F. Jacky</v>
      </c>
      <c r="I430" t="str">
        <f ca="1">IFERROR(__xludf.DUMMYFUNCTION("""COMPUTED_VALUE"""),"jacky.loiseau@systeme-u.fr")</f>
        <v>jacky.loiseau@systeme-u.fr</v>
      </c>
      <c r="J430" t="str">
        <f ca="1">IFERROR(__xludf.DUMMYFUNCTION("""COMPUTED_VALUE"""),"TRIGANE Manuel")</f>
        <v>TRIGANE Manuel</v>
      </c>
      <c r="K430" t="str">
        <f ca="1">IFERROR(__xludf.DUMMYFUNCTION("""COMPUTED_VALUE"""),"superu.lapommeraye@systeme-u.fr")</f>
        <v>superu.lapommeraye@systeme-u.fr</v>
      </c>
      <c r="L430" t="str">
        <f ca="1">IFERROR(__xludf.DUMMYFUNCTION("""COMPUTED_VALUE"""),"")</f>
        <v/>
      </c>
      <c r="M430" t="str">
        <f ca="1">IFERROR(__xludf.DUMMYFUNCTION("""COMPUTED_VALUE"""),"99.Hors Périmetre")</f>
        <v>99.Hors Périmetre</v>
      </c>
      <c r="N430" t="str">
        <f ca="1">IFERROR(__xludf.DUMMYFUNCTION("""COMPUTED_VALUE"""),"")</f>
        <v/>
      </c>
      <c r="O430" t="str">
        <f ca="1">IFERROR(__xludf.DUMMYFUNCTION("""COMPUTED_VALUE"""),"")</f>
        <v/>
      </c>
      <c r="P430" t="str">
        <f ca="1">IFERROR(__xludf.DUMMYFUNCTION("""COMPUTED_VALUE"""),"")</f>
        <v/>
      </c>
      <c r="Q430" s="5" t="str">
        <f ca="1">IFERROR(__xludf.DUMMYFUNCTION("""COMPUTED_VALUE"""),"")</f>
        <v/>
      </c>
      <c r="R430" s="6" t="str">
        <f ca="1">IFERROR(__xludf.DUMMYFUNCTION("""COMPUTED_VALUE"""),"")</f>
        <v/>
      </c>
      <c r="S430" t="str">
        <f ca="1">IFERROR(__xludf.DUMMYFUNCTION("""COMPUTED_VALUE"""),"")</f>
        <v/>
      </c>
      <c r="T430" t="str">
        <f ca="1">IFERROR(__xludf.DUMMYFUNCTION("""COMPUTED_VALUE"""),"")</f>
        <v/>
      </c>
      <c r="U430" t="str">
        <f ca="1">IFERROR(__xludf.DUMMYFUNCTION("""COMPUTED_VALUE"""),"")</f>
        <v/>
      </c>
      <c r="V430" t="str">
        <f ca="1">IFERROR(__xludf.DUMMYFUNCTION("""COMPUTED_VALUE"""),"")</f>
        <v/>
      </c>
      <c r="W430" t="str">
        <f ca="1">IFERROR(__xludf.DUMMYFUNCTION("""COMPUTED_VALUE"""),"")</f>
        <v/>
      </c>
      <c r="X430" t="str">
        <f ca="1">IFERROR(__xludf.DUMMYFUNCTION("""COMPUTED_VALUE"""),"")</f>
        <v/>
      </c>
      <c r="Y430" t="str">
        <f ca="1">IFERROR(__xludf.DUMMYFUNCTION("""COMPUTED_VALUE"""),"")</f>
        <v/>
      </c>
      <c r="Z430" t="str">
        <f ca="1">IFERROR(__xludf.DUMMYFUNCTION("""COMPUTED_VALUE"""),"")</f>
        <v/>
      </c>
      <c r="AA430" t="str">
        <f ca="1">IFERROR(__xludf.DUMMYFUNCTION("""COMPUTED_VALUE"""),"Pas de commande")</f>
        <v>Pas de commande</v>
      </c>
      <c r="AB430" s="8" t="str">
        <f ca="1">IFERROR(__xludf.DUMMYFUNCTION("""COMPUTED_VALUE"""),"")</f>
        <v/>
      </c>
      <c r="AC430" s="8" t="str">
        <f ca="1">IFERROR(__xludf.DUMMYFUNCTION("""COMPUTED_VALUE"""),"")</f>
        <v/>
      </c>
      <c r="AD430" s="11" t="str">
        <f ca="1">IFERROR(__xludf.DUMMYFUNCTION("""COMPUTED_VALUE"""),"")</f>
        <v/>
      </c>
      <c r="AE430" t="str">
        <f ca="1">IFERROR(__xludf.DUMMYFUNCTION("""COMPUTED_VALUE"""),"")</f>
        <v/>
      </c>
    </row>
    <row r="431" spans="1:31" ht="12.75" x14ac:dyDescent="0.2">
      <c r="A431">
        <f ca="1">IFERROR(__xludf.DUMMYFUNCTION("""COMPUTED_VALUE"""),66072)</f>
        <v>66072</v>
      </c>
      <c r="B431" t="str">
        <f ca="1">IFERROR(__xludf.DUMMYFUNCTION("""COMPUTED_VALUE"""),"LA RAVOIRE")</f>
        <v>LA RAVOIRE</v>
      </c>
      <c r="C431" t="str">
        <f ca="1">IFERROR(__xludf.DUMMYFUNCTION("""COMPUTED_VALUE"""),"Super U")</f>
        <v>Super U</v>
      </c>
      <c r="D431" t="str">
        <f ca="1">IFERROR(__xludf.DUMMYFUNCTION("""COMPUTED_VALUE"""),"Coop U Enseigne Est")</f>
        <v>Coop U Enseigne Est</v>
      </c>
      <c r="E431">
        <f ca="1">IFERROR(__xludf.DUMMYFUNCTION("""COMPUTED_VALUE"""),73490)</f>
        <v>73490</v>
      </c>
      <c r="F431" t="str">
        <f ca="1">IFERROR(__xludf.DUMMYFUNCTION("""COMPUTED_VALUE"""),"Rue du pré Renaud")</f>
        <v>Rue du pré Renaud</v>
      </c>
      <c r="G431" t="str">
        <f ca="1">IFERROR(__xludf.DUMMYFUNCTION("""COMPUTED_VALUE"""),"04.79.72.84.99")</f>
        <v>04.79.72.84.99</v>
      </c>
      <c r="H431" t="str">
        <f ca="1">IFERROR(__xludf.DUMMYFUNCTION("""COMPUTED_VALUE"""),"GEOFFROY Eric")</f>
        <v>GEOFFROY Eric</v>
      </c>
      <c r="I431" t="str">
        <f ca="1">IFERROR(__xludf.DUMMYFUNCTION("""COMPUTED_VALUE"""),"eric.geoffroy@systeme-u.fr")</f>
        <v>eric.geoffroy@systeme-u.fr</v>
      </c>
      <c r="J431" t="str">
        <f ca="1">IFERROR(__xludf.DUMMYFUNCTION("""COMPUTED_VALUE"""),"VACHER Jean-Luc")</f>
        <v>VACHER Jean-Luc</v>
      </c>
      <c r="K431" t="str">
        <f ca="1">IFERROR(__xludf.DUMMYFUNCTION("""COMPUTED_VALUE"""),"superu.laravoire.direction@systeme-u.fr")</f>
        <v>superu.laravoire.direction@systeme-u.fr</v>
      </c>
      <c r="L431" t="str">
        <f ca="1">IFERROR(__xludf.DUMMYFUNCTION("""COMPUTED_VALUE"""),"")</f>
        <v/>
      </c>
      <c r="M431" t="str">
        <f ca="1">IFERROR(__xludf.DUMMYFUNCTION("""COMPUTED_VALUE"""),"99.Hors Périmetre")</f>
        <v>99.Hors Périmetre</v>
      </c>
      <c r="N431" t="str">
        <f ca="1">IFERROR(__xludf.DUMMYFUNCTION("""COMPUTED_VALUE"""),"")</f>
        <v/>
      </c>
      <c r="O431" t="str">
        <f ca="1">IFERROR(__xludf.DUMMYFUNCTION("""COMPUTED_VALUE"""),"")</f>
        <v/>
      </c>
      <c r="P431" t="str">
        <f ca="1">IFERROR(__xludf.DUMMYFUNCTION("""COMPUTED_VALUE"""),"")</f>
        <v/>
      </c>
      <c r="Q431" s="5" t="str">
        <f ca="1">IFERROR(__xludf.DUMMYFUNCTION("""COMPUTED_VALUE"""),"")</f>
        <v/>
      </c>
      <c r="R431" s="6" t="str">
        <f ca="1">IFERROR(__xludf.DUMMYFUNCTION("""COMPUTED_VALUE"""),"")</f>
        <v/>
      </c>
      <c r="S431" t="str">
        <f ca="1">IFERROR(__xludf.DUMMYFUNCTION("""COMPUTED_VALUE"""),"")</f>
        <v/>
      </c>
      <c r="T431" t="str">
        <f ca="1">IFERROR(__xludf.DUMMYFUNCTION("""COMPUTED_VALUE"""),"")</f>
        <v/>
      </c>
      <c r="U431" t="str">
        <f ca="1">IFERROR(__xludf.DUMMYFUNCTION("""COMPUTED_VALUE"""),"")</f>
        <v/>
      </c>
      <c r="V431" t="str">
        <f ca="1">IFERROR(__xludf.DUMMYFUNCTION("""COMPUTED_VALUE"""),"")</f>
        <v/>
      </c>
      <c r="W431" t="str">
        <f ca="1">IFERROR(__xludf.DUMMYFUNCTION("""COMPUTED_VALUE"""),"")</f>
        <v/>
      </c>
      <c r="X431" t="str">
        <f ca="1">IFERROR(__xludf.DUMMYFUNCTION("""COMPUTED_VALUE"""),"")</f>
        <v/>
      </c>
      <c r="Y431" t="str">
        <f ca="1">IFERROR(__xludf.DUMMYFUNCTION("""COMPUTED_VALUE"""),"")</f>
        <v/>
      </c>
      <c r="Z431" t="str">
        <f ca="1">IFERROR(__xludf.DUMMYFUNCTION("""COMPUTED_VALUE"""),"")</f>
        <v/>
      </c>
      <c r="AA431" t="str">
        <f ca="1">IFERROR(__xludf.DUMMYFUNCTION("""COMPUTED_VALUE"""),"Pas de commande")</f>
        <v>Pas de commande</v>
      </c>
      <c r="AB431" s="8" t="str">
        <f ca="1">IFERROR(__xludf.DUMMYFUNCTION("""COMPUTED_VALUE"""),"")</f>
        <v/>
      </c>
      <c r="AC431" s="8" t="str">
        <f ca="1">IFERROR(__xludf.DUMMYFUNCTION("""COMPUTED_VALUE"""),"")</f>
        <v/>
      </c>
      <c r="AD431" s="11" t="str">
        <f ca="1">IFERROR(__xludf.DUMMYFUNCTION("""COMPUTED_VALUE"""),"")</f>
        <v/>
      </c>
      <c r="AE431" t="str">
        <f ca="1">IFERROR(__xludf.DUMMYFUNCTION("""COMPUTED_VALUE"""),"")</f>
        <v/>
      </c>
    </row>
    <row r="432" spans="1:31" ht="12.75" x14ac:dyDescent="0.2">
      <c r="A432">
        <f ca="1">IFERROR(__xludf.DUMMYFUNCTION("""COMPUTED_VALUE"""),37005)</f>
        <v>37005</v>
      </c>
      <c r="B432" t="str">
        <f ca="1">IFERROR(__xludf.DUMMYFUNCTION("""COMPUTED_VALUE"""),"LA RICHE")</f>
        <v>LA RICHE</v>
      </c>
      <c r="C432" t="str">
        <f ca="1">IFERROR(__xludf.DUMMYFUNCTION("""COMPUTED_VALUE"""),"Super U")</f>
        <v>Super U</v>
      </c>
      <c r="D432" t="str">
        <f ca="1">IFERROR(__xludf.DUMMYFUNCTION("""COMPUTED_VALUE"""),"Coop U Enseigne Ouest")</f>
        <v>Coop U Enseigne Ouest</v>
      </c>
      <c r="E432">
        <f ca="1">IFERROR(__xludf.DUMMYFUNCTION("""COMPUTED_VALUE"""),37520)</f>
        <v>37520</v>
      </c>
      <c r="F432" t="str">
        <f ca="1">IFERROR(__xludf.DUMMYFUNCTION("""COMPUTED_VALUE"""),"42 RUE DES HAUTES MARCHES")</f>
        <v>42 RUE DES HAUTES MARCHES</v>
      </c>
      <c r="G432" t="str">
        <f ca="1">IFERROR(__xludf.DUMMYFUNCTION("""COMPUTED_VALUE"""),"02.47.37.49.69")</f>
        <v>02.47.37.49.69</v>
      </c>
      <c r="H432" t="str">
        <f ca="1">IFERROR(__xludf.DUMMYFUNCTION("""COMPUTED_VALUE"""),"DEVAULX DE CHAMBORD RPT MARTHU Hugues")</f>
        <v>DEVAULX DE CHAMBORD RPT MARTHU Hugues</v>
      </c>
      <c r="I432" t="str">
        <f ca="1">IFERROR(__xludf.DUMMYFUNCTION("""COMPUTED_VALUE"""),"hugues.devaulx@systeme-u.fr")</f>
        <v>hugues.devaulx@systeme-u.fr</v>
      </c>
      <c r="J432" t="str">
        <f ca="1">IFERROR(__xludf.DUMMYFUNCTION("""COMPUTED_VALUE"""),"DUVERGER Frank
Mme Leclerc (UPLV)")</f>
        <v>DUVERGER Frank
Mme Leclerc (UPLV)</v>
      </c>
      <c r="K432" t="str">
        <f ca="1">IFERROR(__xludf.DUMMYFUNCTION("""COMPUTED_VALUE"""),"superu.lariche.direction@systeme-u.fr")</f>
        <v>superu.lariche.direction@systeme-u.fr</v>
      </c>
      <c r="L432" t="str">
        <f ca="1">IFERROR(__xludf.DUMMYFUNCTION("""COMPUTED_VALUE"""),"")</f>
        <v/>
      </c>
      <c r="M432" t="str">
        <f ca="1">IFERROR(__xludf.DUMMYFUNCTION("""COMPUTED_VALUE"""),"99.Hors Périmetre")</f>
        <v>99.Hors Périmetre</v>
      </c>
      <c r="N432" t="str">
        <f ca="1">IFERROR(__xludf.DUMMYFUNCTION("""COMPUTED_VALUE"""),"")</f>
        <v/>
      </c>
      <c r="O432" t="str">
        <f ca="1">IFERROR(__xludf.DUMMYFUNCTION("""COMPUTED_VALUE"""),"")</f>
        <v/>
      </c>
      <c r="P432" t="str">
        <f ca="1">IFERROR(__xludf.DUMMYFUNCTION("""COMPUTED_VALUE"""),"")</f>
        <v/>
      </c>
      <c r="Q432" s="5" t="str">
        <f ca="1">IFERROR(__xludf.DUMMYFUNCTION("""COMPUTED_VALUE"""),"")</f>
        <v/>
      </c>
      <c r="R432" s="6" t="str">
        <f ca="1">IFERROR(__xludf.DUMMYFUNCTION("""COMPUTED_VALUE"""),"")</f>
        <v/>
      </c>
      <c r="S432" t="str">
        <f ca="1">IFERROR(__xludf.DUMMYFUNCTION("""COMPUTED_VALUE"""),"")</f>
        <v/>
      </c>
      <c r="T432" t="str">
        <f ca="1">IFERROR(__xludf.DUMMYFUNCTION("""COMPUTED_VALUE"""),"")</f>
        <v/>
      </c>
      <c r="U432" t="str">
        <f ca="1">IFERROR(__xludf.DUMMYFUNCTION("""COMPUTED_VALUE"""),"")</f>
        <v/>
      </c>
      <c r="V432" t="str">
        <f ca="1">IFERROR(__xludf.DUMMYFUNCTION("""COMPUTED_VALUE"""),"")</f>
        <v/>
      </c>
      <c r="W432" t="str">
        <f ca="1">IFERROR(__xludf.DUMMYFUNCTION("""COMPUTED_VALUE"""),"")</f>
        <v/>
      </c>
      <c r="X432" t="str">
        <f ca="1">IFERROR(__xludf.DUMMYFUNCTION("""COMPUTED_VALUE"""),"")</f>
        <v/>
      </c>
      <c r="Y432" t="str">
        <f ca="1">IFERROR(__xludf.DUMMYFUNCTION("""COMPUTED_VALUE"""),"")</f>
        <v/>
      </c>
      <c r="Z432" t="str">
        <f ca="1">IFERROR(__xludf.DUMMYFUNCTION("""COMPUTED_VALUE"""),"")</f>
        <v/>
      </c>
      <c r="AA432" t="str">
        <f ca="1">IFERROR(__xludf.DUMMYFUNCTION("""COMPUTED_VALUE"""),"Pas de commande")</f>
        <v>Pas de commande</v>
      </c>
      <c r="AB432" s="8" t="str">
        <f ca="1">IFERROR(__xludf.DUMMYFUNCTION("""COMPUTED_VALUE"""),"")</f>
        <v/>
      </c>
      <c r="AC432" s="8" t="str">
        <f ca="1">IFERROR(__xludf.DUMMYFUNCTION("""COMPUTED_VALUE"""),"")</f>
        <v/>
      </c>
      <c r="AD432" s="11" t="str">
        <f ca="1">IFERROR(__xludf.DUMMYFUNCTION("""COMPUTED_VALUE"""),"")</f>
        <v/>
      </c>
      <c r="AE432" t="str">
        <f ca="1">IFERROR(__xludf.DUMMYFUNCTION("""COMPUTED_VALUE"""),"")</f>
        <v/>
      </c>
    </row>
    <row r="433" spans="1:31" ht="12.75" x14ac:dyDescent="0.2">
      <c r="A433">
        <f ca="1">IFERROR(__xludf.DUMMYFUNCTION("""COMPUTED_VALUE"""),34944)</f>
        <v>34944</v>
      </c>
      <c r="B433" t="str">
        <f ca="1">IFERROR(__xludf.DUMMYFUNCTION("""COMPUTED_VALUE"""),"LA ROCHE-POSAY")</f>
        <v>LA ROCHE-POSAY</v>
      </c>
      <c r="C433" t="str">
        <f ca="1">IFERROR(__xludf.DUMMYFUNCTION("""COMPUTED_VALUE"""),"Super U")</f>
        <v>Super U</v>
      </c>
      <c r="D433" t="str">
        <f ca="1">IFERROR(__xludf.DUMMYFUNCTION("""COMPUTED_VALUE"""),"Coop U Enseigne Ouest")</f>
        <v>Coop U Enseigne Ouest</v>
      </c>
      <c r="E433">
        <f ca="1">IFERROR(__xludf.DUMMYFUNCTION("""COMPUTED_VALUE"""),86270)</f>
        <v>86270</v>
      </c>
      <c r="F433" t="str">
        <f ca="1">IFERROR(__xludf.DUMMYFUNCTION("""COMPUTED_VALUE"""),"ZONE ARTISANALE LES CHAUMETTES")</f>
        <v>ZONE ARTISANALE LES CHAUMETTES</v>
      </c>
      <c r="G433" t="str">
        <f ca="1">IFERROR(__xludf.DUMMYFUNCTION("""COMPUTED_VALUE"""),"05.49.90.30.67")</f>
        <v>05.49.90.30.67</v>
      </c>
      <c r="H433" t="str">
        <f ca="1">IFERROR(__xludf.DUMMYFUNCTION("""COMPUTED_VALUE"""),"PAILLARD RPT SARM AMP Alain")</f>
        <v>PAILLARD RPT SARM AMP Alain</v>
      </c>
      <c r="I433" t="str">
        <f ca="1">IFERROR(__xludf.DUMMYFUNCTION("""COMPUTED_VALUE"""),"alain.paillard@systeme-u.fr")</f>
        <v>alain.paillard@systeme-u.fr</v>
      </c>
      <c r="J433" t="str">
        <f ca="1">IFERROR(__xludf.DUMMYFUNCTION("""COMPUTED_VALUE"""),"")</f>
        <v/>
      </c>
      <c r="K433" t="str">
        <f ca="1">IFERROR(__xludf.DUMMYFUNCTION("""COMPUTED_VALUE"""),"")</f>
        <v/>
      </c>
      <c r="L433" t="str">
        <f ca="1">IFERROR(__xludf.DUMMYFUNCTION("""COMPUTED_VALUE"""),"")</f>
        <v/>
      </c>
      <c r="M433" t="str">
        <f ca="1">IFERROR(__xludf.DUMMYFUNCTION("""COMPUTED_VALUE"""),"99.Hors Périmetre")</f>
        <v>99.Hors Périmetre</v>
      </c>
      <c r="N433" t="str">
        <f ca="1">IFERROR(__xludf.DUMMYFUNCTION("""COMPUTED_VALUE"""),"")</f>
        <v/>
      </c>
      <c r="O433" t="str">
        <f ca="1">IFERROR(__xludf.DUMMYFUNCTION("""COMPUTED_VALUE"""),"")</f>
        <v/>
      </c>
      <c r="P433" t="str">
        <f ca="1">IFERROR(__xludf.DUMMYFUNCTION("""COMPUTED_VALUE"""),"")</f>
        <v/>
      </c>
      <c r="Q433" s="5" t="str">
        <f ca="1">IFERROR(__xludf.DUMMYFUNCTION("""COMPUTED_VALUE"""),"")</f>
        <v/>
      </c>
      <c r="R433" s="6" t="str">
        <f ca="1">IFERROR(__xludf.DUMMYFUNCTION("""COMPUTED_VALUE"""),"")</f>
        <v/>
      </c>
      <c r="S433" t="str">
        <f ca="1">IFERROR(__xludf.DUMMYFUNCTION("""COMPUTED_VALUE"""),"")</f>
        <v/>
      </c>
      <c r="T433" t="str">
        <f ca="1">IFERROR(__xludf.DUMMYFUNCTION("""COMPUTED_VALUE"""),"")</f>
        <v/>
      </c>
      <c r="U433" t="str">
        <f ca="1">IFERROR(__xludf.DUMMYFUNCTION("""COMPUTED_VALUE"""),"")</f>
        <v/>
      </c>
      <c r="V433" t="str">
        <f ca="1">IFERROR(__xludf.DUMMYFUNCTION("""COMPUTED_VALUE"""),"")</f>
        <v/>
      </c>
      <c r="W433" t="str">
        <f ca="1">IFERROR(__xludf.DUMMYFUNCTION("""COMPUTED_VALUE"""),"")</f>
        <v/>
      </c>
      <c r="X433" t="str">
        <f ca="1">IFERROR(__xludf.DUMMYFUNCTION("""COMPUTED_VALUE"""),"")</f>
        <v/>
      </c>
      <c r="Y433" t="str">
        <f ca="1">IFERROR(__xludf.DUMMYFUNCTION("""COMPUTED_VALUE"""),"")</f>
        <v/>
      </c>
      <c r="Z433" t="str">
        <f ca="1">IFERROR(__xludf.DUMMYFUNCTION("""COMPUTED_VALUE"""),"")</f>
        <v/>
      </c>
      <c r="AA433" t="str">
        <f ca="1">IFERROR(__xludf.DUMMYFUNCTION("""COMPUTED_VALUE"""),"Pas de commande")</f>
        <v>Pas de commande</v>
      </c>
      <c r="AB433" s="8" t="str">
        <f ca="1">IFERROR(__xludf.DUMMYFUNCTION("""COMPUTED_VALUE"""),"")</f>
        <v/>
      </c>
      <c r="AC433" s="8" t="str">
        <f ca="1">IFERROR(__xludf.DUMMYFUNCTION("""COMPUTED_VALUE"""),"")</f>
        <v/>
      </c>
      <c r="AD433" s="11" t="str">
        <f ca="1">IFERROR(__xludf.DUMMYFUNCTION("""COMPUTED_VALUE"""),"")</f>
        <v/>
      </c>
      <c r="AE433" t="str">
        <f ca="1">IFERROR(__xludf.DUMMYFUNCTION("""COMPUTED_VALUE"""),"")</f>
        <v/>
      </c>
    </row>
    <row r="434" spans="1:31" ht="12.75" x14ac:dyDescent="0.2">
      <c r="A434">
        <f ca="1">IFERROR(__xludf.DUMMYFUNCTION("""COMPUTED_VALUE"""),31431)</f>
        <v>31431</v>
      </c>
      <c r="B434" t="str">
        <f ca="1">IFERROR(__xludf.DUMMYFUNCTION("""COMPUTED_VALUE"""),"LA ROCHE/YON")</f>
        <v>LA ROCHE/YON</v>
      </c>
      <c r="C434" t="str">
        <f ca="1">IFERROR(__xludf.DUMMYFUNCTION("""COMPUTED_VALUE"""),"Hyper U")</f>
        <v>Hyper U</v>
      </c>
      <c r="D434" t="str">
        <f ca="1">IFERROR(__xludf.DUMMYFUNCTION("""COMPUTED_VALUE"""),"Coop Atlantique")</f>
        <v>Coop Atlantique</v>
      </c>
      <c r="E434">
        <f ca="1">IFERROR(__xludf.DUMMYFUNCTION("""COMPUTED_VALUE"""),85000)</f>
        <v>85000</v>
      </c>
      <c r="F434" t="str">
        <f ca="1">IFERROR(__xludf.DUMMYFUNCTION("""COMPUTED_VALUE"""),"ROUTE DE NANTES")</f>
        <v>ROUTE DE NANTES</v>
      </c>
      <c r="G434" t="str">
        <f ca="1">IFERROR(__xludf.DUMMYFUNCTION("""COMPUTED_VALUE"""),"02.51.44.51.60")</f>
        <v>02.51.44.51.60</v>
      </c>
      <c r="H434" t="str">
        <f ca="1">IFERROR(__xludf.DUMMYFUNCTION("""COMPUTED_VALUE"""),"FLAMBARD Hervé")</f>
        <v>FLAMBARD Hervé</v>
      </c>
      <c r="I434" t="str">
        <f ca="1">IFERROR(__xludf.DUMMYFUNCTION("""COMPUTED_VALUE"""),"laurent.fleury_coop_hu@systeme-u.fr")</f>
        <v>laurent.fleury_coop_hu@systeme-u.fr</v>
      </c>
      <c r="J434" t="str">
        <f ca="1">IFERROR(__xludf.DUMMYFUNCTION("""COMPUTED_VALUE"""),"Karl ARNAUD")</f>
        <v>Karl ARNAUD</v>
      </c>
      <c r="K434" t="str">
        <f ca="1">IFERROR(__xludf.DUMMYFUNCTION("""COMPUTED_VALUE"""),"hyperu.larochesuryon.direction@systeme-u.fr,nbrigant@coop-atlantique.fr,sjaud@coop-atlantique.fr")</f>
        <v>hyperu.larochesuryon.direction@systeme-u.fr,nbrigant@coop-atlantique.fr,sjaud@coop-atlantique.fr</v>
      </c>
      <c r="L434" t="str">
        <f ca="1">IFERROR(__xludf.DUMMYFUNCTION("""COMPUTED_VALUE"""),"Standard")</f>
        <v>Standard</v>
      </c>
      <c r="M434" t="str">
        <f ca="1">IFERROR(__xludf.DUMMYFUNCTION("""COMPUTED_VALUE"""),"0. Non démarré")</f>
        <v>0. Non démarré</v>
      </c>
      <c r="N434" t="str">
        <f ca="1">IFERROR(__xludf.DUMMYFUNCTION("""COMPUTED_VALUE"""),"")</f>
        <v/>
      </c>
      <c r="O434" t="str">
        <f ca="1">IFERROR(__xludf.DUMMYFUNCTION("""COMPUTED_VALUE"""),"")</f>
        <v/>
      </c>
      <c r="P434" t="str">
        <f ca="1">IFERROR(__xludf.DUMMYFUNCTION("""COMPUTED_VALUE"""),"")</f>
        <v/>
      </c>
      <c r="Q434" s="5" t="str">
        <f ca="1">IFERROR(__xludf.DUMMYFUNCTION("""COMPUTED_VALUE"""),"")</f>
        <v/>
      </c>
      <c r="R434" s="6" t="str">
        <f ca="1">IFERROR(__xludf.DUMMYFUNCTION("""COMPUTED_VALUE"""),"")</f>
        <v/>
      </c>
      <c r="S434" t="str">
        <f ca="1">IFERROR(__xludf.DUMMYFUNCTION("""COMPUTED_VALUE"""),"")</f>
        <v/>
      </c>
      <c r="T434" t="str">
        <f ca="1">IFERROR(__xludf.DUMMYFUNCTION("""COMPUTED_VALUE"""),"")</f>
        <v/>
      </c>
      <c r="U434" t="str">
        <f ca="1">IFERROR(__xludf.DUMMYFUNCTION("""COMPUTED_VALUE"""),"")</f>
        <v/>
      </c>
      <c r="V434" t="str">
        <f ca="1">IFERROR(__xludf.DUMMYFUNCTION("""COMPUTED_VALUE"""),"")</f>
        <v/>
      </c>
      <c r="W434" t="str">
        <f ca="1">IFERROR(__xludf.DUMMYFUNCTION("""COMPUTED_VALUE"""),"R5")</f>
        <v>R5</v>
      </c>
      <c r="X434" t="str">
        <f ca="1">IFERROR(__xludf.DUMMYFUNCTION("""COMPUTED_VALUE"""),"PC mag &lt;8Go")</f>
        <v>PC mag &lt;8Go</v>
      </c>
      <c r="Y434" t="str">
        <f ca="1">IFERROR(__xludf.DUMMYFUNCTION("""COMPUTED_VALUE"""),"")</f>
        <v/>
      </c>
      <c r="Z434" t="str">
        <f ca="1">IFERROR(__xludf.DUMMYFUNCTION("""COMPUTED_VALUE"""),"")</f>
        <v/>
      </c>
      <c r="AA434" t="str">
        <f ca="1">IFERROR(__xludf.DUMMYFUNCTION("""COMPUTED_VALUE"""),"Pas de commande")</f>
        <v>Pas de commande</v>
      </c>
      <c r="AB434" s="8" t="str">
        <f ca="1">IFERROR(__xludf.DUMMYFUNCTION("""COMPUTED_VALUE"""),"")</f>
        <v/>
      </c>
      <c r="AC434" s="8" t="str">
        <f ca="1">IFERROR(__xludf.DUMMYFUNCTION("""COMPUTED_VALUE"""),"")</f>
        <v/>
      </c>
      <c r="AD434" s="11" t="str">
        <f ca="1">IFERROR(__xludf.DUMMYFUNCTION("""COMPUTED_VALUE"""),"")</f>
        <v/>
      </c>
      <c r="AE434" t="str">
        <f ca="1">IFERROR(__xludf.DUMMYFUNCTION("""COMPUTED_VALUE"""),"")</f>
        <v/>
      </c>
    </row>
    <row r="435" spans="1:31" ht="12.75" x14ac:dyDescent="0.2">
      <c r="A435">
        <f ca="1">IFERROR(__xludf.DUMMYFUNCTION("""COMPUTED_VALUE"""),32240)</f>
        <v>32240</v>
      </c>
      <c r="B435" t="str">
        <f ca="1">IFERROR(__xludf.DUMMYFUNCTION("""COMPUTED_VALUE"""),"LA ROCHE/YON")</f>
        <v>LA ROCHE/YON</v>
      </c>
      <c r="C435" t="str">
        <f ca="1">IFERROR(__xludf.DUMMYFUNCTION("""COMPUTED_VALUE"""),"Super U")</f>
        <v>Super U</v>
      </c>
      <c r="D435" t="str">
        <f ca="1">IFERROR(__xludf.DUMMYFUNCTION("""COMPUTED_VALUE"""),"Coop U Enseigne Ouest")</f>
        <v>Coop U Enseigne Ouest</v>
      </c>
      <c r="E435">
        <f ca="1">IFERROR(__xludf.DUMMYFUNCTION("""COMPUTED_VALUE"""),85000)</f>
        <v>85000</v>
      </c>
      <c r="F435" t="str">
        <f ca="1">IFERROR(__xludf.DUMMYFUNCTION("""COMPUTED_VALUE"""),"BOULEVARD MOREAU")</f>
        <v>BOULEVARD MOREAU</v>
      </c>
      <c r="G435" t="str">
        <f ca="1">IFERROR(__xludf.DUMMYFUNCTION("""COMPUTED_VALUE"""),"02.51.37.61.31")</f>
        <v>02.51.37.61.31</v>
      </c>
      <c r="H435" t="str">
        <f ca="1">IFERROR(__xludf.DUMMYFUNCTION("""COMPUTED_VALUE"""),"BODIN RPT SAS LOUHARVY Hervé")</f>
        <v>BODIN RPT SAS LOUHARVY Hervé</v>
      </c>
      <c r="I435" t="str">
        <f ca="1">IFERROR(__xludf.DUMMYFUNCTION("""COMPUTED_VALUE"""),"herve.bodin@systeme-u.fr")</f>
        <v>herve.bodin@systeme-u.fr</v>
      </c>
      <c r="J435" t="str">
        <f ca="1">IFERROR(__xludf.DUMMYFUNCTION("""COMPUTED_VALUE"""),"FOURNIER JEAN-MICHEL")</f>
        <v>FOURNIER JEAN-MICHEL</v>
      </c>
      <c r="K435" t="str">
        <f ca="1">IFERROR(__xludf.DUMMYFUNCTION("""COMPUTED_VALUE"""),"superu.larochesuryon.coursesu@systeme-u.fr")</f>
        <v>superu.larochesuryon.coursesu@systeme-u.fr</v>
      </c>
      <c r="L435" t="str">
        <f ca="1">IFERROR(__xludf.DUMMYFUNCTION("""COMPUTED_VALUE"""),"")</f>
        <v/>
      </c>
      <c r="M435" t="str">
        <f ca="1">IFERROR(__xludf.DUMMYFUNCTION("""COMPUTED_VALUE"""),"99.Hors Périmetre")</f>
        <v>99.Hors Périmetre</v>
      </c>
      <c r="N435" t="str">
        <f ca="1">IFERROR(__xludf.DUMMYFUNCTION("""COMPUTED_VALUE"""),"")</f>
        <v/>
      </c>
      <c r="O435" t="str">
        <f ca="1">IFERROR(__xludf.DUMMYFUNCTION("""COMPUTED_VALUE"""),"")</f>
        <v/>
      </c>
      <c r="P435" t="str">
        <f ca="1">IFERROR(__xludf.DUMMYFUNCTION("""COMPUTED_VALUE"""),"")</f>
        <v/>
      </c>
      <c r="Q435" s="5" t="str">
        <f ca="1">IFERROR(__xludf.DUMMYFUNCTION("""COMPUTED_VALUE"""),"")</f>
        <v/>
      </c>
      <c r="R435" s="6" t="str">
        <f ca="1">IFERROR(__xludf.DUMMYFUNCTION("""COMPUTED_VALUE"""),"")</f>
        <v/>
      </c>
      <c r="S435" t="str">
        <f ca="1">IFERROR(__xludf.DUMMYFUNCTION("""COMPUTED_VALUE"""),"")</f>
        <v/>
      </c>
      <c r="T435" t="str">
        <f ca="1">IFERROR(__xludf.DUMMYFUNCTION("""COMPUTED_VALUE"""),"")</f>
        <v/>
      </c>
      <c r="U435" t="str">
        <f ca="1">IFERROR(__xludf.DUMMYFUNCTION("""COMPUTED_VALUE"""),"")</f>
        <v/>
      </c>
      <c r="V435" t="str">
        <f ca="1">IFERROR(__xludf.DUMMYFUNCTION("""COMPUTED_VALUE"""),"")</f>
        <v/>
      </c>
      <c r="W435" t="str">
        <f ca="1">IFERROR(__xludf.DUMMYFUNCTION("""COMPUTED_VALUE"""),"")</f>
        <v/>
      </c>
      <c r="X435" t="str">
        <f ca="1">IFERROR(__xludf.DUMMYFUNCTION("""COMPUTED_VALUE"""),"")</f>
        <v/>
      </c>
      <c r="Y435" t="str">
        <f ca="1">IFERROR(__xludf.DUMMYFUNCTION("""COMPUTED_VALUE"""),"")</f>
        <v/>
      </c>
      <c r="Z435" t="str">
        <f ca="1">IFERROR(__xludf.DUMMYFUNCTION("""COMPUTED_VALUE"""),"")</f>
        <v/>
      </c>
      <c r="AA435" t="str">
        <f ca="1">IFERROR(__xludf.DUMMYFUNCTION("""COMPUTED_VALUE"""),"Pas de commande")</f>
        <v>Pas de commande</v>
      </c>
      <c r="AB435" s="8" t="str">
        <f ca="1">IFERROR(__xludf.DUMMYFUNCTION("""COMPUTED_VALUE"""),"")</f>
        <v/>
      </c>
      <c r="AC435" s="8" t="str">
        <f ca="1">IFERROR(__xludf.DUMMYFUNCTION("""COMPUTED_VALUE"""),"")</f>
        <v/>
      </c>
      <c r="AD435" s="11" t="str">
        <f ca="1">IFERROR(__xludf.DUMMYFUNCTION("""COMPUTED_VALUE"""),"")</f>
        <v/>
      </c>
      <c r="AE435" t="str">
        <f ca="1">IFERROR(__xludf.DUMMYFUNCTION("""COMPUTED_VALUE"""),"")</f>
        <v/>
      </c>
    </row>
    <row r="436" spans="1:31" ht="12.75" x14ac:dyDescent="0.2">
      <c r="A436">
        <f ca="1">IFERROR(__xludf.DUMMYFUNCTION("""COMPUTED_VALUE"""),37806)</f>
        <v>37806</v>
      </c>
      <c r="B436" t="str">
        <f ca="1">IFERROR(__xludf.DUMMYFUNCTION("""COMPUTED_VALUE"""),"LA ROCHE/YON HALLES")</f>
        <v>LA ROCHE/YON HALLES</v>
      </c>
      <c r="C436" t="str">
        <f ca="1">IFERROR(__xludf.DUMMYFUNCTION("""COMPUTED_VALUE"""),"U Express")</f>
        <v>U Express</v>
      </c>
      <c r="D436" t="str">
        <f ca="1">IFERROR(__xludf.DUMMYFUNCTION("""COMPUTED_VALUE"""),"Coop U Enseigne Ouest")</f>
        <v>Coop U Enseigne Ouest</v>
      </c>
      <c r="E436">
        <f ca="1">IFERROR(__xludf.DUMMYFUNCTION("""COMPUTED_VALUE"""),85000)</f>
        <v>85000</v>
      </c>
      <c r="F436" t="str">
        <f ca="1">IFERROR(__xludf.DUMMYFUNCTION("""COMPUTED_VALUE"""),"PLACE DES HALLES")</f>
        <v>PLACE DES HALLES</v>
      </c>
      <c r="G436" t="str">
        <f ca="1">IFERROR(__xludf.DUMMYFUNCTION("""COMPUTED_VALUE"""),"02.51.37.27.39")</f>
        <v>02.51.37.27.39</v>
      </c>
      <c r="H436" t="str">
        <f ca="1">IFERROR(__xludf.DUMMYFUNCTION("""COMPUTED_VALUE"""),"RAIMBAULT Florent")</f>
        <v>RAIMBAULT Florent</v>
      </c>
      <c r="I436" t="str">
        <f ca="1">IFERROR(__xludf.DUMMYFUNCTION("""COMPUTED_VALUE"""),"florent.raimbault@systeme-u.fr")</f>
        <v>florent.raimbault@systeme-u.fr</v>
      </c>
      <c r="J436" t="str">
        <f ca="1">IFERROR(__xludf.DUMMYFUNCTION("""COMPUTED_VALUE"""),"VACCA Dorina")</f>
        <v>VACCA Dorina</v>
      </c>
      <c r="K436" t="str">
        <f ca="1">IFERROR(__xludf.DUMMYFUNCTION("""COMPUTED_VALUE"""),"uexpress.larochesuryonleshalles.compta@systeme-u.fr")</f>
        <v>uexpress.larochesuryonleshalles.compta@systeme-u.fr</v>
      </c>
      <c r="L436" t="str">
        <f ca="1">IFERROR(__xludf.DUMMYFUNCTION("""COMPUTED_VALUE"""),"")</f>
        <v/>
      </c>
      <c r="M436" t="str">
        <f ca="1">IFERROR(__xludf.DUMMYFUNCTION("""COMPUTED_VALUE"""),"99.Hors Périmetre")</f>
        <v>99.Hors Périmetre</v>
      </c>
      <c r="N436" t="str">
        <f ca="1">IFERROR(__xludf.DUMMYFUNCTION("""COMPUTED_VALUE"""),"")</f>
        <v/>
      </c>
      <c r="O436" t="str">
        <f ca="1">IFERROR(__xludf.DUMMYFUNCTION("""COMPUTED_VALUE"""),"")</f>
        <v/>
      </c>
      <c r="P436" t="str">
        <f ca="1">IFERROR(__xludf.DUMMYFUNCTION("""COMPUTED_VALUE"""),"")</f>
        <v/>
      </c>
      <c r="Q436" s="5" t="str">
        <f ca="1">IFERROR(__xludf.DUMMYFUNCTION("""COMPUTED_VALUE"""),"")</f>
        <v/>
      </c>
      <c r="R436" s="6" t="str">
        <f ca="1">IFERROR(__xludf.DUMMYFUNCTION("""COMPUTED_VALUE"""),"")</f>
        <v/>
      </c>
      <c r="S436" t="str">
        <f ca="1">IFERROR(__xludf.DUMMYFUNCTION("""COMPUTED_VALUE"""),"")</f>
        <v/>
      </c>
      <c r="T436" t="str">
        <f ca="1">IFERROR(__xludf.DUMMYFUNCTION("""COMPUTED_VALUE"""),"")</f>
        <v/>
      </c>
      <c r="U436" t="str">
        <f ca="1">IFERROR(__xludf.DUMMYFUNCTION("""COMPUTED_VALUE"""),"")</f>
        <v/>
      </c>
      <c r="V436" t="str">
        <f ca="1">IFERROR(__xludf.DUMMYFUNCTION("""COMPUTED_VALUE"""),"")</f>
        <v/>
      </c>
      <c r="W436" t="str">
        <f ca="1">IFERROR(__xludf.DUMMYFUNCTION("""COMPUTED_VALUE"""),"")</f>
        <v/>
      </c>
      <c r="X436" t="str">
        <f ca="1">IFERROR(__xludf.DUMMYFUNCTION("""COMPUTED_VALUE"""),"")</f>
        <v/>
      </c>
      <c r="Y436" t="str">
        <f ca="1">IFERROR(__xludf.DUMMYFUNCTION("""COMPUTED_VALUE"""),"")</f>
        <v/>
      </c>
      <c r="Z436" t="str">
        <f ca="1">IFERROR(__xludf.DUMMYFUNCTION("""COMPUTED_VALUE"""),"")</f>
        <v/>
      </c>
      <c r="AA436" t="str">
        <f ca="1">IFERROR(__xludf.DUMMYFUNCTION("""COMPUTED_VALUE"""),"Pas de commande")</f>
        <v>Pas de commande</v>
      </c>
      <c r="AB436" s="8" t="str">
        <f ca="1">IFERROR(__xludf.DUMMYFUNCTION("""COMPUTED_VALUE"""),"")</f>
        <v/>
      </c>
      <c r="AC436" s="8" t="str">
        <f ca="1">IFERROR(__xludf.DUMMYFUNCTION("""COMPUTED_VALUE"""),"")</f>
        <v/>
      </c>
      <c r="AD436" s="11" t="str">
        <f ca="1">IFERROR(__xludf.DUMMYFUNCTION("""COMPUTED_VALUE"""),"")</f>
        <v/>
      </c>
      <c r="AE436" t="str">
        <f ca="1">IFERROR(__xludf.DUMMYFUNCTION("""COMPUTED_VALUE"""),"")</f>
        <v/>
      </c>
    </row>
    <row r="437" spans="1:31" ht="12.75" x14ac:dyDescent="0.2">
      <c r="A437">
        <f ca="1">IFERROR(__xludf.DUMMYFUNCTION("""COMPUTED_VALUE"""),33476)</f>
        <v>33476</v>
      </c>
      <c r="B437" t="str">
        <f ca="1">IFERROR(__xludf.DUMMYFUNCTION("""COMPUTED_VALUE"""),"LA ROCHE/YON IENA")</f>
        <v>LA ROCHE/YON IENA</v>
      </c>
      <c r="C437" t="str">
        <f ca="1">IFERROR(__xludf.DUMMYFUNCTION("""COMPUTED_VALUE"""),"U Express")</f>
        <v>U Express</v>
      </c>
      <c r="D437" t="str">
        <f ca="1">IFERROR(__xludf.DUMMYFUNCTION("""COMPUTED_VALUE"""),"Coop U Enseigne Ouest")</f>
        <v>Coop U Enseigne Ouest</v>
      </c>
      <c r="E437">
        <f ca="1">IFERROR(__xludf.DUMMYFUNCTION("""COMPUTED_VALUE"""),85000)</f>
        <v>85000</v>
      </c>
      <c r="F437" t="str">
        <f ca="1">IFERROR(__xludf.DUMMYFUNCTION("""COMPUTED_VALUE"""),"RUE IÉNA")</f>
        <v>RUE IÉNA</v>
      </c>
      <c r="G437" t="str">
        <f ca="1">IFERROR(__xludf.DUMMYFUNCTION("""COMPUTED_VALUE"""),"02.51.37.16.97")</f>
        <v>02.51.37.16.97</v>
      </c>
      <c r="H437" t="str">
        <f ca="1">IFERROR(__xludf.DUMMYFUNCTION("""COMPUTED_VALUE"""),"MICHAUD Nicolas")</f>
        <v>MICHAUD Nicolas</v>
      </c>
      <c r="I437" t="str">
        <f ca="1">IFERROR(__xludf.DUMMYFUNCTION("""COMPUTED_VALUE"""),"nicolas.michaud@systeme-u.fr")</f>
        <v>nicolas.michaud@systeme-u.fr</v>
      </c>
      <c r="J437" t="str">
        <f ca="1">IFERROR(__xludf.DUMMYFUNCTION("""COMPUTED_VALUE"""),"STEPHANE LOMERS")</f>
        <v>STEPHANE LOMERS</v>
      </c>
      <c r="K437" t="str">
        <f ca="1">IFERROR(__xludf.DUMMYFUNCTION("""COMPUTED_VALUE"""),"uexpress.larochesuryoniena.direction@systeme-u.fr")</f>
        <v>uexpress.larochesuryoniena.direction@systeme-u.fr</v>
      </c>
      <c r="L437" t="str">
        <f ca="1">IFERROR(__xludf.DUMMYFUNCTION("""COMPUTED_VALUE"""),"")</f>
        <v/>
      </c>
      <c r="M437" t="str">
        <f ca="1">IFERROR(__xludf.DUMMYFUNCTION("""COMPUTED_VALUE"""),"99.Hors Périmetre")</f>
        <v>99.Hors Périmetre</v>
      </c>
      <c r="N437" t="str">
        <f ca="1">IFERROR(__xludf.DUMMYFUNCTION("""COMPUTED_VALUE"""),"")</f>
        <v/>
      </c>
      <c r="O437" t="str">
        <f ca="1">IFERROR(__xludf.DUMMYFUNCTION("""COMPUTED_VALUE"""),"")</f>
        <v/>
      </c>
      <c r="P437" t="str">
        <f ca="1">IFERROR(__xludf.DUMMYFUNCTION("""COMPUTED_VALUE"""),"")</f>
        <v/>
      </c>
      <c r="Q437" s="5" t="str">
        <f ca="1">IFERROR(__xludf.DUMMYFUNCTION("""COMPUTED_VALUE"""),"")</f>
        <v/>
      </c>
      <c r="R437" s="6" t="str">
        <f ca="1">IFERROR(__xludf.DUMMYFUNCTION("""COMPUTED_VALUE"""),"")</f>
        <v/>
      </c>
      <c r="S437" t="str">
        <f ca="1">IFERROR(__xludf.DUMMYFUNCTION("""COMPUTED_VALUE"""),"")</f>
        <v/>
      </c>
      <c r="T437" t="str">
        <f ca="1">IFERROR(__xludf.DUMMYFUNCTION("""COMPUTED_VALUE"""),"")</f>
        <v/>
      </c>
      <c r="U437" t="str">
        <f ca="1">IFERROR(__xludf.DUMMYFUNCTION("""COMPUTED_VALUE"""),"")</f>
        <v/>
      </c>
      <c r="V437" t="str">
        <f ca="1">IFERROR(__xludf.DUMMYFUNCTION("""COMPUTED_VALUE"""),"")</f>
        <v/>
      </c>
      <c r="W437" t="str">
        <f ca="1">IFERROR(__xludf.DUMMYFUNCTION("""COMPUTED_VALUE"""),"")</f>
        <v/>
      </c>
      <c r="X437" t="str">
        <f ca="1">IFERROR(__xludf.DUMMYFUNCTION("""COMPUTED_VALUE"""),"")</f>
        <v/>
      </c>
      <c r="Y437" t="str">
        <f ca="1">IFERROR(__xludf.DUMMYFUNCTION("""COMPUTED_VALUE"""),"")</f>
        <v/>
      </c>
      <c r="Z437" t="str">
        <f ca="1">IFERROR(__xludf.DUMMYFUNCTION("""COMPUTED_VALUE"""),"")</f>
        <v/>
      </c>
      <c r="AA437" t="str">
        <f ca="1">IFERROR(__xludf.DUMMYFUNCTION("""COMPUTED_VALUE"""),"Pas de commande")</f>
        <v>Pas de commande</v>
      </c>
      <c r="AB437" s="8" t="str">
        <f ca="1">IFERROR(__xludf.DUMMYFUNCTION("""COMPUTED_VALUE"""),"")</f>
        <v/>
      </c>
      <c r="AC437" s="8" t="str">
        <f ca="1">IFERROR(__xludf.DUMMYFUNCTION("""COMPUTED_VALUE"""),"")</f>
        <v/>
      </c>
      <c r="AD437" s="11" t="str">
        <f ca="1">IFERROR(__xludf.DUMMYFUNCTION("""COMPUTED_VALUE"""),"")</f>
        <v/>
      </c>
      <c r="AE437" t="str">
        <f ca="1">IFERROR(__xludf.DUMMYFUNCTION("""COMPUTED_VALUE"""),"")</f>
        <v/>
      </c>
    </row>
    <row r="438" spans="1:31" ht="12.75" x14ac:dyDescent="0.2">
      <c r="A438">
        <f ca="1">IFERROR(__xludf.DUMMYFUNCTION("""COMPUTED_VALUE"""),31433)</f>
        <v>31433</v>
      </c>
      <c r="B438" t="str">
        <f ca="1">IFERROR(__xludf.DUMMYFUNCTION("""COMPUTED_VALUE"""),"LA ROCHELLE")</f>
        <v>LA ROCHELLE</v>
      </c>
      <c r="C438" t="str">
        <f ca="1">IFERROR(__xludf.DUMMYFUNCTION("""COMPUTED_VALUE"""),"Hyper U")</f>
        <v>Hyper U</v>
      </c>
      <c r="D438" t="str">
        <f ca="1">IFERROR(__xludf.DUMMYFUNCTION("""COMPUTED_VALUE"""),"Coop Atlantique")</f>
        <v>Coop Atlantique</v>
      </c>
      <c r="E438">
        <f ca="1">IFERROR(__xludf.DUMMYFUNCTION("""COMPUTED_VALUE"""),17138)</f>
        <v>17138</v>
      </c>
      <c r="F438" t="str">
        <f ca="1">IFERROR(__xludf.DUMMYFUNCTION("""COMPUTED_VALUE"""),"ROUTE DE NANTES")</f>
        <v>ROUTE DE NANTES</v>
      </c>
      <c r="G438" t="str">
        <f ca="1">IFERROR(__xludf.DUMMYFUNCTION("""COMPUTED_VALUE"""),"05.46.68.03.22")</f>
        <v>05.46.68.03.22</v>
      </c>
      <c r="H438" t="str">
        <f ca="1">IFERROR(__xludf.DUMMYFUNCTION("""COMPUTED_VALUE"""),"FLAMBARD Hervé")</f>
        <v>FLAMBARD Hervé</v>
      </c>
      <c r="I438" t="str">
        <f ca="1">IFERROR(__xludf.DUMMYFUNCTION("""COMPUTED_VALUE"""),"laurent.fleury_coop_hu@systeme-u.fr")</f>
        <v>laurent.fleury_coop_hu@systeme-u.fr</v>
      </c>
      <c r="J438" t="str">
        <f ca="1">IFERROR(__xludf.DUMMYFUNCTION("""COMPUTED_VALUE"""),"BURES Mathias
MAURY Sandrine")</f>
        <v>BURES Mathias
MAURY Sandrine</v>
      </c>
      <c r="K438" t="str">
        <f ca="1">IFERROR(__xludf.DUMMYFUNCTION("""COMPUTED_VALUE"""),"nbrigant@coop-atlantique.fr,sjaud@coop-atlantique.fr,smaury@coop-atlantique.fr,mbures@coop-atlantique.fr")</f>
        <v>nbrigant@coop-atlantique.fr,sjaud@coop-atlantique.fr,smaury@coop-atlantique.fr,mbures@coop-atlantique.fr</v>
      </c>
      <c r="L438" t="str">
        <f ca="1">IFERROR(__xludf.DUMMYFUNCTION("""COMPUTED_VALUE"""),"Standard")</f>
        <v>Standard</v>
      </c>
      <c r="M438" t="str">
        <f ca="1">IFERROR(__xludf.DUMMYFUNCTION("""COMPUTED_VALUE"""),"0. Non démarré")</f>
        <v>0. Non démarré</v>
      </c>
      <c r="N438" t="str">
        <f ca="1">IFERROR(__xludf.DUMMYFUNCTION("""COMPUTED_VALUE"""),"")</f>
        <v/>
      </c>
      <c r="O438" t="str">
        <f ca="1">IFERROR(__xludf.DUMMYFUNCTION("""COMPUTED_VALUE"""),"")</f>
        <v/>
      </c>
      <c r="P438" t="str">
        <f ca="1">IFERROR(__xludf.DUMMYFUNCTION("""COMPUTED_VALUE"""),"")</f>
        <v/>
      </c>
      <c r="Q438" s="5" t="str">
        <f ca="1">IFERROR(__xludf.DUMMYFUNCTION("""COMPUTED_VALUE"""),"")</f>
        <v/>
      </c>
      <c r="R438" s="6" t="str">
        <f ca="1">IFERROR(__xludf.DUMMYFUNCTION("""COMPUTED_VALUE"""),"")</f>
        <v/>
      </c>
      <c r="S438" t="str">
        <f ca="1">IFERROR(__xludf.DUMMYFUNCTION("""COMPUTED_VALUE"""),"")</f>
        <v/>
      </c>
      <c r="T438" t="str">
        <f ca="1">IFERROR(__xludf.DUMMYFUNCTION("""COMPUTED_VALUE"""),"")</f>
        <v/>
      </c>
      <c r="U438" t="str">
        <f ca="1">IFERROR(__xludf.DUMMYFUNCTION("""COMPUTED_VALUE"""),"")</f>
        <v/>
      </c>
      <c r="V438" t="str">
        <f ca="1">IFERROR(__xludf.DUMMYFUNCTION("""COMPUTED_VALUE"""),"")</f>
        <v/>
      </c>
      <c r="W438" t="str">
        <f ca="1">IFERROR(__xludf.DUMMYFUNCTION("""COMPUTED_VALUE"""),"R5")</f>
        <v>R5</v>
      </c>
      <c r="X438" t="str">
        <f ca="1">IFERROR(__xludf.DUMMYFUNCTION("""COMPUTED_VALUE"""),"PC mag &lt;8Go")</f>
        <v>PC mag &lt;8Go</v>
      </c>
      <c r="Y438" t="str">
        <f ca="1">IFERROR(__xludf.DUMMYFUNCTION("""COMPUTED_VALUE"""),"")</f>
        <v/>
      </c>
      <c r="Z438" t="str">
        <f ca="1">IFERROR(__xludf.DUMMYFUNCTION("""COMPUTED_VALUE"""),"")</f>
        <v/>
      </c>
      <c r="AA438" t="str">
        <f ca="1">IFERROR(__xludf.DUMMYFUNCTION("""COMPUTED_VALUE"""),"Pas de commande")</f>
        <v>Pas de commande</v>
      </c>
      <c r="AB438" s="8" t="str">
        <f ca="1">IFERROR(__xludf.DUMMYFUNCTION("""COMPUTED_VALUE"""),"")</f>
        <v/>
      </c>
      <c r="AC438" s="8" t="str">
        <f ca="1">IFERROR(__xludf.DUMMYFUNCTION("""COMPUTED_VALUE"""),"")</f>
        <v/>
      </c>
      <c r="AD438" s="11" t="str">
        <f ca="1">IFERROR(__xludf.DUMMYFUNCTION("""COMPUTED_VALUE"""),"")</f>
        <v/>
      </c>
      <c r="AE438" t="str">
        <f ca="1">IFERROR(__xludf.DUMMYFUNCTION("""COMPUTED_VALUE"""),"")</f>
        <v/>
      </c>
    </row>
    <row r="439" spans="1:31" ht="12.75" x14ac:dyDescent="0.2">
      <c r="A439">
        <f ca="1">IFERROR(__xludf.DUMMYFUNCTION("""COMPUTED_VALUE"""),31988)</f>
        <v>31988</v>
      </c>
      <c r="B439" t="str">
        <f ca="1">IFERROR(__xludf.DUMMYFUNCTION("""COMPUTED_VALUE"""),"LA ROCHELLE MIREUIL")</f>
        <v>LA ROCHELLE MIREUIL</v>
      </c>
      <c r="C439" t="str">
        <f ca="1">IFERROR(__xludf.DUMMYFUNCTION("""COMPUTED_VALUE"""),"U Express")</f>
        <v>U Express</v>
      </c>
      <c r="D439" t="str">
        <f ca="1">IFERROR(__xludf.DUMMYFUNCTION("""COMPUTED_VALUE"""),"Coop U Enseigne Ouest")</f>
        <v>Coop U Enseigne Ouest</v>
      </c>
      <c r="E439">
        <f ca="1">IFERROR(__xludf.DUMMYFUNCTION("""COMPUTED_VALUE"""),17000)</f>
        <v>17000</v>
      </c>
      <c r="F439" t="str">
        <f ca="1">IFERROR(__xludf.DUMMYFUNCTION("""COMPUTED_VALUE"""),"AVENUE DU PRÉSIDENT JF KENNEDY")</f>
        <v>AVENUE DU PRÉSIDENT JF KENNEDY</v>
      </c>
      <c r="G439" t="str">
        <f ca="1">IFERROR(__xludf.DUMMYFUNCTION("""COMPUTED_VALUE"""),"05.46.43.77.78")</f>
        <v>05.46.43.77.78</v>
      </c>
      <c r="H439" t="str">
        <f ca="1">IFERROR(__xludf.DUMMYFUNCTION("""COMPUTED_VALUE"""),"DESOUCHES Vincent")</f>
        <v>DESOUCHES Vincent</v>
      </c>
      <c r="I439" t="str">
        <f ca="1">IFERROR(__xludf.DUMMYFUNCTION("""COMPUTED_VALUE"""),"vincent.desouches@systeme-u.fr")</f>
        <v>vincent.desouches@systeme-u.fr</v>
      </c>
      <c r="J439" t="str">
        <f ca="1">IFERROR(__xludf.DUMMYFUNCTION("""COMPUTED_VALUE"""),"Madame Desouches")</f>
        <v>Madame Desouches</v>
      </c>
      <c r="K439" t="str">
        <f ca="1">IFERROR(__xludf.DUMMYFUNCTION("""COMPUTED_VALUE"""),"stephanie.desouches@systeme-u.fr")</f>
        <v>stephanie.desouches@systeme-u.fr</v>
      </c>
      <c r="L439" t="str">
        <f ca="1">IFERROR(__xludf.DUMMYFUNCTION("""COMPUTED_VALUE"""),"")</f>
        <v/>
      </c>
      <c r="M439" t="str">
        <f ca="1">IFERROR(__xludf.DUMMYFUNCTION("""COMPUTED_VALUE"""),"99.Hors Périmetre")</f>
        <v>99.Hors Périmetre</v>
      </c>
      <c r="N439" t="str">
        <f ca="1">IFERROR(__xludf.DUMMYFUNCTION("""COMPUTED_VALUE"""),"")</f>
        <v/>
      </c>
      <c r="O439" t="str">
        <f ca="1">IFERROR(__xludf.DUMMYFUNCTION("""COMPUTED_VALUE"""),"")</f>
        <v/>
      </c>
      <c r="P439" t="str">
        <f ca="1">IFERROR(__xludf.DUMMYFUNCTION("""COMPUTED_VALUE"""),"")</f>
        <v/>
      </c>
      <c r="Q439" s="5" t="str">
        <f ca="1">IFERROR(__xludf.DUMMYFUNCTION("""COMPUTED_VALUE"""),"")</f>
        <v/>
      </c>
      <c r="R439" s="6" t="str">
        <f ca="1">IFERROR(__xludf.DUMMYFUNCTION("""COMPUTED_VALUE"""),"")</f>
        <v/>
      </c>
      <c r="S439" t="str">
        <f ca="1">IFERROR(__xludf.DUMMYFUNCTION("""COMPUTED_VALUE"""),"")</f>
        <v/>
      </c>
      <c r="T439" t="str">
        <f ca="1">IFERROR(__xludf.DUMMYFUNCTION("""COMPUTED_VALUE"""),"")</f>
        <v/>
      </c>
      <c r="U439" t="str">
        <f ca="1">IFERROR(__xludf.DUMMYFUNCTION("""COMPUTED_VALUE"""),"")</f>
        <v/>
      </c>
      <c r="V439" t="str">
        <f ca="1">IFERROR(__xludf.DUMMYFUNCTION("""COMPUTED_VALUE"""),"")</f>
        <v/>
      </c>
      <c r="W439" t="str">
        <f ca="1">IFERROR(__xludf.DUMMYFUNCTION("""COMPUTED_VALUE"""),"")</f>
        <v/>
      </c>
      <c r="X439" t="str">
        <f ca="1">IFERROR(__xludf.DUMMYFUNCTION("""COMPUTED_VALUE"""),"")</f>
        <v/>
      </c>
      <c r="Y439" t="str">
        <f ca="1">IFERROR(__xludf.DUMMYFUNCTION("""COMPUTED_VALUE"""),"")</f>
        <v/>
      </c>
      <c r="Z439" t="str">
        <f ca="1">IFERROR(__xludf.DUMMYFUNCTION("""COMPUTED_VALUE"""),"")</f>
        <v/>
      </c>
      <c r="AA439" t="str">
        <f ca="1">IFERROR(__xludf.DUMMYFUNCTION("""COMPUTED_VALUE"""),"Pas de commande")</f>
        <v>Pas de commande</v>
      </c>
      <c r="AB439" s="8" t="str">
        <f ca="1">IFERROR(__xludf.DUMMYFUNCTION("""COMPUTED_VALUE"""),"")</f>
        <v/>
      </c>
      <c r="AC439" s="8" t="str">
        <f ca="1">IFERROR(__xludf.DUMMYFUNCTION("""COMPUTED_VALUE"""),"")</f>
        <v/>
      </c>
      <c r="AD439" s="11" t="str">
        <f ca="1">IFERROR(__xludf.DUMMYFUNCTION("""COMPUTED_VALUE"""),"")</f>
        <v/>
      </c>
      <c r="AE439" t="str">
        <f ca="1">IFERROR(__xludf.DUMMYFUNCTION("""COMPUTED_VALUE"""),"")</f>
        <v/>
      </c>
    </row>
    <row r="440" spans="1:31" ht="12.75" x14ac:dyDescent="0.2">
      <c r="A440">
        <f ca="1">IFERROR(__xludf.DUMMYFUNCTION("""COMPUTED_VALUE"""),34206)</f>
        <v>34206</v>
      </c>
      <c r="B440" t="str">
        <f ca="1">IFERROR(__xludf.DUMMYFUNCTION("""COMPUTED_VALUE"""),"LA ROCHELLE PORT NEUF")</f>
        <v>LA ROCHELLE PORT NEUF</v>
      </c>
      <c r="C440" t="str">
        <f ca="1">IFERROR(__xludf.DUMMYFUNCTION("""COMPUTED_VALUE"""),"Utile")</f>
        <v>Utile</v>
      </c>
      <c r="D440" t="str">
        <f ca="1">IFERROR(__xludf.DUMMYFUNCTION("""COMPUTED_VALUE"""),"Coop Atlantique")</f>
        <v>Coop Atlantique</v>
      </c>
      <c r="E440">
        <f ca="1">IFERROR(__xludf.DUMMYFUNCTION("""COMPUTED_VALUE"""),17000)</f>
        <v>17000</v>
      </c>
      <c r="F440" t="str">
        <f ca="1">IFERROR(__xludf.DUMMYFUNCTION("""COMPUTED_VALUE"""),"PLACE PETROZOVODSK")</f>
        <v>PLACE PETROZOVODSK</v>
      </c>
      <c r="G440" t="str">
        <f ca="1">IFERROR(__xludf.DUMMYFUNCTION("""COMPUTED_VALUE"""),"05.46.43.77.65")</f>
        <v>05.46.43.77.65</v>
      </c>
      <c r="H440" t="str">
        <f ca="1">IFERROR(__xludf.DUMMYFUNCTION("""COMPUTED_VALUE"""),"FLAMBARD Hervé")</f>
        <v>FLAMBARD Hervé</v>
      </c>
      <c r="I440" t="str">
        <f ca="1">IFERROR(__xludf.DUMMYFUNCTION("""COMPUTED_VALUE"""),"bertrand.defontaine_coop_su_uex@systeme-u.fr")</f>
        <v>bertrand.defontaine_coop_su_uex@systeme-u.fr</v>
      </c>
      <c r="J440" t="str">
        <f ca="1">IFERROR(__xludf.DUMMYFUNCTION("""COMPUTED_VALUE"""),"JEZEQUEL Bruno")</f>
        <v>JEZEQUEL Bruno</v>
      </c>
      <c r="K440" t="str">
        <f ca="1">IFERROR(__xludf.DUMMYFUNCTION("""COMPUTED_VALUE"""),"uexpress.larochelle.direction@systeme-u.fr,nbrigant@coop-atlantique.fr,sjaud@coop-atlantique.fr,bjezequel@coop-atlantique.fr")</f>
        <v>uexpress.larochelle.direction@systeme-u.fr,nbrigant@coop-atlantique.fr,sjaud@coop-atlantique.fr,bjezequel@coop-atlantique.fr</v>
      </c>
      <c r="L440" t="str">
        <f ca="1">IFERROR(__xludf.DUMMYFUNCTION("""COMPUTED_VALUE"""),"")</f>
        <v/>
      </c>
      <c r="M440" t="str">
        <f ca="1">IFERROR(__xludf.DUMMYFUNCTION("""COMPUTED_VALUE"""),"99.Hors Périmetre")</f>
        <v>99.Hors Périmetre</v>
      </c>
      <c r="N440" t="str">
        <f ca="1">IFERROR(__xludf.DUMMYFUNCTION("""COMPUTED_VALUE"""),"")</f>
        <v/>
      </c>
      <c r="O440" t="str">
        <f ca="1">IFERROR(__xludf.DUMMYFUNCTION("""COMPUTED_VALUE"""),"")</f>
        <v/>
      </c>
      <c r="P440" t="str">
        <f ca="1">IFERROR(__xludf.DUMMYFUNCTION("""COMPUTED_VALUE"""),"")</f>
        <v/>
      </c>
      <c r="Q440" s="5" t="str">
        <f ca="1">IFERROR(__xludf.DUMMYFUNCTION("""COMPUTED_VALUE"""),"")</f>
        <v/>
      </c>
      <c r="R440" s="6" t="str">
        <f ca="1">IFERROR(__xludf.DUMMYFUNCTION("""COMPUTED_VALUE"""),"")</f>
        <v/>
      </c>
      <c r="S440" t="str">
        <f ca="1">IFERROR(__xludf.DUMMYFUNCTION("""COMPUTED_VALUE"""),"")</f>
        <v/>
      </c>
      <c r="T440" t="str">
        <f ca="1">IFERROR(__xludf.DUMMYFUNCTION("""COMPUTED_VALUE"""),"")</f>
        <v/>
      </c>
      <c r="U440" t="str">
        <f ca="1">IFERROR(__xludf.DUMMYFUNCTION("""COMPUTED_VALUE"""),"")</f>
        <v/>
      </c>
      <c r="V440" t="str">
        <f ca="1">IFERROR(__xludf.DUMMYFUNCTION("""COMPUTED_VALUE"""),"")</f>
        <v/>
      </c>
      <c r="W440" t="str">
        <f ca="1">IFERROR(__xludf.DUMMYFUNCTION("""COMPUTED_VALUE"""),"")</f>
        <v/>
      </c>
      <c r="X440" t="str">
        <f ca="1">IFERROR(__xludf.DUMMYFUNCTION("""COMPUTED_VALUE"""),"")</f>
        <v/>
      </c>
      <c r="Y440" t="str">
        <f ca="1">IFERROR(__xludf.DUMMYFUNCTION("""COMPUTED_VALUE"""),"")</f>
        <v/>
      </c>
      <c r="Z440" t="str">
        <f ca="1">IFERROR(__xludf.DUMMYFUNCTION("""COMPUTED_VALUE"""),"")</f>
        <v/>
      </c>
      <c r="AA440" t="str">
        <f ca="1">IFERROR(__xludf.DUMMYFUNCTION("""COMPUTED_VALUE"""),"Pas de commande")</f>
        <v>Pas de commande</v>
      </c>
      <c r="AB440" s="8" t="str">
        <f ca="1">IFERROR(__xludf.DUMMYFUNCTION("""COMPUTED_VALUE"""),"")</f>
        <v/>
      </c>
      <c r="AC440" s="8" t="str">
        <f ca="1">IFERROR(__xludf.DUMMYFUNCTION("""COMPUTED_VALUE"""),"")</f>
        <v/>
      </c>
      <c r="AD440" s="11" t="str">
        <f ca="1">IFERROR(__xludf.DUMMYFUNCTION("""COMPUTED_VALUE"""),"")</f>
        <v/>
      </c>
      <c r="AE440" t="str">
        <f ca="1">IFERROR(__xludf.DUMMYFUNCTION("""COMPUTED_VALUE"""),"")</f>
        <v/>
      </c>
    </row>
    <row r="441" spans="1:31" ht="12.75" x14ac:dyDescent="0.2">
      <c r="A441">
        <f ca="1">IFERROR(__xludf.DUMMYFUNCTION("""COMPUTED_VALUE"""),37420)</f>
        <v>37420</v>
      </c>
      <c r="B441" t="str">
        <f ca="1">IFERROR(__xludf.DUMMYFUNCTION("""COMPUTED_VALUE"""),"LA SUZE-SUR-SARTHE")</f>
        <v>LA SUZE-SUR-SARTHE</v>
      </c>
      <c r="C441" t="str">
        <f ca="1">IFERROR(__xludf.DUMMYFUNCTION("""COMPUTED_VALUE"""),"Super U")</f>
        <v>Super U</v>
      </c>
      <c r="D441" t="str">
        <f ca="1">IFERROR(__xludf.DUMMYFUNCTION("""COMPUTED_VALUE"""),"Coop U Enseigne Ouest")</f>
        <v>Coop U Enseigne Ouest</v>
      </c>
      <c r="E441">
        <f ca="1">IFERROR(__xludf.DUMMYFUNCTION("""COMPUTED_VALUE"""),72210)</f>
        <v>72210</v>
      </c>
      <c r="F441" t="str">
        <f ca="1">IFERROR(__xludf.DUMMYFUNCTION("""COMPUTED_VALUE"""),"LES TRUNETIÈRES")</f>
        <v>LES TRUNETIÈRES</v>
      </c>
      <c r="G441" t="str">
        <f ca="1">IFERROR(__xludf.DUMMYFUNCTION("""COMPUTED_VALUE"""),"02.43.39.02.50")</f>
        <v>02.43.39.02.50</v>
      </c>
      <c r="H441" t="str">
        <f ca="1">IFERROR(__xludf.DUMMYFUNCTION("""COMPUTED_VALUE"""),"BUSSON Jean-bernard")</f>
        <v>BUSSON Jean-bernard</v>
      </c>
      <c r="I441" t="str">
        <f ca="1">IFERROR(__xludf.DUMMYFUNCTION("""COMPUTED_VALUE"""),"jean-bernard.busson@systeme-u.fr")</f>
        <v>jean-bernard.busson@systeme-u.fr</v>
      </c>
      <c r="J441" t="str">
        <f ca="1">IFERROR(__xludf.DUMMYFUNCTION("""COMPUTED_VALUE"""),"")</f>
        <v/>
      </c>
      <c r="K441" t="str">
        <f ca="1">IFERROR(__xludf.DUMMYFUNCTION("""COMPUTED_VALUE"""),"superu.lasuzesursarthe.compta@systeme-u.fr")</f>
        <v>superu.lasuzesursarthe.compta@systeme-u.fr</v>
      </c>
      <c r="L441" t="str">
        <f ca="1">IFERROR(__xludf.DUMMYFUNCTION("""COMPUTED_VALUE"""),"Standard")</f>
        <v>Standard</v>
      </c>
      <c r="M441" t="str">
        <f ca="1">IFERROR(__xludf.DUMMYFUNCTION("""COMPUTED_VALUE"""),"0. Non démarré")</f>
        <v>0. Non démarré</v>
      </c>
      <c r="N441" t="str">
        <f ca="1">IFERROR(__xludf.DUMMYFUNCTION("""COMPUTED_VALUE"""),"")</f>
        <v/>
      </c>
      <c r="O441" t="str">
        <f ca="1">IFERROR(__xludf.DUMMYFUNCTION("""COMPUTED_VALUE"""),"")</f>
        <v/>
      </c>
      <c r="P441" t="str">
        <f ca="1">IFERROR(__xludf.DUMMYFUNCTION("""COMPUTED_VALUE"""),"")</f>
        <v/>
      </c>
      <c r="Q441" s="5" t="str">
        <f ca="1">IFERROR(__xludf.DUMMYFUNCTION("""COMPUTED_VALUE"""),"")</f>
        <v/>
      </c>
      <c r="R441" s="6" t="str">
        <f ca="1">IFERROR(__xludf.DUMMYFUNCTION("""COMPUTED_VALUE"""),"")</f>
        <v/>
      </c>
      <c r="S441" t="str">
        <f ca="1">IFERROR(__xludf.DUMMYFUNCTION("""COMPUTED_VALUE"""),"")</f>
        <v/>
      </c>
      <c r="T441" t="str">
        <f ca="1">IFERROR(__xludf.DUMMYFUNCTION("""COMPUTED_VALUE"""),"")</f>
        <v/>
      </c>
      <c r="U441" t="str">
        <f ca="1">IFERROR(__xludf.DUMMYFUNCTION("""COMPUTED_VALUE"""),"")</f>
        <v/>
      </c>
      <c r="V441" t="str">
        <f ca="1">IFERROR(__xludf.DUMMYFUNCTION("""COMPUTED_VALUE"""),"")</f>
        <v/>
      </c>
      <c r="W441" t="str">
        <f ca="1">IFERROR(__xludf.DUMMYFUNCTION("""COMPUTED_VALUE"""),"R5")</f>
        <v>R5</v>
      </c>
      <c r="X441" t="str">
        <f ca="1">IFERROR(__xludf.DUMMYFUNCTION("""COMPUTED_VALUE"""),"Pricer")</f>
        <v>Pricer</v>
      </c>
      <c r="Y441" t="str">
        <f ca="1">IFERROR(__xludf.DUMMYFUNCTION("""COMPUTED_VALUE"""),"")</f>
        <v/>
      </c>
      <c r="Z441" t="str">
        <f ca="1">IFERROR(__xludf.DUMMYFUNCTION("""COMPUTED_VALUE"""),"")</f>
        <v/>
      </c>
      <c r="AA441" t="str">
        <f ca="1">IFERROR(__xludf.DUMMYFUNCTION("""COMPUTED_VALUE"""),"Pas de commande")</f>
        <v>Pas de commande</v>
      </c>
      <c r="AB441" s="8" t="str">
        <f ca="1">IFERROR(__xludf.DUMMYFUNCTION("""COMPUTED_VALUE"""),"")</f>
        <v/>
      </c>
      <c r="AC441" s="8" t="str">
        <f ca="1">IFERROR(__xludf.DUMMYFUNCTION("""COMPUTED_VALUE"""),"")</f>
        <v/>
      </c>
      <c r="AD441" s="11" t="str">
        <f ca="1">IFERROR(__xludf.DUMMYFUNCTION("""COMPUTED_VALUE"""),"")</f>
        <v/>
      </c>
      <c r="AE441" t="str">
        <f ca="1">IFERROR(__xludf.DUMMYFUNCTION("""COMPUTED_VALUE"""),"")</f>
        <v/>
      </c>
    </row>
    <row r="442" spans="1:31" ht="12.75" x14ac:dyDescent="0.2">
      <c r="A442">
        <f ca="1">IFERROR(__xludf.DUMMYFUNCTION("""COMPUTED_VALUE"""),66183)</f>
        <v>66183</v>
      </c>
      <c r="B442" t="str">
        <f ca="1">IFERROR(__xludf.DUMMYFUNCTION("""COMPUTED_VALUE"""),"LA TOURETTE")</f>
        <v>LA TOURETTE</v>
      </c>
      <c r="C442" t="str">
        <f ca="1">IFERROR(__xludf.DUMMYFUNCTION("""COMPUTED_VALUE"""),"Super U")</f>
        <v>Super U</v>
      </c>
      <c r="D442" t="str">
        <f ca="1">IFERROR(__xludf.DUMMYFUNCTION("""COMPUTED_VALUE"""),"Coop U Enseigne Est")</f>
        <v>Coop U Enseigne Est</v>
      </c>
      <c r="E442">
        <f ca="1">IFERROR(__xludf.DUMMYFUNCTION("""COMPUTED_VALUE"""),42380)</f>
        <v>42380</v>
      </c>
      <c r="F442" t="str">
        <f ca="1">IFERROR(__xludf.DUMMYFUNCTION("""COMPUTED_VALUE"""),"Le Grand Guéret")</f>
        <v>Le Grand Guéret</v>
      </c>
      <c r="G442" t="str">
        <f ca="1">IFERROR(__xludf.DUMMYFUNCTION("""COMPUTED_VALUE"""),"04.77.50.02.17")</f>
        <v>04.77.50.02.17</v>
      </c>
      <c r="H442" t="str">
        <f ca="1">IFERROR(__xludf.DUMMYFUNCTION("""COMPUTED_VALUE"""),"GUIGNARD Fabrice")</f>
        <v>GUIGNARD Fabrice</v>
      </c>
      <c r="I442" t="str">
        <f ca="1">IFERROR(__xludf.DUMMYFUNCTION("""COMPUTED_VALUE"""),"fabrice.guignard@systeme-u.fr")</f>
        <v>fabrice.guignard@systeme-u.fr</v>
      </c>
      <c r="J442" t="str">
        <f ca="1">IFERROR(__xludf.DUMMYFUNCTION("""COMPUTED_VALUE"""),"")</f>
        <v/>
      </c>
      <c r="K442" t="str">
        <f ca="1">IFERROR(__xludf.DUMMYFUNCTION("""COMPUTED_VALUE"""),"superu.latourette@systeme-u.fr")</f>
        <v>superu.latourette@systeme-u.fr</v>
      </c>
      <c r="L442" t="str">
        <f ca="1">IFERROR(__xludf.DUMMYFUNCTION("""COMPUTED_VALUE"""),"")</f>
        <v/>
      </c>
      <c r="M442" t="str">
        <f ca="1">IFERROR(__xludf.DUMMYFUNCTION("""COMPUTED_VALUE"""),"99.Hors Périmetre")</f>
        <v>99.Hors Périmetre</v>
      </c>
      <c r="N442" t="str">
        <f ca="1">IFERROR(__xludf.DUMMYFUNCTION("""COMPUTED_VALUE"""),"")</f>
        <v/>
      </c>
      <c r="O442" t="str">
        <f ca="1">IFERROR(__xludf.DUMMYFUNCTION("""COMPUTED_VALUE"""),"")</f>
        <v/>
      </c>
      <c r="P442" t="str">
        <f ca="1">IFERROR(__xludf.DUMMYFUNCTION("""COMPUTED_VALUE"""),"")</f>
        <v/>
      </c>
      <c r="Q442" s="5" t="str">
        <f ca="1">IFERROR(__xludf.DUMMYFUNCTION("""COMPUTED_VALUE"""),"")</f>
        <v/>
      </c>
      <c r="R442" s="6" t="str">
        <f ca="1">IFERROR(__xludf.DUMMYFUNCTION("""COMPUTED_VALUE"""),"")</f>
        <v/>
      </c>
      <c r="S442" t="str">
        <f ca="1">IFERROR(__xludf.DUMMYFUNCTION("""COMPUTED_VALUE"""),"")</f>
        <v/>
      </c>
      <c r="T442" t="str">
        <f ca="1">IFERROR(__xludf.DUMMYFUNCTION("""COMPUTED_VALUE"""),"")</f>
        <v/>
      </c>
      <c r="U442" t="str">
        <f ca="1">IFERROR(__xludf.DUMMYFUNCTION("""COMPUTED_VALUE"""),"")</f>
        <v/>
      </c>
      <c r="V442" t="str">
        <f ca="1">IFERROR(__xludf.DUMMYFUNCTION("""COMPUTED_VALUE"""),"")</f>
        <v/>
      </c>
      <c r="W442" t="str">
        <f ca="1">IFERROR(__xludf.DUMMYFUNCTION("""COMPUTED_VALUE"""),"")</f>
        <v/>
      </c>
      <c r="X442" t="str">
        <f ca="1">IFERROR(__xludf.DUMMYFUNCTION("""COMPUTED_VALUE"""),"")</f>
        <v/>
      </c>
      <c r="Y442" t="str">
        <f ca="1">IFERROR(__xludf.DUMMYFUNCTION("""COMPUTED_VALUE"""),"")</f>
        <v/>
      </c>
      <c r="Z442" t="str">
        <f ca="1">IFERROR(__xludf.DUMMYFUNCTION("""COMPUTED_VALUE"""),"")</f>
        <v/>
      </c>
      <c r="AA442" t="str">
        <f ca="1">IFERROR(__xludf.DUMMYFUNCTION("""COMPUTED_VALUE"""),"Pas de commande")</f>
        <v>Pas de commande</v>
      </c>
      <c r="AB442" s="8" t="str">
        <f ca="1">IFERROR(__xludf.DUMMYFUNCTION("""COMPUTED_VALUE"""),"")</f>
        <v/>
      </c>
      <c r="AC442" s="8" t="str">
        <f ca="1">IFERROR(__xludf.DUMMYFUNCTION("""COMPUTED_VALUE"""),"")</f>
        <v/>
      </c>
      <c r="AD442" s="11" t="str">
        <f ca="1">IFERROR(__xludf.DUMMYFUNCTION("""COMPUTED_VALUE"""),"")</f>
        <v/>
      </c>
      <c r="AE442" t="str">
        <f ca="1">IFERROR(__xludf.DUMMYFUNCTION("""COMPUTED_VALUE"""),"")</f>
        <v/>
      </c>
    </row>
    <row r="443" spans="1:31" ht="12.75" x14ac:dyDescent="0.2">
      <c r="A443">
        <f ca="1">IFERROR(__xludf.DUMMYFUNCTION("""COMPUTED_VALUE"""),37722)</f>
        <v>37722</v>
      </c>
      <c r="B443" t="str">
        <f ca="1">IFERROR(__xludf.DUMMYFUNCTION("""COMPUTED_VALUE"""),"LA TRANCHE-SUR-MER")</f>
        <v>LA TRANCHE-SUR-MER</v>
      </c>
      <c r="C443" t="str">
        <f ca="1">IFERROR(__xludf.DUMMYFUNCTION("""COMPUTED_VALUE"""),"Super U")</f>
        <v>Super U</v>
      </c>
      <c r="D443" t="str">
        <f ca="1">IFERROR(__xludf.DUMMYFUNCTION("""COMPUTED_VALUE"""),"Coop U Enseigne Ouest")</f>
        <v>Coop U Enseigne Ouest</v>
      </c>
      <c r="E443">
        <f ca="1">IFERROR(__xludf.DUMMYFUNCTION("""COMPUTED_VALUE"""),85360)</f>
        <v>85360</v>
      </c>
      <c r="F443" t="str">
        <f ca="1">IFERROR(__xludf.DUMMYFUNCTION("""COMPUTED_VALUE"""),"CHEMIN DU VASAIS DE MILLET")</f>
        <v>CHEMIN DU VASAIS DE MILLET</v>
      </c>
      <c r="G443" t="str">
        <f ca="1">IFERROR(__xludf.DUMMYFUNCTION("""COMPUTED_VALUE"""),"02.51.30.49.49")</f>
        <v>02.51.30.49.49</v>
      </c>
      <c r="H443" t="str">
        <f ca="1">IFERROR(__xludf.DUMMYFUNCTION("""COMPUTED_VALUE"""),"BREGEON RPT SAS AUREFI Gérard")</f>
        <v>BREGEON RPT SAS AUREFI Gérard</v>
      </c>
      <c r="I443" t="str">
        <f ca="1">IFERROR(__xludf.DUMMYFUNCTION("""COMPUTED_VALUE"""),"gerard.bregeon@systeme-u.fr")</f>
        <v>gerard.bregeon@systeme-u.fr</v>
      </c>
      <c r="J443" t="str">
        <f ca="1">IFERROR(__xludf.DUMMYFUNCTION("""COMPUTED_VALUE"""),"Mr GUIBERT")</f>
        <v>Mr GUIBERT</v>
      </c>
      <c r="K443" t="str">
        <f ca="1">IFERROR(__xludf.DUMMYFUNCTION("""COMPUTED_VALUE"""),"superu.latranchesurmer.administratif@systeme-u.fr")</f>
        <v>superu.latranchesurmer.administratif@systeme-u.fr</v>
      </c>
      <c r="L443" t="str">
        <f ca="1">IFERROR(__xludf.DUMMYFUNCTION("""COMPUTED_VALUE"""),"")</f>
        <v/>
      </c>
      <c r="M443" t="str">
        <f ca="1">IFERROR(__xludf.DUMMYFUNCTION("""COMPUTED_VALUE"""),"99.Hors Périmetre")</f>
        <v>99.Hors Périmetre</v>
      </c>
      <c r="N443" t="str">
        <f ca="1">IFERROR(__xludf.DUMMYFUNCTION("""COMPUTED_VALUE"""),"")</f>
        <v/>
      </c>
      <c r="O443" t="str">
        <f ca="1">IFERROR(__xludf.DUMMYFUNCTION("""COMPUTED_VALUE"""),"")</f>
        <v/>
      </c>
      <c r="P443" t="str">
        <f ca="1">IFERROR(__xludf.DUMMYFUNCTION("""COMPUTED_VALUE"""),"")</f>
        <v/>
      </c>
      <c r="Q443" s="5" t="str">
        <f ca="1">IFERROR(__xludf.DUMMYFUNCTION("""COMPUTED_VALUE"""),"")</f>
        <v/>
      </c>
      <c r="R443" s="6" t="str">
        <f ca="1">IFERROR(__xludf.DUMMYFUNCTION("""COMPUTED_VALUE"""),"")</f>
        <v/>
      </c>
      <c r="S443" t="str">
        <f ca="1">IFERROR(__xludf.DUMMYFUNCTION("""COMPUTED_VALUE"""),"")</f>
        <v/>
      </c>
      <c r="T443" t="str">
        <f ca="1">IFERROR(__xludf.DUMMYFUNCTION("""COMPUTED_VALUE"""),"")</f>
        <v/>
      </c>
      <c r="U443" t="str">
        <f ca="1">IFERROR(__xludf.DUMMYFUNCTION("""COMPUTED_VALUE"""),"")</f>
        <v/>
      </c>
      <c r="V443" t="str">
        <f ca="1">IFERROR(__xludf.DUMMYFUNCTION("""COMPUTED_VALUE"""),"")</f>
        <v/>
      </c>
      <c r="W443" t="str">
        <f ca="1">IFERROR(__xludf.DUMMYFUNCTION("""COMPUTED_VALUE"""),"")</f>
        <v/>
      </c>
      <c r="X443" t="str">
        <f ca="1">IFERROR(__xludf.DUMMYFUNCTION("""COMPUTED_VALUE"""),"")</f>
        <v/>
      </c>
      <c r="Y443" t="str">
        <f ca="1">IFERROR(__xludf.DUMMYFUNCTION("""COMPUTED_VALUE"""),"")</f>
        <v/>
      </c>
      <c r="Z443" t="str">
        <f ca="1">IFERROR(__xludf.DUMMYFUNCTION("""COMPUTED_VALUE"""),"")</f>
        <v/>
      </c>
      <c r="AA443" t="str">
        <f ca="1">IFERROR(__xludf.DUMMYFUNCTION("""COMPUTED_VALUE"""),"Pas de commande")</f>
        <v>Pas de commande</v>
      </c>
      <c r="AB443" s="8" t="str">
        <f ca="1">IFERROR(__xludf.DUMMYFUNCTION("""COMPUTED_VALUE"""),"")</f>
        <v/>
      </c>
      <c r="AC443" s="8" t="str">
        <f ca="1">IFERROR(__xludf.DUMMYFUNCTION("""COMPUTED_VALUE"""),"")</f>
        <v/>
      </c>
      <c r="AD443" s="11" t="str">
        <f ca="1">IFERROR(__xludf.DUMMYFUNCTION("""COMPUTED_VALUE"""),"")</f>
        <v/>
      </c>
      <c r="AE443" t="str">
        <f ca="1">IFERROR(__xludf.DUMMYFUNCTION("""COMPUTED_VALUE"""),"")</f>
        <v/>
      </c>
    </row>
    <row r="444" spans="1:31" ht="12.75" x14ac:dyDescent="0.2">
      <c r="A444">
        <f ca="1">IFERROR(__xludf.DUMMYFUNCTION("""COMPUTED_VALUE"""),34171)</f>
        <v>34171</v>
      </c>
      <c r="B444" t="str">
        <f ca="1">IFERROR(__xludf.DUMMYFUNCTION("""COMPUTED_VALUE"""),"LA TREMBLADE")</f>
        <v>LA TREMBLADE</v>
      </c>
      <c r="C444" t="str">
        <f ca="1">IFERROR(__xludf.DUMMYFUNCTION("""COMPUTED_VALUE"""),"U Express")</f>
        <v>U Express</v>
      </c>
      <c r="D444" t="str">
        <f ca="1">IFERROR(__xludf.DUMMYFUNCTION("""COMPUTED_VALUE"""),"Coop Atlantique")</f>
        <v>Coop Atlantique</v>
      </c>
      <c r="E444">
        <f ca="1">IFERROR(__xludf.DUMMYFUNCTION("""COMPUTED_VALUE"""),17390)</f>
        <v>17390</v>
      </c>
      <c r="F444" t="str">
        <f ca="1">IFERROR(__xludf.DUMMYFUNCTION("""COMPUTED_VALUE"""),"BOULEVARD PASTEUR")</f>
        <v>BOULEVARD PASTEUR</v>
      </c>
      <c r="G444" t="str">
        <f ca="1">IFERROR(__xludf.DUMMYFUNCTION("""COMPUTED_VALUE"""),"05.46.36.20.07")</f>
        <v>05.46.36.20.07</v>
      </c>
      <c r="H444" t="str">
        <f ca="1">IFERROR(__xludf.DUMMYFUNCTION("""COMPUTED_VALUE"""),"FLAMBARD Hervé")</f>
        <v>FLAMBARD Hervé</v>
      </c>
      <c r="I444" t="str">
        <f ca="1">IFERROR(__xludf.DUMMYFUNCTION("""COMPUTED_VALUE"""),"bertrand.defontaine_coop_su_uex@systeme-u.fr")</f>
        <v>bertrand.defontaine_coop_su_uex@systeme-u.fr</v>
      </c>
      <c r="J444" t="str">
        <f ca="1">IFERROR(__xludf.DUMMYFUNCTION("""COMPUTED_VALUE"""),"Sylvie BOUTET")</f>
        <v>Sylvie BOUTET</v>
      </c>
      <c r="K444" t="str">
        <f ca="1">IFERROR(__xludf.DUMMYFUNCTION("""COMPUTED_VALUE"""),"uexpress.latremblade.direction@systeme-u.fr,nbrigant@coop-atlantique.fr,sjaud@coop-atlantique.fr,uexpress.latremblade@systeme-u.fr, pportier@coop-atlantique.fr")</f>
        <v>uexpress.latremblade.direction@systeme-u.fr,nbrigant@coop-atlantique.fr,sjaud@coop-atlantique.fr,uexpress.latremblade@systeme-u.fr, pportier@coop-atlantique.fr</v>
      </c>
      <c r="L444" t="str">
        <f ca="1">IFERROR(__xludf.DUMMYFUNCTION("""COMPUTED_VALUE"""),"Standard")</f>
        <v>Standard</v>
      </c>
      <c r="M444" t="str">
        <f ca="1">IFERROR(__xludf.DUMMYFUNCTION("""COMPUTED_VALUE"""),"0. Non démarré")</f>
        <v>0. Non démarré</v>
      </c>
      <c r="N444" t="str">
        <f ca="1">IFERROR(__xludf.DUMMYFUNCTION("""COMPUTED_VALUE"""),"")</f>
        <v/>
      </c>
      <c r="O444" t="str">
        <f ca="1">IFERROR(__xludf.DUMMYFUNCTION("""COMPUTED_VALUE"""),"")</f>
        <v/>
      </c>
      <c r="P444" t="str">
        <f ca="1">IFERROR(__xludf.DUMMYFUNCTION("""COMPUTED_VALUE"""),"")</f>
        <v/>
      </c>
      <c r="Q444" s="5" t="str">
        <f ca="1">IFERROR(__xludf.DUMMYFUNCTION("""COMPUTED_VALUE"""),"")</f>
        <v/>
      </c>
      <c r="R444" s="6" t="str">
        <f ca="1">IFERROR(__xludf.DUMMYFUNCTION("""COMPUTED_VALUE"""),"")</f>
        <v/>
      </c>
      <c r="S444" t="str">
        <f ca="1">IFERROR(__xludf.DUMMYFUNCTION("""COMPUTED_VALUE"""),"")</f>
        <v/>
      </c>
      <c r="T444" t="str">
        <f ca="1">IFERROR(__xludf.DUMMYFUNCTION("""COMPUTED_VALUE"""),"")</f>
        <v/>
      </c>
      <c r="U444" t="str">
        <f ca="1">IFERROR(__xludf.DUMMYFUNCTION("""COMPUTED_VALUE"""),"")</f>
        <v/>
      </c>
      <c r="V444" t="str">
        <f ca="1">IFERROR(__xludf.DUMMYFUNCTION("""COMPUTED_VALUE"""),"")</f>
        <v/>
      </c>
      <c r="W444" t="str">
        <f ca="1">IFERROR(__xludf.DUMMYFUNCTION("""COMPUTED_VALUE"""),"R5")</f>
        <v>R5</v>
      </c>
      <c r="X444" t="str">
        <f ca="1">IFERROR(__xludf.DUMMYFUNCTION("""COMPUTED_VALUE"""),"PC mag &lt;8Go")</f>
        <v>PC mag &lt;8Go</v>
      </c>
      <c r="Y444" t="str">
        <f ca="1">IFERROR(__xludf.DUMMYFUNCTION("""COMPUTED_VALUE"""),"")</f>
        <v/>
      </c>
      <c r="Z444" t="str">
        <f ca="1">IFERROR(__xludf.DUMMYFUNCTION("""COMPUTED_VALUE"""),"")</f>
        <v/>
      </c>
      <c r="AA444" t="str">
        <f ca="1">IFERROR(__xludf.DUMMYFUNCTION("""COMPUTED_VALUE"""),"Pas de commande")</f>
        <v>Pas de commande</v>
      </c>
      <c r="AB444" s="8" t="str">
        <f ca="1">IFERROR(__xludf.DUMMYFUNCTION("""COMPUTED_VALUE"""),"")</f>
        <v/>
      </c>
      <c r="AC444" s="8" t="str">
        <f ca="1">IFERROR(__xludf.DUMMYFUNCTION("""COMPUTED_VALUE"""),"")</f>
        <v/>
      </c>
      <c r="AD444" s="11" t="str">
        <f ca="1">IFERROR(__xludf.DUMMYFUNCTION("""COMPUTED_VALUE"""),"")</f>
        <v/>
      </c>
      <c r="AE444" t="str">
        <f ca="1">IFERROR(__xludf.DUMMYFUNCTION("""COMPUTED_VALUE"""),"")</f>
        <v/>
      </c>
    </row>
    <row r="445" spans="1:31" ht="12.75" x14ac:dyDescent="0.2">
      <c r="A445">
        <f ca="1">IFERROR(__xludf.DUMMYFUNCTION("""COMPUTED_VALUE"""),90576)</f>
        <v>90576</v>
      </c>
      <c r="B445" t="str">
        <f ca="1">IFERROR(__xludf.DUMMYFUNCTION("""COMPUTED_VALUE"""),"LA TRINITE PORTO VECCHIO")</f>
        <v>LA TRINITE PORTO VECCHIO</v>
      </c>
      <c r="C445" t="str">
        <f ca="1">IFERROR(__xludf.DUMMYFUNCTION("""COMPUTED_VALUE"""),"Super U")</f>
        <v>Super U</v>
      </c>
      <c r="D445" t="str">
        <f ca="1">IFERROR(__xludf.DUMMYFUNCTION("""COMPUTED_VALUE"""),"Coop U Enseigne Sud")</f>
        <v>Coop U Enseigne Sud</v>
      </c>
      <c r="E445">
        <f ca="1">IFERROR(__xludf.DUMMYFUNCTION("""COMPUTED_VALUE"""),20137)</f>
        <v>20137</v>
      </c>
      <c r="F445" t="str">
        <f ca="1">IFERROR(__xludf.DUMMYFUNCTION("""COMPUTED_VALUE"""),"RT10 (EX RN 198)")</f>
        <v>RT10 (EX RN 198)</v>
      </c>
      <c r="G445" t="str">
        <f ca="1">IFERROR(__xludf.DUMMYFUNCTION("""COMPUTED_VALUE"""),"04.95.72.07.21")</f>
        <v>04.95.72.07.21</v>
      </c>
      <c r="H445" t="str">
        <f ca="1">IFERROR(__xludf.DUMMYFUNCTION("""COMPUTED_VALUE"""),"ANTOGNETTI PHILIPPE")</f>
        <v>ANTOGNETTI PHILIPPE</v>
      </c>
      <c r="I445" t="str">
        <f ca="1">IFERROR(__xludf.DUMMYFUNCTION("""COMPUTED_VALUE"""),"philippe.antognetti@systeme-u.fr")</f>
        <v>philippe.antognetti@systeme-u.fr</v>
      </c>
      <c r="J445" t="str">
        <f ca="1">IFERROR(__xludf.DUMMYFUNCTION("""COMPUTED_VALUE"""),"M. THEREAU")</f>
        <v>M. THEREAU</v>
      </c>
      <c r="K445" t="str">
        <f ca="1">IFERROR(__xludf.DUMMYFUNCTION("""COMPUTED_VALUE"""),"superu.latrinite.direction@systeme-u.fr")</f>
        <v>superu.latrinite.direction@systeme-u.fr</v>
      </c>
      <c r="L445" t="str">
        <f ca="1">IFERROR(__xludf.DUMMYFUNCTION("""COMPUTED_VALUE"""),"")</f>
        <v/>
      </c>
      <c r="M445" t="str">
        <f ca="1">IFERROR(__xludf.DUMMYFUNCTION("""COMPUTED_VALUE"""),"99.Hors Périmetre")</f>
        <v>99.Hors Périmetre</v>
      </c>
      <c r="N445" t="str">
        <f ca="1">IFERROR(__xludf.DUMMYFUNCTION("""COMPUTED_VALUE"""),"")</f>
        <v/>
      </c>
      <c r="O445" t="str">
        <f ca="1">IFERROR(__xludf.DUMMYFUNCTION("""COMPUTED_VALUE"""),"")</f>
        <v/>
      </c>
      <c r="P445" t="str">
        <f ca="1">IFERROR(__xludf.DUMMYFUNCTION("""COMPUTED_VALUE"""),"")</f>
        <v/>
      </c>
      <c r="Q445" s="5" t="str">
        <f ca="1">IFERROR(__xludf.DUMMYFUNCTION("""COMPUTED_VALUE"""),"")</f>
        <v/>
      </c>
      <c r="R445" s="6" t="str">
        <f ca="1">IFERROR(__xludf.DUMMYFUNCTION("""COMPUTED_VALUE"""),"")</f>
        <v/>
      </c>
      <c r="S445" t="str">
        <f ca="1">IFERROR(__xludf.DUMMYFUNCTION("""COMPUTED_VALUE"""),"")</f>
        <v/>
      </c>
      <c r="T445" t="str">
        <f ca="1">IFERROR(__xludf.DUMMYFUNCTION("""COMPUTED_VALUE"""),"")</f>
        <v/>
      </c>
      <c r="U445" t="str">
        <f ca="1">IFERROR(__xludf.DUMMYFUNCTION("""COMPUTED_VALUE"""),"")</f>
        <v/>
      </c>
      <c r="V445" t="str">
        <f ca="1">IFERROR(__xludf.DUMMYFUNCTION("""COMPUTED_VALUE"""),"")</f>
        <v/>
      </c>
      <c r="W445" t="str">
        <f ca="1">IFERROR(__xludf.DUMMYFUNCTION("""COMPUTED_VALUE"""),"R5")</f>
        <v>R5</v>
      </c>
      <c r="X445" t="str">
        <f ca="1">IFERROR(__xludf.DUMMYFUNCTION("""COMPUTED_VALUE"""),"Pricer")</f>
        <v>Pricer</v>
      </c>
      <c r="Y445" t="str">
        <f ca="1">IFERROR(__xludf.DUMMYFUNCTION("""COMPUTED_VALUE"""),"")</f>
        <v/>
      </c>
      <c r="Z445" t="str">
        <f ca="1">IFERROR(__xludf.DUMMYFUNCTION("""COMPUTED_VALUE"""),"")</f>
        <v/>
      </c>
      <c r="AA445" t="str">
        <f ca="1">IFERROR(__xludf.DUMMYFUNCTION("""COMPUTED_VALUE"""),"Pas de commande")</f>
        <v>Pas de commande</v>
      </c>
      <c r="AB445" s="8" t="str">
        <f ca="1">IFERROR(__xludf.DUMMYFUNCTION("""COMPUTED_VALUE"""),"")</f>
        <v/>
      </c>
      <c r="AC445" s="8" t="str">
        <f ca="1">IFERROR(__xludf.DUMMYFUNCTION("""COMPUTED_VALUE"""),"")</f>
        <v/>
      </c>
      <c r="AD445" s="11" t="str">
        <f ca="1">IFERROR(__xludf.DUMMYFUNCTION("""COMPUTED_VALUE"""),"")</f>
        <v/>
      </c>
      <c r="AE445" t="str">
        <f ca="1">IFERROR(__xludf.DUMMYFUNCTION("""COMPUTED_VALUE"""),"")</f>
        <v/>
      </c>
    </row>
    <row r="446" spans="1:31" ht="12.75" x14ac:dyDescent="0.2">
      <c r="A446">
        <f ca="1">IFERROR(__xludf.DUMMYFUNCTION("""COMPUTED_VALUE"""),35101)</f>
        <v>35101</v>
      </c>
      <c r="B446" t="str">
        <f ca="1">IFERROR(__xludf.DUMMYFUNCTION("""COMPUTED_VALUE"""),"LA TURBALLE")</f>
        <v>LA TURBALLE</v>
      </c>
      <c r="C446" t="str">
        <f ca="1">IFERROR(__xludf.DUMMYFUNCTION("""COMPUTED_VALUE"""),"Super U")</f>
        <v>Super U</v>
      </c>
      <c r="D446" t="str">
        <f ca="1">IFERROR(__xludf.DUMMYFUNCTION("""COMPUTED_VALUE"""),"Coop U Enseigne Ouest")</f>
        <v>Coop U Enseigne Ouest</v>
      </c>
      <c r="E446">
        <f ca="1">IFERROR(__xludf.DUMMYFUNCTION("""COMPUTED_VALUE"""),44420)</f>
        <v>44420</v>
      </c>
      <c r="F446" t="str">
        <f ca="1">IFERROR(__xludf.DUMMYFUNCTION("""COMPUTED_VALUE"""),"2 RUE DES PINS")</f>
        <v>2 RUE DES PINS</v>
      </c>
      <c r="G446" t="str">
        <f ca="1">IFERROR(__xludf.DUMMYFUNCTION("""COMPUTED_VALUE"""),"02.40.11.88.44")</f>
        <v>02.40.11.88.44</v>
      </c>
      <c r="H446" t="str">
        <f ca="1">IFERROR(__xludf.DUMMYFUNCTION("""COMPUTED_VALUE"""),"MARSAC Jean Baptiste")</f>
        <v>MARSAC Jean Baptiste</v>
      </c>
      <c r="I446" t="str">
        <f ca="1">IFERROR(__xludf.DUMMYFUNCTION("""COMPUTED_VALUE"""),"jean-baptiste.marsac@systeme-u.fr")</f>
        <v>jean-baptiste.marsac@systeme-u.fr</v>
      </c>
      <c r="J446" t="str">
        <f ca="1">IFERROR(__xludf.DUMMYFUNCTION("""COMPUTED_VALUE"""),"MACE  Steven
Florence (UPLV)")</f>
        <v>MACE  Steven
Florence (UPLV)</v>
      </c>
      <c r="K446" t="str">
        <f ca="1">IFERROR(__xludf.DUMMYFUNCTION("""COMPUTED_VALUE"""),"superu.laturballe.direction@systeme-u.fr, superu.laturballe@systeme-u.fr")</f>
        <v>superu.laturballe.direction@systeme-u.fr, superu.laturballe@systeme-u.fr</v>
      </c>
      <c r="L446" t="str">
        <f ca="1">IFERROR(__xludf.DUMMYFUNCTION("""COMPUTED_VALUE"""),"")</f>
        <v/>
      </c>
      <c r="M446" t="str">
        <f ca="1">IFERROR(__xludf.DUMMYFUNCTION("""COMPUTED_VALUE"""),"2. Migration planifiée")</f>
        <v>2. Migration planifiée</v>
      </c>
      <c r="N446" t="str">
        <f ca="1">IFERROR(__xludf.DUMMYFUNCTION("""COMPUTED_VALUE"""),"")</f>
        <v/>
      </c>
      <c r="O446" t="str">
        <f ca="1">IFERROR(__xludf.DUMMYFUNCTION("""COMPUTED_VALUE"""),"12/04 CMA Migration planifiée avec Mr MACé le 10/05")</f>
        <v>12/04 CMA Migration planifiée avec Mr MACé le 10/05</v>
      </c>
      <c r="P446">
        <f ca="1">IFERROR(__xludf.DUMMYFUNCTION("""COMPUTED_VALUE"""),19)</f>
        <v>19</v>
      </c>
      <c r="Q446" s="5">
        <f ca="1">IFERROR(__xludf.DUMMYFUNCTION("""COMPUTED_VALUE"""),43570)</f>
        <v>43570</v>
      </c>
      <c r="R446" s="6">
        <f ca="1">IFERROR(__xludf.DUMMYFUNCTION("""COMPUTED_VALUE"""),43595.3958333333)</f>
        <v>43595.395833333299</v>
      </c>
      <c r="S446" t="str">
        <f ca="1">IFERROR(__xludf.DUMMYFUNCTION("""COMPUTED_VALUE"""),"MEP8523270")</f>
        <v>MEP8523270</v>
      </c>
      <c r="T446" t="str">
        <f ca="1">IFERROR(__xludf.DUMMYFUNCTION("""COMPUTED_VALUE"""),"MEP8523271")</f>
        <v>MEP8523271</v>
      </c>
      <c r="U446" t="str">
        <f ca="1">IFERROR(__xludf.DUMMYFUNCTION("""COMPUTED_VALUE"""),"")</f>
        <v/>
      </c>
      <c r="V446" t="str">
        <f ca="1">IFERROR(__xludf.DUMMYFUNCTION("""COMPUTED_VALUE"""),"10.188.88.237")</f>
        <v>10.188.88.237</v>
      </c>
      <c r="W446" t="str">
        <f ca="1">IFERROR(__xludf.DUMMYFUNCTION("""COMPUTED_VALUE"""),"R5")</f>
        <v>R5</v>
      </c>
      <c r="X446" t="str">
        <f ca="1">IFERROR(__xludf.DUMMYFUNCTION("""COMPUTED_VALUE"""),"U StoreBox")</f>
        <v>U StoreBox</v>
      </c>
      <c r="Y446" t="str">
        <f ca="1">IFERROR(__xludf.DUMMYFUNCTION("""COMPUTED_VALUE"""),"Primo")</f>
        <v>Primo</v>
      </c>
      <c r="Z446" t="str">
        <f ca="1">IFERROR(__xludf.DUMMYFUNCTION("""COMPUTED_VALUE"""),"")</f>
        <v/>
      </c>
      <c r="AA446" t="str">
        <f ca="1">IFERROR(__xludf.DUMMYFUNCTION("""COMPUTED_VALUE"""),"Prérequis déposés")</f>
        <v>Prérequis déposés</v>
      </c>
      <c r="AB446" s="8">
        <f ca="1">IFERROR(__xludf.DUMMYFUNCTION("""COMPUTED_VALUE"""),43598)</f>
        <v>43598</v>
      </c>
      <c r="AC446" s="8">
        <f ca="1">IFERROR(__xludf.DUMMYFUNCTION("""COMPUTED_VALUE"""),43601)</f>
        <v>43601</v>
      </c>
      <c r="AD446" s="11">
        <f ca="1">IFERROR(__xludf.DUMMYFUNCTION("""COMPUTED_VALUE"""),43601)</f>
        <v>43601</v>
      </c>
      <c r="AE446" t="str">
        <f ca="1">IFERROR(__xludf.DUMMYFUNCTION("""COMPUTED_VALUE"""),"")</f>
        <v/>
      </c>
    </row>
    <row r="447" spans="1:31" ht="12.75" x14ac:dyDescent="0.2">
      <c r="A447">
        <f ca="1">IFERROR(__xludf.DUMMYFUNCTION("""COMPUTED_VALUE"""),68541)</f>
        <v>68541</v>
      </c>
      <c r="B447" t="str">
        <f ca="1">IFERROR(__xludf.DUMMYFUNCTION("""COMPUTED_VALUE"""),"LA VERPILLIERE")</f>
        <v>LA VERPILLIERE</v>
      </c>
      <c r="C447" t="str">
        <f ca="1">IFERROR(__xludf.DUMMYFUNCTION("""COMPUTED_VALUE"""),"Super U")</f>
        <v>Super U</v>
      </c>
      <c r="D447" t="str">
        <f ca="1">IFERROR(__xludf.DUMMYFUNCTION("""COMPUTED_VALUE"""),"Coop U Enseigne Est")</f>
        <v>Coop U Enseigne Est</v>
      </c>
      <c r="E447">
        <f ca="1">IFERROR(__xludf.DUMMYFUNCTION("""COMPUTED_VALUE"""),38290)</f>
        <v>38290</v>
      </c>
      <c r="F447" t="str">
        <f ca="1">IFERROR(__xludf.DUMMYFUNCTION("""COMPUTED_VALUE"""),"RUE DE PICARDIE.")</f>
        <v>RUE DE PICARDIE.</v>
      </c>
      <c r="G447" t="str">
        <f ca="1">IFERROR(__xludf.DUMMYFUNCTION("""COMPUTED_VALUE"""),"04.74.95.28.70")</f>
        <v>04.74.95.28.70</v>
      </c>
      <c r="H447" t="str">
        <f ca="1">IFERROR(__xludf.DUMMYFUNCTION("""COMPUTED_VALUE"""),"FLANC Noémie")</f>
        <v>FLANC Noémie</v>
      </c>
      <c r="I447" t="str">
        <f ca="1">IFERROR(__xludf.DUMMYFUNCTION("""COMPUTED_VALUE"""),"noemie.flanc@systeme-u.fr")</f>
        <v>noemie.flanc@systeme-u.fr</v>
      </c>
      <c r="J447" t="str">
        <f ca="1">IFERROR(__xludf.DUMMYFUNCTION("""COMPUTED_VALUE"""),"Mr Decamp")</f>
        <v>Mr Decamp</v>
      </c>
      <c r="K447" t="str">
        <f ca="1">IFERROR(__xludf.DUMMYFUNCTION("""COMPUTED_VALUE"""),"superu.laverpilliere.directeur@systeme-u.fr")</f>
        <v>superu.laverpilliere.directeur@systeme-u.fr</v>
      </c>
      <c r="L447" t="str">
        <f ca="1">IFERROR(__xludf.DUMMYFUNCTION("""COMPUTED_VALUE"""),"")</f>
        <v/>
      </c>
      <c r="M447" t="str">
        <f ca="1">IFERROR(__xludf.DUMMYFUNCTION("""COMPUTED_VALUE"""),"99.Hors Périmetre")</f>
        <v>99.Hors Périmetre</v>
      </c>
      <c r="N447" t="str">
        <f ca="1">IFERROR(__xludf.DUMMYFUNCTION("""COMPUTED_VALUE"""),"")</f>
        <v/>
      </c>
      <c r="O447" t="str">
        <f ca="1">IFERROR(__xludf.DUMMYFUNCTION("""COMPUTED_VALUE"""),"")</f>
        <v/>
      </c>
      <c r="P447" t="str">
        <f ca="1">IFERROR(__xludf.DUMMYFUNCTION("""COMPUTED_VALUE"""),"")</f>
        <v/>
      </c>
      <c r="Q447" s="5" t="str">
        <f ca="1">IFERROR(__xludf.DUMMYFUNCTION("""COMPUTED_VALUE"""),"")</f>
        <v/>
      </c>
      <c r="R447" s="6" t="str">
        <f ca="1">IFERROR(__xludf.DUMMYFUNCTION("""COMPUTED_VALUE"""),"")</f>
        <v/>
      </c>
      <c r="S447" t="str">
        <f ca="1">IFERROR(__xludf.DUMMYFUNCTION("""COMPUTED_VALUE"""),"")</f>
        <v/>
      </c>
      <c r="T447" t="str">
        <f ca="1">IFERROR(__xludf.DUMMYFUNCTION("""COMPUTED_VALUE"""),"")</f>
        <v/>
      </c>
      <c r="U447" t="str">
        <f ca="1">IFERROR(__xludf.DUMMYFUNCTION("""COMPUTED_VALUE"""),"")</f>
        <v/>
      </c>
      <c r="V447" t="str">
        <f ca="1">IFERROR(__xludf.DUMMYFUNCTION("""COMPUTED_VALUE"""),"")</f>
        <v/>
      </c>
      <c r="W447" t="str">
        <f ca="1">IFERROR(__xludf.DUMMYFUNCTION("""COMPUTED_VALUE"""),"")</f>
        <v/>
      </c>
      <c r="X447" t="str">
        <f ca="1">IFERROR(__xludf.DUMMYFUNCTION("""COMPUTED_VALUE"""),"")</f>
        <v/>
      </c>
      <c r="Y447" t="str">
        <f ca="1">IFERROR(__xludf.DUMMYFUNCTION("""COMPUTED_VALUE"""),"")</f>
        <v/>
      </c>
      <c r="Z447" t="str">
        <f ca="1">IFERROR(__xludf.DUMMYFUNCTION("""COMPUTED_VALUE"""),"")</f>
        <v/>
      </c>
      <c r="AA447" t="str">
        <f ca="1">IFERROR(__xludf.DUMMYFUNCTION("""COMPUTED_VALUE"""),"Pas de commande")</f>
        <v>Pas de commande</v>
      </c>
      <c r="AB447" s="8" t="str">
        <f ca="1">IFERROR(__xludf.DUMMYFUNCTION("""COMPUTED_VALUE"""),"")</f>
        <v/>
      </c>
      <c r="AC447" s="8" t="str">
        <f ca="1">IFERROR(__xludf.DUMMYFUNCTION("""COMPUTED_VALUE"""),"")</f>
        <v/>
      </c>
      <c r="AD447" s="11" t="str">
        <f ca="1">IFERROR(__xludf.DUMMYFUNCTION("""COMPUTED_VALUE"""),"")</f>
        <v/>
      </c>
      <c r="AE447" t="str">
        <f ca="1">IFERROR(__xludf.DUMMYFUNCTION("""COMPUTED_VALUE"""),"")</f>
        <v/>
      </c>
    </row>
    <row r="448" spans="1:31" ht="12.75" x14ac:dyDescent="0.2">
      <c r="A448">
        <f ca="1">IFERROR(__xludf.DUMMYFUNCTION("""COMPUTED_VALUE"""),99217)</f>
        <v>99217</v>
      </c>
      <c r="B448" t="str">
        <f ca="1">IFERROR(__xludf.DUMMYFUNCTION("""COMPUTED_VALUE"""),"LA-RIVIERE-IDR")</f>
        <v>LA-RIVIERE-IDR</v>
      </c>
      <c r="C448" t="str">
        <f ca="1">IFERROR(__xludf.DUMMYFUNCTION("""COMPUTED_VALUE"""),"Super U")</f>
        <v>Super U</v>
      </c>
      <c r="D448" t="str">
        <f ca="1">IFERROR(__xludf.DUMMYFUNCTION("""COMPUTED_VALUE"""),"Coop U Enseigne Sud")</f>
        <v>Coop U Enseigne Sud</v>
      </c>
      <c r="E448">
        <f ca="1">IFERROR(__xludf.DUMMYFUNCTION("""COMPUTED_VALUE"""),97421)</f>
        <v>97421</v>
      </c>
      <c r="F448" t="str">
        <f ca="1">IFERROR(__xludf.DUMMYFUNCTION("""COMPUTED_VALUE"""),"22 RUE PERE LAPORTE")</f>
        <v>22 RUE PERE LAPORTE</v>
      </c>
      <c r="G448" t="str">
        <f ca="1">IFERROR(__xludf.DUMMYFUNCTION("""COMPUTED_VALUE"""),"06.92.61.37.37")</f>
        <v>06.92.61.37.37</v>
      </c>
      <c r="H448" t="str">
        <f ca="1">IFERROR(__xludf.DUMMYFUNCTION("""COMPUTED_VALUE"""),"AH-KOUEN Pierrette")</f>
        <v>AH-KOUEN Pierrette</v>
      </c>
      <c r="I448" t="str">
        <f ca="1">IFERROR(__xludf.DUMMYFUNCTION("""COMPUTED_VALUE"""),"pierrette.ahkouen@systeme-u.fr")</f>
        <v>pierrette.ahkouen@systeme-u.fr</v>
      </c>
      <c r="J448" t="str">
        <f ca="1">IFERROR(__xludf.DUMMYFUNCTION("""COMPUTED_VALUE"""),"Mr Ricquebourg (directeur)")</f>
        <v>Mr Ricquebourg (directeur)</v>
      </c>
      <c r="K448" t="str">
        <f ca="1">IFERROR(__xludf.DUMMYFUNCTION("""COMPUTED_VALUE"""),"superu.lariviere.direction@systeme-u.fr")</f>
        <v>superu.lariviere.direction@systeme-u.fr</v>
      </c>
      <c r="L448" t="str">
        <f ca="1">IFERROR(__xludf.DUMMYFUNCTION("""COMPUTED_VALUE"""),"")</f>
        <v/>
      </c>
      <c r="M448" t="str">
        <f ca="1">IFERROR(__xludf.DUMMYFUNCTION("""COMPUTED_VALUE"""),"99.Hors Périmetre")</f>
        <v>99.Hors Périmetre</v>
      </c>
      <c r="N448" t="str">
        <f ca="1">IFERROR(__xludf.DUMMYFUNCTION("""COMPUTED_VALUE"""),"")</f>
        <v/>
      </c>
      <c r="O448" t="str">
        <f ca="1">IFERROR(__xludf.DUMMYFUNCTION("""COMPUTED_VALUE"""),"")</f>
        <v/>
      </c>
      <c r="P448" t="str">
        <f ca="1">IFERROR(__xludf.DUMMYFUNCTION("""COMPUTED_VALUE"""),"")</f>
        <v/>
      </c>
      <c r="Q448" s="5" t="str">
        <f ca="1">IFERROR(__xludf.DUMMYFUNCTION("""COMPUTED_VALUE"""),"")</f>
        <v/>
      </c>
      <c r="R448" s="6" t="str">
        <f ca="1">IFERROR(__xludf.DUMMYFUNCTION("""COMPUTED_VALUE"""),"")</f>
        <v/>
      </c>
      <c r="S448" t="str">
        <f ca="1">IFERROR(__xludf.DUMMYFUNCTION("""COMPUTED_VALUE"""),"")</f>
        <v/>
      </c>
      <c r="T448" t="str">
        <f ca="1">IFERROR(__xludf.DUMMYFUNCTION("""COMPUTED_VALUE"""),"")</f>
        <v/>
      </c>
      <c r="U448" t="str">
        <f ca="1">IFERROR(__xludf.DUMMYFUNCTION("""COMPUTED_VALUE"""),"")</f>
        <v/>
      </c>
      <c r="V448" t="str">
        <f ca="1">IFERROR(__xludf.DUMMYFUNCTION("""COMPUTED_VALUE"""),"")</f>
        <v/>
      </c>
      <c r="W448" t="str">
        <f ca="1">IFERROR(__xludf.DUMMYFUNCTION("""COMPUTED_VALUE"""),"")</f>
        <v/>
      </c>
      <c r="X448" t="str">
        <f ca="1">IFERROR(__xludf.DUMMYFUNCTION("""COMPUTED_VALUE"""),"")</f>
        <v/>
      </c>
      <c r="Y448" t="str">
        <f ca="1">IFERROR(__xludf.DUMMYFUNCTION("""COMPUTED_VALUE"""),"")</f>
        <v/>
      </c>
      <c r="Z448" t="str">
        <f ca="1">IFERROR(__xludf.DUMMYFUNCTION("""COMPUTED_VALUE"""),"")</f>
        <v/>
      </c>
      <c r="AA448" t="str">
        <f ca="1">IFERROR(__xludf.DUMMYFUNCTION("""COMPUTED_VALUE"""),"Pas de commande")</f>
        <v>Pas de commande</v>
      </c>
      <c r="AB448" s="8" t="str">
        <f ca="1">IFERROR(__xludf.DUMMYFUNCTION("""COMPUTED_VALUE"""),"")</f>
        <v/>
      </c>
      <c r="AC448" s="8" t="str">
        <f ca="1">IFERROR(__xludf.DUMMYFUNCTION("""COMPUTED_VALUE"""),"")</f>
        <v/>
      </c>
      <c r="AD448" s="11" t="str">
        <f ca="1">IFERROR(__xludf.DUMMYFUNCTION("""COMPUTED_VALUE"""),"")</f>
        <v/>
      </c>
      <c r="AE448" t="str">
        <f ca="1">IFERROR(__xludf.DUMMYFUNCTION("""COMPUTED_VALUE"""),"")</f>
        <v/>
      </c>
    </row>
    <row r="449" spans="1:31" ht="12.75" x14ac:dyDescent="0.2">
      <c r="A449">
        <f ca="1">IFERROR(__xludf.DUMMYFUNCTION("""COMPUTED_VALUE"""),95624)</f>
        <v>95624</v>
      </c>
      <c r="B449" t="str">
        <f ca="1">IFERROR(__xludf.DUMMYFUNCTION("""COMPUTED_VALUE"""),"LABASTIDE ST PIERRE")</f>
        <v>LABASTIDE ST PIERRE</v>
      </c>
      <c r="C449" t="str">
        <f ca="1">IFERROR(__xludf.DUMMYFUNCTION("""COMPUTED_VALUE"""),"Super U")</f>
        <v>Super U</v>
      </c>
      <c r="D449" t="str">
        <f ca="1">IFERROR(__xludf.DUMMYFUNCTION("""COMPUTED_VALUE"""),"Coop U Enseigne Sud")</f>
        <v>Coop U Enseigne Sud</v>
      </c>
      <c r="E449">
        <f ca="1">IFERROR(__xludf.DUMMYFUNCTION("""COMPUTED_VALUE"""),82370)</f>
        <v>82370</v>
      </c>
      <c r="F449" t="str">
        <f ca="1">IFERROR(__xludf.DUMMYFUNCTION("""COMPUTED_VALUE"""),"AVENUE JEAN JAURES")</f>
        <v>AVENUE JEAN JAURES</v>
      </c>
      <c r="G449" t="str">
        <f ca="1">IFERROR(__xludf.DUMMYFUNCTION("""COMPUTED_VALUE"""),"05.63.64.02.71")</f>
        <v>05.63.64.02.71</v>
      </c>
      <c r="H449" t="str">
        <f ca="1">IFERROR(__xludf.DUMMYFUNCTION("""COMPUTED_VALUE"""),"MARCHI Patrice")</f>
        <v>MARCHI Patrice</v>
      </c>
      <c r="I449" t="str">
        <f ca="1">IFERROR(__xludf.DUMMYFUNCTION("""COMPUTED_VALUE"""),"patrice.marchi@systeme-u.fr")</f>
        <v>patrice.marchi@systeme-u.fr</v>
      </c>
      <c r="J449" t="str">
        <f ca="1">IFERROR(__xludf.DUMMYFUNCTION("""COMPUTED_VALUE"""),"")</f>
        <v/>
      </c>
      <c r="K449" t="str">
        <f ca="1">IFERROR(__xludf.DUMMYFUNCTION("""COMPUTED_VALUE"""),"")</f>
        <v/>
      </c>
      <c r="L449" t="str">
        <f ca="1">IFERROR(__xludf.DUMMYFUNCTION("""COMPUTED_VALUE"""),"")</f>
        <v/>
      </c>
      <c r="M449" t="str">
        <f ca="1">IFERROR(__xludf.DUMMYFUNCTION("""COMPUTED_VALUE"""),"99.Hors Périmetre")</f>
        <v>99.Hors Périmetre</v>
      </c>
      <c r="N449" t="str">
        <f ca="1">IFERROR(__xludf.DUMMYFUNCTION("""COMPUTED_VALUE"""),"")</f>
        <v/>
      </c>
      <c r="O449" t="str">
        <f ca="1">IFERROR(__xludf.DUMMYFUNCTION("""COMPUTED_VALUE"""),"")</f>
        <v/>
      </c>
      <c r="P449" t="str">
        <f ca="1">IFERROR(__xludf.DUMMYFUNCTION("""COMPUTED_VALUE"""),"")</f>
        <v/>
      </c>
      <c r="Q449" s="5" t="str">
        <f ca="1">IFERROR(__xludf.DUMMYFUNCTION("""COMPUTED_VALUE"""),"")</f>
        <v/>
      </c>
      <c r="R449" s="6" t="str">
        <f ca="1">IFERROR(__xludf.DUMMYFUNCTION("""COMPUTED_VALUE"""),"")</f>
        <v/>
      </c>
      <c r="S449" t="str">
        <f ca="1">IFERROR(__xludf.DUMMYFUNCTION("""COMPUTED_VALUE"""),"")</f>
        <v/>
      </c>
      <c r="T449" t="str">
        <f ca="1">IFERROR(__xludf.DUMMYFUNCTION("""COMPUTED_VALUE"""),"")</f>
        <v/>
      </c>
      <c r="U449" t="str">
        <f ca="1">IFERROR(__xludf.DUMMYFUNCTION("""COMPUTED_VALUE"""),"")</f>
        <v/>
      </c>
      <c r="V449" t="str">
        <f ca="1">IFERROR(__xludf.DUMMYFUNCTION("""COMPUTED_VALUE"""),"")</f>
        <v/>
      </c>
      <c r="W449" t="str">
        <f ca="1">IFERROR(__xludf.DUMMYFUNCTION("""COMPUTED_VALUE"""),"")</f>
        <v/>
      </c>
      <c r="X449" t="str">
        <f ca="1">IFERROR(__xludf.DUMMYFUNCTION("""COMPUTED_VALUE"""),"")</f>
        <v/>
      </c>
      <c r="Y449" t="str">
        <f ca="1">IFERROR(__xludf.DUMMYFUNCTION("""COMPUTED_VALUE"""),"")</f>
        <v/>
      </c>
      <c r="Z449" t="str">
        <f ca="1">IFERROR(__xludf.DUMMYFUNCTION("""COMPUTED_VALUE"""),"")</f>
        <v/>
      </c>
      <c r="AA449" t="str">
        <f ca="1">IFERROR(__xludf.DUMMYFUNCTION("""COMPUTED_VALUE"""),"Pas de commande")</f>
        <v>Pas de commande</v>
      </c>
      <c r="AB449" s="8" t="str">
        <f ca="1">IFERROR(__xludf.DUMMYFUNCTION("""COMPUTED_VALUE"""),"")</f>
        <v/>
      </c>
      <c r="AC449" s="8" t="str">
        <f ca="1">IFERROR(__xludf.DUMMYFUNCTION("""COMPUTED_VALUE"""),"")</f>
        <v/>
      </c>
      <c r="AD449" s="11" t="str">
        <f ca="1">IFERROR(__xludf.DUMMYFUNCTION("""COMPUTED_VALUE"""),"")</f>
        <v/>
      </c>
      <c r="AE449" t="str">
        <f ca="1">IFERROR(__xludf.DUMMYFUNCTION("""COMPUTED_VALUE"""),"")</f>
        <v/>
      </c>
    </row>
    <row r="450" spans="1:31" ht="12.75" x14ac:dyDescent="0.2">
      <c r="A450">
        <f ca="1">IFERROR(__xludf.DUMMYFUNCTION("""COMPUTED_VALUE"""),95165)</f>
        <v>95165</v>
      </c>
      <c r="B450" t="str">
        <f ca="1">IFERROR(__xludf.DUMMYFUNCTION("""COMPUTED_VALUE"""),"LACANAU")</f>
        <v>LACANAU</v>
      </c>
      <c r="C450" t="str">
        <f ca="1">IFERROR(__xludf.DUMMYFUNCTION("""COMPUTED_VALUE"""),"Super U")</f>
        <v>Super U</v>
      </c>
      <c r="D450" t="str">
        <f ca="1">IFERROR(__xludf.DUMMYFUNCTION("""COMPUTED_VALUE"""),"Coop U Enseigne Sud")</f>
        <v>Coop U Enseigne Sud</v>
      </c>
      <c r="E450">
        <f ca="1">IFERROR(__xludf.DUMMYFUNCTION("""COMPUTED_VALUE"""),33680)</f>
        <v>33680</v>
      </c>
      <c r="F450" t="str">
        <f ca="1">IFERROR(__xludf.DUMMYFUNCTION("""COMPUTED_VALUE"""),"LIEU DIT 'LE BASTA'")</f>
        <v>LIEU DIT 'LE BASTA'</v>
      </c>
      <c r="G450" t="str">
        <f ca="1">IFERROR(__xludf.DUMMYFUNCTION("""COMPUTED_VALUE"""),"05.57.70.78.70")</f>
        <v>05.57.70.78.70</v>
      </c>
      <c r="H450" t="str">
        <f ca="1">IFERROR(__xludf.DUMMYFUNCTION("""COMPUTED_VALUE"""),"ET PIERRE FEUGIER NICOLAS MANNEVILLE")</f>
        <v>ET PIERRE FEUGIER NICOLAS MANNEVILLE</v>
      </c>
      <c r="I450" t="str">
        <f ca="1">IFERROR(__xludf.DUMMYFUNCTION("""COMPUTED_VALUE"""),"nicolas.manneville@systeme-u.fr")</f>
        <v>nicolas.manneville@systeme-u.fr</v>
      </c>
      <c r="J450" t="str">
        <f ca="1">IFERROR(__xludf.DUMMYFUNCTION("""COMPUTED_VALUE"""),"Mme Laurence Berthier")</f>
        <v>Mme Laurence Berthier</v>
      </c>
      <c r="K450" t="str">
        <f ca="1">IFERROR(__xludf.DUMMYFUNCTION("""COMPUTED_VALUE"""),"groupe.sofaldis.daf@systeme-u.fr")</f>
        <v>groupe.sofaldis.daf@systeme-u.fr</v>
      </c>
      <c r="L450" t="str">
        <f ca="1">IFERROR(__xludf.DUMMYFUNCTION("""COMPUTED_VALUE"""),"Standard")</f>
        <v>Standard</v>
      </c>
      <c r="M450" t="str">
        <f ca="1">IFERROR(__xludf.DUMMYFUNCTION("""COMPUTED_VALUE"""),"0. Non démarré")</f>
        <v>0. Non démarré</v>
      </c>
      <c r="N450" t="str">
        <f ca="1">IFERROR(__xludf.DUMMYFUNCTION("""COMPUTED_VALUE"""),"")</f>
        <v/>
      </c>
      <c r="O450" t="str">
        <f ca="1">IFERROR(__xludf.DUMMYFUNCTION("""COMPUTED_VALUE"""),"")</f>
        <v/>
      </c>
      <c r="P450" t="str">
        <f ca="1">IFERROR(__xludf.DUMMYFUNCTION("""COMPUTED_VALUE"""),"")</f>
        <v/>
      </c>
      <c r="Q450" s="5" t="str">
        <f ca="1">IFERROR(__xludf.DUMMYFUNCTION("""COMPUTED_VALUE"""),"")</f>
        <v/>
      </c>
      <c r="R450" s="6" t="str">
        <f ca="1">IFERROR(__xludf.DUMMYFUNCTION("""COMPUTED_VALUE"""),"")</f>
        <v/>
      </c>
      <c r="S450" t="str">
        <f ca="1">IFERROR(__xludf.DUMMYFUNCTION("""COMPUTED_VALUE"""),"")</f>
        <v/>
      </c>
      <c r="T450" t="str">
        <f ca="1">IFERROR(__xludf.DUMMYFUNCTION("""COMPUTED_VALUE"""),"")</f>
        <v/>
      </c>
      <c r="U450" t="str">
        <f ca="1">IFERROR(__xludf.DUMMYFUNCTION("""COMPUTED_VALUE"""),"")</f>
        <v/>
      </c>
      <c r="V450" t="str">
        <f ca="1">IFERROR(__xludf.DUMMYFUNCTION("""COMPUTED_VALUE"""),"")</f>
        <v/>
      </c>
      <c r="W450" t="str">
        <f ca="1">IFERROR(__xludf.DUMMYFUNCTION("""COMPUTED_VALUE"""),"R5")</f>
        <v>R5</v>
      </c>
      <c r="X450" t="str">
        <f ca="1">IFERROR(__xludf.DUMMYFUNCTION("""COMPUTED_VALUE"""),"Pricer")</f>
        <v>Pricer</v>
      </c>
      <c r="Y450" t="str">
        <f ca="1">IFERROR(__xludf.DUMMYFUNCTION("""COMPUTED_VALUE"""),"")</f>
        <v/>
      </c>
      <c r="Z450" t="str">
        <f ca="1">IFERROR(__xludf.DUMMYFUNCTION("""COMPUTED_VALUE"""),"")</f>
        <v/>
      </c>
      <c r="AA450" t="str">
        <f ca="1">IFERROR(__xludf.DUMMYFUNCTION("""COMPUTED_VALUE"""),"Pas de commande")</f>
        <v>Pas de commande</v>
      </c>
      <c r="AB450" s="8" t="str">
        <f ca="1">IFERROR(__xludf.DUMMYFUNCTION("""COMPUTED_VALUE"""),"")</f>
        <v/>
      </c>
      <c r="AC450" s="8" t="str">
        <f ca="1">IFERROR(__xludf.DUMMYFUNCTION("""COMPUTED_VALUE"""),"")</f>
        <v/>
      </c>
      <c r="AD450" s="11" t="str">
        <f ca="1">IFERROR(__xludf.DUMMYFUNCTION("""COMPUTED_VALUE"""),"")</f>
        <v/>
      </c>
      <c r="AE450" t="str">
        <f ca="1">IFERROR(__xludf.DUMMYFUNCTION("""COMPUTED_VALUE"""),"")</f>
        <v/>
      </c>
    </row>
    <row r="451" spans="1:31" ht="12.75" x14ac:dyDescent="0.2">
      <c r="A451">
        <f ca="1">IFERROR(__xludf.DUMMYFUNCTION("""COMPUTED_VALUE"""),95191)</f>
        <v>95191</v>
      </c>
      <c r="B451" t="str">
        <f ca="1">IFERROR(__xludf.DUMMYFUNCTION("""COMPUTED_VALUE"""),"LACANAU OCEAN")</f>
        <v>LACANAU OCEAN</v>
      </c>
      <c r="C451" t="str">
        <f ca="1">IFERROR(__xludf.DUMMYFUNCTION("""COMPUTED_VALUE"""),"U Express")</f>
        <v>U Express</v>
      </c>
      <c r="D451" t="str">
        <f ca="1">IFERROR(__xludf.DUMMYFUNCTION("""COMPUTED_VALUE"""),"Coop U Enseigne Sud")</f>
        <v>Coop U Enseigne Sud</v>
      </c>
      <c r="E451">
        <f ca="1">IFERROR(__xludf.DUMMYFUNCTION("""COMPUTED_VALUE"""),33680)</f>
        <v>33680</v>
      </c>
      <c r="F451" t="str">
        <f ca="1">IFERROR(__xludf.DUMMYFUNCTION("""COMPUTED_VALUE"""),"RUE ALEXANDRE DUMAS")</f>
        <v>RUE ALEXANDRE DUMAS</v>
      </c>
      <c r="G451" t="str">
        <f ca="1">IFERROR(__xludf.DUMMYFUNCTION("""COMPUTED_VALUE"""),"05.56.03.95.24")</f>
        <v>05.56.03.95.24</v>
      </c>
      <c r="H451" t="str">
        <f ca="1">IFERROR(__xludf.DUMMYFUNCTION("""COMPUTED_VALUE"""),"GUERIN Francois-Xavier")</f>
        <v>GUERIN Francois-Xavier</v>
      </c>
      <c r="I451" t="str">
        <f ca="1">IFERROR(__xludf.DUMMYFUNCTION("""COMPUTED_VALUE"""),"francois-xavier.guerin@systeme-u.fr")</f>
        <v>francois-xavier.guerin@systeme-u.fr</v>
      </c>
      <c r="J451" t="str">
        <f ca="1">IFERROR(__xludf.DUMMYFUNCTION("""COMPUTED_VALUE"""),"")</f>
        <v/>
      </c>
      <c r="K451" t="str">
        <f ca="1">IFERROR(__xludf.DUMMYFUNCTION("""COMPUTED_VALUE"""),"uexpress.lacanau.compta@systeme-u.fr")</f>
        <v>uexpress.lacanau.compta@systeme-u.fr</v>
      </c>
      <c r="L451" t="str">
        <f ca="1">IFERROR(__xludf.DUMMYFUNCTION("""COMPUTED_VALUE"""),"Standard")</f>
        <v>Standard</v>
      </c>
      <c r="M451" t="str">
        <f ca="1">IFERROR(__xludf.DUMMYFUNCTION("""COMPUTED_VALUE"""),"0. Non démarré")</f>
        <v>0. Non démarré</v>
      </c>
      <c r="N451" t="str">
        <f ca="1">IFERROR(__xludf.DUMMYFUNCTION("""COMPUTED_VALUE"""),"")</f>
        <v/>
      </c>
      <c r="O451" t="str">
        <f ca="1">IFERROR(__xludf.DUMMYFUNCTION("""COMPUTED_VALUE"""),"")</f>
        <v/>
      </c>
      <c r="P451" t="str">
        <f ca="1">IFERROR(__xludf.DUMMYFUNCTION("""COMPUTED_VALUE"""),"")</f>
        <v/>
      </c>
      <c r="Q451" s="5" t="str">
        <f ca="1">IFERROR(__xludf.DUMMYFUNCTION("""COMPUTED_VALUE"""),"")</f>
        <v/>
      </c>
      <c r="R451" s="6" t="str">
        <f ca="1">IFERROR(__xludf.DUMMYFUNCTION("""COMPUTED_VALUE"""),"")</f>
        <v/>
      </c>
      <c r="S451" t="str">
        <f ca="1">IFERROR(__xludf.DUMMYFUNCTION("""COMPUTED_VALUE"""),"")</f>
        <v/>
      </c>
      <c r="T451" t="str">
        <f ca="1">IFERROR(__xludf.DUMMYFUNCTION("""COMPUTED_VALUE"""),"")</f>
        <v/>
      </c>
      <c r="U451" t="str">
        <f ca="1">IFERROR(__xludf.DUMMYFUNCTION("""COMPUTED_VALUE"""),"")</f>
        <v/>
      </c>
      <c r="V451" t="str">
        <f ca="1">IFERROR(__xludf.DUMMYFUNCTION("""COMPUTED_VALUE"""),"")</f>
        <v/>
      </c>
      <c r="W451" t="str">
        <f ca="1">IFERROR(__xludf.DUMMYFUNCTION("""COMPUTED_VALUE"""),"R5")</f>
        <v>R5</v>
      </c>
      <c r="X451" t="str">
        <f ca="1">IFERROR(__xludf.DUMMYFUNCTION("""COMPUTED_VALUE"""),"Pricer")</f>
        <v>Pricer</v>
      </c>
      <c r="Y451" t="str">
        <f ca="1">IFERROR(__xludf.DUMMYFUNCTION("""COMPUTED_VALUE"""),"")</f>
        <v/>
      </c>
      <c r="Z451" t="str">
        <f ca="1">IFERROR(__xludf.DUMMYFUNCTION("""COMPUTED_VALUE"""),"")</f>
        <v/>
      </c>
      <c r="AA451" t="str">
        <f ca="1">IFERROR(__xludf.DUMMYFUNCTION("""COMPUTED_VALUE"""),"Pas de commande")</f>
        <v>Pas de commande</v>
      </c>
      <c r="AB451" s="8" t="str">
        <f ca="1">IFERROR(__xludf.DUMMYFUNCTION("""COMPUTED_VALUE"""),"")</f>
        <v/>
      </c>
      <c r="AC451" s="8" t="str">
        <f ca="1">IFERROR(__xludf.DUMMYFUNCTION("""COMPUTED_VALUE"""),"")</f>
        <v/>
      </c>
      <c r="AD451" s="11" t="str">
        <f ca="1">IFERROR(__xludf.DUMMYFUNCTION("""COMPUTED_VALUE"""),"")</f>
        <v/>
      </c>
      <c r="AE451" t="str">
        <f ca="1">IFERROR(__xludf.DUMMYFUNCTION("""COMPUTED_VALUE"""),"")</f>
        <v/>
      </c>
    </row>
    <row r="452" spans="1:31" ht="12.75" x14ac:dyDescent="0.2">
      <c r="A452">
        <f ca="1">IFERROR(__xludf.DUMMYFUNCTION("""COMPUTED_VALUE"""),95185)</f>
        <v>95185</v>
      </c>
      <c r="B452" t="str">
        <f ca="1">IFERROR(__xludf.DUMMYFUNCTION("""COMPUTED_VALUE"""),"LAGUENNE")</f>
        <v>LAGUENNE</v>
      </c>
      <c r="C452" t="str">
        <f ca="1">IFERROR(__xludf.DUMMYFUNCTION("""COMPUTED_VALUE"""),"Super U")</f>
        <v>Super U</v>
      </c>
      <c r="D452" t="str">
        <f ca="1">IFERROR(__xludf.DUMMYFUNCTION("""COMPUTED_VALUE"""),"Coop U Enseigne Sud")</f>
        <v>Coop U Enseigne Sud</v>
      </c>
      <c r="E452">
        <f ca="1">IFERROR(__xludf.DUMMYFUNCTION("""COMPUTED_VALUE"""),19150)</f>
        <v>19150</v>
      </c>
      <c r="F452" t="str">
        <f ca="1">IFERROR(__xludf.DUMMYFUNCTION("""COMPUTED_VALUE"""),"1 AVENUE DE COULAUD")</f>
        <v>1 AVENUE DE COULAUD</v>
      </c>
      <c r="G452" t="str">
        <f ca="1">IFERROR(__xludf.DUMMYFUNCTION("""COMPUTED_VALUE"""),"05.55.20.49.00")</f>
        <v>05.55.20.49.00</v>
      </c>
      <c r="H452" t="str">
        <f ca="1">IFERROR(__xludf.DUMMYFUNCTION("""COMPUTED_VALUE"""),"MILLET Jean-Yves")</f>
        <v>MILLET Jean-Yves</v>
      </c>
      <c r="I452" t="str">
        <f ca="1">IFERROR(__xludf.DUMMYFUNCTION("""COMPUTED_VALUE"""),"jean-yves.millet@systeme-u.fr")</f>
        <v>jean-yves.millet@systeme-u.fr</v>
      </c>
      <c r="J452" t="str">
        <f ca="1">IFERROR(__xludf.DUMMYFUNCTION("""COMPUTED_VALUE"""),"Caroline POUGET")</f>
        <v>Caroline POUGET</v>
      </c>
      <c r="K452" t="str">
        <f ca="1">IFERROR(__xludf.DUMMYFUNCTION("""COMPUTED_VALUE"""),"superu.laguenne.informatique@systeme-u.fr")</f>
        <v>superu.laguenne.informatique@systeme-u.fr</v>
      </c>
      <c r="L452" t="str">
        <f ca="1">IFERROR(__xludf.DUMMYFUNCTION("""COMPUTED_VALUE"""),"")</f>
        <v/>
      </c>
      <c r="M452" t="str">
        <f ca="1">IFERROR(__xludf.DUMMYFUNCTION("""COMPUTED_VALUE"""),"99.Hors Périmetre")</f>
        <v>99.Hors Périmetre</v>
      </c>
      <c r="N452" t="str">
        <f ca="1">IFERROR(__xludf.DUMMYFUNCTION("""COMPUTED_VALUE"""),"")</f>
        <v/>
      </c>
      <c r="O452" t="str">
        <f ca="1">IFERROR(__xludf.DUMMYFUNCTION("""COMPUTED_VALUE"""),"")</f>
        <v/>
      </c>
      <c r="P452" t="str">
        <f ca="1">IFERROR(__xludf.DUMMYFUNCTION("""COMPUTED_VALUE"""),"")</f>
        <v/>
      </c>
      <c r="Q452" s="5" t="str">
        <f ca="1">IFERROR(__xludf.DUMMYFUNCTION("""COMPUTED_VALUE"""),"")</f>
        <v/>
      </c>
      <c r="R452" s="6" t="str">
        <f ca="1">IFERROR(__xludf.DUMMYFUNCTION("""COMPUTED_VALUE"""),"")</f>
        <v/>
      </c>
      <c r="S452" t="str">
        <f ca="1">IFERROR(__xludf.DUMMYFUNCTION("""COMPUTED_VALUE"""),"")</f>
        <v/>
      </c>
      <c r="T452" t="str">
        <f ca="1">IFERROR(__xludf.DUMMYFUNCTION("""COMPUTED_VALUE"""),"")</f>
        <v/>
      </c>
      <c r="U452" t="str">
        <f ca="1">IFERROR(__xludf.DUMMYFUNCTION("""COMPUTED_VALUE"""),"")</f>
        <v/>
      </c>
      <c r="V452" t="str">
        <f ca="1">IFERROR(__xludf.DUMMYFUNCTION("""COMPUTED_VALUE"""),"")</f>
        <v/>
      </c>
      <c r="W452" t="str">
        <f ca="1">IFERROR(__xludf.DUMMYFUNCTION("""COMPUTED_VALUE"""),"")</f>
        <v/>
      </c>
      <c r="X452" t="str">
        <f ca="1">IFERROR(__xludf.DUMMYFUNCTION("""COMPUTED_VALUE"""),"")</f>
        <v/>
      </c>
      <c r="Y452" t="str">
        <f ca="1">IFERROR(__xludf.DUMMYFUNCTION("""COMPUTED_VALUE"""),"")</f>
        <v/>
      </c>
      <c r="Z452" t="str">
        <f ca="1">IFERROR(__xludf.DUMMYFUNCTION("""COMPUTED_VALUE"""),"")</f>
        <v/>
      </c>
      <c r="AA452" t="str">
        <f ca="1">IFERROR(__xludf.DUMMYFUNCTION("""COMPUTED_VALUE"""),"Pas de commande")</f>
        <v>Pas de commande</v>
      </c>
      <c r="AB452" s="8" t="str">
        <f ca="1">IFERROR(__xludf.DUMMYFUNCTION("""COMPUTED_VALUE"""),"")</f>
        <v/>
      </c>
      <c r="AC452" s="8" t="str">
        <f ca="1">IFERROR(__xludf.DUMMYFUNCTION("""COMPUTED_VALUE"""),"")</f>
        <v/>
      </c>
      <c r="AD452" s="11" t="str">
        <f ca="1">IFERROR(__xludf.DUMMYFUNCTION("""COMPUTED_VALUE"""),"")</f>
        <v/>
      </c>
      <c r="AE452" t="str">
        <f ca="1">IFERROR(__xludf.DUMMYFUNCTION("""COMPUTED_VALUE"""),"")</f>
        <v/>
      </c>
    </row>
    <row r="453" spans="1:31" ht="12.75" x14ac:dyDescent="0.2">
      <c r="A453">
        <f ca="1">IFERROR(__xludf.DUMMYFUNCTION("""COMPUTED_VALUE"""),66103)</f>
        <v>66103</v>
      </c>
      <c r="B453" t="str">
        <f ca="1">IFERROR(__xludf.DUMMYFUNCTION("""COMPUTED_VALUE"""),"LAIZ")</f>
        <v>LAIZ</v>
      </c>
      <c r="C453" t="str">
        <f ca="1">IFERROR(__xludf.DUMMYFUNCTION("""COMPUTED_VALUE"""),"Super U")</f>
        <v>Super U</v>
      </c>
      <c r="D453" t="str">
        <f ca="1">IFERROR(__xludf.DUMMYFUNCTION("""COMPUTED_VALUE"""),"Coop U Enseigne Est")</f>
        <v>Coop U Enseigne Est</v>
      </c>
      <c r="E453">
        <f ca="1">IFERROR(__xludf.DUMMYFUNCTION("""COMPUTED_VALUE"""),1290)</f>
        <v>1290</v>
      </c>
      <c r="F453" t="str">
        <f ca="1">IFERROR(__xludf.DUMMYFUNCTION("""COMPUTED_VALUE"""),"254 ROUTE DE CHÂTILLON")</f>
        <v>254 ROUTE DE CHÂTILLON</v>
      </c>
      <c r="G453" t="str">
        <f ca="1">IFERROR(__xludf.DUMMYFUNCTION("""COMPUTED_VALUE"""),"03.85.23.91.10")</f>
        <v>03.85.23.91.10</v>
      </c>
      <c r="H453" t="str">
        <f ca="1">IFERROR(__xludf.DUMMYFUNCTION("""COMPUTED_VALUE"""),"FREYDIER Jean-Marc")</f>
        <v>FREYDIER Jean-Marc</v>
      </c>
      <c r="I453" t="str">
        <f ca="1">IFERROR(__xludf.DUMMYFUNCTION("""COMPUTED_VALUE"""),"jean-marc.freydier@systeme-u.fr")</f>
        <v>jean-marc.freydier@systeme-u.fr</v>
      </c>
      <c r="J453" t="str">
        <f ca="1">IFERROR(__xludf.DUMMYFUNCTION("""COMPUTED_VALUE"""),"Me Lisa LEDUC (UPLV)")</f>
        <v>Me Lisa LEDUC (UPLV)</v>
      </c>
      <c r="K453" t="str">
        <f ca="1">IFERROR(__xludf.DUMMYFUNCTION("""COMPUTED_VALUE"""),"superu.laiz.accueil1@systeme-u.fr")</f>
        <v>superu.laiz.accueil1@systeme-u.fr</v>
      </c>
      <c r="L453" t="str">
        <f ca="1">IFERROR(__xludf.DUMMYFUNCTION("""COMPUTED_VALUE"""),"")</f>
        <v/>
      </c>
      <c r="M453" t="str">
        <f ca="1">IFERROR(__xludf.DUMMYFUNCTION("""COMPUTED_VALUE"""),"")</f>
        <v/>
      </c>
      <c r="N453" t="str">
        <f ca="1">IFERROR(__xludf.DUMMYFUNCTION("""COMPUTED_VALUE"""),"")</f>
        <v/>
      </c>
      <c r="O453" t="str">
        <f ca="1">IFERROR(__xludf.DUMMYFUNCTION("""COMPUTED_VALUE"""),"")</f>
        <v/>
      </c>
      <c r="P453" t="str">
        <f ca="1">IFERROR(__xludf.DUMMYFUNCTION("""COMPUTED_VALUE"""),"")</f>
        <v/>
      </c>
      <c r="Q453" s="5" t="str">
        <f ca="1">IFERROR(__xludf.DUMMYFUNCTION("""COMPUTED_VALUE"""),"")</f>
        <v/>
      </c>
      <c r="R453" s="6" t="str">
        <f ca="1">IFERROR(__xludf.DUMMYFUNCTION("""COMPUTED_VALUE"""),"")</f>
        <v/>
      </c>
      <c r="S453" t="str">
        <f ca="1">IFERROR(__xludf.DUMMYFUNCTION("""COMPUTED_VALUE"""),"")</f>
        <v/>
      </c>
      <c r="T453" t="str">
        <f ca="1">IFERROR(__xludf.DUMMYFUNCTION("""COMPUTED_VALUE"""),"")</f>
        <v/>
      </c>
      <c r="U453" t="str">
        <f ca="1">IFERROR(__xludf.DUMMYFUNCTION("""COMPUTED_VALUE"""),"")</f>
        <v/>
      </c>
      <c r="V453" t="str">
        <f ca="1">IFERROR(__xludf.DUMMYFUNCTION("""COMPUTED_VALUE"""),"")</f>
        <v/>
      </c>
      <c r="W453" t="str">
        <f ca="1">IFERROR(__xludf.DUMMYFUNCTION("""COMPUTED_VALUE"""),"R3")</f>
        <v>R3</v>
      </c>
      <c r="X453" t="str">
        <f ca="1">IFERROR(__xludf.DUMMYFUNCTION("""COMPUTED_VALUE"""),"Pricer &lt;8Go")</f>
        <v>Pricer &lt;8Go</v>
      </c>
      <c r="Y453" t="str">
        <f ca="1">IFERROR(__xludf.DUMMYFUNCTION("""COMPUTED_VALUE"""),"")</f>
        <v/>
      </c>
      <c r="Z453" t="str">
        <f ca="1">IFERROR(__xludf.DUMMYFUNCTION("""COMPUTED_VALUE"""),"")</f>
        <v/>
      </c>
      <c r="AA453" t="str">
        <f ca="1">IFERROR(__xludf.DUMMYFUNCTION("""COMPUTED_VALUE"""),"Pas de commande")</f>
        <v>Pas de commande</v>
      </c>
      <c r="AB453" s="8" t="str">
        <f ca="1">IFERROR(__xludf.DUMMYFUNCTION("""COMPUTED_VALUE"""),"")</f>
        <v/>
      </c>
      <c r="AC453" s="8" t="str">
        <f ca="1">IFERROR(__xludf.DUMMYFUNCTION("""COMPUTED_VALUE"""),"")</f>
        <v/>
      </c>
      <c r="AD453" s="11" t="str">
        <f ca="1">IFERROR(__xludf.DUMMYFUNCTION("""COMPUTED_VALUE"""),"")</f>
        <v/>
      </c>
      <c r="AE453" t="str">
        <f ca="1">IFERROR(__xludf.DUMMYFUNCTION("""COMPUTED_VALUE"""),"")</f>
        <v/>
      </c>
    </row>
    <row r="454" spans="1:31" ht="12.75" x14ac:dyDescent="0.2">
      <c r="A454">
        <f ca="1">IFERROR(__xludf.DUMMYFUNCTION("""COMPUTED_VALUE"""),90320)</f>
        <v>90320</v>
      </c>
      <c r="B454" t="str">
        <f ca="1">IFERROR(__xludf.DUMMYFUNCTION("""COMPUTED_VALUE"""),"LAMASTRE")</f>
        <v>LAMASTRE</v>
      </c>
      <c r="C454" t="str">
        <f ca="1">IFERROR(__xludf.DUMMYFUNCTION("""COMPUTED_VALUE"""),"Super U")</f>
        <v>Super U</v>
      </c>
      <c r="D454" t="str">
        <f ca="1">IFERROR(__xludf.DUMMYFUNCTION("""COMPUTED_VALUE"""),"Coop U Enseigne Sud")</f>
        <v>Coop U Enseigne Sud</v>
      </c>
      <c r="E454">
        <f ca="1">IFERROR(__xludf.DUMMYFUNCTION("""COMPUTED_VALUE"""),7270)</f>
        <v>7270</v>
      </c>
      <c r="F454" t="str">
        <f ca="1">IFERROR(__xludf.DUMMYFUNCTION("""COMPUTED_VALUE"""),"ZI DE LA SUMENE")</f>
        <v>ZI DE LA SUMENE</v>
      </c>
      <c r="G454" t="str">
        <f ca="1">IFERROR(__xludf.DUMMYFUNCTION("""COMPUTED_VALUE"""),"04.75.06.59.59")</f>
        <v>04.75.06.59.59</v>
      </c>
      <c r="H454" t="str">
        <f ca="1">IFERROR(__xludf.DUMMYFUNCTION("""COMPUTED_VALUE"""),"ISABEY Franck")</f>
        <v>ISABEY Franck</v>
      </c>
      <c r="I454" t="str">
        <f ca="1">IFERROR(__xludf.DUMMYFUNCTION("""COMPUTED_VALUE"""),"franck.isabey@systeme-u.fr")</f>
        <v>franck.isabey@systeme-u.fr</v>
      </c>
      <c r="J454" t="str">
        <f ca="1">IFERROR(__xludf.DUMMYFUNCTION("""COMPUTED_VALUE"""),"ROUVEURE Myriam
Benjamin DESJAMES (UPLV)")</f>
        <v>ROUVEURE Myriam
Benjamin DESJAMES (UPLV)</v>
      </c>
      <c r="K454" t="str">
        <f ca="1">IFERROR(__xludf.DUMMYFUNCTION("""COMPUTED_VALUE"""),"superu.lamastre.compta@systeme-u.fr, superu.lamastre.eldph@systeme-u.fr")</f>
        <v>superu.lamastre.compta@systeme-u.fr, superu.lamastre.eldph@systeme-u.fr</v>
      </c>
      <c r="L454" t="str">
        <f ca="1">IFERROR(__xludf.DUMMYFUNCTION("""COMPUTED_VALUE"""),"")</f>
        <v/>
      </c>
      <c r="M454" t="str">
        <f ca="1">IFERROR(__xludf.DUMMYFUNCTION("""COMPUTED_VALUE"""),"")</f>
        <v/>
      </c>
      <c r="N454" t="str">
        <f ca="1">IFERROR(__xludf.DUMMYFUNCTION("""COMPUTED_VALUE"""),"")</f>
        <v/>
      </c>
      <c r="O454" t="str">
        <f ca="1">IFERROR(__xludf.DUMMYFUNCTION("""COMPUTED_VALUE"""),"")</f>
        <v/>
      </c>
      <c r="P454" t="str">
        <f ca="1">IFERROR(__xludf.DUMMYFUNCTION("""COMPUTED_VALUE"""),"")</f>
        <v/>
      </c>
      <c r="Q454" s="5" t="str">
        <f ca="1">IFERROR(__xludf.DUMMYFUNCTION("""COMPUTED_VALUE"""),"")</f>
        <v/>
      </c>
      <c r="R454" s="6" t="str">
        <f ca="1">IFERROR(__xludf.DUMMYFUNCTION("""COMPUTED_VALUE"""),"")</f>
        <v/>
      </c>
      <c r="S454" t="str">
        <f ca="1">IFERROR(__xludf.DUMMYFUNCTION("""COMPUTED_VALUE"""),"")</f>
        <v/>
      </c>
      <c r="T454" t="str">
        <f ca="1">IFERROR(__xludf.DUMMYFUNCTION("""COMPUTED_VALUE"""),"")</f>
        <v/>
      </c>
      <c r="U454" t="str">
        <f ca="1">IFERROR(__xludf.DUMMYFUNCTION("""COMPUTED_VALUE"""),"")</f>
        <v/>
      </c>
      <c r="V454" t="str">
        <f ca="1">IFERROR(__xludf.DUMMYFUNCTION("""COMPUTED_VALUE"""),"")</f>
        <v/>
      </c>
      <c r="W454" t="str">
        <f ca="1">IFERROR(__xludf.DUMMYFUNCTION("""COMPUTED_VALUE"""),"R3")</f>
        <v>R3</v>
      </c>
      <c r="X454" t="str">
        <f ca="1">IFERROR(__xludf.DUMMYFUNCTION("""COMPUTED_VALUE"""),"Toshiba")</f>
        <v>Toshiba</v>
      </c>
      <c r="Y454" t="str">
        <f ca="1">IFERROR(__xludf.DUMMYFUNCTION("""COMPUTED_VALUE"""),"")</f>
        <v/>
      </c>
      <c r="Z454" t="str">
        <f ca="1">IFERROR(__xludf.DUMMYFUNCTION("""COMPUTED_VALUE"""),"")</f>
        <v/>
      </c>
      <c r="AA454" t="str">
        <f ca="1">IFERROR(__xludf.DUMMYFUNCTION("""COMPUTED_VALUE"""),"Pas de commande")</f>
        <v>Pas de commande</v>
      </c>
      <c r="AB454" s="8" t="str">
        <f ca="1">IFERROR(__xludf.DUMMYFUNCTION("""COMPUTED_VALUE"""),"")</f>
        <v/>
      </c>
      <c r="AC454" s="8" t="str">
        <f ca="1">IFERROR(__xludf.DUMMYFUNCTION("""COMPUTED_VALUE"""),"")</f>
        <v/>
      </c>
      <c r="AD454" s="11" t="str">
        <f ca="1">IFERROR(__xludf.DUMMYFUNCTION("""COMPUTED_VALUE"""),"")</f>
        <v/>
      </c>
      <c r="AE454" t="str">
        <f ca="1">IFERROR(__xludf.DUMMYFUNCTION("""COMPUTED_VALUE"""),"")</f>
        <v/>
      </c>
    </row>
    <row r="455" spans="1:31" ht="12.75" x14ac:dyDescent="0.2">
      <c r="A455">
        <f ca="1">IFERROR(__xludf.DUMMYFUNCTION("""COMPUTED_VALUE"""),33964)</f>
        <v>33964</v>
      </c>
      <c r="B455" t="str">
        <f ca="1">IFERROR(__xludf.DUMMYFUNCTION("""COMPUTED_VALUE"""),"LANDIVISIAU")</f>
        <v>LANDIVISIAU</v>
      </c>
      <c r="C455" t="str">
        <f ca="1">IFERROR(__xludf.DUMMYFUNCTION("""COMPUTED_VALUE"""),"Super U")</f>
        <v>Super U</v>
      </c>
      <c r="D455" t="str">
        <f ca="1">IFERROR(__xludf.DUMMYFUNCTION("""COMPUTED_VALUE"""),"Coop U Enseigne Ouest")</f>
        <v>Coop U Enseigne Ouest</v>
      </c>
      <c r="E455">
        <f ca="1">IFERROR(__xludf.DUMMYFUNCTION("""COMPUTED_VALUE"""),29400)</f>
        <v>29400</v>
      </c>
      <c r="F455" t="str">
        <f ca="1">IFERROR(__xludf.DUMMYFUNCTION("""COMPUTED_VALUE"""),"63, RUE DU GÉNÉRAL DE GAULLE")</f>
        <v>63, RUE DU GÉNÉRAL DE GAULLE</v>
      </c>
      <c r="G455" t="str">
        <f ca="1">IFERROR(__xludf.DUMMYFUNCTION("""COMPUTED_VALUE"""),"02.98.68.33.91")</f>
        <v>02.98.68.33.91</v>
      </c>
      <c r="H455" t="str">
        <f ca="1">IFERROR(__xludf.DUMMYFUNCTION("""COMPUTED_VALUE"""),"GUIGNARD Bertrand")</f>
        <v>GUIGNARD Bertrand</v>
      </c>
      <c r="I455" t="str">
        <f ca="1">IFERROR(__xludf.DUMMYFUNCTION("""COMPUTED_VALUE"""),"bertrand.guignard@systeme-u.fr")</f>
        <v>bertrand.guignard@systeme-u.fr</v>
      </c>
      <c r="J455" t="str">
        <f ca="1">IFERROR(__xludf.DUMMYFUNCTION("""COMPUTED_VALUE"""),"DENIEL ELODIE")</f>
        <v>DENIEL ELODIE</v>
      </c>
      <c r="K455" t="str">
        <f ca="1">IFERROR(__xludf.DUMMYFUNCTION("""COMPUTED_VALUE"""),"superu.landivisiau@systeme-u.fr")</f>
        <v>superu.landivisiau@systeme-u.fr</v>
      </c>
      <c r="L455" t="str">
        <f ca="1">IFERROR(__xludf.DUMMYFUNCTION("""COMPUTED_VALUE"""),"")</f>
        <v/>
      </c>
      <c r="M455" t="str">
        <f ca="1">IFERROR(__xludf.DUMMYFUNCTION("""COMPUTED_VALUE"""),"99.Hors Périmetre")</f>
        <v>99.Hors Périmetre</v>
      </c>
      <c r="N455" t="str">
        <f ca="1">IFERROR(__xludf.DUMMYFUNCTION("""COMPUTED_VALUE"""),"")</f>
        <v/>
      </c>
      <c r="O455" t="str">
        <f ca="1">IFERROR(__xludf.DUMMYFUNCTION("""COMPUTED_VALUE"""),"")</f>
        <v/>
      </c>
      <c r="P455" t="str">
        <f ca="1">IFERROR(__xludf.DUMMYFUNCTION("""COMPUTED_VALUE"""),"")</f>
        <v/>
      </c>
      <c r="Q455" s="5" t="str">
        <f ca="1">IFERROR(__xludf.DUMMYFUNCTION("""COMPUTED_VALUE"""),"")</f>
        <v/>
      </c>
      <c r="R455" s="6" t="str">
        <f ca="1">IFERROR(__xludf.DUMMYFUNCTION("""COMPUTED_VALUE"""),"")</f>
        <v/>
      </c>
      <c r="S455" t="str">
        <f ca="1">IFERROR(__xludf.DUMMYFUNCTION("""COMPUTED_VALUE"""),"")</f>
        <v/>
      </c>
      <c r="T455" t="str">
        <f ca="1">IFERROR(__xludf.DUMMYFUNCTION("""COMPUTED_VALUE"""),"")</f>
        <v/>
      </c>
      <c r="U455" t="str">
        <f ca="1">IFERROR(__xludf.DUMMYFUNCTION("""COMPUTED_VALUE"""),"")</f>
        <v/>
      </c>
      <c r="V455" t="str">
        <f ca="1">IFERROR(__xludf.DUMMYFUNCTION("""COMPUTED_VALUE"""),"")</f>
        <v/>
      </c>
      <c r="W455" t="str">
        <f ca="1">IFERROR(__xludf.DUMMYFUNCTION("""COMPUTED_VALUE"""),"")</f>
        <v/>
      </c>
      <c r="X455" t="str">
        <f ca="1">IFERROR(__xludf.DUMMYFUNCTION("""COMPUTED_VALUE"""),"")</f>
        <v/>
      </c>
      <c r="Y455" t="str">
        <f ca="1">IFERROR(__xludf.DUMMYFUNCTION("""COMPUTED_VALUE"""),"")</f>
        <v/>
      </c>
      <c r="Z455" t="str">
        <f ca="1">IFERROR(__xludf.DUMMYFUNCTION("""COMPUTED_VALUE"""),"")</f>
        <v/>
      </c>
      <c r="AA455" t="str">
        <f ca="1">IFERROR(__xludf.DUMMYFUNCTION("""COMPUTED_VALUE"""),"Pas de commande")</f>
        <v>Pas de commande</v>
      </c>
      <c r="AB455" s="8" t="str">
        <f ca="1">IFERROR(__xludf.DUMMYFUNCTION("""COMPUTED_VALUE"""),"")</f>
        <v/>
      </c>
      <c r="AC455" s="8" t="str">
        <f ca="1">IFERROR(__xludf.DUMMYFUNCTION("""COMPUTED_VALUE"""),"")</f>
        <v/>
      </c>
      <c r="AD455" s="11" t="str">
        <f ca="1">IFERROR(__xludf.DUMMYFUNCTION("""COMPUTED_VALUE"""),"")</f>
        <v/>
      </c>
      <c r="AE455" t="str">
        <f ca="1">IFERROR(__xludf.DUMMYFUNCTION("""COMPUTED_VALUE"""),"")</f>
        <v/>
      </c>
    </row>
    <row r="456" spans="1:31" ht="12.75" x14ac:dyDescent="0.2">
      <c r="A456">
        <f ca="1">IFERROR(__xludf.DUMMYFUNCTION("""COMPUTED_VALUE"""),31217)</f>
        <v>31217</v>
      </c>
      <c r="B456" t="str">
        <f ca="1">IFERROR(__xludf.DUMMYFUNCTION("""COMPUTED_VALUE"""),"LANDUDEC")</f>
        <v>LANDUDEC</v>
      </c>
      <c r="C456" t="str">
        <f ca="1">IFERROR(__xludf.DUMMYFUNCTION("""COMPUTED_VALUE"""),"Super U")</f>
        <v>Super U</v>
      </c>
      <c r="D456" t="str">
        <f ca="1">IFERROR(__xludf.DUMMYFUNCTION("""COMPUTED_VALUE"""),"Coop U Enseigne Ouest")</f>
        <v>Coop U Enseigne Ouest</v>
      </c>
      <c r="E456">
        <f ca="1">IFERROR(__xludf.DUMMYFUNCTION("""COMPUTED_VALUE"""),29710)</f>
        <v>29710</v>
      </c>
      <c r="F456" t="str">
        <f ca="1">IFERROR(__xludf.DUMMYFUNCTION("""COMPUTED_VALUE"""),"RUE DES ECOLES")</f>
        <v>RUE DES ECOLES</v>
      </c>
      <c r="G456" t="str">
        <f ca="1">IFERROR(__xludf.DUMMYFUNCTION("""COMPUTED_VALUE"""),"02.98.91.80.70")</f>
        <v>02.98.91.80.70</v>
      </c>
      <c r="H456" t="str">
        <f ca="1">IFERROR(__xludf.DUMMYFUNCTION("""COMPUTED_VALUE"""),"FENICE David")</f>
        <v>FENICE David</v>
      </c>
      <c r="I456" t="str">
        <f ca="1">IFERROR(__xludf.DUMMYFUNCTION("""COMPUTED_VALUE"""),"david.fenice@systeme-u.fr")</f>
        <v>david.fenice@systeme-u.fr</v>
      </c>
      <c r="J456" t="str">
        <f ca="1">IFERROR(__xludf.DUMMYFUNCTION("""COMPUTED_VALUE"""),"")</f>
        <v/>
      </c>
      <c r="K456" t="str">
        <f ca="1">IFERROR(__xludf.DUMMYFUNCTION("""COMPUTED_VALUE"""),"")</f>
        <v/>
      </c>
      <c r="L456" t="str">
        <f ca="1">IFERROR(__xludf.DUMMYFUNCTION("""COMPUTED_VALUE"""),"")</f>
        <v/>
      </c>
      <c r="M456" t="str">
        <f ca="1">IFERROR(__xludf.DUMMYFUNCTION("""COMPUTED_VALUE"""),"99.Hors Périmetre")</f>
        <v>99.Hors Périmetre</v>
      </c>
      <c r="N456" t="str">
        <f ca="1">IFERROR(__xludf.DUMMYFUNCTION("""COMPUTED_VALUE"""),"")</f>
        <v/>
      </c>
      <c r="O456" t="str">
        <f ca="1">IFERROR(__xludf.DUMMYFUNCTION("""COMPUTED_VALUE"""),"")</f>
        <v/>
      </c>
      <c r="P456" t="str">
        <f ca="1">IFERROR(__xludf.DUMMYFUNCTION("""COMPUTED_VALUE"""),"")</f>
        <v/>
      </c>
      <c r="Q456" s="5" t="str">
        <f ca="1">IFERROR(__xludf.DUMMYFUNCTION("""COMPUTED_VALUE"""),"")</f>
        <v/>
      </c>
      <c r="R456" s="6" t="str">
        <f ca="1">IFERROR(__xludf.DUMMYFUNCTION("""COMPUTED_VALUE"""),"")</f>
        <v/>
      </c>
      <c r="S456" t="str">
        <f ca="1">IFERROR(__xludf.DUMMYFUNCTION("""COMPUTED_VALUE"""),"")</f>
        <v/>
      </c>
      <c r="T456" t="str">
        <f ca="1">IFERROR(__xludf.DUMMYFUNCTION("""COMPUTED_VALUE"""),"")</f>
        <v/>
      </c>
      <c r="U456" t="str">
        <f ca="1">IFERROR(__xludf.DUMMYFUNCTION("""COMPUTED_VALUE"""),"")</f>
        <v/>
      </c>
      <c r="V456" t="str">
        <f ca="1">IFERROR(__xludf.DUMMYFUNCTION("""COMPUTED_VALUE"""),"")</f>
        <v/>
      </c>
      <c r="W456" t="str">
        <f ca="1">IFERROR(__xludf.DUMMYFUNCTION("""COMPUTED_VALUE"""),"")</f>
        <v/>
      </c>
      <c r="X456" t="str">
        <f ca="1">IFERROR(__xludf.DUMMYFUNCTION("""COMPUTED_VALUE"""),"")</f>
        <v/>
      </c>
      <c r="Y456" t="str">
        <f ca="1">IFERROR(__xludf.DUMMYFUNCTION("""COMPUTED_VALUE"""),"")</f>
        <v/>
      </c>
      <c r="Z456" t="str">
        <f ca="1">IFERROR(__xludf.DUMMYFUNCTION("""COMPUTED_VALUE"""),"")</f>
        <v/>
      </c>
      <c r="AA456" t="str">
        <f ca="1">IFERROR(__xludf.DUMMYFUNCTION("""COMPUTED_VALUE"""),"Pas de commande")</f>
        <v>Pas de commande</v>
      </c>
      <c r="AB456" s="8" t="str">
        <f ca="1">IFERROR(__xludf.DUMMYFUNCTION("""COMPUTED_VALUE"""),"")</f>
        <v/>
      </c>
      <c r="AC456" s="8" t="str">
        <f ca="1">IFERROR(__xludf.DUMMYFUNCTION("""COMPUTED_VALUE"""),"")</f>
        <v/>
      </c>
      <c r="AD456" s="11" t="str">
        <f ca="1">IFERROR(__xludf.DUMMYFUNCTION("""COMPUTED_VALUE"""),"")</f>
        <v/>
      </c>
      <c r="AE456" t="str">
        <f ca="1">IFERROR(__xludf.DUMMYFUNCTION("""COMPUTED_VALUE"""),"")</f>
        <v/>
      </c>
    </row>
    <row r="457" spans="1:31" ht="12.75" x14ac:dyDescent="0.2">
      <c r="A457">
        <f ca="1">IFERROR(__xludf.DUMMYFUNCTION("""COMPUTED_VALUE"""),66069)</f>
        <v>66069</v>
      </c>
      <c r="B457" t="str">
        <f ca="1">IFERROR(__xludf.DUMMYFUNCTION("""COMPUTED_VALUE"""),"LANGEAC")</f>
        <v>LANGEAC</v>
      </c>
      <c r="C457" t="str">
        <f ca="1">IFERROR(__xludf.DUMMYFUNCTION("""COMPUTED_VALUE"""),"Super U")</f>
        <v>Super U</v>
      </c>
      <c r="D457" t="str">
        <f ca="1">IFERROR(__xludf.DUMMYFUNCTION("""COMPUTED_VALUE"""),"Coop U Enseigne Est")</f>
        <v>Coop U Enseigne Est</v>
      </c>
      <c r="E457">
        <f ca="1">IFERROR(__xludf.DUMMYFUNCTION("""COMPUTED_VALUE"""),43300)</f>
        <v>43300</v>
      </c>
      <c r="F457" t="str">
        <f ca="1">IFERROR(__xludf.DUMMYFUNCTION("""COMPUTED_VALUE"""),"Route d'Auvergne")</f>
        <v>Route d'Auvergne</v>
      </c>
      <c r="G457" t="str">
        <f ca="1">IFERROR(__xludf.DUMMYFUNCTION("""COMPUTED_VALUE"""),"04.71.77.04.66")</f>
        <v>04.71.77.04.66</v>
      </c>
      <c r="H457" t="str">
        <f ca="1">IFERROR(__xludf.DUMMYFUNCTION("""COMPUTED_VALUE"""),"BOUTREUX RPT SAS CABAJUFI Philippe")</f>
        <v>BOUTREUX RPT SAS CABAJUFI Philippe</v>
      </c>
      <c r="I457" t="str">
        <f ca="1">IFERROR(__xludf.DUMMYFUNCTION("""COMPUTED_VALUE"""),"philippe.boutreux@systeme-u.fr")</f>
        <v>philippe.boutreux@systeme-u.fr</v>
      </c>
      <c r="J457" t="str">
        <f ca="1">IFERROR(__xludf.DUMMYFUNCTION("""COMPUTED_VALUE"""),"Ronze Jonathan")</f>
        <v>Ronze Jonathan</v>
      </c>
      <c r="K457" t="str">
        <f ca="1">IFERROR(__xludf.DUMMYFUNCTION("""COMPUTED_VALUE"""),"superu.langeac.directeur@systeme-u.fr")</f>
        <v>superu.langeac.directeur@systeme-u.fr</v>
      </c>
      <c r="L457" t="str">
        <f ca="1">IFERROR(__xludf.DUMMYFUNCTION("""COMPUTED_VALUE"""),"")</f>
        <v/>
      </c>
      <c r="M457" t="str">
        <f ca="1">IFERROR(__xludf.DUMMYFUNCTION("""COMPUTED_VALUE"""),"99.Hors Périmetre")</f>
        <v>99.Hors Périmetre</v>
      </c>
      <c r="N457" t="str">
        <f ca="1">IFERROR(__xludf.DUMMYFUNCTION("""COMPUTED_VALUE"""),"")</f>
        <v/>
      </c>
      <c r="O457" t="str">
        <f ca="1">IFERROR(__xludf.DUMMYFUNCTION("""COMPUTED_VALUE"""),"")</f>
        <v/>
      </c>
      <c r="P457" t="str">
        <f ca="1">IFERROR(__xludf.DUMMYFUNCTION("""COMPUTED_VALUE"""),"")</f>
        <v/>
      </c>
      <c r="Q457" s="5" t="str">
        <f ca="1">IFERROR(__xludf.DUMMYFUNCTION("""COMPUTED_VALUE"""),"")</f>
        <v/>
      </c>
      <c r="R457" s="6" t="str">
        <f ca="1">IFERROR(__xludf.DUMMYFUNCTION("""COMPUTED_VALUE"""),"")</f>
        <v/>
      </c>
      <c r="S457" t="str">
        <f ca="1">IFERROR(__xludf.DUMMYFUNCTION("""COMPUTED_VALUE"""),"")</f>
        <v/>
      </c>
      <c r="T457" t="str">
        <f ca="1">IFERROR(__xludf.DUMMYFUNCTION("""COMPUTED_VALUE"""),"")</f>
        <v/>
      </c>
      <c r="U457" t="str">
        <f ca="1">IFERROR(__xludf.DUMMYFUNCTION("""COMPUTED_VALUE"""),"")</f>
        <v/>
      </c>
      <c r="V457" t="str">
        <f ca="1">IFERROR(__xludf.DUMMYFUNCTION("""COMPUTED_VALUE"""),"")</f>
        <v/>
      </c>
      <c r="W457" t="str">
        <f ca="1">IFERROR(__xludf.DUMMYFUNCTION("""COMPUTED_VALUE"""),"")</f>
        <v/>
      </c>
      <c r="X457" t="str">
        <f ca="1">IFERROR(__xludf.DUMMYFUNCTION("""COMPUTED_VALUE"""),"")</f>
        <v/>
      </c>
      <c r="Y457" t="str">
        <f ca="1">IFERROR(__xludf.DUMMYFUNCTION("""COMPUTED_VALUE"""),"")</f>
        <v/>
      </c>
      <c r="Z457" t="str">
        <f ca="1">IFERROR(__xludf.DUMMYFUNCTION("""COMPUTED_VALUE"""),"")</f>
        <v/>
      </c>
      <c r="AA457" t="str">
        <f ca="1">IFERROR(__xludf.DUMMYFUNCTION("""COMPUTED_VALUE"""),"Pas de commande")</f>
        <v>Pas de commande</v>
      </c>
      <c r="AB457" s="8" t="str">
        <f ca="1">IFERROR(__xludf.DUMMYFUNCTION("""COMPUTED_VALUE"""),"")</f>
        <v/>
      </c>
      <c r="AC457" s="8" t="str">
        <f ca="1">IFERROR(__xludf.DUMMYFUNCTION("""COMPUTED_VALUE"""),"")</f>
        <v/>
      </c>
      <c r="AD457" s="11" t="str">
        <f ca="1">IFERROR(__xludf.DUMMYFUNCTION("""COMPUTED_VALUE"""),"")</f>
        <v/>
      </c>
      <c r="AE457" t="str">
        <f ca="1">IFERROR(__xludf.DUMMYFUNCTION("""COMPUTED_VALUE"""),"")</f>
        <v/>
      </c>
    </row>
    <row r="458" spans="1:31" ht="12.75" x14ac:dyDescent="0.2">
      <c r="A458">
        <f ca="1">IFERROR(__xludf.DUMMYFUNCTION("""COMPUTED_VALUE"""),95178)</f>
        <v>95178</v>
      </c>
      <c r="B458" t="str">
        <f ca="1">IFERROR(__xludf.DUMMYFUNCTION("""COMPUTED_VALUE"""),"LANGON MAG")</f>
        <v>LANGON MAG</v>
      </c>
      <c r="C458" t="str">
        <f ca="1">IFERROR(__xludf.DUMMYFUNCTION("""COMPUTED_VALUE"""),"U Express")</f>
        <v>U Express</v>
      </c>
      <c r="D458" t="str">
        <f ca="1">IFERROR(__xludf.DUMMYFUNCTION("""COMPUTED_VALUE"""),"Coop U Enseigne Sud")</f>
        <v>Coop U Enseigne Sud</v>
      </c>
      <c r="E458">
        <f ca="1">IFERROR(__xludf.DUMMYFUNCTION("""COMPUTED_VALUE"""),33210)</f>
        <v>33210</v>
      </c>
      <c r="F458" t="str">
        <f ca="1">IFERROR(__xludf.DUMMYFUNCTION("""COMPUTED_VALUE"""),"12 COURS GAMBETTA")</f>
        <v>12 COURS GAMBETTA</v>
      </c>
      <c r="G458" t="str">
        <f ca="1">IFERROR(__xludf.DUMMYFUNCTION("""COMPUTED_VALUE"""),"05.57.31.10.90")</f>
        <v>05.57.31.10.90</v>
      </c>
      <c r="H458" t="str">
        <f ca="1">IFERROR(__xludf.DUMMYFUNCTION("""COMPUTED_VALUE"""),"GARNIER Sebastien")</f>
        <v>GARNIER Sebastien</v>
      </c>
      <c r="I458" t="str">
        <f ca="1">IFERROR(__xludf.DUMMYFUNCTION("""COMPUTED_VALUE"""),"sebastien.garnier@systeme-u.fr")</f>
        <v>sebastien.garnier@systeme-u.fr</v>
      </c>
      <c r="J458" t="str">
        <f ca="1">IFERROR(__xludf.DUMMYFUNCTION("""COMPUTED_VALUE"""),"")</f>
        <v/>
      </c>
      <c r="K458" t="str">
        <f ca="1">IFERROR(__xludf.DUMMYFUNCTION("""COMPUTED_VALUE"""),"")</f>
        <v/>
      </c>
      <c r="L458" t="str">
        <f ca="1">IFERROR(__xludf.DUMMYFUNCTION("""COMPUTED_VALUE"""),"")</f>
        <v/>
      </c>
      <c r="M458" t="str">
        <f ca="1">IFERROR(__xludf.DUMMYFUNCTION("""COMPUTED_VALUE"""),"99.Hors Périmetre")</f>
        <v>99.Hors Périmetre</v>
      </c>
      <c r="N458" t="str">
        <f ca="1">IFERROR(__xludf.DUMMYFUNCTION("""COMPUTED_VALUE"""),"")</f>
        <v/>
      </c>
      <c r="O458" t="str">
        <f ca="1">IFERROR(__xludf.DUMMYFUNCTION("""COMPUTED_VALUE"""),"")</f>
        <v/>
      </c>
      <c r="P458" t="str">
        <f ca="1">IFERROR(__xludf.DUMMYFUNCTION("""COMPUTED_VALUE"""),"")</f>
        <v/>
      </c>
      <c r="Q458" s="5" t="str">
        <f ca="1">IFERROR(__xludf.DUMMYFUNCTION("""COMPUTED_VALUE"""),"")</f>
        <v/>
      </c>
      <c r="R458" s="6" t="str">
        <f ca="1">IFERROR(__xludf.DUMMYFUNCTION("""COMPUTED_VALUE"""),"")</f>
        <v/>
      </c>
      <c r="S458" t="str">
        <f ca="1">IFERROR(__xludf.DUMMYFUNCTION("""COMPUTED_VALUE"""),"")</f>
        <v/>
      </c>
      <c r="T458" t="str">
        <f ca="1">IFERROR(__xludf.DUMMYFUNCTION("""COMPUTED_VALUE"""),"")</f>
        <v/>
      </c>
      <c r="U458" t="str">
        <f ca="1">IFERROR(__xludf.DUMMYFUNCTION("""COMPUTED_VALUE"""),"")</f>
        <v/>
      </c>
      <c r="V458" t="str">
        <f ca="1">IFERROR(__xludf.DUMMYFUNCTION("""COMPUTED_VALUE"""),"")</f>
        <v/>
      </c>
      <c r="W458" t="str">
        <f ca="1">IFERROR(__xludf.DUMMYFUNCTION("""COMPUTED_VALUE"""),"")</f>
        <v/>
      </c>
      <c r="X458" t="str">
        <f ca="1">IFERROR(__xludf.DUMMYFUNCTION("""COMPUTED_VALUE"""),"")</f>
        <v/>
      </c>
      <c r="Y458" t="str">
        <f ca="1">IFERROR(__xludf.DUMMYFUNCTION("""COMPUTED_VALUE"""),"")</f>
        <v/>
      </c>
      <c r="Z458" t="str">
        <f ca="1">IFERROR(__xludf.DUMMYFUNCTION("""COMPUTED_VALUE"""),"")</f>
        <v/>
      </c>
      <c r="AA458" t="str">
        <f ca="1">IFERROR(__xludf.DUMMYFUNCTION("""COMPUTED_VALUE"""),"Pas de commande")</f>
        <v>Pas de commande</v>
      </c>
      <c r="AB458" s="8" t="str">
        <f ca="1">IFERROR(__xludf.DUMMYFUNCTION("""COMPUTED_VALUE"""),"")</f>
        <v/>
      </c>
      <c r="AC458" s="8" t="str">
        <f ca="1">IFERROR(__xludf.DUMMYFUNCTION("""COMPUTED_VALUE"""),"")</f>
        <v/>
      </c>
      <c r="AD458" s="11" t="str">
        <f ca="1">IFERROR(__xludf.DUMMYFUNCTION("""COMPUTED_VALUE"""),"")</f>
        <v/>
      </c>
      <c r="AE458" t="str">
        <f ca="1">IFERROR(__xludf.DUMMYFUNCTION("""COMPUTED_VALUE"""),"")</f>
        <v/>
      </c>
    </row>
    <row r="459" spans="1:31" ht="12.75" x14ac:dyDescent="0.2">
      <c r="A459">
        <f ca="1">IFERROR(__xludf.DUMMYFUNCTION("""COMPUTED_VALUE"""),37285)</f>
        <v>37285</v>
      </c>
      <c r="B459" t="str">
        <f ca="1">IFERROR(__xludf.DUMMYFUNCTION("""COMPUTED_VALUE"""),"LANMEUR")</f>
        <v>LANMEUR</v>
      </c>
      <c r="C459" t="str">
        <f ca="1">IFERROR(__xludf.DUMMYFUNCTION("""COMPUTED_VALUE"""),"Super U")</f>
        <v>Super U</v>
      </c>
      <c r="D459" t="str">
        <f ca="1">IFERROR(__xludf.DUMMYFUNCTION("""COMPUTED_VALUE"""),"Coop U Enseigne Ouest")</f>
        <v>Coop U Enseigne Ouest</v>
      </c>
      <c r="E459">
        <f ca="1">IFERROR(__xludf.DUMMYFUNCTION("""COMPUTED_VALUE"""),29620)</f>
        <v>29620</v>
      </c>
      <c r="F459" t="str">
        <f ca="1">IFERROR(__xludf.DUMMYFUNCTION("""COMPUTED_VALUE"""),"33 RUE DES QUATRE VENTS")</f>
        <v>33 RUE DES QUATRE VENTS</v>
      </c>
      <c r="G459" t="str">
        <f ca="1">IFERROR(__xludf.DUMMYFUNCTION("""COMPUTED_VALUE"""),"02.98.67.57.88")</f>
        <v>02.98.67.57.88</v>
      </c>
      <c r="H459" t="str">
        <f ca="1">IFERROR(__xludf.DUMMYFUNCTION("""COMPUTED_VALUE"""),"POSIER RPT SARL CLEMALYS Jean Michel")</f>
        <v>POSIER RPT SARL CLEMALYS Jean Michel</v>
      </c>
      <c r="I459" t="str">
        <f ca="1">IFERROR(__xludf.DUMMYFUNCTION("""COMPUTED_VALUE"""),"jean-michel.posier@systeme-u.fr")</f>
        <v>jean-michel.posier@systeme-u.fr</v>
      </c>
      <c r="J459" t="str">
        <f ca="1">IFERROR(__xludf.DUMMYFUNCTION("""COMPUTED_VALUE"""),"Mme AUFFRET Gwenaelle (si associé absent)")</f>
        <v>Mme AUFFRET Gwenaelle (si associé absent)</v>
      </c>
      <c r="K459" t="str">
        <f ca="1">IFERROR(__xludf.DUMMYFUNCTION("""COMPUTED_VALUE"""),"")</f>
        <v/>
      </c>
      <c r="L459" t="str">
        <f ca="1">IFERROR(__xludf.DUMMYFUNCTION("""COMPUTED_VALUE"""),"")</f>
        <v/>
      </c>
      <c r="M459" t="str">
        <f ca="1">IFERROR(__xludf.DUMMYFUNCTION("""COMPUTED_VALUE"""),"99.Hors Périmetre")</f>
        <v>99.Hors Périmetre</v>
      </c>
      <c r="N459" t="str">
        <f ca="1">IFERROR(__xludf.DUMMYFUNCTION("""COMPUTED_VALUE"""),"")</f>
        <v/>
      </c>
      <c r="O459" t="str">
        <f ca="1">IFERROR(__xludf.DUMMYFUNCTION("""COMPUTED_VALUE"""),"")</f>
        <v/>
      </c>
      <c r="P459" t="str">
        <f ca="1">IFERROR(__xludf.DUMMYFUNCTION("""COMPUTED_VALUE"""),"")</f>
        <v/>
      </c>
      <c r="Q459" s="5" t="str">
        <f ca="1">IFERROR(__xludf.DUMMYFUNCTION("""COMPUTED_VALUE"""),"")</f>
        <v/>
      </c>
      <c r="R459" s="6" t="str">
        <f ca="1">IFERROR(__xludf.DUMMYFUNCTION("""COMPUTED_VALUE"""),"")</f>
        <v/>
      </c>
      <c r="S459" t="str">
        <f ca="1">IFERROR(__xludf.DUMMYFUNCTION("""COMPUTED_VALUE"""),"")</f>
        <v/>
      </c>
      <c r="T459" t="str">
        <f ca="1">IFERROR(__xludf.DUMMYFUNCTION("""COMPUTED_VALUE"""),"")</f>
        <v/>
      </c>
      <c r="U459" t="str">
        <f ca="1">IFERROR(__xludf.DUMMYFUNCTION("""COMPUTED_VALUE"""),"")</f>
        <v/>
      </c>
      <c r="V459" t="str">
        <f ca="1">IFERROR(__xludf.DUMMYFUNCTION("""COMPUTED_VALUE"""),"")</f>
        <v/>
      </c>
      <c r="W459" t="str">
        <f ca="1">IFERROR(__xludf.DUMMYFUNCTION("""COMPUTED_VALUE"""),"")</f>
        <v/>
      </c>
      <c r="X459" t="str">
        <f ca="1">IFERROR(__xludf.DUMMYFUNCTION("""COMPUTED_VALUE"""),"")</f>
        <v/>
      </c>
      <c r="Y459" t="str">
        <f ca="1">IFERROR(__xludf.DUMMYFUNCTION("""COMPUTED_VALUE"""),"")</f>
        <v/>
      </c>
      <c r="Z459" t="str">
        <f ca="1">IFERROR(__xludf.DUMMYFUNCTION("""COMPUTED_VALUE"""),"")</f>
        <v/>
      </c>
      <c r="AA459" t="str">
        <f ca="1">IFERROR(__xludf.DUMMYFUNCTION("""COMPUTED_VALUE"""),"Pas de commande")</f>
        <v>Pas de commande</v>
      </c>
      <c r="AB459" s="8" t="str">
        <f ca="1">IFERROR(__xludf.DUMMYFUNCTION("""COMPUTED_VALUE"""),"")</f>
        <v/>
      </c>
      <c r="AC459" s="8" t="str">
        <f ca="1">IFERROR(__xludf.DUMMYFUNCTION("""COMPUTED_VALUE"""),"")</f>
        <v/>
      </c>
      <c r="AD459" s="11" t="str">
        <f ca="1">IFERROR(__xludf.DUMMYFUNCTION("""COMPUTED_VALUE"""),"")</f>
        <v/>
      </c>
      <c r="AE459" t="str">
        <f ca="1">IFERROR(__xludf.DUMMYFUNCTION("""COMPUTED_VALUE"""),"")</f>
        <v/>
      </c>
    </row>
    <row r="460" spans="1:31" ht="12.75" x14ac:dyDescent="0.2">
      <c r="A460">
        <f ca="1">IFERROR(__xludf.DUMMYFUNCTION("""COMPUTED_VALUE"""),33935)</f>
        <v>33935</v>
      </c>
      <c r="B460" t="str">
        <f ca="1">IFERROR(__xludf.DUMMYFUNCTION("""COMPUTED_VALUE"""),"LANVALLAY")</f>
        <v>LANVALLAY</v>
      </c>
      <c r="C460" t="str">
        <f ca="1">IFERROR(__xludf.DUMMYFUNCTION("""COMPUTED_VALUE"""),"Super U")</f>
        <v>Super U</v>
      </c>
      <c r="D460" t="str">
        <f ca="1">IFERROR(__xludf.DUMMYFUNCTION("""COMPUTED_VALUE"""),"Coop U Enseigne Ouest")</f>
        <v>Coop U Enseigne Ouest</v>
      </c>
      <c r="E460">
        <f ca="1">IFERROR(__xludf.DUMMYFUNCTION("""COMPUTED_VALUE"""),22100)</f>
        <v>22100</v>
      </c>
      <c r="F460" t="str">
        <f ca="1">IFERROR(__xludf.DUMMYFUNCTION("""COMPUTED_VALUE"""),"RUE CHARLES DE GAULLE")</f>
        <v>RUE CHARLES DE GAULLE</v>
      </c>
      <c r="G460" t="str">
        <f ca="1">IFERROR(__xludf.DUMMYFUNCTION("""COMPUTED_VALUE"""),"02.96.85.56.56")</f>
        <v>02.96.85.56.56</v>
      </c>
      <c r="H460" t="str">
        <f ca="1">IFERROR(__xludf.DUMMYFUNCTION("""COMPUTED_VALUE"""),"LE BOURHIS RPT SA SOFINABER Philippe")</f>
        <v>LE BOURHIS RPT SA SOFINABER Philippe</v>
      </c>
      <c r="I460" t="str">
        <f ca="1">IFERROR(__xludf.DUMMYFUNCTION("""COMPUTED_VALUE"""),"philippe.le-bourhis@systeme-u.fr")</f>
        <v>philippe.le-bourhis@systeme-u.fr</v>
      </c>
      <c r="J460" t="str">
        <f ca="1">IFERROR(__xludf.DUMMYFUNCTION("""COMPUTED_VALUE"""),"nadege le porcher")</f>
        <v>nadege le porcher</v>
      </c>
      <c r="K460" t="str">
        <f ca="1">IFERROR(__xludf.DUMMYFUNCTION("""COMPUTED_VALUE"""),"superu.lanvallay@systeme-u.fr")</f>
        <v>superu.lanvallay@systeme-u.fr</v>
      </c>
      <c r="L460" t="str">
        <f ca="1">IFERROR(__xludf.DUMMYFUNCTION("""COMPUTED_VALUE"""),"")</f>
        <v/>
      </c>
      <c r="M460" t="str">
        <f ca="1">IFERROR(__xludf.DUMMYFUNCTION("""COMPUTED_VALUE"""),"99.Hors Périmetre")</f>
        <v>99.Hors Périmetre</v>
      </c>
      <c r="N460" t="str">
        <f ca="1">IFERROR(__xludf.DUMMYFUNCTION("""COMPUTED_VALUE"""),"")</f>
        <v/>
      </c>
      <c r="O460" t="str">
        <f ca="1">IFERROR(__xludf.DUMMYFUNCTION("""COMPUTED_VALUE"""),"")</f>
        <v/>
      </c>
      <c r="P460" t="str">
        <f ca="1">IFERROR(__xludf.DUMMYFUNCTION("""COMPUTED_VALUE"""),"")</f>
        <v/>
      </c>
      <c r="Q460" s="5" t="str">
        <f ca="1">IFERROR(__xludf.DUMMYFUNCTION("""COMPUTED_VALUE"""),"")</f>
        <v/>
      </c>
      <c r="R460" s="6" t="str">
        <f ca="1">IFERROR(__xludf.DUMMYFUNCTION("""COMPUTED_VALUE"""),"")</f>
        <v/>
      </c>
      <c r="S460" t="str">
        <f ca="1">IFERROR(__xludf.DUMMYFUNCTION("""COMPUTED_VALUE"""),"")</f>
        <v/>
      </c>
      <c r="T460" t="str">
        <f ca="1">IFERROR(__xludf.DUMMYFUNCTION("""COMPUTED_VALUE"""),"")</f>
        <v/>
      </c>
      <c r="U460" t="str">
        <f ca="1">IFERROR(__xludf.DUMMYFUNCTION("""COMPUTED_VALUE"""),"")</f>
        <v/>
      </c>
      <c r="V460" t="str">
        <f ca="1">IFERROR(__xludf.DUMMYFUNCTION("""COMPUTED_VALUE"""),"")</f>
        <v/>
      </c>
      <c r="W460" t="str">
        <f ca="1">IFERROR(__xludf.DUMMYFUNCTION("""COMPUTED_VALUE"""),"")</f>
        <v/>
      </c>
      <c r="X460" t="str">
        <f ca="1">IFERROR(__xludf.DUMMYFUNCTION("""COMPUTED_VALUE"""),"")</f>
        <v/>
      </c>
      <c r="Y460" t="str">
        <f ca="1">IFERROR(__xludf.DUMMYFUNCTION("""COMPUTED_VALUE"""),"")</f>
        <v/>
      </c>
      <c r="Z460" t="str">
        <f ca="1">IFERROR(__xludf.DUMMYFUNCTION("""COMPUTED_VALUE"""),"")</f>
        <v/>
      </c>
      <c r="AA460" t="str">
        <f ca="1">IFERROR(__xludf.DUMMYFUNCTION("""COMPUTED_VALUE"""),"Pas de commande")</f>
        <v>Pas de commande</v>
      </c>
      <c r="AB460" s="8" t="str">
        <f ca="1">IFERROR(__xludf.DUMMYFUNCTION("""COMPUTED_VALUE"""),"")</f>
        <v/>
      </c>
      <c r="AC460" s="8" t="str">
        <f ca="1">IFERROR(__xludf.DUMMYFUNCTION("""COMPUTED_VALUE"""),"")</f>
        <v/>
      </c>
      <c r="AD460" s="11" t="str">
        <f ca="1">IFERROR(__xludf.DUMMYFUNCTION("""COMPUTED_VALUE"""),"")</f>
        <v/>
      </c>
      <c r="AE460" t="str">
        <f ca="1">IFERROR(__xludf.DUMMYFUNCTION("""COMPUTED_VALUE"""),"")</f>
        <v/>
      </c>
    </row>
    <row r="461" spans="1:31" ht="12.75" x14ac:dyDescent="0.2">
      <c r="A461">
        <f ca="1">IFERROR(__xludf.DUMMYFUNCTION("""COMPUTED_VALUE"""),37226)</f>
        <v>37226</v>
      </c>
      <c r="B461" t="str">
        <f ca="1">IFERROR(__xludf.DUMMYFUNCTION("""COMPUTED_VALUE"""),"LANVOLLON")</f>
        <v>LANVOLLON</v>
      </c>
      <c r="C461" t="str">
        <f ca="1">IFERROR(__xludf.DUMMYFUNCTION("""COMPUTED_VALUE"""),"Super U")</f>
        <v>Super U</v>
      </c>
      <c r="D461" t="str">
        <f ca="1">IFERROR(__xludf.DUMMYFUNCTION("""COMPUTED_VALUE"""),"Coop U Enseigne Ouest")</f>
        <v>Coop U Enseigne Ouest</v>
      </c>
      <c r="E461">
        <f ca="1">IFERROR(__xludf.DUMMYFUNCTION("""COMPUTED_VALUE"""),22290)</f>
        <v>22290</v>
      </c>
      <c r="F461" t="str">
        <f ca="1">IFERROR(__xludf.DUMMYFUNCTION("""COMPUTED_VALUE"""),"35 RUE DES FONTAINES")</f>
        <v>35 RUE DES FONTAINES</v>
      </c>
      <c r="G461" t="str">
        <f ca="1">IFERROR(__xludf.DUMMYFUNCTION("""COMPUTED_VALUE"""),"02.96.70.24.83")</f>
        <v>02.96.70.24.83</v>
      </c>
      <c r="H461" t="str">
        <f ca="1">IFERROR(__xludf.DUMMYFUNCTION("""COMPUTED_VALUE"""),"PRODHOMME RPT SARL SOFIPA Pascal")</f>
        <v>PRODHOMME RPT SARL SOFIPA Pascal</v>
      </c>
      <c r="I461" t="str">
        <f ca="1">IFERROR(__xludf.DUMMYFUNCTION("""COMPUTED_VALUE"""),"pascal.prodhomme@systeme-u.fr")</f>
        <v>pascal.prodhomme@systeme-u.fr</v>
      </c>
      <c r="J461" t="str">
        <f ca="1">IFERROR(__xludf.DUMMYFUNCTION("""COMPUTED_VALUE"""),"Ramis Paule")</f>
        <v>Ramis Paule</v>
      </c>
      <c r="K461" t="str">
        <f ca="1">IFERROR(__xludf.DUMMYFUNCTION("""COMPUTED_VALUE"""),"superu.lanvollon.gescom@systeme-u.fr")</f>
        <v>superu.lanvollon.gescom@systeme-u.fr</v>
      </c>
      <c r="L461" t="str">
        <f ca="1">IFERROR(__xludf.DUMMYFUNCTION("""COMPUTED_VALUE"""),"")</f>
        <v/>
      </c>
      <c r="M461" t="str">
        <f ca="1">IFERROR(__xludf.DUMMYFUNCTION("""COMPUTED_VALUE"""),"99.Hors Périmetre")</f>
        <v>99.Hors Périmetre</v>
      </c>
      <c r="N461" t="str">
        <f ca="1">IFERROR(__xludf.DUMMYFUNCTION("""COMPUTED_VALUE"""),"")</f>
        <v/>
      </c>
      <c r="O461" t="str">
        <f ca="1">IFERROR(__xludf.DUMMYFUNCTION("""COMPUTED_VALUE"""),"")</f>
        <v/>
      </c>
      <c r="P461" t="str">
        <f ca="1">IFERROR(__xludf.DUMMYFUNCTION("""COMPUTED_VALUE"""),"")</f>
        <v/>
      </c>
      <c r="Q461" s="5" t="str">
        <f ca="1">IFERROR(__xludf.DUMMYFUNCTION("""COMPUTED_VALUE"""),"")</f>
        <v/>
      </c>
      <c r="R461" s="6" t="str">
        <f ca="1">IFERROR(__xludf.DUMMYFUNCTION("""COMPUTED_VALUE"""),"")</f>
        <v/>
      </c>
      <c r="S461" t="str">
        <f ca="1">IFERROR(__xludf.DUMMYFUNCTION("""COMPUTED_VALUE"""),"")</f>
        <v/>
      </c>
      <c r="T461" t="str">
        <f ca="1">IFERROR(__xludf.DUMMYFUNCTION("""COMPUTED_VALUE"""),"")</f>
        <v/>
      </c>
      <c r="U461" t="str">
        <f ca="1">IFERROR(__xludf.DUMMYFUNCTION("""COMPUTED_VALUE"""),"")</f>
        <v/>
      </c>
      <c r="V461" t="str">
        <f ca="1">IFERROR(__xludf.DUMMYFUNCTION("""COMPUTED_VALUE"""),"")</f>
        <v/>
      </c>
      <c r="W461" t="str">
        <f ca="1">IFERROR(__xludf.DUMMYFUNCTION("""COMPUTED_VALUE"""),"")</f>
        <v/>
      </c>
      <c r="X461" t="str">
        <f ca="1">IFERROR(__xludf.DUMMYFUNCTION("""COMPUTED_VALUE"""),"")</f>
        <v/>
      </c>
      <c r="Y461" t="str">
        <f ca="1">IFERROR(__xludf.DUMMYFUNCTION("""COMPUTED_VALUE"""),"")</f>
        <v/>
      </c>
      <c r="Z461" t="str">
        <f ca="1">IFERROR(__xludf.DUMMYFUNCTION("""COMPUTED_VALUE"""),"")</f>
        <v/>
      </c>
      <c r="AA461" t="str">
        <f ca="1">IFERROR(__xludf.DUMMYFUNCTION("""COMPUTED_VALUE"""),"Pas de commande")</f>
        <v>Pas de commande</v>
      </c>
      <c r="AB461" s="8" t="str">
        <f ca="1">IFERROR(__xludf.DUMMYFUNCTION("""COMPUTED_VALUE"""),"")</f>
        <v/>
      </c>
      <c r="AC461" s="8" t="str">
        <f ca="1">IFERROR(__xludf.DUMMYFUNCTION("""COMPUTED_VALUE"""),"")</f>
        <v/>
      </c>
      <c r="AD461" s="11" t="str">
        <f ca="1">IFERROR(__xludf.DUMMYFUNCTION("""COMPUTED_VALUE"""),"")</f>
        <v/>
      </c>
      <c r="AE461" t="str">
        <f ca="1">IFERROR(__xludf.DUMMYFUNCTION("""COMPUTED_VALUE"""),"")</f>
        <v/>
      </c>
    </row>
    <row r="462" spans="1:31" ht="12.75" x14ac:dyDescent="0.2">
      <c r="A462">
        <f ca="1">IFERROR(__xludf.DUMMYFUNCTION("""COMPUTED_VALUE"""),95472)</f>
        <v>95472</v>
      </c>
      <c r="B462" t="str">
        <f ca="1">IFERROR(__xludf.DUMMYFUNCTION("""COMPUTED_VALUE"""),"LAROQUEBROU")</f>
        <v>LAROQUEBROU</v>
      </c>
      <c r="C462" t="str">
        <f ca="1">IFERROR(__xludf.DUMMYFUNCTION("""COMPUTED_VALUE"""),"U Express")</f>
        <v>U Express</v>
      </c>
      <c r="D462" t="str">
        <f ca="1">IFERROR(__xludf.DUMMYFUNCTION("""COMPUTED_VALUE"""),"Coop UPSO")</f>
        <v>Coop UPSO</v>
      </c>
      <c r="E462">
        <f ca="1">IFERROR(__xludf.DUMMYFUNCTION("""COMPUTED_VALUE"""),15150)</f>
        <v>15150</v>
      </c>
      <c r="F462" t="str">
        <f ca="1">IFERROR(__xludf.DUMMYFUNCTION("""COMPUTED_VALUE"""),"AVENUE DES PLATANES")</f>
        <v>AVENUE DES PLATANES</v>
      </c>
      <c r="G462" t="str">
        <f ca="1">IFERROR(__xludf.DUMMYFUNCTION("""COMPUTED_VALUE"""),"04.71.46.07.56")</f>
        <v>04.71.46.07.56</v>
      </c>
      <c r="H462" t="str">
        <f ca="1">IFERROR(__xludf.DUMMYFUNCTION("""COMPUTED_VALUE"""),"THEMINES Jean Luc")</f>
        <v>THEMINES Jean Luc</v>
      </c>
      <c r="I462" t="str">
        <f ca="1">IFERROR(__xludf.DUMMYFUNCTION("""COMPUTED_VALUE"""),"emmanuel.verniol@systeme-u.fr")</f>
        <v>emmanuel.verniol@systeme-u.fr</v>
      </c>
      <c r="J462" t="str">
        <f ca="1">IFERROR(__xludf.DUMMYFUNCTION("""COMPUTED_VALUE"""),"M. Emmanuel Verniol")</f>
        <v>M. Emmanuel Verniol</v>
      </c>
      <c r="K462" t="str">
        <f ca="1">IFERROR(__xludf.DUMMYFUNCTION("""COMPUTED_VALUE"""),"emmanuel.verniol@systeme-u.fr")</f>
        <v>emmanuel.verniol@systeme-u.fr</v>
      </c>
      <c r="L462" t="str">
        <f ca="1">IFERROR(__xludf.DUMMYFUNCTION("""COMPUTED_VALUE"""),"")</f>
        <v/>
      </c>
      <c r="M462" t="str">
        <f ca="1">IFERROR(__xludf.DUMMYFUNCTION("""COMPUTED_VALUE"""),"99.Hors Périmetre")</f>
        <v>99.Hors Périmetre</v>
      </c>
      <c r="N462" t="str">
        <f ca="1">IFERROR(__xludf.DUMMYFUNCTION("""COMPUTED_VALUE"""),"")</f>
        <v/>
      </c>
      <c r="O462" t="str">
        <f ca="1">IFERROR(__xludf.DUMMYFUNCTION("""COMPUTED_VALUE"""),"")</f>
        <v/>
      </c>
      <c r="P462" t="str">
        <f ca="1">IFERROR(__xludf.DUMMYFUNCTION("""COMPUTED_VALUE"""),"")</f>
        <v/>
      </c>
      <c r="Q462" s="5" t="str">
        <f ca="1">IFERROR(__xludf.DUMMYFUNCTION("""COMPUTED_VALUE"""),"")</f>
        <v/>
      </c>
      <c r="R462" s="6" t="str">
        <f ca="1">IFERROR(__xludf.DUMMYFUNCTION("""COMPUTED_VALUE"""),"")</f>
        <v/>
      </c>
      <c r="S462" t="str">
        <f ca="1">IFERROR(__xludf.DUMMYFUNCTION("""COMPUTED_VALUE"""),"")</f>
        <v/>
      </c>
      <c r="T462" t="str">
        <f ca="1">IFERROR(__xludf.DUMMYFUNCTION("""COMPUTED_VALUE"""),"")</f>
        <v/>
      </c>
      <c r="U462" t="str">
        <f ca="1">IFERROR(__xludf.DUMMYFUNCTION("""COMPUTED_VALUE"""),"")</f>
        <v/>
      </c>
      <c r="V462" t="str">
        <f ca="1">IFERROR(__xludf.DUMMYFUNCTION("""COMPUTED_VALUE"""),"")</f>
        <v/>
      </c>
      <c r="W462" t="str">
        <f ca="1">IFERROR(__xludf.DUMMYFUNCTION("""COMPUTED_VALUE"""),"")</f>
        <v/>
      </c>
      <c r="X462" t="str">
        <f ca="1">IFERROR(__xludf.DUMMYFUNCTION("""COMPUTED_VALUE"""),"")</f>
        <v/>
      </c>
      <c r="Y462" t="str">
        <f ca="1">IFERROR(__xludf.DUMMYFUNCTION("""COMPUTED_VALUE"""),"")</f>
        <v/>
      </c>
      <c r="Z462" t="str">
        <f ca="1">IFERROR(__xludf.DUMMYFUNCTION("""COMPUTED_VALUE"""),"")</f>
        <v/>
      </c>
      <c r="AA462" t="str">
        <f ca="1">IFERROR(__xludf.DUMMYFUNCTION("""COMPUTED_VALUE"""),"Pas de commande")</f>
        <v>Pas de commande</v>
      </c>
      <c r="AB462" s="8" t="str">
        <f ca="1">IFERROR(__xludf.DUMMYFUNCTION("""COMPUTED_VALUE"""),"")</f>
        <v/>
      </c>
      <c r="AC462" s="8" t="str">
        <f ca="1">IFERROR(__xludf.DUMMYFUNCTION("""COMPUTED_VALUE"""),"")</f>
        <v/>
      </c>
      <c r="AD462" s="11" t="str">
        <f ca="1">IFERROR(__xludf.DUMMYFUNCTION("""COMPUTED_VALUE"""),"")</f>
        <v/>
      </c>
      <c r="AE462" t="str">
        <f ca="1">IFERROR(__xludf.DUMMYFUNCTION("""COMPUTED_VALUE"""),"")</f>
        <v/>
      </c>
    </row>
    <row r="463" spans="1:31" ht="12.75" x14ac:dyDescent="0.2">
      <c r="A463">
        <f ca="1">IFERROR(__xludf.DUMMYFUNCTION("""COMPUTED_VALUE"""),90432)</f>
        <v>90432</v>
      </c>
      <c r="B463" t="str">
        <f ca="1">IFERROR(__xludf.DUMMYFUNCTION("""COMPUTED_VALUE"""),"LAUDUN")</f>
        <v>LAUDUN</v>
      </c>
      <c r="C463" t="str">
        <f ca="1">IFERROR(__xludf.DUMMYFUNCTION("""COMPUTED_VALUE"""),"U Express")</f>
        <v>U Express</v>
      </c>
      <c r="D463" t="str">
        <f ca="1">IFERROR(__xludf.DUMMYFUNCTION("""COMPUTED_VALUE"""),"Coop U Enseigne Sud")</f>
        <v>Coop U Enseigne Sud</v>
      </c>
      <c r="E463">
        <f ca="1">IFERROR(__xludf.DUMMYFUNCTION("""COMPUTED_VALUE"""),30290)</f>
        <v>30290</v>
      </c>
      <c r="F463" t="str">
        <f ca="1">IFERROR(__xludf.DUMMYFUNCTION("""COMPUTED_VALUE"""),"RUE VICTOR HUGO.")</f>
        <v>RUE VICTOR HUGO.</v>
      </c>
      <c r="G463" t="str">
        <f ca="1">IFERROR(__xludf.DUMMYFUNCTION("""COMPUTED_VALUE"""),"04.66.79.37.16")</f>
        <v>04.66.79.37.16</v>
      </c>
      <c r="H463" t="str">
        <f ca="1">IFERROR(__xludf.DUMMYFUNCTION("""COMPUTED_VALUE"""),"DURET Yannick")</f>
        <v>DURET Yannick</v>
      </c>
      <c r="I463" t="str">
        <f ca="1">IFERROR(__xludf.DUMMYFUNCTION("""COMPUTED_VALUE"""),"yannick.duret@systeme-u.fr")</f>
        <v>yannick.duret@systeme-u.fr</v>
      </c>
      <c r="J463" t="str">
        <f ca="1">IFERROR(__xludf.DUMMYFUNCTION("""COMPUTED_VALUE"""),"")</f>
        <v/>
      </c>
      <c r="K463" t="str">
        <f ca="1">IFERROR(__xludf.DUMMYFUNCTION("""COMPUTED_VALUE"""),"")</f>
        <v/>
      </c>
      <c r="L463" t="str">
        <f ca="1">IFERROR(__xludf.DUMMYFUNCTION("""COMPUTED_VALUE"""),"")</f>
        <v/>
      </c>
      <c r="M463" t="str">
        <f ca="1">IFERROR(__xludf.DUMMYFUNCTION("""COMPUTED_VALUE"""),"99.Hors Périmetre")</f>
        <v>99.Hors Périmetre</v>
      </c>
      <c r="N463" t="str">
        <f ca="1">IFERROR(__xludf.DUMMYFUNCTION("""COMPUTED_VALUE"""),"")</f>
        <v/>
      </c>
      <c r="O463" t="str">
        <f ca="1">IFERROR(__xludf.DUMMYFUNCTION("""COMPUTED_VALUE"""),"")</f>
        <v/>
      </c>
      <c r="P463" t="str">
        <f ca="1">IFERROR(__xludf.DUMMYFUNCTION("""COMPUTED_VALUE"""),"")</f>
        <v/>
      </c>
      <c r="Q463" s="5" t="str">
        <f ca="1">IFERROR(__xludf.DUMMYFUNCTION("""COMPUTED_VALUE"""),"")</f>
        <v/>
      </c>
      <c r="R463" s="6" t="str">
        <f ca="1">IFERROR(__xludf.DUMMYFUNCTION("""COMPUTED_VALUE"""),"")</f>
        <v/>
      </c>
      <c r="S463" t="str">
        <f ca="1">IFERROR(__xludf.DUMMYFUNCTION("""COMPUTED_VALUE"""),"")</f>
        <v/>
      </c>
      <c r="T463" t="str">
        <f ca="1">IFERROR(__xludf.DUMMYFUNCTION("""COMPUTED_VALUE"""),"")</f>
        <v/>
      </c>
      <c r="U463" t="str">
        <f ca="1">IFERROR(__xludf.DUMMYFUNCTION("""COMPUTED_VALUE"""),"")</f>
        <v/>
      </c>
      <c r="V463" t="str">
        <f ca="1">IFERROR(__xludf.DUMMYFUNCTION("""COMPUTED_VALUE"""),"")</f>
        <v/>
      </c>
      <c r="W463" t="str">
        <f ca="1">IFERROR(__xludf.DUMMYFUNCTION("""COMPUTED_VALUE"""),"")</f>
        <v/>
      </c>
      <c r="X463" t="str">
        <f ca="1">IFERROR(__xludf.DUMMYFUNCTION("""COMPUTED_VALUE"""),"")</f>
        <v/>
      </c>
      <c r="Y463" t="str">
        <f ca="1">IFERROR(__xludf.DUMMYFUNCTION("""COMPUTED_VALUE"""),"")</f>
        <v/>
      </c>
      <c r="Z463" t="str">
        <f ca="1">IFERROR(__xludf.DUMMYFUNCTION("""COMPUTED_VALUE"""),"")</f>
        <v/>
      </c>
      <c r="AA463" t="str">
        <f ca="1">IFERROR(__xludf.DUMMYFUNCTION("""COMPUTED_VALUE"""),"Pas de commande")</f>
        <v>Pas de commande</v>
      </c>
      <c r="AB463" s="8" t="str">
        <f ca="1">IFERROR(__xludf.DUMMYFUNCTION("""COMPUTED_VALUE"""),"")</f>
        <v/>
      </c>
      <c r="AC463" s="8" t="str">
        <f ca="1">IFERROR(__xludf.DUMMYFUNCTION("""COMPUTED_VALUE"""),"")</f>
        <v/>
      </c>
      <c r="AD463" s="11" t="str">
        <f ca="1">IFERROR(__xludf.DUMMYFUNCTION("""COMPUTED_VALUE"""),"")</f>
        <v/>
      </c>
      <c r="AE463" t="str">
        <f ca="1">IFERROR(__xludf.DUMMYFUNCTION("""COMPUTED_VALUE"""),"")</f>
        <v/>
      </c>
    </row>
    <row r="464" spans="1:31" ht="12.75" x14ac:dyDescent="0.2">
      <c r="A464">
        <f ca="1">IFERROR(__xludf.DUMMYFUNCTION("""COMPUTED_VALUE"""),95130)</f>
        <v>95130</v>
      </c>
      <c r="B464" t="str">
        <f ca="1">IFERROR(__xludf.DUMMYFUNCTION("""COMPUTED_VALUE"""),"LAVARDAC")</f>
        <v>LAVARDAC</v>
      </c>
      <c r="C464" t="str">
        <f ca="1">IFERROR(__xludf.DUMMYFUNCTION("""COMPUTED_VALUE"""),"Super U")</f>
        <v>Super U</v>
      </c>
      <c r="D464" t="str">
        <f ca="1">IFERROR(__xludf.DUMMYFUNCTION("""COMPUTED_VALUE"""),"Coop U Enseigne Sud")</f>
        <v>Coop U Enseigne Sud</v>
      </c>
      <c r="E464">
        <f ca="1">IFERROR(__xludf.DUMMYFUNCTION("""COMPUTED_VALUE"""),47230)</f>
        <v>47230</v>
      </c>
      <c r="F464" t="str">
        <f ca="1">IFERROR(__xludf.DUMMYFUNCTION("""COMPUTED_VALUE"""),"ROUTE DE MEZIN")</f>
        <v>ROUTE DE MEZIN</v>
      </c>
      <c r="G464" t="str">
        <f ca="1">IFERROR(__xludf.DUMMYFUNCTION("""COMPUTED_VALUE"""),"05.53.65.55.12")</f>
        <v>05.53.65.55.12</v>
      </c>
      <c r="H464" t="str">
        <f ca="1">IFERROR(__xludf.DUMMYFUNCTION("""COMPUTED_VALUE"""),"GUILHEMJOUAN Pierre")</f>
        <v>GUILHEMJOUAN Pierre</v>
      </c>
      <c r="I464" t="str">
        <f ca="1">IFERROR(__xludf.DUMMYFUNCTION("""COMPUTED_VALUE"""),"pierre.guilhemjouan@systeme-u.fr")</f>
        <v>pierre.guilhemjouan@systeme-u.fr</v>
      </c>
      <c r="J464" t="str">
        <f ca="1">IFERROR(__xludf.DUMMYFUNCTION("""COMPUTED_VALUE"""),"")</f>
        <v/>
      </c>
      <c r="K464" t="str">
        <f ca="1">IFERROR(__xludf.DUMMYFUNCTION("""COMPUTED_VALUE"""),"superu.lavardac@systeme-u.fr")</f>
        <v>superu.lavardac@systeme-u.fr</v>
      </c>
      <c r="L464" t="str">
        <f ca="1">IFERROR(__xludf.DUMMYFUNCTION("""COMPUTED_VALUE"""),"")</f>
        <v/>
      </c>
      <c r="M464" t="str">
        <f ca="1">IFERROR(__xludf.DUMMYFUNCTION("""COMPUTED_VALUE"""),"99.Hors Périmetre")</f>
        <v>99.Hors Périmetre</v>
      </c>
      <c r="N464" t="str">
        <f ca="1">IFERROR(__xludf.DUMMYFUNCTION("""COMPUTED_VALUE"""),"")</f>
        <v/>
      </c>
      <c r="O464" t="str">
        <f ca="1">IFERROR(__xludf.DUMMYFUNCTION("""COMPUTED_VALUE"""),"")</f>
        <v/>
      </c>
      <c r="P464" t="str">
        <f ca="1">IFERROR(__xludf.DUMMYFUNCTION("""COMPUTED_VALUE"""),"")</f>
        <v/>
      </c>
      <c r="Q464" s="5" t="str">
        <f ca="1">IFERROR(__xludf.DUMMYFUNCTION("""COMPUTED_VALUE"""),"")</f>
        <v/>
      </c>
      <c r="R464" s="6" t="str">
        <f ca="1">IFERROR(__xludf.DUMMYFUNCTION("""COMPUTED_VALUE"""),"")</f>
        <v/>
      </c>
      <c r="S464" t="str">
        <f ca="1">IFERROR(__xludf.DUMMYFUNCTION("""COMPUTED_VALUE"""),"")</f>
        <v/>
      </c>
      <c r="T464" t="str">
        <f ca="1">IFERROR(__xludf.DUMMYFUNCTION("""COMPUTED_VALUE"""),"")</f>
        <v/>
      </c>
      <c r="U464" t="str">
        <f ca="1">IFERROR(__xludf.DUMMYFUNCTION("""COMPUTED_VALUE"""),"")</f>
        <v/>
      </c>
      <c r="V464" t="str">
        <f ca="1">IFERROR(__xludf.DUMMYFUNCTION("""COMPUTED_VALUE"""),"")</f>
        <v/>
      </c>
      <c r="W464" t="str">
        <f ca="1">IFERROR(__xludf.DUMMYFUNCTION("""COMPUTED_VALUE"""),"")</f>
        <v/>
      </c>
      <c r="X464" t="str">
        <f ca="1">IFERROR(__xludf.DUMMYFUNCTION("""COMPUTED_VALUE"""),"")</f>
        <v/>
      </c>
      <c r="Y464" t="str">
        <f ca="1">IFERROR(__xludf.DUMMYFUNCTION("""COMPUTED_VALUE"""),"")</f>
        <v/>
      </c>
      <c r="Z464" t="str">
        <f ca="1">IFERROR(__xludf.DUMMYFUNCTION("""COMPUTED_VALUE"""),"")</f>
        <v/>
      </c>
      <c r="AA464" t="str">
        <f ca="1">IFERROR(__xludf.DUMMYFUNCTION("""COMPUTED_VALUE"""),"Pas de commande")</f>
        <v>Pas de commande</v>
      </c>
      <c r="AB464" s="8" t="str">
        <f ca="1">IFERROR(__xludf.DUMMYFUNCTION("""COMPUTED_VALUE"""),"")</f>
        <v/>
      </c>
      <c r="AC464" s="8" t="str">
        <f ca="1">IFERROR(__xludf.DUMMYFUNCTION("""COMPUTED_VALUE"""),"")</f>
        <v/>
      </c>
      <c r="AD464" s="11" t="str">
        <f ca="1">IFERROR(__xludf.DUMMYFUNCTION("""COMPUTED_VALUE"""),"")</f>
        <v/>
      </c>
      <c r="AE464" t="str">
        <f ca="1">IFERROR(__xludf.DUMMYFUNCTION("""COMPUTED_VALUE"""),"")</f>
        <v/>
      </c>
    </row>
    <row r="465" spans="1:31" ht="12.75" x14ac:dyDescent="0.2">
      <c r="A465">
        <f ca="1">IFERROR(__xludf.DUMMYFUNCTION("""COMPUTED_VALUE"""),95152)</f>
        <v>95152</v>
      </c>
      <c r="B465" t="str">
        <f ca="1">IFERROR(__xludf.DUMMYFUNCTION("""COMPUTED_VALUE"""),"LAVAUR")</f>
        <v>LAVAUR</v>
      </c>
      <c r="C465" t="str">
        <f ca="1">IFERROR(__xludf.DUMMYFUNCTION("""COMPUTED_VALUE"""),"Super U")</f>
        <v>Super U</v>
      </c>
      <c r="D465" t="str">
        <f ca="1">IFERROR(__xludf.DUMMYFUNCTION("""COMPUTED_VALUE"""),"Coop U Enseigne Sud")</f>
        <v>Coop U Enseigne Sud</v>
      </c>
      <c r="E465">
        <f ca="1">IFERROR(__xludf.DUMMYFUNCTION("""COMPUTED_VALUE"""),81500)</f>
        <v>81500</v>
      </c>
      <c r="F465" t="str">
        <f ca="1">IFERROR(__xludf.DUMMYFUNCTION("""COMPUTED_VALUE"""),"SU LIEU DIT LE ROUCH")</f>
        <v>SU LIEU DIT LE ROUCH</v>
      </c>
      <c r="G465" t="str">
        <f ca="1">IFERROR(__xludf.DUMMYFUNCTION("""COMPUTED_VALUE"""),"05.63.83.63.63")</f>
        <v>05.63.83.63.63</v>
      </c>
      <c r="H465" t="str">
        <f ca="1">IFERROR(__xludf.DUMMYFUNCTION("""COMPUTED_VALUE"""),"MUNOZ MANZANERA Yolanda")</f>
        <v>MUNOZ MANZANERA Yolanda</v>
      </c>
      <c r="I465" t="str">
        <f ca="1">IFERROR(__xludf.DUMMYFUNCTION("""COMPUTED_VALUE"""),"yolanda.munoz-manzanera@systeme-u.fr")</f>
        <v>yolanda.munoz-manzanera@systeme-u.fr</v>
      </c>
      <c r="J465" t="str">
        <f ca="1">IFERROR(__xludf.DUMMYFUNCTION("""COMPUTED_VALUE"""),"Xavier DAVID")</f>
        <v>Xavier DAVID</v>
      </c>
      <c r="K465" t="str">
        <f ca="1">IFERROR(__xludf.DUMMYFUNCTION("""COMPUTED_VALUE"""),"xavier.david@systeme-u.fr")</f>
        <v>xavier.david@systeme-u.fr</v>
      </c>
      <c r="L465" t="str">
        <f ca="1">IFERROR(__xludf.DUMMYFUNCTION("""COMPUTED_VALUE"""),"")</f>
        <v/>
      </c>
      <c r="M465" t="str">
        <f ca="1">IFERROR(__xludf.DUMMYFUNCTION("""COMPUTED_VALUE"""),"99.Hors Périmetre")</f>
        <v>99.Hors Périmetre</v>
      </c>
      <c r="N465" t="str">
        <f ca="1">IFERROR(__xludf.DUMMYFUNCTION("""COMPUTED_VALUE"""),"")</f>
        <v/>
      </c>
      <c r="O465" t="str">
        <f ca="1">IFERROR(__xludf.DUMMYFUNCTION("""COMPUTED_VALUE"""),"")</f>
        <v/>
      </c>
      <c r="P465" t="str">
        <f ca="1">IFERROR(__xludf.DUMMYFUNCTION("""COMPUTED_VALUE"""),"")</f>
        <v/>
      </c>
      <c r="Q465" s="5" t="str">
        <f ca="1">IFERROR(__xludf.DUMMYFUNCTION("""COMPUTED_VALUE"""),"")</f>
        <v/>
      </c>
      <c r="R465" s="6" t="str">
        <f ca="1">IFERROR(__xludf.DUMMYFUNCTION("""COMPUTED_VALUE"""),"")</f>
        <v/>
      </c>
      <c r="S465" t="str">
        <f ca="1">IFERROR(__xludf.DUMMYFUNCTION("""COMPUTED_VALUE"""),"")</f>
        <v/>
      </c>
      <c r="T465" t="str">
        <f ca="1">IFERROR(__xludf.DUMMYFUNCTION("""COMPUTED_VALUE"""),"")</f>
        <v/>
      </c>
      <c r="U465" t="str">
        <f ca="1">IFERROR(__xludf.DUMMYFUNCTION("""COMPUTED_VALUE"""),"")</f>
        <v/>
      </c>
      <c r="V465" t="str">
        <f ca="1">IFERROR(__xludf.DUMMYFUNCTION("""COMPUTED_VALUE"""),"")</f>
        <v/>
      </c>
      <c r="W465" t="str">
        <f ca="1">IFERROR(__xludf.DUMMYFUNCTION("""COMPUTED_VALUE"""),"")</f>
        <v/>
      </c>
      <c r="X465" t="str">
        <f ca="1">IFERROR(__xludf.DUMMYFUNCTION("""COMPUTED_VALUE"""),"")</f>
        <v/>
      </c>
      <c r="Y465" t="str">
        <f ca="1">IFERROR(__xludf.DUMMYFUNCTION("""COMPUTED_VALUE"""),"")</f>
        <v/>
      </c>
      <c r="Z465" t="str">
        <f ca="1">IFERROR(__xludf.DUMMYFUNCTION("""COMPUTED_VALUE"""),"")</f>
        <v/>
      </c>
      <c r="AA465" t="str">
        <f ca="1">IFERROR(__xludf.DUMMYFUNCTION("""COMPUTED_VALUE"""),"Pas de commande")</f>
        <v>Pas de commande</v>
      </c>
      <c r="AB465" s="8" t="str">
        <f ca="1">IFERROR(__xludf.DUMMYFUNCTION("""COMPUTED_VALUE"""),"")</f>
        <v/>
      </c>
      <c r="AC465" s="8" t="str">
        <f ca="1">IFERROR(__xludf.DUMMYFUNCTION("""COMPUTED_VALUE"""),"")</f>
        <v/>
      </c>
      <c r="AD465" s="11" t="str">
        <f ca="1">IFERROR(__xludf.DUMMYFUNCTION("""COMPUTED_VALUE"""),"")</f>
        <v/>
      </c>
      <c r="AE465" t="str">
        <f ca="1">IFERROR(__xludf.DUMMYFUNCTION("""COMPUTED_VALUE"""),"")</f>
        <v/>
      </c>
    </row>
    <row r="466" spans="1:31" ht="12.75" x14ac:dyDescent="0.2">
      <c r="A466">
        <f ca="1">IFERROR(__xludf.DUMMYFUNCTION("""COMPUTED_VALUE"""),90403)</f>
        <v>90403</v>
      </c>
      <c r="B466" t="str">
        <f ca="1">IFERROR(__xludf.DUMMYFUNCTION("""COMPUTED_VALUE"""),"LAVELANET")</f>
        <v>LAVELANET</v>
      </c>
      <c r="C466" t="str">
        <f ca="1">IFERROR(__xludf.DUMMYFUNCTION("""COMPUTED_VALUE"""),"Super U")</f>
        <v>Super U</v>
      </c>
      <c r="D466" t="str">
        <f ca="1">IFERROR(__xludf.DUMMYFUNCTION("""COMPUTED_VALUE"""),"Coop U Enseigne Sud")</f>
        <v>Coop U Enseigne Sud</v>
      </c>
      <c r="E466">
        <f ca="1">IFERROR(__xludf.DUMMYFUNCTION("""COMPUTED_VALUE"""),9300)</f>
        <v>9300</v>
      </c>
      <c r="F466" t="str">
        <f ca="1">IFERROR(__xludf.DUMMYFUNCTION("""COMPUTED_VALUE"""),"RUE DES PYRENEES")</f>
        <v>RUE DES PYRENEES</v>
      </c>
      <c r="G466" t="str">
        <f ca="1">IFERROR(__xludf.DUMMYFUNCTION("""COMPUTED_VALUE"""),"05.61.05.05.90")</f>
        <v>05.61.05.05.90</v>
      </c>
      <c r="H466" t="str">
        <f ca="1">IFERROR(__xludf.DUMMYFUNCTION("""COMPUTED_VALUE"""),"ROUSSILLE Thomas")</f>
        <v>ROUSSILLE Thomas</v>
      </c>
      <c r="I466" t="str">
        <f ca="1">IFERROR(__xludf.DUMMYFUNCTION("""COMPUTED_VALUE"""),"thomas.roussille@systeme-u.fr")</f>
        <v>thomas.roussille@systeme-u.fr</v>
      </c>
      <c r="J466" t="str">
        <f ca="1">IFERROR(__xludf.DUMMYFUNCTION("""COMPUTED_VALUE"""),"")</f>
        <v/>
      </c>
      <c r="K466" t="str">
        <f ca="1">IFERROR(__xludf.DUMMYFUNCTION("""COMPUTED_VALUE"""),"")</f>
        <v/>
      </c>
      <c r="L466" t="str">
        <f ca="1">IFERROR(__xludf.DUMMYFUNCTION("""COMPUTED_VALUE"""),"")</f>
        <v/>
      </c>
      <c r="M466" t="str">
        <f ca="1">IFERROR(__xludf.DUMMYFUNCTION("""COMPUTED_VALUE"""),"")</f>
        <v/>
      </c>
      <c r="N466" t="str">
        <f ca="1">IFERROR(__xludf.DUMMYFUNCTION("""COMPUTED_VALUE"""),"")</f>
        <v/>
      </c>
      <c r="O466" t="str">
        <f ca="1">IFERROR(__xludf.DUMMYFUNCTION("""COMPUTED_VALUE"""),"")</f>
        <v/>
      </c>
      <c r="P466" t="str">
        <f ca="1">IFERROR(__xludf.DUMMYFUNCTION("""COMPUTED_VALUE"""),"")</f>
        <v/>
      </c>
      <c r="Q466" s="5" t="str">
        <f ca="1">IFERROR(__xludf.DUMMYFUNCTION("""COMPUTED_VALUE"""),"")</f>
        <v/>
      </c>
      <c r="R466" s="6" t="str">
        <f ca="1">IFERROR(__xludf.DUMMYFUNCTION("""COMPUTED_VALUE"""),"")</f>
        <v/>
      </c>
      <c r="S466" t="str">
        <f ca="1">IFERROR(__xludf.DUMMYFUNCTION("""COMPUTED_VALUE"""),"")</f>
        <v/>
      </c>
      <c r="T466" t="str">
        <f ca="1">IFERROR(__xludf.DUMMYFUNCTION("""COMPUTED_VALUE"""),"")</f>
        <v/>
      </c>
      <c r="U466" t="str">
        <f ca="1">IFERROR(__xludf.DUMMYFUNCTION("""COMPUTED_VALUE"""),"")</f>
        <v/>
      </c>
      <c r="V466" t="str">
        <f ca="1">IFERROR(__xludf.DUMMYFUNCTION("""COMPUTED_VALUE"""),"")</f>
        <v/>
      </c>
      <c r="W466" t="str">
        <f ca="1">IFERROR(__xludf.DUMMYFUNCTION("""COMPUTED_VALUE"""),"R3")</f>
        <v>R3</v>
      </c>
      <c r="X466" t="str">
        <f ca="1">IFERROR(__xludf.DUMMYFUNCTION("""COMPUTED_VALUE"""),"Toshiba")</f>
        <v>Toshiba</v>
      </c>
      <c r="Y466" t="str">
        <f ca="1">IFERROR(__xludf.DUMMYFUNCTION("""COMPUTED_VALUE"""),"")</f>
        <v/>
      </c>
      <c r="Z466" t="str">
        <f ca="1">IFERROR(__xludf.DUMMYFUNCTION("""COMPUTED_VALUE"""),"")</f>
        <v/>
      </c>
      <c r="AA466" t="str">
        <f ca="1">IFERROR(__xludf.DUMMYFUNCTION("""COMPUTED_VALUE"""),"Pas de commande")</f>
        <v>Pas de commande</v>
      </c>
      <c r="AB466" s="8" t="str">
        <f ca="1">IFERROR(__xludf.DUMMYFUNCTION("""COMPUTED_VALUE"""),"")</f>
        <v/>
      </c>
      <c r="AC466" s="8" t="str">
        <f ca="1">IFERROR(__xludf.DUMMYFUNCTION("""COMPUTED_VALUE"""),"")</f>
        <v/>
      </c>
      <c r="AD466" s="11" t="str">
        <f ca="1">IFERROR(__xludf.DUMMYFUNCTION("""COMPUTED_VALUE"""),"")</f>
        <v/>
      </c>
      <c r="AE466" t="str">
        <f ca="1">IFERROR(__xludf.DUMMYFUNCTION("""COMPUTED_VALUE"""),"")</f>
        <v/>
      </c>
    </row>
    <row r="467" spans="1:31" ht="12.75" x14ac:dyDescent="0.2">
      <c r="A467">
        <f ca="1">IFERROR(__xludf.DUMMYFUNCTION("""COMPUTED_VALUE"""),90492)</f>
        <v>90492</v>
      </c>
      <c r="B467" t="str">
        <f ca="1">IFERROR(__xludf.DUMMYFUNCTION("""COMPUTED_VALUE"""),"LE BARCARES")</f>
        <v>LE BARCARES</v>
      </c>
      <c r="C467" t="str">
        <f ca="1">IFERROR(__xludf.DUMMYFUNCTION("""COMPUTED_VALUE"""),"Super U")</f>
        <v>Super U</v>
      </c>
      <c r="D467" t="str">
        <f ca="1">IFERROR(__xludf.DUMMYFUNCTION("""COMPUTED_VALUE"""),"Coop U Enseigne Sud")</f>
        <v>Coop U Enseigne Sud</v>
      </c>
      <c r="E467">
        <f ca="1">IFERROR(__xludf.DUMMYFUNCTION("""COMPUTED_VALUE"""),66420)</f>
        <v>66420</v>
      </c>
      <c r="F467" t="str">
        <f ca="1">IFERROR(__xludf.DUMMYFUNCTION("""COMPUTED_VALUE"""),"BOULEVARD DU 14 JUILLET")</f>
        <v>BOULEVARD DU 14 JUILLET</v>
      </c>
      <c r="G467" t="str">
        <f ca="1">IFERROR(__xludf.DUMMYFUNCTION("""COMPUTED_VALUE"""),"04.68.86.25.61")</f>
        <v>04.68.86.25.61</v>
      </c>
      <c r="H467" t="str">
        <f ca="1">IFERROR(__xludf.DUMMYFUNCTION("""COMPUTED_VALUE"""),"BAZIL STEPHANE")</f>
        <v>BAZIL STEPHANE</v>
      </c>
      <c r="I467" t="str">
        <f ca="1">IFERROR(__xludf.DUMMYFUNCTION("""COMPUTED_VALUE"""),"stephane.bazil@systeme-u.fr")</f>
        <v>stephane.bazil@systeme-u.fr</v>
      </c>
      <c r="J467" t="str">
        <f ca="1">IFERROR(__xludf.DUMMYFUNCTION("""COMPUTED_VALUE"""),"BAZIL et Martin")</f>
        <v>BAZIL et Martin</v>
      </c>
      <c r="K467" t="str">
        <f ca="1">IFERROR(__xludf.DUMMYFUNCTION("""COMPUTED_VALUE"""),"stephane.bazil@systeme-u.fr")</f>
        <v>stephane.bazil@systeme-u.fr</v>
      </c>
      <c r="L467" t="str">
        <f ca="1">IFERROR(__xludf.DUMMYFUNCTION("""COMPUTED_VALUE"""),"")</f>
        <v/>
      </c>
      <c r="M467" t="str">
        <f ca="1">IFERROR(__xludf.DUMMYFUNCTION("""COMPUTED_VALUE"""),"99.Hors Périmetre")</f>
        <v>99.Hors Périmetre</v>
      </c>
      <c r="N467" t="str">
        <f ca="1">IFERROR(__xludf.DUMMYFUNCTION("""COMPUTED_VALUE"""),"")</f>
        <v/>
      </c>
      <c r="O467" t="str">
        <f ca="1">IFERROR(__xludf.DUMMYFUNCTION("""COMPUTED_VALUE"""),"")</f>
        <v/>
      </c>
      <c r="P467" t="str">
        <f ca="1">IFERROR(__xludf.DUMMYFUNCTION("""COMPUTED_VALUE"""),"")</f>
        <v/>
      </c>
      <c r="Q467" s="5" t="str">
        <f ca="1">IFERROR(__xludf.DUMMYFUNCTION("""COMPUTED_VALUE"""),"")</f>
        <v/>
      </c>
      <c r="R467" s="6" t="str">
        <f ca="1">IFERROR(__xludf.DUMMYFUNCTION("""COMPUTED_VALUE"""),"")</f>
        <v/>
      </c>
      <c r="S467" t="str">
        <f ca="1">IFERROR(__xludf.DUMMYFUNCTION("""COMPUTED_VALUE"""),"")</f>
        <v/>
      </c>
      <c r="T467" t="str">
        <f ca="1">IFERROR(__xludf.DUMMYFUNCTION("""COMPUTED_VALUE"""),"")</f>
        <v/>
      </c>
      <c r="U467" t="str">
        <f ca="1">IFERROR(__xludf.DUMMYFUNCTION("""COMPUTED_VALUE"""),"")</f>
        <v/>
      </c>
      <c r="V467" t="str">
        <f ca="1">IFERROR(__xludf.DUMMYFUNCTION("""COMPUTED_VALUE"""),"")</f>
        <v/>
      </c>
      <c r="W467" t="str">
        <f ca="1">IFERROR(__xludf.DUMMYFUNCTION("""COMPUTED_VALUE"""),"")</f>
        <v/>
      </c>
      <c r="X467" t="str">
        <f ca="1">IFERROR(__xludf.DUMMYFUNCTION("""COMPUTED_VALUE"""),"")</f>
        <v/>
      </c>
      <c r="Y467" t="str">
        <f ca="1">IFERROR(__xludf.DUMMYFUNCTION("""COMPUTED_VALUE"""),"")</f>
        <v/>
      </c>
      <c r="Z467" t="str">
        <f ca="1">IFERROR(__xludf.DUMMYFUNCTION("""COMPUTED_VALUE"""),"")</f>
        <v/>
      </c>
      <c r="AA467" t="str">
        <f ca="1">IFERROR(__xludf.DUMMYFUNCTION("""COMPUTED_VALUE"""),"Pas de commande")</f>
        <v>Pas de commande</v>
      </c>
      <c r="AB467" s="8" t="str">
        <f ca="1">IFERROR(__xludf.DUMMYFUNCTION("""COMPUTED_VALUE"""),"")</f>
        <v/>
      </c>
      <c r="AC467" s="8" t="str">
        <f ca="1">IFERROR(__xludf.DUMMYFUNCTION("""COMPUTED_VALUE"""),"")</f>
        <v/>
      </c>
      <c r="AD467" s="11" t="str">
        <f ca="1">IFERROR(__xludf.DUMMYFUNCTION("""COMPUTED_VALUE"""),"")</f>
        <v/>
      </c>
      <c r="AE467" t="str">
        <f ca="1">IFERROR(__xludf.DUMMYFUNCTION("""COMPUTED_VALUE"""),"")</f>
        <v/>
      </c>
    </row>
    <row r="468" spans="1:31" ht="12.75" x14ac:dyDescent="0.2">
      <c r="A468">
        <f ca="1">IFERROR(__xludf.DUMMYFUNCTION("""COMPUTED_VALUE"""),95765)</f>
        <v>95765</v>
      </c>
      <c r="B468" t="str">
        <f ca="1">IFERROR(__xludf.DUMMYFUNCTION("""COMPUTED_VALUE"""),"LE BARP")</f>
        <v>LE BARP</v>
      </c>
      <c r="C468" t="str">
        <f ca="1">IFERROR(__xludf.DUMMYFUNCTION("""COMPUTED_VALUE"""),"Super U")</f>
        <v>Super U</v>
      </c>
      <c r="D468" t="str">
        <f ca="1">IFERROR(__xludf.DUMMYFUNCTION("""COMPUTED_VALUE"""),"Coop U Enseigne Sud")</f>
        <v>Coop U Enseigne Sud</v>
      </c>
      <c r="E468">
        <f ca="1">IFERROR(__xludf.DUMMYFUNCTION("""COMPUTED_VALUE"""),33114)</f>
        <v>33114</v>
      </c>
      <c r="F468" t="str">
        <f ca="1">IFERROR(__xludf.DUMMYFUNCTION("""COMPUTED_VALUE"""),"ZAC EYRIALIS AV.DU MEDOC")</f>
        <v>ZAC EYRIALIS AV.DU MEDOC</v>
      </c>
      <c r="G468" t="str">
        <f ca="1">IFERROR(__xludf.DUMMYFUNCTION("""COMPUTED_VALUE"""),"05.56.88.60.02")</f>
        <v>05.56.88.60.02</v>
      </c>
      <c r="H468" t="str">
        <f ca="1">IFERROR(__xludf.DUMMYFUNCTION("""COMPUTED_VALUE"""),"WERNERT Stephane")</f>
        <v>WERNERT Stephane</v>
      </c>
      <c r="I468" t="str">
        <f ca="1">IFERROR(__xludf.DUMMYFUNCTION("""COMPUTED_VALUE"""),"stephane.wernert@systeme-u.fr")</f>
        <v>stephane.wernert@systeme-u.fr</v>
      </c>
      <c r="J468" t="str">
        <f ca="1">IFERROR(__xludf.DUMMYFUNCTION("""COMPUTED_VALUE"""),"
Boyé Jean")</f>
        <v xml:space="preserve">
Boyé Jean</v>
      </c>
      <c r="K468" t="str">
        <f ca="1">IFERROR(__xludf.DUMMYFUNCTION("""COMPUTED_VALUE"""),"superu.lebarp.directeur@systeme-u.fr,superu.lebarp@systeme-u.fr")</f>
        <v>superu.lebarp.directeur@systeme-u.fr,superu.lebarp@systeme-u.fr</v>
      </c>
      <c r="L468" t="str">
        <f ca="1">IFERROR(__xludf.DUMMYFUNCTION("""COMPUTED_VALUE"""),"")</f>
        <v/>
      </c>
      <c r="M468" t="str">
        <f ca="1">IFERROR(__xludf.DUMMYFUNCTION("""COMPUTED_VALUE"""),"99.Hors Périmetre")</f>
        <v>99.Hors Périmetre</v>
      </c>
      <c r="N468" t="str">
        <f ca="1">IFERROR(__xludf.DUMMYFUNCTION("""COMPUTED_VALUE"""),"")</f>
        <v/>
      </c>
      <c r="O468" t="str">
        <f ca="1">IFERROR(__xludf.DUMMYFUNCTION("""COMPUTED_VALUE"""),"")</f>
        <v/>
      </c>
      <c r="P468" t="str">
        <f ca="1">IFERROR(__xludf.DUMMYFUNCTION("""COMPUTED_VALUE"""),"")</f>
        <v/>
      </c>
      <c r="Q468" s="5" t="str">
        <f ca="1">IFERROR(__xludf.DUMMYFUNCTION("""COMPUTED_VALUE"""),"")</f>
        <v/>
      </c>
      <c r="R468" s="6" t="str">
        <f ca="1">IFERROR(__xludf.DUMMYFUNCTION("""COMPUTED_VALUE"""),"")</f>
        <v/>
      </c>
      <c r="S468" t="str">
        <f ca="1">IFERROR(__xludf.DUMMYFUNCTION("""COMPUTED_VALUE"""),"")</f>
        <v/>
      </c>
      <c r="T468" t="str">
        <f ca="1">IFERROR(__xludf.DUMMYFUNCTION("""COMPUTED_VALUE"""),"")</f>
        <v/>
      </c>
      <c r="U468" t="str">
        <f ca="1">IFERROR(__xludf.DUMMYFUNCTION("""COMPUTED_VALUE"""),"")</f>
        <v/>
      </c>
      <c r="V468" t="str">
        <f ca="1">IFERROR(__xludf.DUMMYFUNCTION("""COMPUTED_VALUE"""),"")</f>
        <v/>
      </c>
      <c r="W468" t="str">
        <f ca="1">IFERROR(__xludf.DUMMYFUNCTION("""COMPUTED_VALUE"""),"")</f>
        <v/>
      </c>
      <c r="X468" t="str">
        <f ca="1">IFERROR(__xludf.DUMMYFUNCTION("""COMPUTED_VALUE"""),"")</f>
        <v/>
      </c>
      <c r="Y468" t="str">
        <f ca="1">IFERROR(__xludf.DUMMYFUNCTION("""COMPUTED_VALUE"""),"")</f>
        <v/>
      </c>
      <c r="Z468" t="str">
        <f ca="1">IFERROR(__xludf.DUMMYFUNCTION("""COMPUTED_VALUE"""),"")</f>
        <v/>
      </c>
      <c r="AA468" t="str">
        <f ca="1">IFERROR(__xludf.DUMMYFUNCTION("""COMPUTED_VALUE"""),"Pas de commande")</f>
        <v>Pas de commande</v>
      </c>
      <c r="AB468" s="8" t="str">
        <f ca="1">IFERROR(__xludf.DUMMYFUNCTION("""COMPUTED_VALUE"""),"")</f>
        <v/>
      </c>
      <c r="AC468" s="8" t="str">
        <f ca="1">IFERROR(__xludf.DUMMYFUNCTION("""COMPUTED_VALUE"""),"")</f>
        <v/>
      </c>
      <c r="AD468" s="11" t="str">
        <f ca="1">IFERROR(__xludf.DUMMYFUNCTION("""COMPUTED_VALUE"""),"")</f>
        <v/>
      </c>
      <c r="AE468" t="str">
        <f ca="1">IFERROR(__xludf.DUMMYFUNCTION("""COMPUTED_VALUE"""),"")</f>
        <v/>
      </c>
    </row>
    <row r="469" spans="1:31" ht="12.75" x14ac:dyDescent="0.2">
      <c r="A469">
        <f ca="1">IFERROR(__xludf.DUMMYFUNCTION("""COMPUTED_VALUE"""),32073)</f>
        <v>32073</v>
      </c>
      <c r="B469" t="str">
        <f ca="1">IFERROR(__xludf.DUMMYFUNCTION("""COMPUTED_VALUE"""),"LE BLANC")</f>
        <v>LE BLANC</v>
      </c>
      <c r="C469" t="str">
        <f ca="1">IFERROR(__xludf.DUMMYFUNCTION("""COMPUTED_VALUE"""),"U Express")</f>
        <v>U Express</v>
      </c>
      <c r="D469" t="str">
        <f ca="1">IFERROR(__xludf.DUMMYFUNCTION("""COMPUTED_VALUE"""),"Coop U Enseigne Ouest")</f>
        <v>Coop U Enseigne Ouest</v>
      </c>
      <c r="E469">
        <f ca="1">IFERROR(__xludf.DUMMYFUNCTION("""COMPUTED_VALUE"""),36300)</f>
        <v>36300</v>
      </c>
      <c r="F469" t="str">
        <f ca="1">IFERROR(__xludf.DUMMYFUNCTION("""COMPUTED_VALUE"""),"14 AVENUE PIERRE MENDÈS FRANCE")</f>
        <v>14 AVENUE PIERRE MENDÈS FRANCE</v>
      </c>
      <c r="G469" t="str">
        <f ca="1">IFERROR(__xludf.DUMMYFUNCTION("""COMPUTED_VALUE"""),"02.54.37.12.63")</f>
        <v>02.54.37.12.63</v>
      </c>
      <c r="H469" t="str">
        <f ca="1">IFERROR(__xludf.DUMMYFUNCTION("""COMPUTED_VALUE"""),"MOCZULSKI Maxime")</f>
        <v>MOCZULSKI Maxime</v>
      </c>
      <c r="I469" t="str">
        <f ca="1">IFERROR(__xludf.DUMMYFUNCTION("""COMPUTED_VALUE"""),"maxime.moczulski@systeme-u.fr")</f>
        <v>maxime.moczulski@systeme-u.fr</v>
      </c>
      <c r="J469" t="str">
        <f ca="1">IFERROR(__xludf.DUMMYFUNCTION("""COMPUTED_VALUE"""),"M. MERCIER")</f>
        <v>M. MERCIER</v>
      </c>
      <c r="K469" t="str">
        <f ca="1">IFERROR(__xludf.DUMMYFUNCTION("""COMPUTED_VALUE"""),"superu.leblanc.direction@systeme-u.fr")</f>
        <v>superu.leblanc.direction@systeme-u.fr</v>
      </c>
      <c r="L469" t="str">
        <f ca="1">IFERROR(__xludf.DUMMYFUNCTION("""COMPUTED_VALUE"""),"")</f>
        <v/>
      </c>
      <c r="M469" t="str">
        <f ca="1">IFERROR(__xludf.DUMMYFUNCTION("""COMPUTED_VALUE"""),"99.Hors Périmetre")</f>
        <v>99.Hors Périmetre</v>
      </c>
      <c r="N469" t="str">
        <f ca="1">IFERROR(__xludf.DUMMYFUNCTION("""COMPUTED_VALUE"""),"")</f>
        <v/>
      </c>
      <c r="O469" t="str">
        <f ca="1">IFERROR(__xludf.DUMMYFUNCTION("""COMPUTED_VALUE"""),"")</f>
        <v/>
      </c>
      <c r="P469" t="str">
        <f ca="1">IFERROR(__xludf.DUMMYFUNCTION("""COMPUTED_VALUE"""),"")</f>
        <v/>
      </c>
      <c r="Q469" s="5" t="str">
        <f ca="1">IFERROR(__xludf.DUMMYFUNCTION("""COMPUTED_VALUE"""),"")</f>
        <v/>
      </c>
      <c r="R469" s="6" t="str">
        <f ca="1">IFERROR(__xludf.DUMMYFUNCTION("""COMPUTED_VALUE"""),"")</f>
        <v/>
      </c>
      <c r="S469" t="str">
        <f ca="1">IFERROR(__xludf.DUMMYFUNCTION("""COMPUTED_VALUE"""),"")</f>
        <v/>
      </c>
      <c r="T469" t="str">
        <f ca="1">IFERROR(__xludf.DUMMYFUNCTION("""COMPUTED_VALUE"""),"")</f>
        <v/>
      </c>
      <c r="U469" t="str">
        <f ca="1">IFERROR(__xludf.DUMMYFUNCTION("""COMPUTED_VALUE"""),"")</f>
        <v/>
      </c>
      <c r="V469" t="str">
        <f ca="1">IFERROR(__xludf.DUMMYFUNCTION("""COMPUTED_VALUE"""),"")</f>
        <v/>
      </c>
      <c r="W469" t="str">
        <f ca="1">IFERROR(__xludf.DUMMYFUNCTION("""COMPUTED_VALUE"""),"")</f>
        <v/>
      </c>
      <c r="X469" t="str">
        <f ca="1">IFERROR(__xludf.DUMMYFUNCTION("""COMPUTED_VALUE"""),"")</f>
        <v/>
      </c>
      <c r="Y469" t="str">
        <f ca="1">IFERROR(__xludf.DUMMYFUNCTION("""COMPUTED_VALUE"""),"")</f>
        <v/>
      </c>
      <c r="Z469" t="str">
        <f ca="1">IFERROR(__xludf.DUMMYFUNCTION("""COMPUTED_VALUE"""),"")</f>
        <v/>
      </c>
      <c r="AA469" t="str">
        <f ca="1">IFERROR(__xludf.DUMMYFUNCTION("""COMPUTED_VALUE"""),"Pas de commande")</f>
        <v>Pas de commande</v>
      </c>
      <c r="AB469" s="8" t="str">
        <f ca="1">IFERROR(__xludf.DUMMYFUNCTION("""COMPUTED_VALUE"""),"")</f>
        <v/>
      </c>
      <c r="AC469" s="8" t="str">
        <f ca="1">IFERROR(__xludf.DUMMYFUNCTION("""COMPUTED_VALUE"""),"")</f>
        <v/>
      </c>
      <c r="AD469" s="11" t="str">
        <f ca="1">IFERROR(__xludf.DUMMYFUNCTION("""COMPUTED_VALUE"""),"")</f>
        <v/>
      </c>
      <c r="AE469" t="str">
        <f ca="1">IFERROR(__xludf.DUMMYFUNCTION("""COMPUTED_VALUE"""),"")</f>
        <v/>
      </c>
    </row>
    <row r="470" spans="1:31" ht="12.75" x14ac:dyDescent="0.2">
      <c r="A470">
        <f ca="1">IFERROR(__xludf.DUMMYFUNCTION("""COMPUTED_VALUE"""),23336)</f>
        <v>23336</v>
      </c>
      <c r="B470" t="str">
        <f ca="1">IFERROR(__xludf.DUMMYFUNCTION("""COMPUTED_VALUE"""),"LE BOURGET")</f>
        <v>LE BOURGET</v>
      </c>
      <c r="C470" t="str">
        <f ca="1">IFERROR(__xludf.DUMMYFUNCTION("""COMPUTED_VALUE"""),"U Express")</f>
        <v>U Express</v>
      </c>
      <c r="D470" t="str">
        <f ca="1">IFERROR(__xludf.DUMMYFUNCTION("""COMPUTED_VALUE"""),"Coop U Enseigne NordOuest")</f>
        <v>Coop U Enseigne NordOuest</v>
      </c>
      <c r="E470">
        <f ca="1">IFERROR(__xludf.DUMMYFUNCTION("""COMPUTED_VALUE"""),93350)</f>
        <v>93350</v>
      </c>
      <c r="F470" t="str">
        <f ca="1">IFERROR(__xludf.DUMMYFUNCTION("""COMPUTED_VALUE"""),"89 AVENUE DE LA DIVISION LECLERC")</f>
        <v>89 AVENUE DE LA DIVISION LECLERC</v>
      </c>
      <c r="G470" t="str">
        <f ca="1">IFERROR(__xludf.DUMMYFUNCTION("""COMPUTED_VALUE"""),"01.48.37.76.76")</f>
        <v>01.48.37.76.76</v>
      </c>
      <c r="H470" t="str">
        <f ca="1">IFERROR(__xludf.DUMMYFUNCTION("""COMPUTED_VALUE"""),"BOISSIER Florence")</f>
        <v>BOISSIER Florence</v>
      </c>
      <c r="I470" t="str">
        <f ca="1">IFERROR(__xludf.DUMMYFUNCTION("""COMPUTED_VALUE"""),"florence.boissier@systeme-u.fr")</f>
        <v>florence.boissier@systeme-u.fr</v>
      </c>
      <c r="J470" t="str">
        <f ca="1">IFERROR(__xludf.DUMMYFUNCTION("""COMPUTED_VALUE"""),"ATTENTION ASSOCIE DECEDE nov 2018")</f>
        <v>ATTENTION ASSOCIE DECEDE nov 2018</v>
      </c>
      <c r="K470" t="str">
        <f ca="1">IFERROR(__xludf.DUMMYFUNCTION("""COMPUTED_VALUE"""),"")</f>
        <v/>
      </c>
      <c r="L470" t="str">
        <f ca="1">IFERROR(__xludf.DUMMYFUNCTION("""COMPUTED_VALUE"""),"")</f>
        <v/>
      </c>
      <c r="M470" t="str">
        <f ca="1">IFERROR(__xludf.DUMMYFUNCTION("""COMPUTED_VALUE"""),"99.Hors Périmetre")</f>
        <v>99.Hors Périmetre</v>
      </c>
      <c r="N470" t="str">
        <f ca="1">IFERROR(__xludf.DUMMYFUNCTION("""COMPUTED_VALUE"""),"")</f>
        <v/>
      </c>
      <c r="O470" t="str">
        <f ca="1">IFERROR(__xludf.DUMMYFUNCTION("""COMPUTED_VALUE"""),"")</f>
        <v/>
      </c>
      <c r="P470" t="str">
        <f ca="1">IFERROR(__xludf.DUMMYFUNCTION("""COMPUTED_VALUE"""),"")</f>
        <v/>
      </c>
      <c r="Q470" s="5" t="str">
        <f ca="1">IFERROR(__xludf.DUMMYFUNCTION("""COMPUTED_VALUE"""),"")</f>
        <v/>
      </c>
      <c r="R470" s="6" t="str">
        <f ca="1">IFERROR(__xludf.DUMMYFUNCTION("""COMPUTED_VALUE"""),"")</f>
        <v/>
      </c>
      <c r="S470" t="str">
        <f ca="1">IFERROR(__xludf.DUMMYFUNCTION("""COMPUTED_VALUE"""),"")</f>
        <v/>
      </c>
      <c r="T470" t="str">
        <f ca="1">IFERROR(__xludf.DUMMYFUNCTION("""COMPUTED_VALUE"""),"")</f>
        <v/>
      </c>
      <c r="U470" t="str">
        <f ca="1">IFERROR(__xludf.DUMMYFUNCTION("""COMPUTED_VALUE"""),"")</f>
        <v/>
      </c>
      <c r="V470" t="str">
        <f ca="1">IFERROR(__xludf.DUMMYFUNCTION("""COMPUTED_VALUE"""),"")</f>
        <v/>
      </c>
      <c r="W470" t="str">
        <f ca="1">IFERROR(__xludf.DUMMYFUNCTION("""COMPUTED_VALUE"""),"")</f>
        <v/>
      </c>
      <c r="X470" t="str">
        <f ca="1">IFERROR(__xludf.DUMMYFUNCTION("""COMPUTED_VALUE"""),"")</f>
        <v/>
      </c>
      <c r="Y470" t="str">
        <f ca="1">IFERROR(__xludf.DUMMYFUNCTION("""COMPUTED_VALUE"""),"")</f>
        <v/>
      </c>
      <c r="Z470" t="str">
        <f ca="1">IFERROR(__xludf.DUMMYFUNCTION("""COMPUTED_VALUE"""),"")</f>
        <v/>
      </c>
      <c r="AA470" t="str">
        <f ca="1">IFERROR(__xludf.DUMMYFUNCTION("""COMPUTED_VALUE"""),"Pas de commande")</f>
        <v>Pas de commande</v>
      </c>
      <c r="AB470" s="8" t="str">
        <f ca="1">IFERROR(__xludf.DUMMYFUNCTION("""COMPUTED_VALUE"""),"")</f>
        <v/>
      </c>
      <c r="AC470" s="8" t="str">
        <f ca="1">IFERROR(__xludf.DUMMYFUNCTION("""COMPUTED_VALUE"""),"")</f>
        <v/>
      </c>
      <c r="AD470" s="11" t="str">
        <f ca="1">IFERROR(__xludf.DUMMYFUNCTION("""COMPUTED_VALUE"""),"")</f>
        <v/>
      </c>
      <c r="AE470" t="str">
        <f ca="1">IFERROR(__xludf.DUMMYFUNCTION("""COMPUTED_VALUE"""),"")</f>
        <v/>
      </c>
    </row>
    <row r="471" spans="1:31" ht="12.75" x14ac:dyDescent="0.2">
      <c r="A471">
        <f ca="1">IFERROR(__xludf.DUMMYFUNCTION("""COMPUTED_VALUE"""),32771)</f>
        <v>32771</v>
      </c>
      <c r="B471" t="str">
        <f ca="1">IFERROR(__xludf.DUMMYFUNCTION("""COMPUTED_VALUE"""),"LE BOURGNEUF-LA FORET")</f>
        <v>LE BOURGNEUF-LA FORET</v>
      </c>
      <c r="C471" t="str">
        <f ca="1">IFERROR(__xludf.DUMMYFUNCTION("""COMPUTED_VALUE"""),"Super U")</f>
        <v>Super U</v>
      </c>
      <c r="D471" t="str">
        <f ca="1">IFERROR(__xludf.DUMMYFUNCTION("""COMPUTED_VALUE"""),"Coop U Enseigne Ouest")</f>
        <v>Coop U Enseigne Ouest</v>
      </c>
      <c r="E471">
        <f ca="1">IFERROR(__xludf.DUMMYFUNCTION("""COMPUTED_VALUE"""),53410)</f>
        <v>53410</v>
      </c>
      <c r="F471" t="str">
        <f ca="1">IFERROR(__xludf.DUMMYFUNCTION("""COMPUTED_VALUE"""),"ROUTE DE LAVAL")</f>
        <v>ROUTE DE LAVAL</v>
      </c>
      <c r="G471" t="str">
        <f ca="1">IFERROR(__xludf.DUMMYFUNCTION("""COMPUTED_VALUE"""),"02.43.37.17.92")</f>
        <v>02.43.37.17.92</v>
      </c>
      <c r="H471" t="str">
        <f ca="1">IFERROR(__xludf.DUMMYFUNCTION("""COMPUTED_VALUE"""),"CHAUVIERE RPT SAS UBERIC Eric")</f>
        <v>CHAUVIERE RPT SAS UBERIC Eric</v>
      </c>
      <c r="I471" t="str">
        <f ca="1">IFERROR(__xludf.DUMMYFUNCTION("""COMPUTED_VALUE"""),"eric.chauviere@systeme-u.fr")</f>
        <v>eric.chauviere@systeme-u.fr</v>
      </c>
      <c r="J471" t="str">
        <f ca="1">IFERROR(__xludf.DUMMYFUNCTION("""COMPUTED_VALUE"""),"Marjorie")</f>
        <v>Marjorie</v>
      </c>
      <c r="K471" t="str">
        <f ca="1">IFERROR(__xludf.DUMMYFUNCTION("""COMPUTED_VALUE"""),"superu.lebourgneuflaforet.gescom@systeme-u.fr")</f>
        <v>superu.lebourgneuflaforet.gescom@systeme-u.fr</v>
      </c>
      <c r="L471" t="str">
        <f ca="1">IFERROR(__xludf.DUMMYFUNCTION("""COMPUTED_VALUE"""),"")</f>
        <v/>
      </c>
      <c r="M471" t="str">
        <f ca="1">IFERROR(__xludf.DUMMYFUNCTION("""COMPUTED_VALUE"""),"99.Hors Périmetre")</f>
        <v>99.Hors Périmetre</v>
      </c>
      <c r="N471" t="str">
        <f ca="1">IFERROR(__xludf.DUMMYFUNCTION("""COMPUTED_VALUE"""),"")</f>
        <v/>
      </c>
      <c r="O471" t="str">
        <f ca="1">IFERROR(__xludf.DUMMYFUNCTION("""COMPUTED_VALUE"""),"")</f>
        <v/>
      </c>
      <c r="P471" t="str">
        <f ca="1">IFERROR(__xludf.DUMMYFUNCTION("""COMPUTED_VALUE"""),"")</f>
        <v/>
      </c>
      <c r="Q471" s="5" t="str">
        <f ca="1">IFERROR(__xludf.DUMMYFUNCTION("""COMPUTED_VALUE"""),"")</f>
        <v/>
      </c>
      <c r="R471" s="6" t="str">
        <f ca="1">IFERROR(__xludf.DUMMYFUNCTION("""COMPUTED_VALUE"""),"")</f>
        <v/>
      </c>
      <c r="S471" t="str">
        <f ca="1">IFERROR(__xludf.DUMMYFUNCTION("""COMPUTED_VALUE"""),"")</f>
        <v/>
      </c>
      <c r="T471" t="str">
        <f ca="1">IFERROR(__xludf.DUMMYFUNCTION("""COMPUTED_VALUE"""),"")</f>
        <v/>
      </c>
      <c r="U471" t="str">
        <f ca="1">IFERROR(__xludf.DUMMYFUNCTION("""COMPUTED_VALUE"""),"")</f>
        <v/>
      </c>
      <c r="V471" t="str">
        <f ca="1">IFERROR(__xludf.DUMMYFUNCTION("""COMPUTED_VALUE"""),"")</f>
        <v/>
      </c>
      <c r="W471" t="str">
        <f ca="1">IFERROR(__xludf.DUMMYFUNCTION("""COMPUTED_VALUE"""),"")</f>
        <v/>
      </c>
      <c r="X471" t="str">
        <f ca="1">IFERROR(__xludf.DUMMYFUNCTION("""COMPUTED_VALUE"""),"")</f>
        <v/>
      </c>
      <c r="Y471" t="str">
        <f ca="1">IFERROR(__xludf.DUMMYFUNCTION("""COMPUTED_VALUE"""),"")</f>
        <v/>
      </c>
      <c r="Z471" t="str">
        <f ca="1">IFERROR(__xludf.DUMMYFUNCTION("""COMPUTED_VALUE"""),"")</f>
        <v/>
      </c>
      <c r="AA471" t="str">
        <f ca="1">IFERROR(__xludf.DUMMYFUNCTION("""COMPUTED_VALUE"""),"Pas de commande")</f>
        <v>Pas de commande</v>
      </c>
      <c r="AB471" s="8" t="str">
        <f ca="1">IFERROR(__xludf.DUMMYFUNCTION("""COMPUTED_VALUE"""),"")</f>
        <v/>
      </c>
      <c r="AC471" s="8" t="str">
        <f ca="1">IFERROR(__xludf.DUMMYFUNCTION("""COMPUTED_VALUE"""),"")</f>
        <v/>
      </c>
      <c r="AD471" s="11" t="str">
        <f ca="1">IFERROR(__xludf.DUMMYFUNCTION("""COMPUTED_VALUE"""),"")</f>
        <v/>
      </c>
      <c r="AE471" t="str">
        <f ca="1">IFERROR(__xludf.DUMMYFUNCTION("""COMPUTED_VALUE"""),"")</f>
        <v/>
      </c>
    </row>
    <row r="472" spans="1:31" ht="12.75" x14ac:dyDescent="0.2">
      <c r="A472">
        <f ca="1">IFERROR(__xludf.DUMMYFUNCTION("""COMPUTED_VALUE"""),37137)</f>
        <v>37137</v>
      </c>
      <c r="B472" t="str">
        <f ca="1">IFERROR(__xludf.DUMMYFUNCTION("""COMPUTED_VALUE"""),"LE CHATEAU-D'OLERON")</f>
        <v>LE CHATEAU-D'OLERON</v>
      </c>
      <c r="C472" t="str">
        <f ca="1">IFERROR(__xludf.DUMMYFUNCTION("""COMPUTED_VALUE"""),"Super U")</f>
        <v>Super U</v>
      </c>
      <c r="D472" t="str">
        <f ca="1">IFERROR(__xludf.DUMMYFUNCTION("""COMPUTED_VALUE"""),"Coop U Enseigne Ouest")</f>
        <v>Coop U Enseigne Ouest</v>
      </c>
      <c r="E472">
        <f ca="1">IFERROR(__xludf.DUMMYFUNCTION("""COMPUTED_VALUE"""),17480)</f>
        <v>17480</v>
      </c>
      <c r="F472" t="str">
        <f ca="1">IFERROR(__xludf.DUMMYFUNCTION("""COMPUTED_VALUE"""),"15 AVENUE D'ANTIOCHE")</f>
        <v>15 AVENUE D'ANTIOCHE</v>
      </c>
      <c r="G472" t="str">
        <f ca="1">IFERROR(__xludf.DUMMYFUNCTION("""COMPUTED_VALUE"""),"05.46.47.70.22")</f>
        <v>05.46.47.70.22</v>
      </c>
      <c r="H472" t="str">
        <f ca="1">IFERROR(__xludf.DUMMYFUNCTION("""COMPUTED_VALUE"""),"LEFEBVRE RPT SAS MATIGANE Rodolphe")</f>
        <v>LEFEBVRE RPT SAS MATIGANE Rodolphe</v>
      </c>
      <c r="I472" t="str">
        <f ca="1">IFERROR(__xludf.DUMMYFUNCTION("""COMPUTED_VALUE"""),"rodolphe.lefebvre@systeme-u.fr")</f>
        <v>rodolphe.lefebvre@systeme-u.fr</v>
      </c>
      <c r="J472" t="str">
        <f ca="1">IFERROR(__xludf.DUMMYFUNCTION("""COMPUTED_VALUE"""),"LEFEBVRE CELINE")</f>
        <v>LEFEBVRE CELINE</v>
      </c>
      <c r="K472" t="str">
        <f ca="1">IFERROR(__xludf.DUMMYFUNCTION("""COMPUTED_VALUE"""),"celine.lefebvre@systeme-u.fr")</f>
        <v>celine.lefebvre@systeme-u.fr</v>
      </c>
      <c r="L472" t="str">
        <f ca="1">IFERROR(__xludf.DUMMYFUNCTION("""COMPUTED_VALUE"""),"")</f>
        <v/>
      </c>
      <c r="M472" t="str">
        <f ca="1">IFERROR(__xludf.DUMMYFUNCTION("""COMPUTED_VALUE"""),"99.Hors Périmetre")</f>
        <v>99.Hors Périmetre</v>
      </c>
      <c r="N472" t="str">
        <f ca="1">IFERROR(__xludf.DUMMYFUNCTION("""COMPUTED_VALUE"""),"")</f>
        <v/>
      </c>
      <c r="O472" t="str">
        <f ca="1">IFERROR(__xludf.DUMMYFUNCTION("""COMPUTED_VALUE"""),"")</f>
        <v/>
      </c>
      <c r="P472" t="str">
        <f ca="1">IFERROR(__xludf.DUMMYFUNCTION("""COMPUTED_VALUE"""),"")</f>
        <v/>
      </c>
      <c r="Q472" s="5" t="str">
        <f ca="1">IFERROR(__xludf.DUMMYFUNCTION("""COMPUTED_VALUE"""),"")</f>
        <v/>
      </c>
      <c r="R472" s="6" t="str">
        <f ca="1">IFERROR(__xludf.DUMMYFUNCTION("""COMPUTED_VALUE"""),"")</f>
        <v/>
      </c>
      <c r="S472" t="str">
        <f ca="1">IFERROR(__xludf.DUMMYFUNCTION("""COMPUTED_VALUE"""),"")</f>
        <v/>
      </c>
      <c r="T472" t="str">
        <f ca="1">IFERROR(__xludf.DUMMYFUNCTION("""COMPUTED_VALUE"""),"")</f>
        <v/>
      </c>
      <c r="U472" t="str">
        <f ca="1">IFERROR(__xludf.DUMMYFUNCTION("""COMPUTED_VALUE"""),"")</f>
        <v/>
      </c>
      <c r="V472" t="str">
        <f ca="1">IFERROR(__xludf.DUMMYFUNCTION("""COMPUTED_VALUE"""),"")</f>
        <v/>
      </c>
      <c r="W472" t="str">
        <f ca="1">IFERROR(__xludf.DUMMYFUNCTION("""COMPUTED_VALUE"""),"")</f>
        <v/>
      </c>
      <c r="X472" t="str">
        <f ca="1">IFERROR(__xludf.DUMMYFUNCTION("""COMPUTED_VALUE"""),"")</f>
        <v/>
      </c>
      <c r="Y472" t="str">
        <f ca="1">IFERROR(__xludf.DUMMYFUNCTION("""COMPUTED_VALUE"""),"")</f>
        <v/>
      </c>
      <c r="Z472" t="str">
        <f ca="1">IFERROR(__xludf.DUMMYFUNCTION("""COMPUTED_VALUE"""),"")</f>
        <v/>
      </c>
      <c r="AA472" t="str">
        <f ca="1">IFERROR(__xludf.DUMMYFUNCTION("""COMPUTED_VALUE"""),"Pas de commande")</f>
        <v>Pas de commande</v>
      </c>
      <c r="AB472" s="8" t="str">
        <f ca="1">IFERROR(__xludf.DUMMYFUNCTION("""COMPUTED_VALUE"""),"")</f>
        <v/>
      </c>
      <c r="AC472" s="8" t="str">
        <f ca="1">IFERROR(__xludf.DUMMYFUNCTION("""COMPUTED_VALUE"""),"")</f>
        <v/>
      </c>
      <c r="AD472" s="11" t="str">
        <f ca="1">IFERROR(__xludf.DUMMYFUNCTION("""COMPUTED_VALUE"""),"")</f>
        <v/>
      </c>
      <c r="AE472" t="str">
        <f ca="1">IFERROR(__xludf.DUMMYFUNCTION("""COMPUTED_VALUE"""),"")</f>
        <v/>
      </c>
    </row>
    <row r="473" spans="1:31" ht="12.75" x14ac:dyDescent="0.2">
      <c r="A473">
        <f ca="1">IFERROR(__xludf.DUMMYFUNCTION("""COMPUTED_VALUE"""),24871)</f>
        <v>24871</v>
      </c>
      <c r="B473" t="str">
        <f ca="1">IFERROR(__xludf.DUMMYFUNCTION("""COMPUTED_VALUE"""),"LE CHESNAY LOUVECIENNES")</f>
        <v>LE CHESNAY LOUVECIENNES</v>
      </c>
      <c r="C473" t="str">
        <f ca="1">IFERROR(__xludf.DUMMYFUNCTION("""COMPUTED_VALUE"""),"U Express")</f>
        <v>U Express</v>
      </c>
      <c r="D473" t="str">
        <f ca="1">IFERROR(__xludf.DUMMYFUNCTION("""COMPUTED_VALUE"""),"Coop U Enseigne NordOuest")</f>
        <v>Coop U Enseigne NordOuest</v>
      </c>
      <c r="E473">
        <f ca="1">IFERROR(__xludf.DUMMYFUNCTION("""COMPUTED_VALUE"""),78150)</f>
        <v>78150</v>
      </c>
      <c r="F473" t="str">
        <f ca="1">IFERROR(__xludf.DUMMYFUNCTION("""COMPUTED_VALUE"""),"RUE DE LOUVECIENNES")</f>
        <v>RUE DE LOUVECIENNES</v>
      </c>
      <c r="G473" t="str">
        <f ca="1">IFERROR(__xludf.DUMMYFUNCTION("""COMPUTED_VALUE"""),"01.39.55.42.43")</f>
        <v>01.39.55.42.43</v>
      </c>
      <c r="H473" t="str">
        <f ca="1">IFERROR(__xludf.DUMMYFUNCTION("""COMPUTED_VALUE"""),"SAGEAU Maxime")</f>
        <v>SAGEAU Maxime</v>
      </c>
      <c r="I473" t="str">
        <f ca="1">IFERROR(__xludf.DUMMYFUNCTION("""COMPUTED_VALUE"""),"maxime.sageau@systeme-u.fr")</f>
        <v>maxime.sageau@systeme-u.fr</v>
      </c>
      <c r="J473" t="str">
        <f ca="1">IFERROR(__xludf.DUMMYFUNCTION("""COMPUTED_VALUE"""),"Quentin BODET")</f>
        <v>Quentin BODET</v>
      </c>
      <c r="K473" t="str">
        <f ca="1">IFERROR(__xludf.DUMMYFUNCTION("""COMPUTED_VALUE"""),"uexpress.lechesnay@systeme-u.fr")</f>
        <v>uexpress.lechesnay@systeme-u.fr</v>
      </c>
      <c r="L473" t="str">
        <f ca="1">IFERROR(__xludf.DUMMYFUNCTION("""COMPUTED_VALUE"""),"")</f>
        <v/>
      </c>
      <c r="M473" t="str">
        <f ca="1">IFERROR(__xludf.DUMMYFUNCTION("""COMPUTED_VALUE"""),"99.Hors Périmetre")</f>
        <v>99.Hors Périmetre</v>
      </c>
      <c r="N473" t="str">
        <f ca="1">IFERROR(__xludf.DUMMYFUNCTION("""COMPUTED_VALUE"""),"")</f>
        <v/>
      </c>
      <c r="O473" t="str">
        <f ca="1">IFERROR(__xludf.DUMMYFUNCTION("""COMPUTED_VALUE"""),"")</f>
        <v/>
      </c>
      <c r="P473" t="str">
        <f ca="1">IFERROR(__xludf.DUMMYFUNCTION("""COMPUTED_VALUE"""),"")</f>
        <v/>
      </c>
      <c r="Q473" s="5" t="str">
        <f ca="1">IFERROR(__xludf.DUMMYFUNCTION("""COMPUTED_VALUE"""),"")</f>
        <v/>
      </c>
      <c r="R473" s="6" t="str">
        <f ca="1">IFERROR(__xludf.DUMMYFUNCTION("""COMPUTED_VALUE"""),"")</f>
        <v/>
      </c>
      <c r="S473" t="str">
        <f ca="1">IFERROR(__xludf.DUMMYFUNCTION("""COMPUTED_VALUE"""),"")</f>
        <v/>
      </c>
      <c r="T473" t="str">
        <f ca="1">IFERROR(__xludf.DUMMYFUNCTION("""COMPUTED_VALUE"""),"")</f>
        <v/>
      </c>
      <c r="U473" t="str">
        <f ca="1">IFERROR(__xludf.DUMMYFUNCTION("""COMPUTED_VALUE"""),"")</f>
        <v/>
      </c>
      <c r="V473" t="str">
        <f ca="1">IFERROR(__xludf.DUMMYFUNCTION("""COMPUTED_VALUE"""),"")</f>
        <v/>
      </c>
      <c r="W473" t="str">
        <f ca="1">IFERROR(__xludf.DUMMYFUNCTION("""COMPUTED_VALUE"""),"")</f>
        <v/>
      </c>
      <c r="X473" t="str">
        <f ca="1">IFERROR(__xludf.DUMMYFUNCTION("""COMPUTED_VALUE"""),"")</f>
        <v/>
      </c>
      <c r="Y473" t="str">
        <f ca="1">IFERROR(__xludf.DUMMYFUNCTION("""COMPUTED_VALUE"""),"")</f>
        <v/>
      </c>
      <c r="Z473" t="str">
        <f ca="1">IFERROR(__xludf.DUMMYFUNCTION("""COMPUTED_VALUE"""),"")</f>
        <v/>
      </c>
      <c r="AA473" t="str">
        <f ca="1">IFERROR(__xludf.DUMMYFUNCTION("""COMPUTED_VALUE"""),"Pas de commande")</f>
        <v>Pas de commande</v>
      </c>
      <c r="AB473" s="8" t="str">
        <f ca="1">IFERROR(__xludf.DUMMYFUNCTION("""COMPUTED_VALUE"""),"")</f>
        <v/>
      </c>
      <c r="AC473" s="8" t="str">
        <f ca="1">IFERROR(__xludf.DUMMYFUNCTION("""COMPUTED_VALUE"""),"")</f>
        <v/>
      </c>
      <c r="AD473" s="11" t="str">
        <f ca="1">IFERROR(__xludf.DUMMYFUNCTION("""COMPUTED_VALUE"""),"")</f>
        <v/>
      </c>
      <c r="AE473" t="str">
        <f ca="1">IFERROR(__xludf.DUMMYFUNCTION("""COMPUTED_VALUE"""),"")</f>
        <v/>
      </c>
    </row>
    <row r="474" spans="1:31" ht="12.75" x14ac:dyDescent="0.2">
      <c r="A474">
        <f ca="1">IFERROR(__xludf.DUMMYFUNCTION("""COMPUTED_VALUE"""),24898)</f>
        <v>24898</v>
      </c>
      <c r="B474" t="str">
        <f ca="1">IFERROR(__xludf.DUMMYFUNCTION("""COMPUTED_VALUE"""),"LE CHESNAY")</f>
        <v>LE CHESNAY</v>
      </c>
      <c r="C474" t="str">
        <f ca="1">IFERROR(__xludf.DUMMYFUNCTION("""COMPUTED_VALUE"""),"Super U")</f>
        <v>Super U</v>
      </c>
      <c r="D474" t="str">
        <f ca="1">IFERROR(__xludf.DUMMYFUNCTION("""COMPUTED_VALUE"""),"Coop U Enseigne NordOuest")</f>
        <v>Coop U Enseigne NordOuest</v>
      </c>
      <c r="E474">
        <f ca="1">IFERROR(__xludf.DUMMYFUNCTION("""COMPUTED_VALUE"""),78150)</f>
        <v>78150</v>
      </c>
      <c r="F474" t="str">
        <f ca="1">IFERROR(__xludf.DUMMYFUNCTION("""COMPUTED_VALUE"""),"54 RUE POTTIER")</f>
        <v>54 RUE POTTIER</v>
      </c>
      <c r="G474" t="str">
        <f ca="1">IFERROR(__xludf.DUMMYFUNCTION("""COMPUTED_VALUE"""),"01.39.54.87.60")</f>
        <v>01.39.54.87.60</v>
      </c>
      <c r="H474" t="str">
        <f ca="1">IFERROR(__xludf.DUMMYFUNCTION("""COMPUTED_VALUE"""),"SAGEAU Maxime")</f>
        <v>SAGEAU Maxime</v>
      </c>
      <c r="I474" t="str">
        <f ca="1">IFERROR(__xludf.DUMMYFUNCTION("""COMPUTED_VALUE"""),"maxime.sageau@systeme-u.fr")</f>
        <v>maxime.sageau@systeme-u.fr</v>
      </c>
      <c r="J474" t="str">
        <f ca="1">IFERROR(__xludf.DUMMYFUNCTION("""COMPUTED_VALUE"""),"Sylvie BERNARDINO")</f>
        <v>Sylvie BERNARDINO</v>
      </c>
      <c r="K474" t="str">
        <f ca="1">IFERROR(__xludf.DUMMYFUNCTION("""COMPUTED_VALUE""")," superu.lechesnay@systeme-u.fr")</f>
        <v xml:space="preserve"> superu.lechesnay@systeme-u.fr</v>
      </c>
      <c r="L474" t="str">
        <f ca="1">IFERROR(__xludf.DUMMYFUNCTION("""COMPUTED_VALUE"""),"")</f>
        <v/>
      </c>
      <c r="M474" t="str">
        <f ca="1">IFERROR(__xludf.DUMMYFUNCTION("""COMPUTED_VALUE"""),"99.Hors Périmetre")</f>
        <v>99.Hors Périmetre</v>
      </c>
      <c r="N474" t="str">
        <f ca="1">IFERROR(__xludf.DUMMYFUNCTION("""COMPUTED_VALUE"""),"")</f>
        <v/>
      </c>
      <c r="O474" t="str">
        <f ca="1">IFERROR(__xludf.DUMMYFUNCTION("""COMPUTED_VALUE"""),"")</f>
        <v/>
      </c>
      <c r="P474" t="str">
        <f ca="1">IFERROR(__xludf.DUMMYFUNCTION("""COMPUTED_VALUE"""),"")</f>
        <v/>
      </c>
      <c r="Q474" s="5" t="str">
        <f ca="1">IFERROR(__xludf.DUMMYFUNCTION("""COMPUTED_VALUE"""),"")</f>
        <v/>
      </c>
      <c r="R474" s="6" t="str">
        <f ca="1">IFERROR(__xludf.DUMMYFUNCTION("""COMPUTED_VALUE"""),"")</f>
        <v/>
      </c>
      <c r="S474" t="str">
        <f ca="1">IFERROR(__xludf.DUMMYFUNCTION("""COMPUTED_VALUE"""),"")</f>
        <v/>
      </c>
      <c r="T474" t="str">
        <f ca="1">IFERROR(__xludf.DUMMYFUNCTION("""COMPUTED_VALUE"""),"")</f>
        <v/>
      </c>
      <c r="U474" t="str">
        <f ca="1">IFERROR(__xludf.DUMMYFUNCTION("""COMPUTED_VALUE"""),"")</f>
        <v/>
      </c>
      <c r="V474" t="str">
        <f ca="1">IFERROR(__xludf.DUMMYFUNCTION("""COMPUTED_VALUE"""),"")</f>
        <v/>
      </c>
      <c r="W474" t="str">
        <f ca="1">IFERROR(__xludf.DUMMYFUNCTION("""COMPUTED_VALUE"""),"")</f>
        <v/>
      </c>
      <c r="X474" t="str">
        <f ca="1">IFERROR(__xludf.DUMMYFUNCTION("""COMPUTED_VALUE"""),"")</f>
        <v/>
      </c>
      <c r="Y474" t="str">
        <f ca="1">IFERROR(__xludf.DUMMYFUNCTION("""COMPUTED_VALUE"""),"")</f>
        <v/>
      </c>
      <c r="Z474" t="str">
        <f ca="1">IFERROR(__xludf.DUMMYFUNCTION("""COMPUTED_VALUE"""),"")</f>
        <v/>
      </c>
      <c r="AA474" t="str">
        <f ca="1">IFERROR(__xludf.DUMMYFUNCTION("""COMPUTED_VALUE"""),"Pas de commande")</f>
        <v>Pas de commande</v>
      </c>
      <c r="AB474" s="8" t="str">
        <f ca="1">IFERROR(__xludf.DUMMYFUNCTION("""COMPUTED_VALUE"""),"")</f>
        <v/>
      </c>
      <c r="AC474" s="8" t="str">
        <f ca="1">IFERROR(__xludf.DUMMYFUNCTION("""COMPUTED_VALUE"""),"")</f>
        <v/>
      </c>
      <c r="AD474" s="11" t="str">
        <f ca="1">IFERROR(__xludf.DUMMYFUNCTION("""COMPUTED_VALUE"""),"")</f>
        <v/>
      </c>
      <c r="AE474" t="str">
        <f ca="1">IFERROR(__xludf.DUMMYFUNCTION("""COMPUTED_VALUE"""),"")</f>
        <v/>
      </c>
    </row>
    <row r="475" spans="1:31" ht="12.75" x14ac:dyDescent="0.2">
      <c r="A475">
        <f ca="1">IFERROR(__xludf.DUMMYFUNCTION("""COMPUTED_VALUE"""),90063)</f>
        <v>90063</v>
      </c>
      <c r="B475" t="str">
        <f ca="1">IFERROR(__xludf.DUMMYFUNCTION("""COMPUTED_VALUE"""),"LE CHEYLARD")</f>
        <v>LE CHEYLARD</v>
      </c>
      <c r="C475" t="str">
        <f ca="1">IFERROR(__xludf.DUMMYFUNCTION("""COMPUTED_VALUE"""),"Super U")</f>
        <v>Super U</v>
      </c>
      <c r="D475" t="str">
        <f ca="1">IFERROR(__xludf.DUMMYFUNCTION("""COMPUTED_VALUE"""),"Coop U Enseigne Sud")</f>
        <v>Coop U Enseigne Sud</v>
      </c>
      <c r="E475">
        <f ca="1">IFERROR(__xludf.DUMMYFUNCTION("""COMPUTED_VALUE"""),7160)</f>
        <v>7160</v>
      </c>
      <c r="F475" t="str">
        <f ca="1">IFERROR(__xludf.DUMMYFUNCTION("""COMPUTED_VALUE"""),"LOTIS.INDUST.DE LA PALISSE")</f>
        <v>LOTIS.INDUST.DE LA PALISSE</v>
      </c>
      <c r="G475" t="str">
        <f ca="1">IFERROR(__xludf.DUMMYFUNCTION("""COMPUTED_VALUE"""),"04.75.29.74.44")</f>
        <v>04.75.29.74.44</v>
      </c>
      <c r="H475" t="str">
        <f ca="1">IFERROR(__xludf.DUMMYFUNCTION("""COMPUTED_VALUE"""),"RAMOS Christian")</f>
        <v>RAMOS Christian</v>
      </c>
      <c r="I475" t="str">
        <f ca="1">IFERROR(__xludf.DUMMYFUNCTION("""COMPUTED_VALUE"""),"christian.ramos@systeme-u.fr")</f>
        <v>christian.ramos@systeme-u.fr</v>
      </c>
      <c r="J475" t="str">
        <f ca="1">IFERROR(__xludf.DUMMYFUNCTION("""COMPUTED_VALUE"""),"")</f>
        <v/>
      </c>
      <c r="K475" t="str">
        <f ca="1">IFERROR(__xludf.DUMMYFUNCTION("""COMPUTED_VALUE"""),"")</f>
        <v/>
      </c>
      <c r="L475" t="str">
        <f ca="1">IFERROR(__xludf.DUMMYFUNCTION("""COMPUTED_VALUE"""),"")</f>
        <v/>
      </c>
      <c r="M475" t="str">
        <f ca="1">IFERROR(__xludf.DUMMYFUNCTION("""COMPUTED_VALUE"""),"99.Hors Périmetre")</f>
        <v>99.Hors Périmetre</v>
      </c>
      <c r="N475" t="str">
        <f ca="1">IFERROR(__xludf.DUMMYFUNCTION("""COMPUTED_VALUE"""),"")</f>
        <v/>
      </c>
      <c r="O475" t="str">
        <f ca="1">IFERROR(__xludf.DUMMYFUNCTION("""COMPUTED_VALUE"""),"")</f>
        <v/>
      </c>
      <c r="P475" t="str">
        <f ca="1">IFERROR(__xludf.DUMMYFUNCTION("""COMPUTED_VALUE"""),"")</f>
        <v/>
      </c>
      <c r="Q475" s="5" t="str">
        <f ca="1">IFERROR(__xludf.DUMMYFUNCTION("""COMPUTED_VALUE"""),"")</f>
        <v/>
      </c>
      <c r="R475" s="6" t="str">
        <f ca="1">IFERROR(__xludf.DUMMYFUNCTION("""COMPUTED_VALUE"""),"")</f>
        <v/>
      </c>
      <c r="S475" t="str">
        <f ca="1">IFERROR(__xludf.DUMMYFUNCTION("""COMPUTED_VALUE"""),"")</f>
        <v/>
      </c>
      <c r="T475" t="str">
        <f ca="1">IFERROR(__xludf.DUMMYFUNCTION("""COMPUTED_VALUE"""),"")</f>
        <v/>
      </c>
      <c r="U475" t="str">
        <f ca="1">IFERROR(__xludf.DUMMYFUNCTION("""COMPUTED_VALUE"""),"")</f>
        <v/>
      </c>
      <c r="V475" t="str">
        <f ca="1">IFERROR(__xludf.DUMMYFUNCTION("""COMPUTED_VALUE"""),"")</f>
        <v/>
      </c>
      <c r="W475" t="str">
        <f ca="1">IFERROR(__xludf.DUMMYFUNCTION("""COMPUTED_VALUE"""),"")</f>
        <v/>
      </c>
      <c r="X475" t="str">
        <f ca="1">IFERROR(__xludf.DUMMYFUNCTION("""COMPUTED_VALUE"""),"")</f>
        <v/>
      </c>
      <c r="Y475" t="str">
        <f ca="1">IFERROR(__xludf.DUMMYFUNCTION("""COMPUTED_VALUE"""),"")</f>
        <v/>
      </c>
      <c r="Z475" t="str">
        <f ca="1">IFERROR(__xludf.DUMMYFUNCTION("""COMPUTED_VALUE"""),"")</f>
        <v/>
      </c>
      <c r="AA475" t="str">
        <f ca="1">IFERROR(__xludf.DUMMYFUNCTION("""COMPUTED_VALUE"""),"Pas de commande")</f>
        <v>Pas de commande</v>
      </c>
      <c r="AB475" s="8" t="str">
        <f ca="1">IFERROR(__xludf.DUMMYFUNCTION("""COMPUTED_VALUE"""),"")</f>
        <v/>
      </c>
      <c r="AC475" s="8" t="str">
        <f ca="1">IFERROR(__xludf.DUMMYFUNCTION("""COMPUTED_VALUE"""),"")</f>
        <v/>
      </c>
      <c r="AD475" s="11" t="str">
        <f ca="1">IFERROR(__xludf.DUMMYFUNCTION("""COMPUTED_VALUE"""),"")</f>
        <v/>
      </c>
      <c r="AE475" t="str">
        <f ca="1">IFERROR(__xludf.DUMMYFUNCTION("""COMPUTED_VALUE"""),"")</f>
        <v/>
      </c>
    </row>
    <row r="476" spans="1:31" ht="12.75" x14ac:dyDescent="0.2">
      <c r="A476">
        <f ca="1">IFERROR(__xludf.DUMMYFUNCTION("""COMPUTED_VALUE"""),37374)</f>
        <v>37374</v>
      </c>
      <c r="B476" t="str">
        <f ca="1">IFERROR(__xludf.DUMMYFUNCTION("""COMPUTED_VALUE"""),"LE FAOU")</f>
        <v>LE FAOU</v>
      </c>
      <c r="C476" t="str">
        <f ca="1">IFERROR(__xludf.DUMMYFUNCTION("""COMPUTED_VALUE"""),"Super U")</f>
        <v>Super U</v>
      </c>
      <c r="D476" t="str">
        <f ca="1">IFERROR(__xludf.DUMMYFUNCTION("""COMPUTED_VALUE"""),"Coop U Enseigne Ouest")</f>
        <v>Coop U Enseigne Ouest</v>
      </c>
      <c r="E476">
        <f ca="1">IFERROR(__xludf.DUMMYFUNCTION("""COMPUTED_VALUE"""),29590)</f>
        <v>29590</v>
      </c>
      <c r="F476" t="str">
        <f ca="1">IFERROR(__xludf.DUMMYFUNCTION("""COMPUTED_VALUE"""),"ZONE DE QUIELLA")</f>
        <v>ZONE DE QUIELLA</v>
      </c>
      <c r="G476" t="str">
        <f ca="1">IFERROR(__xludf.DUMMYFUNCTION("""COMPUTED_VALUE"""),"02.98.81.06.30")</f>
        <v>02.98.81.06.30</v>
      </c>
      <c r="H476" t="str">
        <f ca="1">IFERROR(__xludf.DUMMYFUNCTION("""COMPUTED_VALUE"""),"RAMONET RPT FINANCIERE RAMONET Thierry")</f>
        <v>RAMONET RPT FINANCIERE RAMONET Thierry</v>
      </c>
      <c r="I476" t="str">
        <f ca="1">IFERROR(__xludf.DUMMYFUNCTION("""COMPUTED_VALUE"""),"thierry.ramonet@systeme-u.fr")</f>
        <v>thierry.ramonet@systeme-u.fr</v>
      </c>
      <c r="J476" t="str">
        <f ca="1">IFERROR(__xludf.DUMMYFUNCTION("""COMPUTED_VALUE"""),"Mme Leguirriec")</f>
        <v>Mme Leguirriec</v>
      </c>
      <c r="K476" t="str">
        <f ca="1">IFERROR(__xludf.DUMMYFUNCTION("""COMPUTED_VALUE"""),"brigitte.leguirriec@systeme-u.fr")</f>
        <v>brigitte.leguirriec@systeme-u.fr</v>
      </c>
      <c r="L476" t="str">
        <f ca="1">IFERROR(__xludf.DUMMYFUNCTION("""COMPUTED_VALUE"""),"")</f>
        <v/>
      </c>
      <c r="M476" t="str">
        <f ca="1">IFERROR(__xludf.DUMMYFUNCTION("""COMPUTED_VALUE"""),"99.Hors Périmetre")</f>
        <v>99.Hors Périmetre</v>
      </c>
      <c r="N476" t="str">
        <f ca="1">IFERROR(__xludf.DUMMYFUNCTION("""COMPUTED_VALUE"""),"")</f>
        <v/>
      </c>
      <c r="O476" t="str">
        <f ca="1">IFERROR(__xludf.DUMMYFUNCTION("""COMPUTED_VALUE"""),"")</f>
        <v/>
      </c>
      <c r="P476" t="str">
        <f ca="1">IFERROR(__xludf.DUMMYFUNCTION("""COMPUTED_VALUE"""),"")</f>
        <v/>
      </c>
      <c r="Q476" s="5" t="str">
        <f ca="1">IFERROR(__xludf.DUMMYFUNCTION("""COMPUTED_VALUE"""),"")</f>
        <v/>
      </c>
      <c r="R476" s="6" t="str">
        <f ca="1">IFERROR(__xludf.DUMMYFUNCTION("""COMPUTED_VALUE"""),"")</f>
        <v/>
      </c>
      <c r="S476" t="str">
        <f ca="1">IFERROR(__xludf.DUMMYFUNCTION("""COMPUTED_VALUE"""),"")</f>
        <v/>
      </c>
      <c r="T476" t="str">
        <f ca="1">IFERROR(__xludf.DUMMYFUNCTION("""COMPUTED_VALUE"""),"")</f>
        <v/>
      </c>
      <c r="U476" t="str">
        <f ca="1">IFERROR(__xludf.DUMMYFUNCTION("""COMPUTED_VALUE"""),"")</f>
        <v/>
      </c>
      <c r="V476" t="str">
        <f ca="1">IFERROR(__xludf.DUMMYFUNCTION("""COMPUTED_VALUE"""),"")</f>
        <v/>
      </c>
      <c r="W476" t="str">
        <f ca="1">IFERROR(__xludf.DUMMYFUNCTION("""COMPUTED_VALUE"""),"")</f>
        <v/>
      </c>
      <c r="X476" t="str">
        <f ca="1">IFERROR(__xludf.DUMMYFUNCTION("""COMPUTED_VALUE"""),"")</f>
        <v/>
      </c>
      <c r="Y476" t="str">
        <f ca="1">IFERROR(__xludf.DUMMYFUNCTION("""COMPUTED_VALUE"""),"")</f>
        <v/>
      </c>
      <c r="Z476" t="str">
        <f ca="1">IFERROR(__xludf.DUMMYFUNCTION("""COMPUTED_VALUE"""),"")</f>
        <v/>
      </c>
      <c r="AA476" t="str">
        <f ca="1">IFERROR(__xludf.DUMMYFUNCTION("""COMPUTED_VALUE"""),"Pas de commande")</f>
        <v>Pas de commande</v>
      </c>
      <c r="AB476" s="8" t="str">
        <f ca="1">IFERROR(__xludf.DUMMYFUNCTION("""COMPUTED_VALUE"""),"")</f>
        <v/>
      </c>
      <c r="AC476" s="8" t="str">
        <f ca="1">IFERROR(__xludf.DUMMYFUNCTION("""COMPUTED_VALUE"""),"")</f>
        <v/>
      </c>
      <c r="AD476" s="11" t="str">
        <f ca="1">IFERROR(__xludf.DUMMYFUNCTION("""COMPUTED_VALUE"""),"")</f>
        <v/>
      </c>
      <c r="AE476" t="str">
        <f ca="1">IFERROR(__xludf.DUMMYFUNCTION("""COMPUTED_VALUE"""),"")</f>
        <v/>
      </c>
    </row>
    <row r="477" spans="1:31" ht="12.75" x14ac:dyDescent="0.2">
      <c r="A477">
        <f ca="1">IFERROR(__xludf.DUMMYFUNCTION("""COMPUTED_VALUE"""),25622)</f>
        <v>25622</v>
      </c>
      <c r="B477" t="str">
        <f ca="1">IFERROR(__xludf.DUMMYFUNCTION("""COMPUTED_VALUE"""),"LE GD QUEVILLY")</f>
        <v>LE GD QUEVILLY</v>
      </c>
      <c r="C477" t="str">
        <f ca="1">IFERROR(__xludf.DUMMYFUNCTION("""COMPUTED_VALUE"""),"U Express")</f>
        <v>U Express</v>
      </c>
      <c r="D477" t="str">
        <f ca="1">IFERROR(__xludf.DUMMYFUNCTION("""COMPUTED_VALUE"""),"Coop U Enseigne NordOuest")</f>
        <v>Coop U Enseigne NordOuest</v>
      </c>
      <c r="E477">
        <f ca="1">IFERROR(__xludf.DUMMYFUNCTION("""COMPUTED_VALUE"""),76120)</f>
        <v>76120</v>
      </c>
      <c r="F477" t="str">
        <f ca="1">IFERROR(__xludf.DUMMYFUNCTION("""COMPUTED_VALUE"""),"65 AVENUE DES PROVINCES")</f>
        <v>65 AVENUE DES PROVINCES</v>
      </c>
      <c r="G477" t="str">
        <f ca="1">IFERROR(__xludf.DUMMYFUNCTION("""COMPUTED_VALUE"""),"02.35.69.47.40")</f>
        <v>02.35.69.47.40</v>
      </c>
      <c r="H477" t="str">
        <f ca="1">IFERROR(__xludf.DUMMYFUNCTION("""COMPUTED_VALUE"""),"BARRE Stéphane")</f>
        <v>BARRE Stéphane</v>
      </c>
      <c r="I477" t="str">
        <f ca="1">IFERROR(__xludf.DUMMYFUNCTION("""COMPUTED_VALUE"""),"")</f>
        <v/>
      </c>
      <c r="J477" t="str">
        <f ca="1">IFERROR(__xludf.DUMMYFUNCTION("""COMPUTED_VALUE"""),"Mme DELAFOSSE (UPLV)")</f>
        <v>Mme DELAFOSSE (UPLV)</v>
      </c>
      <c r="K477" t="str">
        <f ca="1">IFERROR(__xludf.DUMMYFUNCTION("""COMPUTED_VALUE"""),"superu.grandquevilly.direction@systeme-u.fr,philippe.cappe@coop-cnp.coop")</f>
        <v>superu.grandquevilly.direction@systeme-u.fr,philippe.cappe@coop-cnp.coop</v>
      </c>
      <c r="L477" t="str">
        <f ca="1">IFERROR(__xludf.DUMMYFUNCTION("""COMPUTED_VALUE"""),"Standard")</f>
        <v>Standard</v>
      </c>
      <c r="M477" t="str">
        <f ca="1">IFERROR(__xludf.DUMMYFUNCTION("""COMPUTED_VALUE"""),"0. Non démarré")</f>
        <v>0. Non démarré</v>
      </c>
      <c r="N477" t="str">
        <f ca="1">IFERROR(__xludf.DUMMYFUNCTION("""COMPUTED_VALUE"""),"")</f>
        <v/>
      </c>
      <c r="O477" t="str">
        <f ca="1">IFERROR(__xludf.DUMMYFUNCTION("""COMPUTED_VALUE"""),"")</f>
        <v/>
      </c>
      <c r="P477" t="str">
        <f ca="1">IFERROR(__xludf.DUMMYFUNCTION("""COMPUTED_VALUE"""),"")</f>
        <v/>
      </c>
      <c r="Q477" s="5" t="str">
        <f ca="1">IFERROR(__xludf.DUMMYFUNCTION("""COMPUTED_VALUE"""),"")</f>
        <v/>
      </c>
      <c r="R477" s="6" t="str">
        <f ca="1">IFERROR(__xludf.DUMMYFUNCTION("""COMPUTED_VALUE"""),"")</f>
        <v/>
      </c>
      <c r="S477" t="str">
        <f ca="1">IFERROR(__xludf.DUMMYFUNCTION("""COMPUTED_VALUE"""),"")</f>
        <v/>
      </c>
      <c r="T477" t="str">
        <f ca="1">IFERROR(__xludf.DUMMYFUNCTION("""COMPUTED_VALUE"""),"")</f>
        <v/>
      </c>
      <c r="U477" t="str">
        <f ca="1">IFERROR(__xludf.DUMMYFUNCTION("""COMPUTED_VALUE"""),"")</f>
        <v/>
      </c>
      <c r="V477" t="str">
        <f ca="1">IFERROR(__xludf.DUMMYFUNCTION("""COMPUTED_VALUE"""),"")</f>
        <v/>
      </c>
      <c r="W477" t="str">
        <f ca="1">IFERROR(__xludf.DUMMYFUNCTION("""COMPUTED_VALUE"""),"R3")</f>
        <v>R3</v>
      </c>
      <c r="X477" t="str">
        <f ca="1">IFERROR(__xludf.DUMMYFUNCTION("""COMPUTED_VALUE"""),"Pricer &lt;8Go")</f>
        <v>Pricer &lt;8Go</v>
      </c>
      <c r="Y477" t="str">
        <f ca="1">IFERROR(__xludf.DUMMYFUNCTION("""COMPUTED_VALUE"""),"")</f>
        <v/>
      </c>
      <c r="Z477" t="str">
        <f ca="1">IFERROR(__xludf.DUMMYFUNCTION("""COMPUTED_VALUE"""),"")</f>
        <v/>
      </c>
      <c r="AA477" t="str">
        <f ca="1">IFERROR(__xludf.DUMMYFUNCTION("""COMPUTED_VALUE"""),"Pas de commande")</f>
        <v>Pas de commande</v>
      </c>
      <c r="AB477" s="8" t="str">
        <f ca="1">IFERROR(__xludf.DUMMYFUNCTION("""COMPUTED_VALUE"""),"")</f>
        <v/>
      </c>
      <c r="AC477" s="8" t="str">
        <f ca="1">IFERROR(__xludf.DUMMYFUNCTION("""COMPUTED_VALUE"""),"")</f>
        <v/>
      </c>
      <c r="AD477" s="11" t="str">
        <f ca="1">IFERROR(__xludf.DUMMYFUNCTION("""COMPUTED_VALUE"""),"")</f>
        <v/>
      </c>
      <c r="AE477" t="str">
        <f ca="1">IFERROR(__xludf.DUMMYFUNCTION("""COMPUTED_VALUE"""),"")</f>
        <v/>
      </c>
    </row>
    <row r="478" spans="1:31" ht="12.75" x14ac:dyDescent="0.2">
      <c r="A478">
        <f ca="1">IFERROR(__xludf.DUMMYFUNCTION("""COMPUTED_VALUE"""),25665)</f>
        <v>25665</v>
      </c>
      <c r="B478" t="str">
        <f ca="1">IFERROR(__xludf.DUMMYFUNCTION("""COMPUTED_VALUE"""),"LE GRAND QUEVILLY")</f>
        <v>LE GRAND QUEVILLY</v>
      </c>
      <c r="C478" t="str">
        <f ca="1">IFERROR(__xludf.DUMMYFUNCTION("""COMPUTED_VALUE"""),"Hyper U")</f>
        <v>Hyper U</v>
      </c>
      <c r="D478" t="str">
        <f ca="1">IFERROR(__xludf.DUMMYFUNCTION("""COMPUTED_VALUE"""),"Coop U Enseigne NordOuest")</f>
        <v>Coop U Enseigne NordOuest</v>
      </c>
      <c r="E478">
        <f ca="1">IFERROR(__xludf.DUMMYFUNCTION("""COMPUTED_VALUE"""),76120)</f>
        <v>76120</v>
      </c>
      <c r="F478" t="str">
        <f ca="1">IFERROR(__xludf.DUMMYFUNCTION("""COMPUTED_VALUE"""),"RUE DU BOIS CANY")</f>
        <v>RUE DU BOIS CANY</v>
      </c>
      <c r="G478" t="str">
        <f ca="1">IFERROR(__xludf.DUMMYFUNCTION("""COMPUTED_VALUE"""),"02.35.18.34.34")</f>
        <v>02.35.18.34.34</v>
      </c>
      <c r="H478" t="str">
        <f ca="1">IFERROR(__xludf.DUMMYFUNCTION("""COMPUTED_VALUE"""),"BARRE Stéphane")</f>
        <v>BARRE Stéphane</v>
      </c>
      <c r="I478" t="str">
        <f ca="1">IFERROR(__xludf.DUMMYFUNCTION("""COMPUTED_VALUE"""),"stephane.barre@systeme-u.fr")</f>
        <v>stephane.barre@systeme-u.fr</v>
      </c>
      <c r="J478" t="str">
        <f ca="1">IFERROR(__xludf.DUMMYFUNCTION("""COMPUTED_VALUE"""),"LESTROHAN Olivier")</f>
        <v>LESTROHAN Olivier</v>
      </c>
      <c r="K478" t="str">
        <f ca="1">IFERROR(__xludf.DUMMYFUNCTION("""COMPUTED_VALUE"""),"hyperu.grandquevilly.direction@systeme-u.fr,olivier.lestrohan@coop-cnp.coop,philippe.cappe@coop-cnp.coop, xavier.castanheira@coop-cnp.coop                                                                                                                     "&amp;"                                                                                                                                                                                                         
")</f>
        <v xml:space="preserve">hyperu.grandquevilly.direction@systeme-u.fr,olivier.lestrohan@coop-cnp.coop,philippe.cappe@coop-cnp.coop, xavier.castanheira@coop-cnp.coop                                                                                                                                                                                                                                                                                                                              
</v>
      </c>
      <c r="L478" t="str">
        <f ca="1">IFERROR(__xludf.DUMMYFUNCTION("""COMPUTED_VALUE"""),"Standard")</f>
        <v>Standard</v>
      </c>
      <c r="M478" t="str">
        <f ca="1">IFERROR(__xludf.DUMMYFUNCTION("""COMPUTED_VALUE"""),"0. Non démarré")</f>
        <v>0. Non démarré</v>
      </c>
      <c r="N478" t="str">
        <f ca="1">IFERROR(__xludf.DUMMYFUNCTION("""COMPUTED_VALUE"""),"")</f>
        <v/>
      </c>
      <c r="O478" t="str">
        <f ca="1">IFERROR(__xludf.DUMMYFUNCTION("""COMPUTED_VALUE"""),"")</f>
        <v/>
      </c>
      <c r="P478" t="str">
        <f ca="1">IFERROR(__xludf.DUMMYFUNCTION("""COMPUTED_VALUE"""),"")</f>
        <v/>
      </c>
      <c r="Q478" s="5" t="str">
        <f ca="1">IFERROR(__xludf.DUMMYFUNCTION("""COMPUTED_VALUE"""),"")</f>
        <v/>
      </c>
      <c r="R478" s="6" t="str">
        <f ca="1">IFERROR(__xludf.DUMMYFUNCTION("""COMPUTED_VALUE"""),"")</f>
        <v/>
      </c>
      <c r="S478" t="str">
        <f ca="1">IFERROR(__xludf.DUMMYFUNCTION("""COMPUTED_VALUE"""),"")</f>
        <v/>
      </c>
      <c r="T478" t="str">
        <f ca="1">IFERROR(__xludf.DUMMYFUNCTION("""COMPUTED_VALUE"""),"")</f>
        <v/>
      </c>
      <c r="U478" t="str">
        <f ca="1">IFERROR(__xludf.DUMMYFUNCTION("""COMPUTED_VALUE"""),"")</f>
        <v/>
      </c>
      <c r="V478" t="str">
        <f ca="1">IFERROR(__xludf.DUMMYFUNCTION("""COMPUTED_VALUE"""),"")</f>
        <v/>
      </c>
      <c r="W478" t="str">
        <f ca="1">IFERROR(__xludf.DUMMYFUNCTION("""COMPUTED_VALUE"""),"R3")</f>
        <v>R3</v>
      </c>
      <c r="X478" t="str">
        <f ca="1">IFERROR(__xludf.DUMMYFUNCTION("""COMPUTED_VALUE"""),"Pricer")</f>
        <v>Pricer</v>
      </c>
      <c r="Y478" t="str">
        <f ca="1">IFERROR(__xludf.DUMMYFUNCTION("""COMPUTED_VALUE"""),"")</f>
        <v/>
      </c>
      <c r="Z478" t="str">
        <f ca="1">IFERROR(__xludf.DUMMYFUNCTION("""COMPUTED_VALUE"""),"")</f>
        <v/>
      </c>
      <c r="AA478" t="str">
        <f ca="1">IFERROR(__xludf.DUMMYFUNCTION("""COMPUTED_VALUE"""),"Pas de commande")</f>
        <v>Pas de commande</v>
      </c>
      <c r="AB478" s="8" t="str">
        <f ca="1">IFERROR(__xludf.DUMMYFUNCTION("""COMPUTED_VALUE"""),"")</f>
        <v/>
      </c>
      <c r="AC478" s="8" t="str">
        <f ca="1">IFERROR(__xludf.DUMMYFUNCTION("""COMPUTED_VALUE"""),"")</f>
        <v/>
      </c>
      <c r="AD478" s="11" t="str">
        <f ca="1">IFERROR(__xludf.DUMMYFUNCTION("""COMPUTED_VALUE"""),"")</f>
        <v/>
      </c>
      <c r="AE478" t="str">
        <f ca="1">IFERROR(__xludf.DUMMYFUNCTION("""COMPUTED_VALUE"""),"")</f>
        <v/>
      </c>
    </row>
    <row r="479" spans="1:31" ht="12.75" x14ac:dyDescent="0.2">
      <c r="A479">
        <f ca="1">IFERROR(__xludf.DUMMYFUNCTION("""COMPUTED_VALUE"""),90485)</f>
        <v>90485</v>
      </c>
      <c r="B479" t="str">
        <f ca="1">IFERROR(__xludf.DUMMYFUNCTION("""COMPUTED_VALUE"""),"GRAU ROI ESPIGUETTE")</f>
        <v>GRAU ROI ESPIGUETTE</v>
      </c>
      <c r="C479" t="str">
        <f ca="1">IFERROR(__xludf.DUMMYFUNCTION("""COMPUTED_VALUE"""),"U Express")</f>
        <v>U Express</v>
      </c>
      <c r="D479" t="str">
        <f ca="1">IFERROR(__xludf.DUMMYFUNCTION("""COMPUTED_VALUE"""),"Coop U Enseigne Sud")</f>
        <v>Coop U Enseigne Sud</v>
      </c>
      <c r="E479">
        <f ca="1">IFERROR(__xludf.DUMMYFUNCTION("""COMPUTED_VALUE"""),30240)</f>
        <v>30240</v>
      </c>
      <c r="F479" t="str">
        <f ca="1">IFERROR(__xludf.DUMMYFUNCTION("""COMPUTED_VALUE"""),"ROUTE DE L'ESPIGUETTE")</f>
        <v>ROUTE DE L'ESPIGUETTE</v>
      </c>
      <c r="G479" t="str">
        <f ca="1">IFERROR(__xludf.DUMMYFUNCTION("""COMPUTED_VALUE"""),"04.66.53.02.33")</f>
        <v>04.66.53.02.33</v>
      </c>
      <c r="H479" t="str">
        <f ca="1">IFERROR(__xludf.DUMMYFUNCTION("""COMPUTED_VALUE"""),"LEBEAU Alain")</f>
        <v>LEBEAU Alain</v>
      </c>
      <c r="I479" t="str">
        <f ca="1">IFERROR(__xludf.DUMMYFUNCTION("""COMPUTED_VALUE"""),"alain.lebeau@systeme-u.fr")</f>
        <v>alain.lebeau@systeme-u.fr</v>
      </c>
      <c r="J479" t="str">
        <f ca="1">IFERROR(__xludf.DUMMYFUNCTION("""COMPUTED_VALUE"""),"Mme BARTOLI Santa")</f>
        <v>Mme BARTOLI Santa</v>
      </c>
      <c r="K479" t="str">
        <f ca="1">IFERROR(__xludf.DUMMYFUNCTION("""COMPUTED_VALUE"""),"superu.legrauduroiespiguette@systeme-u.fr")</f>
        <v>superu.legrauduroiespiguette@systeme-u.fr</v>
      </c>
      <c r="L479" t="str">
        <f ca="1">IFERROR(__xludf.DUMMYFUNCTION("""COMPUTED_VALUE"""),"")</f>
        <v/>
      </c>
      <c r="M479" t="str">
        <f ca="1">IFERROR(__xludf.DUMMYFUNCTION("""COMPUTED_VALUE"""),"99.Hors Périmetre")</f>
        <v>99.Hors Périmetre</v>
      </c>
      <c r="N479" t="str">
        <f ca="1">IFERROR(__xludf.DUMMYFUNCTION("""COMPUTED_VALUE"""),"")</f>
        <v/>
      </c>
      <c r="O479" t="str">
        <f ca="1">IFERROR(__xludf.DUMMYFUNCTION("""COMPUTED_VALUE"""),"")</f>
        <v/>
      </c>
      <c r="P479" t="str">
        <f ca="1">IFERROR(__xludf.DUMMYFUNCTION("""COMPUTED_VALUE"""),"")</f>
        <v/>
      </c>
      <c r="Q479" s="5" t="str">
        <f ca="1">IFERROR(__xludf.DUMMYFUNCTION("""COMPUTED_VALUE"""),"")</f>
        <v/>
      </c>
      <c r="R479" s="6" t="str">
        <f ca="1">IFERROR(__xludf.DUMMYFUNCTION("""COMPUTED_VALUE"""),"")</f>
        <v/>
      </c>
      <c r="S479" t="str">
        <f ca="1">IFERROR(__xludf.DUMMYFUNCTION("""COMPUTED_VALUE"""),"")</f>
        <v/>
      </c>
      <c r="T479" t="str">
        <f ca="1">IFERROR(__xludf.DUMMYFUNCTION("""COMPUTED_VALUE"""),"")</f>
        <v/>
      </c>
      <c r="U479" t="str">
        <f ca="1">IFERROR(__xludf.DUMMYFUNCTION("""COMPUTED_VALUE"""),"")</f>
        <v/>
      </c>
      <c r="V479" t="str">
        <f ca="1">IFERROR(__xludf.DUMMYFUNCTION("""COMPUTED_VALUE"""),"")</f>
        <v/>
      </c>
      <c r="W479" t="str">
        <f ca="1">IFERROR(__xludf.DUMMYFUNCTION("""COMPUTED_VALUE"""),"")</f>
        <v/>
      </c>
      <c r="X479" t="str">
        <f ca="1">IFERROR(__xludf.DUMMYFUNCTION("""COMPUTED_VALUE"""),"")</f>
        <v/>
      </c>
      <c r="Y479" t="str">
        <f ca="1">IFERROR(__xludf.DUMMYFUNCTION("""COMPUTED_VALUE"""),"")</f>
        <v/>
      </c>
      <c r="Z479" t="str">
        <f ca="1">IFERROR(__xludf.DUMMYFUNCTION("""COMPUTED_VALUE"""),"")</f>
        <v/>
      </c>
      <c r="AA479" t="str">
        <f ca="1">IFERROR(__xludf.DUMMYFUNCTION("""COMPUTED_VALUE"""),"Pas de commande")</f>
        <v>Pas de commande</v>
      </c>
      <c r="AB479" s="8" t="str">
        <f ca="1">IFERROR(__xludf.DUMMYFUNCTION("""COMPUTED_VALUE"""),"")</f>
        <v/>
      </c>
      <c r="AC479" s="8" t="str">
        <f ca="1">IFERROR(__xludf.DUMMYFUNCTION("""COMPUTED_VALUE"""),"")</f>
        <v/>
      </c>
      <c r="AD479" s="11" t="str">
        <f ca="1">IFERROR(__xludf.DUMMYFUNCTION("""COMPUTED_VALUE"""),"")</f>
        <v/>
      </c>
      <c r="AE479" t="str">
        <f ca="1">IFERROR(__xludf.DUMMYFUNCTION("""COMPUTED_VALUE"""),"")</f>
        <v/>
      </c>
    </row>
    <row r="480" spans="1:31" ht="12.75" x14ac:dyDescent="0.2">
      <c r="A480">
        <f ca="1">IFERROR(__xludf.DUMMYFUNCTION("""COMPUTED_VALUE"""),90053)</f>
        <v>90053</v>
      </c>
      <c r="B480" t="str">
        <f ca="1">IFERROR(__xludf.DUMMYFUNCTION("""COMPUTED_VALUE"""),"GRAU ROI PORT PECHE")</f>
        <v>GRAU ROI PORT PECHE</v>
      </c>
      <c r="C480" t="str">
        <f ca="1">IFERROR(__xludf.DUMMYFUNCTION("""COMPUTED_VALUE"""),"Super U")</f>
        <v>Super U</v>
      </c>
      <c r="D480" t="str">
        <f ca="1">IFERROR(__xludf.DUMMYFUNCTION("""COMPUTED_VALUE"""),"Coop U Enseigne Sud")</f>
        <v>Coop U Enseigne Sud</v>
      </c>
      <c r="E480">
        <f ca="1">IFERROR(__xludf.DUMMYFUNCTION("""COMPUTED_VALUE"""),30240)</f>
        <v>30240</v>
      </c>
      <c r="F480" t="str">
        <f ca="1">IFERROR(__xludf.DUMMYFUNCTION("""COMPUTED_VALUE"""),"QUAI GOZIOSO")</f>
        <v>QUAI GOZIOSO</v>
      </c>
      <c r="G480" t="str">
        <f ca="1">IFERROR(__xludf.DUMMYFUNCTION("""COMPUTED_VALUE"""),"04.66.53.03.80")</f>
        <v>04.66.53.03.80</v>
      </c>
      <c r="H480" t="str">
        <f ca="1">IFERROR(__xludf.DUMMYFUNCTION("""COMPUTED_VALUE"""),"LEBEAU Alain")</f>
        <v>LEBEAU Alain</v>
      </c>
      <c r="I480" t="str">
        <f ca="1">IFERROR(__xludf.DUMMYFUNCTION("""COMPUTED_VALUE"""),"alain.lebeau@systeme-u.fr")</f>
        <v>alain.lebeau@systeme-u.fr</v>
      </c>
      <c r="J480" t="str">
        <f ca="1">IFERROR(__xludf.DUMMYFUNCTION("""COMPUTED_VALUE"""),"Mme BRUNEL
Mr Izart (UPLV)")</f>
        <v>Mme BRUNEL
Mr Izart (UPLV)</v>
      </c>
      <c r="K480" t="str">
        <f ca="1">IFERROR(__xludf.DUMMYFUNCTION("""COMPUTED_VALUE"""),"superu.legrauduroi.compta1@systeme-u.fr, superu.legrauduroi.pf@systeme-u.fr")</f>
        <v>superu.legrauduroi.compta1@systeme-u.fr, superu.legrauduroi.pf@systeme-u.fr</v>
      </c>
      <c r="L480" t="str">
        <f ca="1">IFERROR(__xludf.DUMMYFUNCTION("""COMPUTED_VALUE"""),"")</f>
        <v/>
      </c>
      <c r="M480" t="str">
        <f ca="1">IFERROR(__xludf.DUMMYFUNCTION("""COMPUTED_VALUE"""),"99.Hors Périmetre")</f>
        <v>99.Hors Périmetre</v>
      </c>
      <c r="N480" t="str">
        <f ca="1">IFERROR(__xludf.DUMMYFUNCTION("""COMPUTED_VALUE"""),"")</f>
        <v/>
      </c>
      <c r="O480" t="str">
        <f ca="1">IFERROR(__xludf.DUMMYFUNCTION("""COMPUTED_VALUE"""),"")</f>
        <v/>
      </c>
      <c r="P480" t="str">
        <f ca="1">IFERROR(__xludf.DUMMYFUNCTION("""COMPUTED_VALUE"""),"")</f>
        <v/>
      </c>
      <c r="Q480" s="5" t="str">
        <f ca="1">IFERROR(__xludf.DUMMYFUNCTION("""COMPUTED_VALUE"""),"")</f>
        <v/>
      </c>
      <c r="R480" s="6" t="str">
        <f ca="1">IFERROR(__xludf.DUMMYFUNCTION("""COMPUTED_VALUE"""),"")</f>
        <v/>
      </c>
      <c r="S480" t="str">
        <f ca="1">IFERROR(__xludf.DUMMYFUNCTION("""COMPUTED_VALUE"""),"")</f>
        <v/>
      </c>
      <c r="T480" t="str">
        <f ca="1">IFERROR(__xludf.DUMMYFUNCTION("""COMPUTED_VALUE"""),"")</f>
        <v/>
      </c>
      <c r="U480" t="str">
        <f ca="1">IFERROR(__xludf.DUMMYFUNCTION("""COMPUTED_VALUE"""),"")</f>
        <v/>
      </c>
      <c r="V480" t="str">
        <f ca="1">IFERROR(__xludf.DUMMYFUNCTION("""COMPUTED_VALUE"""),"")</f>
        <v/>
      </c>
      <c r="W480" t="str">
        <f ca="1">IFERROR(__xludf.DUMMYFUNCTION("""COMPUTED_VALUE"""),"")</f>
        <v/>
      </c>
      <c r="X480" t="str">
        <f ca="1">IFERROR(__xludf.DUMMYFUNCTION("""COMPUTED_VALUE"""),"")</f>
        <v/>
      </c>
      <c r="Y480" t="str">
        <f ca="1">IFERROR(__xludf.DUMMYFUNCTION("""COMPUTED_VALUE"""),"")</f>
        <v/>
      </c>
      <c r="Z480" t="str">
        <f ca="1">IFERROR(__xludf.DUMMYFUNCTION("""COMPUTED_VALUE"""),"")</f>
        <v/>
      </c>
      <c r="AA480" t="str">
        <f ca="1">IFERROR(__xludf.DUMMYFUNCTION("""COMPUTED_VALUE"""),"Pas de commande")</f>
        <v>Pas de commande</v>
      </c>
      <c r="AB480" s="8" t="str">
        <f ca="1">IFERROR(__xludf.DUMMYFUNCTION("""COMPUTED_VALUE"""),"")</f>
        <v/>
      </c>
      <c r="AC480" s="8" t="str">
        <f ca="1">IFERROR(__xludf.DUMMYFUNCTION("""COMPUTED_VALUE"""),"")</f>
        <v/>
      </c>
      <c r="AD480" s="11" t="str">
        <f ca="1">IFERROR(__xludf.DUMMYFUNCTION("""COMPUTED_VALUE"""),"")</f>
        <v/>
      </c>
      <c r="AE480" t="str">
        <f ca="1">IFERROR(__xludf.DUMMYFUNCTION("""COMPUTED_VALUE"""),"")</f>
        <v/>
      </c>
    </row>
    <row r="481" spans="1:31" ht="12.75" x14ac:dyDescent="0.2">
      <c r="A481">
        <f ca="1">IFERROR(__xludf.DUMMYFUNCTION("""COMPUTED_VALUE"""),90052)</f>
        <v>90052</v>
      </c>
      <c r="B481" t="str">
        <f ca="1">IFERROR(__xludf.DUMMYFUNCTION("""COMPUTED_VALUE"""),"GRAU ROI PORT ROYAL")</f>
        <v>GRAU ROI PORT ROYAL</v>
      </c>
      <c r="C481" t="str">
        <f ca="1">IFERROR(__xludf.DUMMYFUNCTION("""COMPUTED_VALUE"""),"U Express")</f>
        <v>U Express</v>
      </c>
      <c r="D481" t="str">
        <f ca="1">IFERROR(__xludf.DUMMYFUNCTION("""COMPUTED_VALUE"""),"Coop U Enseigne Sud")</f>
        <v>Coop U Enseigne Sud</v>
      </c>
      <c r="E481">
        <f ca="1">IFERROR(__xludf.DUMMYFUNCTION("""COMPUTED_VALUE"""),30240)</f>
        <v>30240</v>
      </c>
      <c r="F481" t="str">
        <f ca="1">IFERROR(__xludf.DUMMYFUNCTION("""COMPUTED_VALUE"""),"CENTRE COMMERCIAL PORT ROYAL")</f>
        <v>CENTRE COMMERCIAL PORT ROYAL</v>
      </c>
      <c r="G481" t="str">
        <f ca="1">IFERROR(__xludf.DUMMYFUNCTION("""COMPUTED_VALUE"""),"04.66.51.88.08")</f>
        <v>04.66.51.88.08</v>
      </c>
      <c r="H481" t="str">
        <f ca="1">IFERROR(__xludf.DUMMYFUNCTION("""COMPUTED_VALUE"""),"CAILLETON Gael")</f>
        <v>CAILLETON Gael</v>
      </c>
      <c r="I481" t="str">
        <f ca="1">IFERROR(__xludf.DUMMYFUNCTION("""COMPUTED_VALUE"""),"gael.cailleton@systeme-u.fr")</f>
        <v>gael.cailleton@systeme-u.fr</v>
      </c>
      <c r="J481" t="str">
        <f ca="1">IFERROR(__xludf.DUMMYFUNCTION("""COMPUTED_VALUE"""),"Mme Belgourari")</f>
        <v>Mme Belgourari</v>
      </c>
      <c r="K481" t="str">
        <f ca="1">IFERROR(__xludf.DUMMYFUNCTION("""COMPUTED_VALUE"""),"uexpress.legrauduroi@systeme-u.fr")</f>
        <v>uexpress.legrauduroi@systeme-u.fr</v>
      </c>
      <c r="L481" t="str">
        <f ca="1">IFERROR(__xludf.DUMMYFUNCTION("""COMPUTED_VALUE"""),"")</f>
        <v/>
      </c>
      <c r="M481" t="str">
        <f ca="1">IFERROR(__xludf.DUMMYFUNCTION("""COMPUTED_VALUE"""),"99.Hors Périmetre")</f>
        <v>99.Hors Périmetre</v>
      </c>
      <c r="N481" t="str">
        <f ca="1">IFERROR(__xludf.DUMMYFUNCTION("""COMPUTED_VALUE"""),"")</f>
        <v/>
      </c>
      <c r="O481" t="str">
        <f ca="1">IFERROR(__xludf.DUMMYFUNCTION("""COMPUTED_VALUE"""),"")</f>
        <v/>
      </c>
      <c r="P481" t="str">
        <f ca="1">IFERROR(__xludf.DUMMYFUNCTION("""COMPUTED_VALUE"""),"")</f>
        <v/>
      </c>
      <c r="Q481" s="5" t="str">
        <f ca="1">IFERROR(__xludf.DUMMYFUNCTION("""COMPUTED_VALUE"""),"")</f>
        <v/>
      </c>
      <c r="R481" s="6" t="str">
        <f ca="1">IFERROR(__xludf.DUMMYFUNCTION("""COMPUTED_VALUE"""),"")</f>
        <v/>
      </c>
      <c r="S481" t="str">
        <f ca="1">IFERROR(__xludf.DUMMYFUNCTION("""COMPUTED_VALUE"""),"")</f>
        <v/>
      </c>
      <c r="T481" t="str">
        <f ca="1">IFERROR(__xludf.DUMMYFUNCTION("""COMPUTED_VALUE"""),"")</f>
        <v/>
      </c>
      <c r="U481" t="str">
        <f ca="1">IFERROR(__xludf.DUMMYFUNCTION("""COMPUTED_VALUE"""),"")</f>
        <v/>
      </c>
      <c r="V481" t="str">
        <f ca="1">IFERROR(__xludf.DUMMYFUNCTION("""COMPUTED_VALUE"""),"")</f>
        <v/>
      </c>
      <c r="W481" t="str">
        <f ca="1">IFERROR(__xludf.DUMMYFUNCTION("""COMPUTED_VALUE"""),"")</f>
        <v/>
      </c>
      <c r="X481" t="str">
        <f ca="1">IFERROR(__xludf.DUMMYFUNCTION("""COMPUTED_VALUE"""),"")</f>
        <v/>
      </c>
      <c r="Y481" t="str">
        <f ca="1">IFERROR(__xludf.DUMMYFUNCTION("""COMPUTED_VALUE"""),"")</f>
        <v/>
      </c>
      <c r="Z481" t="str">
        <f ca="1">IFERROR(__xludf.DUMMYFUNCTION("""COMPUTED_VALUE"""),"")</f>
        <v/>
      </c>
      <c r="AA481" t="str">
        <f ca="1">IFERROR(__xludf.DUMMYFUNCTION("""COMPUTED_VALUE"""),"Pas de commande")</f>
        <v>Pas de commande</v>
      </c>
      <c r="AB481" s="8" t="str">
        <f ca="1">IFERROR(__xludf.DUMMYFUNCTION("""COMPUTED_VALUE"""),"")</f>
        <v/>
      </c>
      <c r="AC481" s="8" t="str">
        <f ca="1">IFERROR(__xludf.DUMMYFUNCTION("""COMPUTED_VALUE"""),"")</f>
        <v/>
      </c>
      <c r="AD481" s="11" t="str">
        <f ca="1">IFERROR(__xludf.DUMMYFUNCTION("""COMPUTED_VALUE"""),"")</f>
        <v/>
      </c>
      <c r="AE481" t="str">
        <f ca="1">IFERROR(__xludf.DUMMYFUNCTION("""COMPUTED_VALUE"""),"")</f>
        <v/>
      </c>
    </row>
    <row r="482" spans="1:31" ht="12.75" x14ac:dyDescent="0.2">
      <c r="A482">
        <f ca="1">IFERROR(__xludf.DUMMYFUNCTION("""COMPUTED_VALUE"""),23433)</f>
        <v>23433</v>
      </c>
      <c r="B482" t="str">
        <f ca="1">IFERROR(__xludf.DUMMYFUNCTION("""COMPUTED_VALUE"""),"LE HAVRE OCEANE")</f>
        <v>LE HAVRE OCEANE</v>
      </c>
      <c r="C482" t="str">
        <f ca="1">IFERROR(__xludf.DUMMYFUNCTION("""COMPUTED_VALUE"""),"Super U")</f>
        <v>Super U</v>
      </c>
      <c r="D482" t="str">
        <f ca="1">IFERROR(__xludf.DUMMYFUNCTION("""COMPUTED_VALUE"""),"Coop U Enseigne NordOuest")</f>
        <v>Coop U Enseigne NordOuest</v>
      </c>
      <c r="E482">
        <f ca="1">IFERROR(__xludf.DUMMYFUNCTION("""COMPUTED_VALUE"""),76600)</f>
        <v>76600</v>
      </c>
      <c r="F482" t="str">
        <f ca="1">IFERROR(__xludf.DUMMYFUNCTION("""COMPUTED_VALUE"""),"5 RUE DE L'ABBÉ PÉRIER")</f>
        <v>5 RUE DE L'ABBÉ PÉRIER</v>
      </c>
      <c r="G482" t="str">
        <f ca="1">IFERROR(__xludf.DUMMYFUNCTION("""COMPUTED_VALUE"""),"02.35.21.21.35")</f>
        <v>02.35.21.21.35</v>
      </c>
      <c r="H482" t="str">
        <f ca="1">IFERROR(__xludf.DUMMYFUNCTION("""COMPUTED_VALUE"""),"PARSY Mélanie")</f>
        <v>PARSY Mélanie</v>
      </c>
      <c r="I482" t="str">
        <f ca="1">IFERROR(__xludf.DUMMYFUNCTION("""COMPUTED_VALUE"""),"melanie.parsy@systeme-u.fr")</f>
        <v>melanie.parsy@systeme-u.fr</v>
      </c>
      <c r="J482" t="str">
        <f ca="1">IFERROR(__xludf.DUMMYFUNCTION("""COMPUTED_VALUE"""),"L'OFFICIAL NICOLAS
Mme Lancestre (UPLV)")</f>
        <v>L'OFFICIAL NICOLAS
Mme Lancestre (UPLV)</v>
      </c>
      <c r="K482" t="str">
        <f ca="1">IFERROR(__xludf.DUMMYFUNCTION("""COMPUTED_VALUE"""),"superu.lehavre.gestionco@systeme-u.fr")</f>
        <v>superu.lehavre.gestionco@systeme-u.fr</v>
      </c>
      <c r="L482" t="str">
        <f ca="1">IFERROR(__xludf.DUMMYFUNCTION("""COMPUTED_VALUE"""),"")</f>
        <v/>
      </c>
      <c r="M482" t="str">
        <f ca="1">IFERROR(__xludf.DUMMYFUNCTION("""COMPUTED_VALUE"""),"99.Hors Périmetre")</f>
        <v>99.Hors Périmetre</v>
      </c>
      <c r="N482" t="str">
        <f ca="1">IFERROR(__xludf.DUMMYFUNCTION("""COMPUTED_VALUE"""),"")</f>
        <v/>
      </c>
      <c r="O482" t="str">
        <f ca="1">IFERROR(__xludf.DUMMYFUNCTION("""COMPUTED_VALUE"""),"")</f>
        <v/>
      </c>
      <c r="P482" t="str">
        <f ca="1">IFERROR(__xludf.DUMMYFUNCTION("""COMPUTED_VALUE"""),"")</f>
        <v/>
      </c>
      <c r="Q482" s="5" t="str">
        <f ca="1">IFERROR(__xludf.DUMMYFUNCTION("""COMPUTED_VALUE"""),"")</f>
        <v/>
      </c>
      <c r="R482" s="6" t="str">
        <f ca="1">IFERROR(__xludf.DUMMYFUNCTION("""COMPUTED_VALUE"""),"")</f>
        <v/>
      </c>
      <c r="S482" t="str">
        <f ca="1">IFERROR(__xludf.DUMMYFUNCTION("""COMPUTED_VALUE"""),"")</f>
        <v/>
      </c>
      <c r="T482" t="str">
        <f ca="1">IFERROR(__xludf.DUMMYFUNCTION("""COMPUTED_VALUE"""),"")</f>
        <v/>
      </c>
      <c r="U482" t="str">
        <f ca="1">IFERROR(__xludf.DUMMYFUNCTION("""COMPUTED_VALUE"""),"")</f>
        <v/>
      </c>
      <c r="V482" t="str">
        <f ca="1">IFERROR(__xludf.DUMMYFUNCTION("""COMPUTED_VALUE"""),"")</f>
        <v/>
      </c>
      <c r="W482" t="str">
        <f ca="1">IFERROR(__xludf.DUMMYFUNCTION("""COMPUTED_VALUE"""),"")</f>
        <v/>
      </c>
      <c r="X482" t="str">
        <f ca="1">IFERROR(__xludf.DUMMYFUNCTION("""COMPUTED_VALUE"""),"")</f>
        <v/>
      </c>
      <c r="Y482" t="str">
        <f ca="1">IFERROR(__xludf.DUMMYFUNCTION("""COMPUTED_VALUE"""),"")</f>
        <v/>
      </c>
      <c r="Z482" t="str">
        <f ca="1">IFERROR(__xludf.DUMMYFUNCTION("""COMPUTED_VALUE"""),"")</f>
        <v/>
      </c>
      <c r="AA482" t="str">
        <f ca="1">IFERROR(__xludf.DUMMYFUNCTION("""COMPUTED_VALUE"""),"Pas de commande")</f>
        <v>Pas de commande</v>
      </c>
      <c r="AB482" s="8" t="str">
        <f ca="1">IFERROR(__xludf.DUMMYFUNCTION("""COMPUTED_VALUE"""),"")</f>
        <v/>
      </c>
      <c r="AC482" s="8" t="str">
        <f ca="1">IFERROR(__xludf.DUMMYFUNCTION("""COMPUTED_VALUE"""),"")</f>
        <v/>
      </c>
      <c r="AD482" s="11" t="str">
        <f ca="1">IFERROR(__xludf.DUMMYFUNCTION("""COMPUTED_VALUE"""),"")</f>
        <v/>
      </c>
      <c r="AE482" t="str">
        <f ca="1">IFERROR(__xludf.DUMMYFUNCTION("""COMPUTED_VALUE"""),"")</f>
        <v/>
      </c>
    </row>
    <row r="483" spans="1:31" ht="12.75" x14ac:dyDescent="0.2">
      <c r="A483">
        <f ca="1">IFERROR(__xludf.DUMMYFUNCTION("""COMPUTED_VALUE"""),24227)</f>
        <v>24227</v>
      </c>
      <c r="B483" t="str">
        <f ca="1">IFERROR(__xludf.DUMMYFUNCTION("""COMPUTED_VALUE"""),"LE HAVRE HALLES CENTRALES")</f>
        <v>LE HAVRE HALLES CENTRALES</v>
      </c>
      <c r="C483" t="str">
        <f ca="1">IFERROR(__xludf.DUMMYFUNCTION("""COMPUTED_VALUE"""),"U Express")</f>
        <v>U Express</v>
      </c>
      <c r="D483" t="str">
        <f ca="1">IFERROR(__xludf.DUMMYFUNCTION("""COMPUTED_VALUE"""),"Coop U Enseigne NordOuest")</f>
        <v>Coop U Enseigne NordOuest</v>
      </c>
      <c r="E483">
        <f ca="1">IFERROR(__xludf.DUMMYFUNCTION("""COMPUTED_VALUE"""),76600)</f>
        <v>76600</v>
      </c>
      <c r="F483" t="str">
        <f ca="1">IFERROR(__xludf.DUMMYFUNCTION("""COMPUTED_VALUE"""),"PLACE DES HALLES CENTRALES")</f>
        <v>PLACE DES HALLES CENTRALES</v>
      </c>
      <c r="G483" t="str">
        <f ca="1">IFERROR(__xludf.DUMMYFUNCTION("""COMPUTED_VALUE"""),"02.35.41.72.44")</f>
        <v>02.35.41.72.44</v>
      </c>
      <c r="H483" t="str">
        <f ca="1">IFERROR(__xludf.DUMMYFUNCTION("""COMPUTED_VALUE"""),"PARSY Mélanie")</f>
        <v>PARSY Mélanie</v>
      </c>
      <c r="I483" t="str">
        <f ca="1">IFERROR(__xludf.DUMMYFUNCTION("""COMPUTED_VALUE"""),"melanie.parsy@systeme-u.fr")</f>
        <v>melanie.parsy@systeme-u.fr</v>
      </c>
      <c r="J483" t="str">
        <f ca="1">IFERROR(__xludf.DUMMYFUNCTION("""COMPUTED_VALUE"""),"")</f>
        <v/>
      </c>
      <c r="K483" t="str">
        <f ca="1">IFERROR(__xludf.DUMMYFUNCTION("""COMPUTED_VALUE"""),"")</f>
        <v/>
      </c>
      <c r="L483" t="str">
        <f ca="1">IFERROR(__xludf.DUMMYFUNCTION("""COMPUTED_VALUE"""),"")</f>
        <v/>
      </c>
      <c r="M483" t="str">
        <f ca="1">IFERROR(__xludf.DUMMYFUNCTION("""COMPUTED_VALUE"""),"99.Hors Périmetre")</f>
        <v>99.Hors Périmetre</v>
      </c>
      <c r="N483" t="str">
        <f ca="1">IFERROR(__xludf.DUMMYFUNCTION("""COMPUTED_VALUE"""),"")</f>
        <v/>
      </c>
      <c r="O483" t="str">
        <f ca="1">IFERROR(__xludf.DUMMYFUNCTION("""COMPUTED_VALUE"""),"")</f>
        <v/>
      </c>
      <c r="P483" t="str">
        <f ca="1">IFERROR(__xludf.DUMMYFUNCTION("""COMPUTED_VALUE"""),"")</f>
        <v/>
      </c>
      <c r="Q483" s="5" t="str">
        <f ca="1">IFERROR(__xludf.DUMMYFUNCTION("""COMPUTED_VALUE"""),"")</f>
        <v/>
      </c>
      <c r="R483" s="6" t="str">
        <f ca="1">IFERROR(__xludf.DUMMYFUNCTION("""COMPUTED_VALUE"""),"")</f>
        <v/>
      </c>
      <c r="S483" t="str">
        <f ca="1">IFERROR(__xludf.DUMMYFUNCTION("""COMPUTED_VALUE"""),"")</f>
        <v/>
      </c>
      <c r="T483" t="str">
        <f ca="1">IFERROR(__xludf.DUMMYFUNCTION("""COMPUTED_VALUE"""),"")</f>
        <v/>
      </c>
      <c r="U483" t="str">
        <f ca="1">IFERROR(__xludf.DUMMYFUNCTION("""COMPUTED_VALUE"""),"")</f>
        <v/>
      </c>
      <c r="V483" t="str">
        <f ca="1">IFERROR(__xludf.DUMMYFUNCTION("""COMPUTED_VALUE"""),"")</f>
        <v/>
      </c>
      <c r="W483" t="str">
        <f ca="1">IFERROR(__xludf.DUMMYFUNCTION("""COMPUTED_VALUE"""),"")</f>
        <v/>
      </c>
      <c r="X483" t="str">
        <f ca="1">IFERROR(__xludf.DUMMYFUNCTION("""COMPUTED_VALUE"""),"")</f>
        <v/>
      </c>
      <c r="Y483" t="str">
        <f ca="1">IFERROR(__xludf.DUMMYFUNCTION("""COMPUTED_VALUE"""),"")</f>
        <v/>
      </c>
      <c r="Z483" t="str">
        <f ca="1">IFERROR(__xludf.DUMMYFUNCTION("""COMPUTED_VALUE"""),"")</f>
        <v/>
      </c>
      <c r="AA483" t="str">
        <f ca="1">IFERROR(__xludf.DUMMYFUNCTION("""COMPUTED_VALUE"""),"Pas de commande")</f>
        <v>Pas de commande</v>
      </c>
      <c r="AB483" s="8" t="str">
        <f ca="1">IFERROR(__xludf.DUMMYFUNCTION("""COMPUTED_VALUE"""),"")</f>
        <v/>
      </c>
      <c r="AC483" s="8" t="str">
        <f ca="1">IFERROR(__xludf.DUMMYFUNCTION("""COMPUTED_VALUE"""),"")</f>
        <v/>
      </c>
      <c r="AD483" s="11" t="str">
        <f ca="1">IFERROR(__xludf.DUMMYFUNCTION("""COMPUTED_VALUE"""),"")</f>
        <v/>
      </c>
      <c r="AE483" t="str">
        <f ca="1">IFERROR(__xludf.DUMMYFUNCTION("""COMPUTED_VALUE"""),"")</f>
        <v/>
      </c>
    </row>
    <row r="484" spans="1:31" ht="12.75" x14ac:dyDescent="0.2">
      <c r="A484">
        <f ca="1">IFERROR(__xludf.DUMMYFUNCTION("""COMPUTED_VALUE"""),24464)</f>
        <v>24464</v>
      </c>
      <c r="B484" t="str">
        <f ca="1">IFERROR(__xludf.DUMMYFUNCTION("""COMPUTED_VALUE"""),"LE HAVRE VERLAINE")</f>
        <v>LE HAVRE VERLAINE</v>
      </c>
      <c r="C484" t="str">
        <f ca="1">IFERROR(__xludf.DUMMYFUNCTION("""COMPUTED_VALUE"""),"Super U")</f>
        <v>Super U</v>
      </c>
      <c r="D484" t="str">
        <f ca="1">IFERROR(__xludf.DUMMYFUNCTION("""COMPUTED_VALUE"""),"Coop U Enseigne NordOuest")</f>
        <v>Coop U Enseigne NordOuest</v>
      </c>
      <c r="E484">
        <f ca="1">IFERROR(__xludf.DUMMYFUNCTION("""COMPUTED_VALUE"""),76600)</f>
        <v>76600</v>
      </c>
      <c r="F484" t="str">
        <f ca="1">IFERROR(__xludf.DUMMYFUNCTION("""COMPUTED_VALUE"""),"AVENUE PAUL VERLAINE")</f>
        <v>AVENUE PAUL VERLAINE</v>
      </c>
      <c r="G484" t="str">
        <f ca="1">IFERROR(__xludf.DUMMYFUNCTION("""COMPUTED_VALUE"""),"02.35.13.04.34")</f>
        <v>02.35.13.04.34</v>
      </c>
      <c r="H484" t="str">
        <f ca="1">IFERROR(__xludf.DUMMYFUNCTION("""COMPUTED_VALUE"""),"PINCET Christophe")</f>
        <v>PINCET Christophe</v>
      </c>
      <c r="I484" t="str">
        <f ca="1">IFERROR(__xludf.DUMMYFUNCTION("""COMPUTED_VALUE"""),"christophe.pincet@systeme-u.fr")</f>
        <v>christophe.pincet@systeme-u.fr</v>
      </c>
      <c r="J484" t="str">
        <f ca="1">IFERROR(__xludf.DUMMYFUNCTION("""COMPUTED_VALUE"""),"COULIBEUF Corinne")</f>
        <v>COULIBEUF Corinne</v>
      </c>
      <c r="K484" t="str">
        <f ca="1">IFERROR(__xludf.DUMMYFUNCTION("""COMPUTED_VALUE"""),"superu.lehavre.verlaine.administratif@systeme-u.fr")</f>
        <v>superu.lehavre.verlaine.administratif@systeme-u.fr</v>
      </c>
      <c r="L484" t="str">
        <f ca="1">IFERROR(__xludf.DUMMYFUNCTION("""COMPUTED_VALUE"""),"")</f>
        <v/>
      </c>
      <c r="M484" t="str">
        <f ca="1">IFERROR(__xludf.DUMMYFUNCTION("""COMPUTED_VALUE"""),"99.Hors Périmetre")</f>
        <v>99.Hors Périmetre</v>
      </c>
      <c r="N484" t="str">
        <f ca="1">IFERROR(__xludf.DUMMYFUNCTION("""COMPUTED_VALUE"""),"")</f>
        <v/>
      </c>
      <c r="O484" t="str">
        <f ca="1">IFERROR(__xludf.DUMMYFUNCTION("""COMPUTED_VALUE"""),"")</f>
        <v/>
      </c>
      <c r="P484" t="str">
        <f ca="1">IFERROR(__xludf.DUMMYFUNCTION("""COMPUTED_VALUE"""),"")</f>
        <v/>
      </c>
      <c r="Q484" s="5" t="str">
        <f ca="1">IFERROR(__xludf.DUMMYFUNCTION("""COMPUTED_VALUE"""),"")</f>
        <v/>
      </c>
      <c r="R484" s="6" t="str">
        <f ca="1">IFERROR(__xludf.DUMMYFUNCTION("""COMPUTED_VALUE"""),"")</f>
        <v/>
      </c>
      <c r="S484" t="str">
        <f ca="1">IFERROR(__xludf.DUMMYFUNCTION("""COMPUTED_VALUE"""),"")</f>
        <v/>
      </c>
      <c r="T484" t="str">
        <f ca="1">IFERROR(__xludf.DUMMYFUNCTION("""COMPUTED_VALUE"""),"")</f>
        <v/>
      </c>
      <c r="U484" t="str">
        <f ca="1">IFERROR(__xludf.DUMMYFUNCTION("""COMPUTED_VALUE"""),"")</f>
        <v/>
      </c>
      <c r="V484" t="str">
        <f ca="1">IFERROR(__xludf.DUMMYFUNCTION("""COMPUTED_VALUE"""),"")</f>
        <v/>
      </c>
      <c r="W484" t="str">
        <f ca="1">IFERROR(__xludf.DUMMYFUNCTION("""COMPUTED_VALUE"""),"")</f>
        <v/>
      </c>
      <c r="X484" t="str">
        <f ca="1">IFERROR(__xludf.DUMMYFUNCTION("""COMPUTED_VALUE"""),"")</f>
        <v/>
      </c>
      <c r="Y484" t="str">
        <f ca="1">IFERROR(__xludf.DUMMYFUNCTION("""COMPUTED_VALUE"""),"")</f>
        <v/>
      </c>
      <c r="Z484" t="str">
        <f ca="1">IFERROR(__xludf.DUMMYFUNCTION("""COMPUTED_VALUE"""),"")</f>
        <v/>
      </c>
      <c r="AA484" t="str">
        <f ca="1">IFERROR(__xludf.DUMMYFUNCTION("""COMPUTED_VALUE"""),"Pas de commande")</f>
        <v>Pas de commande</v>
      </c>
      <c r="AB484" s="8" t="str">
        <f ca="1">IFERROR(__xludf.DUMMYFUNCTION("""COMPUTED_VALUE"""),"")</f>
        <v/>
      </c>
      <c r="AC484" s="8" t="str">
        <f ca="1">IFERROR(__xludf.DUMMYFUNCTION("""COMPUTED_VALUE"""),"")</f>
        <v/>
      </c>
      <c r="AD484" s="11" t="str">
        <f ca="1">IFERROR(__xludf.DUMMYFUNCTION("""COMPUTED_VALUE"""),"")</f>
        <v/>
      </c>
      <c r="AE484" t="str">
        <f ca="1">IFERROR(__xludf.DUMMYFUNCTION("""COMPUTED_VALUE"""),"")</f>
        <v/>
      </c>
    </row>
    <row r="485" spans="1:31" ht="12.75" x14ac:dyDescent="0.2">
      <c r="A485">
        <f ca="1">IFERROR(__xludf.DUMMYFUNCTION("""COMPUTED_VALUE"""),22259)</f>
        <v>22259</v>
      </c>
      <c r="B485" t="str">
        <f ca="1">IFERROR(__xludf.DUMMYFUNCTION("""COMPUTED_VALUE"""),"LE HOM (THURY)")</f>
        <v>LE HOM (THURY)</v>
      </c>
      <c r="C485" t="str">
        <f ca="1">IFERROR(__xludf.DUMMYFUNCTION("""COMPUTED_VALUE"""),"Super U")</f>
        <v>Super U</v>
      </c>
      <c r="D485" t="str">
        <f ca="1">IFERROR(__xludf.DUMMYFUNCTION("""COMPUTED_VALUE"""),"Coop U Enseigne NordOuest")</f>
        <v>Coop U Enseigne NordOuest</v>
      </c>
      <c r="E485">
        <f ca="1">IFERROR(__xludf.DUMMYFUNCTION("""COMPUTED_VALUE"""),14220)</f>
        <v>14220</v>
      </c>
      <c r="F485" t="str">
        <f ca="1">IFERROR(__xludf.DUMMYFUNCTION("""COMPUTED_VALUE"""),"IMPASSE LES CHÊNES VERTS")</f>
        <v>IMPASSE LES CHÊNES VERTS</v>
      </c>
      <c r="G485" t="str">
        <f ca="1">IFERROR(__xludf.DUMMYFUNCTION("""COMPUTED_VALUE"""),"02.31.15.28.40")</f>
        <v>02.31.15.28.40</v>
      </c>
      <c r="H485" t="str">
        <f ca="1">IFERROR(__xludf.DUMMYFUNCTION("""COMPUTED_VALUE"""),"DURVILLE Frédéric")</f>
        <v>DURVILLE Frédéric</v>
      </c>
      <c r="I485" t="str">
        <f ca="1">IFERROR(__xludf.DUMMYFUNCTION("""COMPUTED_VALUE"""),"frederic.durville@systeme-u.fr")</f>
        <v>frederic.durville@systeme-u.fr</v>
      </c>
      <c r="J485" t="str">
        <f ca="1">IFERROR(__xludf.DUMMYFUNCTION("""COMPUTED_VALUE"""),"Mme Audrey Bouguon")</f>
        <v>Mme Audrey Bouguon</v>
      </c>
      <c r="K485" t="str">
        <f ca="1">IFERROR(__xludf.DUMMYFUNCTION("""COMPUTED_VALUE"""),"superu.lehom@systeme-u.fr")</f>
        <v>superu.lehom@systeme-u.fr</v>
      </c>
      <c r="L485" t="str">
        <f ca="1">IFERROR(__xludf.DUMMYFUNCTION("""COMPUTED_VALUE"""),"")</f>
        <v/>
      </c>
      <c r="M485" t="str">
        <f ca="1">IFERROR(__xludf.DUMMYFUNCTION("""COMPUTED_VALUE"""),"99.Hors Périmetre")</f>
        <v>99.Hors Périmetre</v>
      </c>
      <c r="N485" t="str">
        <f ca="1">IFERROR(__xludf.DUMMYFUNCTION("""COMPUTED_VALUE"""),"")</f>
        <v/>
      </c>
      <c r="O485" t="str">
        <f ca="1">IFERROR(__xludf.DUMMYFUNCTION("""COMPUTED_VALUE"""),"")</f>
        <v/>
      </c>
      <c r="P485" t="str">
        <f ca="1">IFERROR(__xludf.DUMMYFUNCTION("""COMPUTED_VALUE"""),"")</f>
        <v/>
      </c>
      <c r="Q485" s="5" t="str">
        <f ca="1">IFERROR(__xludf.DUMMYFUNCTION("""COMPUTED_VALUE"""),"")</f>
        <v/>
      </c>
      <c r="R485" s="6" t="str">
        <f ca="1">IFERROR(__xludf.DUMMYFUNCTION("""COMPUTED_VALUE"""),"")</f>
        <v/>
      </c>
      <c r="S485" t="str">
        <f ca="1">IFERROR(__xludf.DUMMYFUNCTION("""COMPUTED_VALUE"""),"")</f>
        <v/>
      </c>
      <c r="T485" t="str">
        <f ca="1">IFERROR(__xludf.DUMMYFUNCTION("""COMPUTED_VALUE"""),"")</f>
        <v/>
      </c>
      <c r="U485" t="str">
        <f ca="1">IFERROR(__xludf.DUMMYFUNCTION("""COMPUTED_VALUE"""),"")</f>
        <v/>
      </c>
      <c r="V485" t="str">
        <f ca="1">IFERROR(__xludf.DUMMYFUNCTION("""COMPUTED_VALUE"""),"")</f>
        <v/>
      </c>
      <c r="W485" t="str">
        <f ca="1">IFERROR(__xludf.DUMMYFUNCTION("""COMPUTED_VALUE"""),"")</f>
        <v/>
      </c>
      <c r="X485" t="str">
        <f ca="1">IFERROR(__xludf.DUMMYFUNCTION("""COMPUTED_VALUE"""),"")</f>
        <v/>
      </c>
      <c r="Y485" t="str">
        <f ca="1">IFERROR(__xludf.DUMMYFUNCTION("""COMPUTED_VALUE"""),"")</f>
        <v/>
      </c>
      <c r="Z485" t="str">
        <f ca="1">IFERROR(__xludf.DUMMYFUNCTION("""COMPUTED_VALUE"""),"")</f>
        <v/>
      </c>
      <c r="AA485" t="str">
        <f ca="1">IFERROR(__xludf.DUMMYFUNCTION("""COMPUTED_VALUE"""),"Pas de commande")</f>
        <v>Pas de commande</v>
      </c>
      <c r="AB485" s="8" t="str">
        <f ca="1">IFERROR(__xludf.DUMMYFUNCTION("""COMPUTED_VALUE"""),"")</f>
        <v/>
      </c>
      <c r="AC485" s="8" t="str">
        <f ca="1">IFERROR(__xludf.DUMMYFUNCTION("""COMPUTED_VALUE"""),"")</f>
        <v/>
      </c>
      <c r="AD485" s="11" t="str">
        <f ca="1">IFERROR(__xludf.DUMMYFUNCTION("""COMPUTED_VALUE"""),"")</f>
        <v/>
      </c>
      <c r="AE485" t="str">
        <f ca="1">IFERROR(__xludf.DUMMYFUNCTION("""COMPUTED_VALUE"""),"")</f>
        <v/>
      </c>
    </row>
    <row r="486" spans="1:31" ht="12.75" x14ac:dyDescent="0.2">
      <c r="A486">
        <f ca="1">IFERROR(__xludf.DUMMYFUNCTION("""COMPUTED_VALUE"""),38958)</f>
        <v>38958</v>
      </c>
      <c r="B486" t="str">
        <f ca="1">IFERROR(__xludf.DUMMYFUNCTION("""COMPUTED_VALUE"""),"LE LAMENTIN")</f>
        <v>LE LAMENTIN</v>
      </c>
      <c r="C486" t="str">
        <f ca="1">IFERROR(__xludf.DUMMYFUNCTION("""COMPUTED_VALUE"""),"Hyper U")</f>
        <v>Hyper U</v>
      </c>
      <c r="D486" t="str">
        <f ca="1">IFERROR(__xludf.DUMMYFUNCTION("""COMPUTED_VALUE"""),"Coop U Enseigne Ouest")</f>
        <v>Coop U Enseigne Ouest</v>
      </c>
      <c r="E486">
        <f ca="1">IFERROR(__xludf.DUMMYFUNCTION("""COMPUTED_VALUE"""),97232)</f>
        <v>97232</v>
      </c>
      <c r="F486" t="str">
        <f ca="1">IFERROR(__xludf.DUMMYFUNCTION("""COMPUTED_VALUE"""),"CENTRE COMMERCIAL LA GALLERIA")</f>
        <v>CENTRE COMMERCIAL LA GALLERIA</v>
      </c>
      <c r="G486" t="str">
        <f ca="1">IFERROR(__xludf.DUMMYFUNCTION("""COMPUTED_VALUE"""),"05.96.50.66.33")</f>
        <v>05.96.50.66.33</v>
      </c>
      <c r="H486" t="str">
        <f ca="1">IFERROR(__xludf.DUMMYFUNCTION("""COMPUTED_VALUE"""),"PARFAIT Robert")</f>
        <v>PARFAIT Robert</v>
      </c>
      <c r="I486" t="str">
        <f ca="1">IFERROR(__xludf.DUMMYFUNCTION("""COMPUTED_VALUE"""),"robert.parfait@systeme-u.fr")</f>
        <v>robert.parfait@systeme-u.fr</v>
      </c>
      <c r="J486" t="str">
        <f ca="1">IFERROR(__xludf.DUMMYFUNCTION("""COMPUTED_VALUE"""),"Alex Domoison (IT)")</f>
        <v>Alex Domoison (IT)</v>
      </c>
      <c r="K486" t="str">
        <f ca="1">IFERROR(__xludf.DUMMYFUNCTION("""COMPUTED_VALUE"""),"alex.domoison@uantilles.com,martine.crevecoeur@systeme-u.fr")</f>
        <v>alex.domoison@uantilles.com,martine.crevecoeur@systeme-u.fr</v>
      </c>
      <c r="L486" t="str">
        <f ca="1">IFERROR(__xludf.DUMMYFUNCTION("""COMPUTED_VALUE"""),"Standard")</f>
        <v>Standard</v>
      </c>
      <c r="M486" t="str">
        <f ca="1">IFERROR(__xludf.DUMMYFUNCTION("""COMPUTED_VALUE"""),"0. Non démarré")</f>
        <v>0. Non démarré</v>
      </c>
      <c r="N486" t="str">
        <f ca="1">IFERROR(__xludf.DUMMYFUNCTION("""COMPUTED_VALUE"""),"")</f>
        <v/>
      </c>
      <c r="O486" t="str">
        <f ca="1">IFERROR(__xludf.DUMMYFUNCTION("""COMPUTED_VALUE"""),"")</f>
        <v/>
      </c>
      <c r="P486" t="str">
        <f ca="1">IFERROR(__xludf.DUMMYFUNCTION("""COMPUTED_VALUE"""),"")</f>
        <v/>
      </c>
      <c r="Q486" s="5" t="str">
        <f ca="1">IFERROR(__xludf.DUMMYFUNCTION("""COMPUTED_VALUE"""),"")</f>
        <v/>
      </c>
      <c r="R486" s="6" t="str">
        <f ca="1">IFERROR(__xludf.DUMMYFUNCTION("""COMPUTED_VALUE"""),"")</f>
        <v/>
      </c>
      <c r="S486" t="str">
        <f ca="1">IFERROR(__xludf.DUMMYFUNCTION("""COMPUTED_VALUE"""),"")</f>
        <v/>
      </c>
      <c r="T486" t="str">
        <f ca="1">IFERROR(__xludf.DUMMYFUNCTION("""COMPUTED_VALUE"""),"")</f>
        <v/>
      </c>
      <c r="U486" t="str">
        <f ca="1">IFERROR(__xludf.DUMMYFUNCTION("""COMPUTED_VALUE"""),"")</f>
        <v/>
      </c>
      <c r="V486" t="str">
        <f ca="1">IFERROR(__xludf.DUMMYFUNCTION("""COMPUTED_VALUE"""),"")</f>
        <v/>
      </c>
      <c r="W486" t="str">
        <f ca="1">IFERROR(__xludf.DUMMYFUNCTION("""COMPUTED_VALUE"""),"R5")</f>
        <v>R5</v>
      </c>
      <c r="X486" t="str">
        <f ca="1">IFERROR(__xludf.DUMMYFUNCTION("""COMPUTED_VALUE"""),"Pricer")</f>
        <v>Pricer</v>
      </c>
      <c r="Y486" t="str">
        <f ca="1">IFERROR(__xludf.DUMMYFUNCTION("""COMPUTED_VALUE"""),"")</f>
        <v/>
      </c>
      <c r="Z486" t="str">
        <f ca="1">IFERROR(__xludf.DUMMYFUNCTION("""COMPUTED_VALUE"""),"")</f>
        <v/>
      </c>
      <c r="AA486" t="str">
        <f ca="1">IFERROR(__xludf.DUMMYFUNCTION("""COMPUTED_VALUE"""),"Pas de commande")</f>
        <v>Pas de commande</v>
      </c>
      <c r="AB486" s="8" t="str">
        <f ca="1">IFERROR(__xludf.DUMMYFUNCTION("""COMPUTED_VALUE"""),"")</f>
        <v/>
      </c>
      <c r="AC486" s="8" t="str">
        <f ca="1">IFERROR(__xludf.DUMMYFUNCTION("""COMPUTED_VALUE"""),"")</f>
        <v/>
      </c>
      <c r="AD486" s="11" t="str">
        <f ca="1">IFERROR(__xludf.DUMMYFUNCTION("""COMPUTED_VALUE"""),"")</f>
        <v/>
      </c>
      <c r="AE486" t="str">
        <f ca="1">IFERROR(__xludf.DUMMYFUNCTION("""COMPUTED_VALUE"""),"")</f>
        <v/>
      </c>
    </row>
    <row r="487" spans="1:31" ht="12.75" x14ac:dyDescent="0.2">
      <c r="A487">
        <f ca="1">IFERROR(__xludf.DUMMYFUNCTION("""COMPUTED_VALUE"""),38370)</f>
        <v>38370</v>
      </c>
      <c r="B487" t="str">
        <f ca="1">IFERROR(__xludf.DUMMYFUNCTION("""COMPUTED_VALUE"""),"LE LION-D'ANGERS GREZ-NEUV")</f>
        <v>LE LION-D'ANGERS GREZ-NEUV</v>
      </c>
      <c r="C487" t="str">
        <f ca="1">IFERROR(__xludf.DUMMYFUNCTION("""COMPUTED_VALUE"""),"Super U")</f>
        <v>Super U</v>
      </c>
      <c r="D487" t="str">
        <f ca="1">IFERROR(__xludf.DUMMYFUNCTION("""COMPUTED_VALUE"""),"Coop U Enseigne Ouest")</f>
        <v>Coop U Enseigne Ouest</v>
      </c>
      <c r="E487">
        <f ca="1">IFERROR(__xludf.DUMMYFUNCTION("""COMPUTED_VALUE"""),49220)</f>
        <v>49220</v>
      </c>
      <c r="F487" t="str">
        <f ca="1">IFERROR(__xludf.DUMMYFUNCTION("""COMPUTED_VALUE"""),"ZAC DE LA GRÉE")</f>
        <v>ZAC DE LA GRÉE</v>
      </c>
      <c r="G487" t="str">
        <f ca="1">IFERROR(__xludf.DUMMYFUNCTION("""COMPUTED_VALUE"""),"02.41.95.62.55")</f>
        <v>02.41.95.62.55</v>
      </c>
      <c r="H487" t="str">
        <f ca="1">IFERROR(__xludf.DUMMYFUNCTION("""COMPUTED_VALUE"""),"LE BEAUDOUR Isabelle")</f>
        <v>LE BEAUDOUR Isabelle</v>
      </c>
      <c r="I487" t="str">
        <f ca="1">IFERROR(__xludf.DUMMYFUNCTION("""COMPUTED_VALUE"""),"isabelle.lebeaudour@systeme-u.fr")</f>
        <v>isabelle.lebeaudour@systeme-u.fr</v>
      </c>
      <c r="J487" t="str">
        <f ca="1">IFERROR(__xludf.DUMMYFUNCTION("""COMPUTED_VALUE"""),"AUFFRAY Jessie
Elisabeth Lebeaudour (UPLV)")</f>
        <v>AUFFRAY Jessie
Elisabeth Lebeaudour (UPLV)</v>
      </c>
      <c r="K487" t="str">
        <f ca="1">IFERROR(__xludf.DUMMYFUNCTION("""COMPUTED_VALUE"""),"superu.leliondangers.gescom@systeme-u.fr, elisabeth.lebeaudour@systeme-u.fr")</f>
        <v>superu.leliondangers.gescom@systeme-u.fr, elisabeth.lebeaudour@systeme-u.fr</v>
      </c>
      <c r="L487" t="str">
        <f ca="1">IFERROR(__xludf.DUMMYFUNCTION("""COMPUTED_VALUE"""),"")</f>
        <v/>
      </c>
      <c r="M487" t="str">
        <f ca="1">IFERROR(__xludf.DUMMYFUNCTION("""COMPUTED_VALUE"""),"99.Hors Périmetre")</f>
        <v>99.Hors Périmetre</v>
      </c>
      <c r="N487" t="str">
        <f ca="1">IFERROR(__xludf.DUMMYFUNCTION("""COMPUTED_VALUE"""),"")</f>
        <v/>
      </c>
      <c r="O487" t="str">
        <f ca="1">IFERROR(__xludf.DUMMYFUNCTION("""COMPUTED_VALUE"""),"")</f>
        <v/>
      </c>
      <c r="P487" t="str">
        <f ca="1">IFERROR(__xludf.DUMMYFUNCTION("""COMPUTED_VALUE"""),"")</f>
        <v/>
      </c>
      <c r="Q487" s="5" t="str">
        <f ca="1">IFERROR(__xludf.DUMMYFUNCTION("""COMPUTED_VALUE"""),"")</f>
        <v/>
      </c>
      <c r="R487" s="6" t="str">
        <f ca="1">IFERROR(__xludf.DUMMYFUNCTION("""COMPUTED_VALUE"""),"")</f>
        <v/>
      </c>
      <c r="S487" t="str">
        <f ca="1">IFERROR(__xludf.DUMMYFUNCTION("""COMPUTED_VALUE"""),"")</f>
        <v/>
      </c>
      <c r="T487" t="str">
        <f ca="1">IFERROR(__xludf.DUMMYFUNCTION("""COMPUTED_VALUE"""),"")</f>
        <v/>
      </c>
      <c r="U487" t="str">
        <f ca="1">IFERROR(__xludf.DUMMYFUNCTION("""COMPUTED_VALUE"""),"")</f>
        <v/>
      </c>
      <c r="V487" t="str">
        <f ca="1">IFERROR(__xludf.DUMMYFUNCTION("""COMPUTED_VALUE"""),"")</f>
        <v/>
      </c>
      <c r="W487" t="str">
        <f ca="1">IFERROR(__xludf.DUMMYFUNCTION("""COMPUTED_VALUE"""),"")</f>
        <v/>
      </c>
      <c r="X487" t="str">
        <f ca="1">IFERROR(__xludf.DUMMYFUNCTION("""COMPUTED_VALUE"""),"")</f>
        <v/>
      </c>
      <c r="Y487" t="str">
        <f ca="1">IFERROR(__xludf.DUMMYFUNCTION("""COMPUTED_VALUE"""),"")</f>
        <v/>
      </c>
      <c r="Z487" t="str">
        <f ca="1">IFERROR(__xludf.DUMMYFUNCTION("""COMPUTED_VALUE"""),"")</f>
        <v/>
      </c>
      <c r="AA487" t="str">
        <f ca="1">IFERROR(__xludf.DUMMYFUNCTION("""COMPUTED_VALUE"""),"Pas de commande")</f>
        <v>Pas de commande</v>
      </c>
      <c r="AB487" s="8" t="str">
        <f ca="1">IFERROR(__xludf.DUMMYFUNCTION("""COMPUTED_VALUE"""),"")</f>
        <v/>
      </c>
      <c r="AC487" s="8" t="str">
        <f ca="1">IFERROR(__xludf.DUMMYFUNCTION("""COMPUTED_VALUE"""),"")</f>
        <v/>
      </c>
      <c r="AD487" s="11" t="str">
        <f ca="1">IFERROR(__xludf.DUMMYFUNCTION("""COMPUTED_VALUE"""),"")</f>
        <v/>
      </c>
      <c r="AE487" t="str">
        <f ca="1">IFERROR(__xludf.DUMMYFUNCTION("""COMPUTED_VALUE"""),"")</f>
        <v/>
      </c>
    </row>
    <row r="488" spans="1:31" ht="12.75" x14ac:dyDescent="0.2">
      <c r="A488">
        <f ca="1">IFERROR(__xludf.DUMMYFUNCTION("""COMPUTED_VALUE"""),36785)</f>
        <v>36785</v>
      </c>
      <c r="B488" t="str">
        <f ca="1">IFERROR(__xludf.DUMMYFUNCTION("""COMPUTED_VALUE"""),"LE MANS BOLLEE")</f>
        <v>LE MANS BOLLEE</v>
      </c>
      <c r="C488" t="str">
        <f ca="1">IFERROR(__xludf.DUMMYFUNCTION("""COMPUTED_VALUE"""),"U Express")</f>
        <v>U Express</v>
      </c>
      <c r="D488" t="str">
        <f ca="1">IFERROR(__xludf.DUMMYFUNCTION("""COMPUTED_VALUE"""),"Coop U Enseigne Ouest")</f>
        <v>Coop U Enseigne Ouest</v>
      </c>
      <c r="E488">
        <f ca="1">IFERROR(__xludf.DUMMYFUNCTION("""COMPUTED_VALUE"""),72000)</f>
        <v>72000</v>
      </c>
      <c r="F488" t="str">
        <f ca="1">IFERROR(__xludf.DUMMYFUNCTION("""COMPUTED_VALUE"""),"154,156 AVENUE BOLLÉE")</f>
        <v>154,156 AVENUE BOLLÉE</v>
      </c>
      <c r="G488" t="str">
        <f ca="1">IFERROR(__xludf.DUMMYFUNCTION("""COMPUTED_VALUE"""),"02.43.84.57.61")</f>
        <v>02.43.84.57.61</v>
      </c>
      <c r="H488" t="str">
        <f ca="1">IFERROR(__xludf.DUMMYFUNCTION("""COMPUTED_VALUE"""),"RONDEAU RPT SARL R.R. INVEST. Romain")</f>
        <v>RONDEAU RPT SARL R.R. INVEST. Romain</v>
      </c>
      <c r="I488" t="str">
        <f ca="1">IFERROR(__xludf.DUMMYFUNCTION("""COMPUTED_VALUE"""),"romain.rondeau@systeme-u.fr")</f>
        <v>romain.rondeau@systeme-u.fr</v>
      </c>
      <c r="J488" t="str">
        <f ca="1">IFERROR(__xludf.DUMMYFUNCTION("""COMPUTED_VALUE"""),"")</f>
        <v/>
      </c>
      <c r="K488" t="str">
        <f ca="1">IFERROR(__xludf.DUMMYFUNCTION("""COMPUTED_VALUE"""),"")</f>
        <v/>
      </c>
      <c r="L488" t="str">
        <f ca="1">IFERROR(__xludf.DUMMYFUNCTION("""COMPUTED_VALUE"""),"")</f>
        <v/>
      </c>
      <c r="M488" t="str">
        <f ca="1">IFERROR(__xludf.DUMMYFUNCTION("""COMPUTED_VALUE"""),"99.Hors Périmetre")</f>
        <v>99.Hors Périmetre</v>
      </c>
      <c r="N488" t="str">
        <f ca="1">IFERROR(__xludf.DUMMYFUNCTION("""COMPUTED_VALUE"""),"")</f>
        <v/>
      </c>
      <c r="O488" t="str">
        <f ca="1">IFERROR(__xludf.DUMMYFUNCTION("""COMPUTED_VALUE"""),"")</f>
        <v/>
      </c>
      <c r="P488" t="str">
        <f ca="1">IFERROR(__xludf.DUMMYFUNCTION("""COMPUTED_VALUE"""),"")</f>
        <v/>
      </c>
      <c r="Q488" s="5" t="str">
        <f ca="1">IFERROR(__xludf.DUMMYFUNCTION("""COMPUTED_VALUE"""),"")</f>
        <v/>
      </c>
      <c r="R488" s="6" t="str">
        <f ca="1">IFERROR(__xludf.DUMMYFUNCTION("""COMPUTED_VALUE"""),"")</f>
        <v/>
      </c>
      <c r="S488" t="str">
        <f ca="1">IFERROR(__xludf.DUMMYFUNCTION("""COMPUTED_VALUE"""),"")</f>
        <v/>
      </c>
      <c r="T488" t="str">
        <f ca="1">IFERROR(__xludf.DUMMYFUNCTION("""COMPUTED_VALUE"""),"")</f>
        <v/>
      </c>
      <c r="U488" t="str">
        <f ca="1">IFERROR(__xludf.DUMMYFUNCTION("""COMPUTED_VALUE"""),"")</f>
        <v/>
      </c>
      <c r="V488" t="str">
        <f ca="1">IFERROR(__xludf.DUMMYFUNCTION("""COMPUTED_VALUE"""),"")</f>
        <v/>
      </c>
      <c r="W488" t="str">
        <f ca="1">IFERROR(__xludf.DUMMYFUNCTION("""COMPUTED_VALUE"""),"")</f>
        <v/>
      </c>
      <c r="X488" t="str">
        <f ca="1">IFERROR(__xludf.DUMMYFUNCTION("""COMPUTED_VALUE"""),"")</f>
        <v/>
      </c>
      <c r="Y488" t="str">
        <f ca="1">IFERROR(__xludf.DUMMYFUNCTION("""COMPUTED_VALUE"""),"")</f>
        <v/>
      </c>
      <c r="Z488" t="str">
        <f ca="1">IFERROR(__xludf.DUMMYFUNCTION("""COMPUTED_VALUE"""),"")</f>
        <v/>
      </c>
      <c r="AA488" t="str">
        <f ca="1">IFERROR(__xludf.DUMMYFUNCTION("""COMPUTED_VALUE"""),"Pas de commande")</f>
        <v>Pas de commande</v>
      </c>
      <c r="AB488" s="8" t="str">
        <f ca="1">IFERROR(__xludf.DUMMYFUNCTION("""COMPUTED_VALUE"""),"")</f>
        <v/>
      </c>
      <c r="AC488" s="8" t="str">
        <f ca="1">IFERROR(__xludf.DUMMYFUNCTION("""COMPUTED_VALUE"""),"")</f>
        <v/>
      </c>
      <c r="AD488" s="11" t="str">
        <f ca="1">IFERROR(__xludf.DUMMYFUNCTION("""COMPUTED_VALUE"""),"")</f>
        <v/>
      </c>
      <c r="AE488" t="str">
        <f ca="1">IFERROR(__xludf.DUMMYFUNCTION("""COMPUTED_VALUE"""),"")</f>
        <v/>
      </c>
    </row>
    <row r="489" spans="1:31" ht="12.75" x14ac:dyDescent="0.2">
      <c r="A489">
        <f ca="1">IFERROR(__xludf.DUMMYFUNCTION("""COMPUTED_VALUE"""),34030)</f>
        <v>34030</v>
      </c>
      <c r="B489" t="str">
        <f ca="1">IFERROR(__xludf.DUMMYFUNCTION("""COMPUTED_VALUE"""),"LE MANS DE GAULLE")</f>
        <v>LE MANS DE GAULLE</v>
      </c>
      <c r="C489" t="str">
        <f ca="1">IFERROR(__xludf.DUMMYFUNCTION("""COMPUTED_VALUE"""),"U Express")</f>
        <v>U Express</v>
      </c>
      <c r="D489" t="str">
        <f ca="1">IFERROR(__xludf.DUMMYFUNCTION("""COMPUTED_VALUE"""),"Coop U Enseigne Ouest")</f>
        <v>Coop U Enseigne Ouest</v>
      </c>
      <c r="E489">
        <f ca="1">IFERROR(__xludf.DUMMYFUNCTION("""COMPUTED_VALUE"""),72000)</f>
        <v>72000</v>
      </c>
      <c r="F489" t="str">
        <f ca="1">IFERROR(__xludf.DUMMYFUNCTION("""COMPUTED_VALUE"""),"37, 41 RUE DU GAL DE GAULLE")</f>
        <v>37, 41 RUE DU GAL DE GAULLE</v>
      </c>
      <c r="G489" t="str">
        <f ca="1">IFERROR(__xludf.DUMMYFUNCTION("""COMPUTED_VALUE"""),"02.43.80.88.10")</f>
        <v>02.43.80.88.10</v>
      </c>
      <c r="H489" t="str">
        <f ca="1">IFERROR(__xludf.DUMMYFUNCTION("""COMPUTED_VALUE"""),"DEMARET RPT DP 66 INVESTISSEM Damien")</f>
        <v>DEMARET RPT DP 66 INVESTISSEM Damien</v>
      </c>
      <c r="I489" t="str">
        <f ca="1">IFERROR(__xludf.DUMMYFUNCTION("""COMPUTED_VALUE"""),"damien.demaret@systeme-u.fr")</f>
        <v>damien.demaret@systeme-u.fr</v>
      </c>
      <c r="J489" t="str">
        <f ca="1">IFERROR(__xludf.DUMMYFUNCTION("""COMPUTED_VALUE"""),"M. BUCHERON Manuel")</f>
        <v>M. BUCHERON Manuel</v>
      </c>
      <c r="K489" t="str">
        <f ca="1">IFERROR(__xludf.DUMMYFUNCTION("""COMPUTED_VALUE"""),"manuel.bucheron@systeme-u.fr")</f>
        <v>manuel.bucheron@systeme-u.fr</v>
      </c>
      <c r="L489" t="str">
        <f ca="1">IFERROR(__xludf.DUMMYFUNCTION("""COMPUTED_VALUE"""),"")</f>
        <v/>
      </c>
      <c r="M489" t="str">
        <f ca="1">IFERROR(__xludf.DUMMYFUNCTION("""COMPUTED_VALUE"""),"99.Hors Périmetre")</f>
        <v>99.Hors Périmetre</v>
      </c>
      <c r="N489" t="str">
        <f ca="1">IFERROR(__xludf.DUMMYFUNCTION("""COMPUTED_VALUE"""),"")</f>
        <v/>
      </c>
      <c r="O489" t="str">
        <f ca="1">IFERROR(__xludf.DUMMYFUNCTION("""COMPUTED_VALUE"""),"")</f>
        <v/>
      </c>
      <c r="P489" t="str">
        <f ca="1">IFERROR(__xludf.DUMMYFUNCTION("""COMPUTED_VALUE"""),"")</f>
        <v/>
      </c>
      <c r="Q489" s="5" t="str">
        <f ca="1">IFERROR(__xludf.DUMMYFUNCTION("""COMPUTED_VALUE"""),"")</f>
        <v/>
      </c>
      <c r="R489" s="6" t="str">
        <f ca="1">IFERROR(__xludf.DUMMYFUNCTION("""COMPUTED_VALUE"""),"")</f>
        <v/>
      </c>
      <c r="S489" t="str">
        <f ca="1">IFERROR(__xludf.DUMMYFUNCTION("""COMPUTED_VALUE"""),"")</f>
        <v/>
      </c>
      <c r="T489" t="str">
        <f ca="1">IFERROR(__xludf.DUMMYFUNCTION("""COMPUTED_VALUE"""),"")</f>
        <v/>
      </c>
      <c r="U489" t="str">
        <f ca="1">IFERROR(__xludf.DUMMYFUNCTION("""COMPUTED_VALUE"""),"")</f>
        <v/>
      </c>
      <c r="V489" t="str">
        <f ca="1">IFERROR(__xludf.DUMMYFUNCTION("""COMPUTED_VALUE"""),"")</f>
        <v/>
      </c>
      <c r="W489" t="str">
        <f ca="1">IFERROR(__xludf.DUMMYFUNCTION("""COMPUTED_VALUE"""),"")</f>
        <v/>
      </c>
      <c r="X489" t="str">
        <f ca="1">IFERROR(__xludf.DUMMYFUNCTION("""COMPUTED_VALUE"""),"")</f>
        <v/>
      </c>
      <c r="Y489" t="str">
        <f ca="1">IFERROR(__xludf.DUMMYFUNCTION("""COMPUTED_VALUE"""),"")</f>
        <v/>
      </c>
      <c r="Z489" t="str">
        <f ca="1">IFERROR(__xludf.DUMMYFUNCTION("""COMPUTED_VALUE"""),"")</f>
        <v/>
      </c>
      <c r="AA489" t="str">
        <f ca="1">IFERROR(__xludf.DUMMYFUNCTION("""COMPUTED_VALUE"""),"Pas de commande")</f>
        <v>Pas de commande</v>
      </c>
      <c r="AB489" s="8" t="str">
        <f ca="1">IFERROR(__xludf.DUMMYFUNCTION("""COMPUTED_VALUE"""),"")</f>
        <v/>
      </c>
      <c r="AC489" s="8" t="str">
        <f ca="1">IFERROR(__xludf.DUMMYFUNCTION("""COMPUTED_VALUE"""),"")</f>
        <v/>
      </c>
      <c r="AD489" s="11" t="str">
        <f ca="1">IFERROR(__xludf.DUMMYFUNCTION("""COMPUTED_VALUE"""),"")</f>
        <v/>
      </c>
      <c r="AE489" t="str">
        <f ca="1">IFERROR(__xludf.DUMMYFUNCTION("""COMPUTED_VALUE"""),"")</f>
        <v/>
      </c>
    </row>
    <row r="490" spans="1:31" ht="12.75" x14ac:dyDescent="0.2">
      <c r="A490">
        <f ca="1">IFERROR(__xludf.DUMMYFUNCTION("""COMPUTED_VALUE"""),35266)</f>
        <v>35266</v>
      </c>
      <c r="B490" t="str">
        <f ca="1">IFERROR(__xludf.DUMMYFUNCTION("""COMPUTED_VALUE"""),"LE MANS LIBERATION")</f>
        <v>LE MANS LIBERATION</v>
      </c>
      <c r="C490" t="str">
        <f ca="1">IFERROR(__xludf.DUMMYFUNCTION("""COMPUTED_VALUE"""),"Super U")</f>
        <v>Super U</v>
      </c>
      <c r="D490" t="str">
        <f ca="1">IFERROR(__xludf.DUMMYFUNCTION("""COMPUTED_VALUE"""),"Coop U Enseigne Ouest")</f>
        <v>Coop U Enseigne Ouest</v>
      </c>
      <c r="E490">
        <f ca="1">IFERROR(__xludf.DUMMYFUNCTION("""COMPUTED_VALUE"""),72000)</f>
        <v>72000</v>
      </c>
      <c r="F490" t="str">
        <f ca="1">IFERROR(__xludf.DUMMYFUNCTION("""COMPUTED_VALUE"""),"186, AVENUE DE LA LIBÉRATION")</f>
        <v>186, AVENUE DE LA LIBÉRATION</v>
      </c>
      <c r="G490" t="str">
        <f ca="1">IFERROR(__xludf.DUMMYFUNCTION("""COMPUTED_VALUE"""),"02.43.23.74.60")</f>
        <v>02.43.23.74.60</v>
      </c>
      <c r="H490" t="str">
        <f ca="1">IFERROR(__xludf.DUMMYFUNCTION("""COMPUTED_VALUE"""),"LANDEMAINE RPT JFCL INVEST Jean-François")</f>
        <v>LANDEMAINE RPT JFCL INVEST Jean-François</v>
      </c>
      <c r="I490" t="str">
        <f ca="1">IFERROR(__xludf.DUMMYFUNCTION("""COMPUTED_VALUE"""),"jean-francois.landemaine@systeme-u.fr")</f>
        <v>jean-francois.landemaine@systeme-u.fr</v>
      </c>
      <c r="J490" t="str">
        <f ca="1">IFERROR(__xludf.DUMMYFUNCTION("""COMPUTED_VALUE"""),"LANDEMAINE Marie line")</f>
        <v>LANDEMAINE Marie line</v>
      </c>
      <c r="K490" t="str">
        <f ca="1">IFERROR(__xludf.DUMMYFUNCTION("""COMPUTED_VALUE"""),"superu.lemansliberation.direction@systeme-u.fr")</f>
        <v>superu.lemansliberation.direction@systeme-u.fr</v>
      </c>
      <c r="L490" t="str">
        <f ca="1">IFERROR(__xludf.DUMMYFUNCTION("""COMPUTED_VALUE"""),"")</f>
        <v/>
      </c>
      <c r="M490" t="str">
        <f ca="1">IFERROR(__xludf.DUMMYFUNCTION("""COMPUTED_VALUE"""),"99.Hors Périmetre")</f>
        <v>99.Hors Périmetre</v>
      </c>
      <c r="N490" t="str">
        <f ca="1">IFERROR(__xludf.DUMMYFUNCTION("""COMPUTED_VALUE"""),"")</f>
        <v/>
      </c>
      <c r="O490" t="str">
        <f ca="1">IFERROR(__xludf.DUMMYFUNCTION("""COMPUTED_VALUE"""),"")</f>
        <v/>
      </c>
      <c r="P490" t="str">
        <f ca="1">IFERROR(__xludf.DUMMYFUNCTION("""COMPUTED_VALUE"""),"")</f>
        <v/>
      </c>
      <c r="Q490" s="5" t="str">
        <f ca="1">IFERROR(__xludf.DUMMYFUNCTION("""COMPUTED_VALUE"""),"")</f>
        <v/>
      </c>
      <c r="R490" s="6" t="str">
        <f ca="1">IFERROR(__xludf.DUMMYFUNCTION("""COMPUTED_VALUE"""),"")</f>
        <v/>
      </c>
      <c r="S490" t="str">
        <f ca="1">IFERROR(__xludf.DUMMYFUNCTION("""COMPUTED_VALUE"""),"")</f>
        <v/>
      </c>
      <c r="T490" t="str">
        <f ca="1">IFERROR(__xludf.DUMMYFUNCTION("""COMPUTED_VALUE"""),"")</f>
        <v/>
      </c>
      <c r="U490" t="str">
        <f ca="1">IFERROR(__xludf.DUMMYFUNCTION("""COMPUTED_VALUE"""),"")</f>
        <v/>
      </c>
      <c r="V490" t="str">
        <f ca="1">IFERROR(__xludf.DUMMYFUNCTION("""COMPUTED_VALUE"""),"")</f>
        <v/>
      </c>
      <c r="W490" t="str">
        <f ca="1">IFERROR(__xludf.DUMMYFUNCTION("""COMPUTED_VALUE"""),"")</f>
        <v/>
      </c>
      <c r="X490" t="str">
        <f ca="1">IFERROR(__xludf.DUMMYFUNCTION("""COMPUTED_VALUE"""),"")</f>
        <v/>
      </c>
      <c r="Y490" t="str">
        <f ca="1">IFERROR(__xludf.DUMMYFUNCTION("""COMPUTED_VALUE"""),"")</f>
        <v/>
      </c>
      <c r="Z490" t="str">
        <f ca="1">IFERROR(__xludf.DUMMYFUNCTION("""COMPUTED_VALUE"""),"")</f>
        <v/>
      </c>
      <c r="AA490" t="str">
        <f ca="1">IFERROR(__xludf.DUMMYFUNCTION("""COMPUTED_VALUE"""),"Pas de commande")</f>
        <v>Pas de commande</v>
      </c>
      <c r="AB490" s="8" t="str">
        <f ca="1">IFERROR(__xludf.DUMMYFUNCTION("""COMPUTED_VALUE"""),"")</f>
        <v/>
      </c>
      <c r="AC490" s="8" t="str">
        <f ca="1">IFERROR(__xludf.DUMMYFUNCTION("""COMPUTED_VALUE"""),"")</f>
        <v/>
      </c>
      <c r="AD490" s="11" t="str">
        <f ca="1">IFERROR(__xludf.DUMMYFUNCTION("""COMPUTED_VALUE"""),"")</f>
        <v/>
      </c>
      <c r="AE490" t="str">
        <f ca="1">IFERROR(__xludf.DUMMYFUNCTION("""COMPUTED_VALUE"""),"")</f>
        <v/>
      </c>
    </row>
    <row r="491" spans="1:31" ht="12.75" x14ac:dyDescent="0.2">
      <c r="A491">
        <f ca="1">IFERROR(__xludf.DUMMYFUNCTION("""COMPUTED_VALUE"""),38196)</f>
        <v>38196</v>
      </c>
      <c r="B491" t="str">
        <f ca="1">IFERROR(__xludf.DUMMYFUNCTION("""COMPUTED_VALUE"""),"LE MANS REPUBLIQUE")</f>
        <v>LE MANS REPUBLIQUE</v>
      </c>
      <c r="C491" t="str">
        <f ca="1">IFERROR(__xludf.DUMMYFUNCTION("""COMPUTED_VALUE"""),"U Express")</f>
        <v>U Express</v>
      </c>
      <c r="D491" t="str">
        <f ca="1">IFERROR(__xludf.DUMMYFUNCTION("""COMPUTED_VALUE"""),"Coop U Enseigne Ouest")</f>
        <v>Coop U Enseigne Ouest</v>
      </c>
      <c r="E491">
        <f ca="1">IFERROR(__xludf.DUMMYFUNCTION("""COMPUTED_VALUE"""),72000)</f>
        <v>72000</v>
      </c>
      <c r="F491" t="str">
        <f ca="1">IFERROR(__xludf.DUMMYFUNCTION("""COMPUTED_VALUE"""),"PLACE DE LA RÉPUBLIQUE")</f>
        <v>PLACE DE LA RÉPUBLIQUE</v>
      </c>
      <c r="G491" t="str">
        <f ca="1">IFERROR(__xludf.DUMMYFUNCTION("""COMPUTED_VALUE"""),"02.43.14.31.10")</f>
        <v>02.43.14.31.10</v>
      </c>
      <c r="H491" t="str">
        <f ca="1">IFERROR(__xludf.DUMMYFUNCTION("""COMPUTED_VALUE"""),"DEMARET Damien")</f>
        <v>DEMARET Damien</v>
      </c>
      <c r="I491" t="str">
        <f ca="1">IFERROR(__xludf.DUMMYFUNCTION("""COMPUTED_VALUE"""),"damien.demaret@systeme-u.fr")</f>
        <v>damien.demaret@systeme-u.fr</v>
      </c>
      <c r="J491" t="str">
        <f ca="1">IFERROR(__xludf.DUMMYFUNCTION("""COMPUTED_VALUE"""),"M. MENESTRIER")</f>
        <v>M. MENESTRIER</v>
      </c>
      <c r="K491" t="str">
        <f ca="1">IFERROR(__xludf.DUMMYFUNCTION("""COMPUTED_VALUE"""),"")</f>
        <v/>
      </c>
      <c r="L491" t="str">
        <f ca="1">IFERROR(__xludf.DUMMYFUNCTION("""COMPUTED_VALUE"""),"")</f>
        <v/>
      </c>
      <c r="M491" t="str">
        <f ca="1">IFERROR(__xludf.DUMMYFUNCTION("""COMPUTED_VALUE"""),"99.Hors Périmetre")</f>
        <v>99.Hors Périmetre</v>
      </c>
      <c r="N491" t="str">
        <f ca="1">IFERROR(__xludf.DUMMYFUNCTION("""COMPUTED_VALUE"""),"")</f>
        <v/>
      </c>
      <c r="O491" t="str">
        <f ca="1">IFERROR(__xludf.DUMMYFUNCTION("""COMPUTED_VALUE"""),"")</f>
        <v/>
      </c>
      <c r="P491" t="str">
        <f ca="1">IFERROR(__xludf.DUMMYFUNCTION("""COMPUTED_VALUE"""),"")</f>
        <v/>
      </c>
      <c r="Q491" s="5" t="str">
        <f ca="1">IFERROR(__xludf.DUMMYFUNCTION("""COMPUTED_VALUE"""),"")</f>
        <v/>
      </c>
      <c r="R491" s="6" t="str">
        <f ca="1">IFERROR(__xludf.DUMMYFUNCTION("""COMPUTED_VALUE"""),"")</f>
        <v/>
      </c>
      <c r="S491" t="str">
        <f ca="1">IFERROR(__xludf.DUMMYFUNCTION("""COMPUTED_VALUE"""),"")</f>
        <v/>
      </c>
      <c r="T491" t="str">
        <f ca="1">IFERROR(__xludf.DUMMYFUNCTION("""COMPUTED_VALUE"""),"")</f>
        <v/>
      </c>
      <c r="U491" t="str">
        <f ca="1">IFERROR(__xludf.DUMMYFUNCTION("""COMPUTED_VALUE"""),"")</f>
        <v/>
      </c>
      <c r="V491" t="str">
        <f ca="1">IFERROR(__xludf.DUMMYFUNCTION("""COMPUTED_VALUE"""),"")</f>
        <v/>
      </c>
      <c r="W491" t="str">
        <f ca="1">IFERROR(__xludf.DUMMYFUNCTION("""COMPUTED_VALUE"""),"")</f>
        <v/>
      </c>
      <c r="X491" t="str">
        <f ca="1">IFERROR(__xludf.DUMMYFUNCTION("""COMPUTED_VALUE"""),"")</f>
        <v/>
      </c>
      <c r="Y491" t="str">
        <f ca="1">IFERROR(__xludf.DUMMYFUNCTION("""COMPUTED_VALUE"""),"")</f>
        <v/>
      </c>
      <c r="Z491" t="str">
        <f ca="1">IFERROR(__xludf.DUMMYFUNCTION("""COMPUTED_VALUE"""),"")</f>
        <v/>
      </c>
      <c r="AA491" t="str">
        <f ca="1">IFERROR(__xludf.DUMMYFUNCTION("""COMPUTED_VALUE"""),"Pas de commande")</f>
        <v>Pas de commande</v>
      </c>
      <c r="AB491" s="8" t="str">
        <f ca="1">IFERROR(__xludf.DUMMYFUNCTION("""COMPUTED_VALUE"""),"")</f>
        <v/>
      </c>
      <c r="AC491" s="8" t="str">
        <f ca="1">IFERROR(__xludf.DUMMYFUNCTION("""COMPUTED_VALUE"""),"")</f>
        <v/>
      </c>
      <c r="AD491" s="11" t="str">
        <f ca="1">IFERROR(__xludf.DUMMYFUNCTION("""COMPUTED_VALUE"""),"")</f>
        <v/>
      </c>
      <c r="AE491" t="str">
        <f ca="1">IFERROR(__xludf.DUMMYFUNCTION("""COMPUTED_VALUE"""),"")</f>
        <v/>
      </c>
    </row>
    <row r="492" spans="1:31" ht="12.75" x14ac:dyDescent="0.2">
      <c r="A492">
        <f ca="1">IFERROR(__xludf.DUMMYFUNCTION("""COMPUTED_VALUE"""),24103)</f>
        <v>24103</v>
      </c>
      <c r="B492" t="str">
        <f ca="1">IFERROR(__xludf.DUMMYFUNCTION("""COMPUTED_VALUE"""),"LE MESNIL LE ROI")</f>
        <v>LE MESNIL LE ROI</v>
      </c>
      <c r="C492" t="str">
        <f ca="1">IFERROR(__xludf.DUMMYFUNCTION("""COMPUTED_VALUE"""),"U Express")</f>
        <v>U Express</v>
      </c>
      <c r="D492" t="str">
        <f ca="1">IFERROR(__xludf.DUMMYFUNCTION("""COMPUTED_VALUE"""),"Coop U Enseigne NordOuest")</f>
        <v>Coop U Enseigne NordOuest</v>
      </c>
      <c r="E492">
        <f ca="1">IFERROR(__xludf.DUMMYFUNCTION("""COMPUTED_VALUE"""),78600)</f>
        <v>78600</v>
      </c>
      <c r="F492" t="str">
        <f ca="1">IFERROR(__xludf.DUMMYFUNCTION("""COMPUTED_VALUE"""),"1 RUE DU HAUT DE LA GIROUETTE")</f>
        <v>1 RUE DU HAUT DE LA GIROUETTE</v>
      </c>
      <c r="G492" t="str">
        <f ca="1">IFERROR(__xludf.DUMMYFUNCTION("""COMPUTED_VALUE"""),"01.34.93.00.39")</f>
        <v>01.34.93.00.39</v>
      </c>
      <c r="H492" t="str">
        <f ca="1">IFERROR(__xludf.DUMMYFUNCTION("""COMPUTED_VALUE"""),"BOINNE Patrick")</f>
        <v>BOINNE Patrick</v>
      </c>
      <c r="I492" t="str">
        <f ca="1">IFERROR(__xludf.DUMMYFUNCTION("""COMPUTED_VALUE"""),"patrick.boinne@systeme-u.fr")</f>
        <v>patrick.boinne@systeme-u.fr</v>
      </c>
      <c r="J492" t="str">
        <f ca="1">IFERROR(__xludf.DUMMYFUNCTION("""COMPUTED_VALUE"""),"BOINNE Nathalie")</f>
        <v>BOINNE Nathalie</v>
      </c>
      <c r="K492" t="str">
        <f ca="1">IFERROR(__xludf.DUMMYFUNCTION("""COMPUTED_VALUE"""),"nathalie.boinne@gmail.com")</f>
        <v>nathalie.boinne@gmail.com</v>
      </c>
      <c r="L492" t="str">
        <f ca="1">IFERROR(__xludf.DUMMYFUNCTION("""COMPUTED_VALUE"""),"")</f>
        <v/>
      </c>
      <c r="M492" t="str">
        <f ca="1">IFERROR(__xludf.DUMMYFUNCTION("""COMPUTED_VALUE"""),"99.Hors Périmetre")</f>
        <v>99.Hors Périmetre</v>
      </c>
      <c r="N492" t="str">
        <f ca="1">IFERROR(__xludf.DUMMYFUNCTION("""COMPUTED_VALUE"""),"")</f>
        <v/>
      </c>
      <c r="O492" t="str">
        <f ca="1">IFERROR(__xludf.DUMMYFUNCTION("""COMPUTED_VALUE"""),"")</f>
        <v/>
      </c>
      <c r="P492" t="str">
        <f ca="1">IFERROR(__xludf.DUMMYFUNCTION("""COMPUTED_VALUE"""),"")</f>
        <v/>
      </c>
      <c r="Q492" s="5" t="str">
        <f ca="1">IFERROR(__xludf.DUMMYFUNCTION("""COMPUTED_VALUE"""),"")</f>
        <v/>
      </c>
      <c r="R492" s="6" t="str">
        <f ca="1">IFERROR(__xludf.DUMMYFUNCTION("""COMPUTED_VALUE"""),"")</f>
        <v/>
      </c>
      <c r="S492" t="str">
        <f ca="1">IFERROR(__xludf.DUMMYFUNCTION("""COMPUTED_VALUE"""),"")</f>
        <v/>
      </c>
      <c r="T492" t="str">
        <f ca="1">IFERROR(__xludf.DUMMYFUNCTION("""COMPUTED_VALUE"""),"")</f>
        <v/>
      </c>
      <c r="U492" t="str">
        <f ca="1">IFERROR(__xludf.DUMMYFUNCTION("""COMPUTED_VALUE"""),"")</f>
        <v/>
      </c>
      <c r="V492" t="str">
        <f ca="1">IFERROR(__xludf.DUMMYFUNCTION("""COMPUTED_VALUE"""),"")</f>
        <v/>
      </c>
      <c r="W492" t="str">
        <f ca="1">IFERROR(__xludf.DUMMYFUNCTION("""COMPUTED_VALUE"""),"")</f>
        <v/>
      </c>
      <c r="X492" t="str">
        <f ca="1">IFERROR(__xludf.DUMMYFUNCTION("""COMPUTED_VALUE"""),"")</f>
        <v/>
      </c>
      <c r="Y492" t="str">
        <f ca="1">IFERROR(__xludf.DUMMYFUNCTION("""COMPUTED_VALUE"""),"")</f>
        <v/>
      </c>
      <c r="Z492" t="str">
        <f ca="1">IFERROR(__xludf.DUMMYFUNCTION("""COMPUTED_VALUE"""),"")</f>
        <v/>
      </c>
      <c r="AA492" t="str">
        <f ca="1">IFERROR(__xludf.DUMMYFUNCTION("""COMPUTED_VALUE"""),"Pas de commande")</f>
        <v>Pas de commande</v>
      </c>
      <c r="AB492" s="8" t="str">
        <f ca="1">IFERROR(__xludf.DUMMYFUNCTION("""COMPUTED_VALUE"""),"")</f>
        <v/>
      </c>
      <c r="AC492" s="8" t="str">
        <f ca="1">IFERROR(__xludf.DUMMYFUNCTION("""COMPUTED_VALUE"""),"")</f>
        <v/>
      </c>
      <c r="AD492" s="11" t="str">
        <f ca="1">IFERROR(__xludf.DUMMYFUNCTION("""COMPUTED_VALUE"""),"")</f>
        <v/>
      </c>
      <c r="AE492" t="str">
        <f ca="1">IFERROR(__xludf.DUMMYFUNCTION("""COMPUTED_VALUE"""),"")</f>
        <v/>
      </c>
    </row>
    <row r="493" spans="1:31" ht="12.75" x14ac:dyDescent="0.2">
      <c r="A493">
        <f ca="1">IFERROR(__xludf.DUMMYFUNCTION("""COMPUTED_VALUE"""),21325)</f>
        <v>21325</v>
      </c>
      <c r="B493" t="str">
        <f ca="1">IFERROR(__xludf.DUMMYFUNCTION("""COMPUTED_VALUE"""),"LE MOLAY LITTRY")</f>
        <v>LE MOLAY LITTRY</v>
      </c>
      <c r="C493" t="str">
        <f ca="1">IFERROR(__xludf.DUMMYFUNCTION("""COMPUTED_VALUE"""),"Super U")</f>
        <v>Super U</v>
      </c>
      <c r="D493" t="str">
        <f ca="1">IFERROR(__xludf.DUMMYFUNCTION("""COMPUTED_VALUE"""),"Coop U Enseigne NordOuest")</f>
        <v>Coop U Enseigne NordOuest</v>
      </c>
      <c r="E493">
        <f ca="1">IFERROR(__xludf.DUMMYFUNCTION("""COMPUTED_VALUE"""),14330)</f>
        <v>14330</v>
      </c>
      <c r="F493" t="str">
        <f ca="1">IFERROR(__xludf.DUMMYFUNCTION("""COMPUTED_VALUE"""),"RUE DE LA GARE")</f>
        <v>RUE DE LA GARE</v>
      </c>
      <c r="G493" t="str">
        <f ca="1">IFERROR(__xludf.DUMMYFUNCTION("""COMPUTED_VALUE"""),"02.31.22.87.87")</f>
        <v>02.31.22.87.87</v>
      </c>
      <c r="H493" t="str">
        <f ca="1">IFERROR(__xludf.DUMMYFUNCTION("""COMPUTED_VALUE"""),"RIVIERE Mathieu")</f>
        <v>RIVIERE Mathieu</v>
      </c>
      <c r="I493" t="str">
        <f ca="1">IFERROR(__xludf.DUMMYFUNCTION("""COMPUTED_VALUE"""),"mathieu.riviere@systeme-u.fr")</f>
        <v>mathieu.riviere@systeme-u.fr</v>
      </c>
      <c r="J493" t="str">
        <f ca="1">IFERROR(__xludf.DUMMYFUNCTION("""COMPUTED_VALUE"""),"Mireille LOREL")</f>
        <v>Mireille LOREL</v>
      </c>
      <c r="K493" t="str">
        <f ca="1">IFERROR(__xludf.DUMMYFUNCTION("""COMPUTED_VALUE"""),"superu.lemolaylittry.direction@systeme-u.fr")</f>
        <v>superu.lemolaylittry.direction@systeme-u.fr</v>
      </c>
      <c r="L493" t="str">
        <f ca="1">IFERROR(__xludf.DUMMYFUNCTION("""COMPUTED_VALUE"""),"")</f>
        <v/>
      </c>
      <c r="M493" t="str">
        <f ca="1">IFERROR(__xludf.DUMMYFUNCTION("""COMPUTED_VALUE"""),"99.Hors Périmetre")</f>
        <v>99.Hors Périmetre</v>
      </c>
      <c r="N493" t="str">
        <f ca="1">IFERROR(__xludf.DUMMYFUNCTION("""COMPUTED_VALUE"""),"")</f>
        <v/>
      </c>
      <c r="O493" t="str">
        <f ca="1">IFERROR(__xludf.DUMMYFUNCTION("""COMPUTED_VALUE"""),"")</f>
        <v/>
      </c>
      <c r="P493" t="str">
        <f ca="1">IFERROR(__xludf.DUMMYFUNCTION("""COMPUTED_VALUE"""),"")</f>
        <v/>
      </c>
      <c r="Q493" s="5" t="str">
        <f ca="1">IFERROR(__xludf.DUMMYFUNCTION("""COMPUTED_VALUE"""),"")</f>
        <v/>
      </c>
      <c r="R493" s="6" t="str">
        <f ca="1">IFERROR(__xludf.DUMMYFUNCTION("""COMPUTED_VALUE"""),"")</f>
        <v/>
      </c>
      <c r="S493" t="str">
        <f ca="1">IFERROR(__xludf.DUMMYFUNCTION("""COMPUTED_VALUE"""),"")</f>
        <v/>
      </c>
      <c r="T493" t="str">
        <f ca="1">IFERROR(__xludf.DUMMYFUNCTION("""COMPUTED_VALUE"""),"")</f>
        <v/>
      </c>
      <c r="U493" t="str">
        <f ca="1">IFERROR(__xludf.DUMMYFUNCTION("""COMPUTED_VALUE"""),"")</f>
        <v/>
      </c>
      <c r="V493" t="str">
        <f ca="1">IFERROR(__xludf.DUMMYFUNCTION("""COMPUTED_VALUE"""),"")</f>
        <v/>
      </c>
      <c r="W493" t="str">
        <f ca="1">IFERROR(__xludf.DUMMYFUNCTION("""COMPUTED_VALUE"""),"")</f>
        <v/>
      </c>
      <c r="X493" t="str">
        <f ca="1">IFERROR(__xludf.DUMMYFUNCTION("""COMPUTED_VALUE"""),"")</f>
        <v/>
      </c>
      <c r="Y493" t="str">
        <f ca="1">IFERROR(__xludf.DUMMYFUNCTION("""COMPUTED_VALUE"""),"")</f>
        <v/>
      </c>
      <c r="Z493" t="str">
        <f ca="1">IFERROR(__xludf.DUMMYFUNCTION("""COMPUTED_VALUE"""),"")</f>
        <v/>
      </c>
      <c r="AA493" t="str">
        <f ca="1">IFERROR(__xludf.DUMMYFUNCTION("""COMPUTED_VALUE"""),"Pas de commande")</f>
        <v>Pas de commande</v>
      </c>
      <c r="AB493" s="8" t="str">
        <f ca="1">IFERROR(__xludf.DUMMYFUNCTION("""COMPUTED_VALUE"""),"")</f>
        <v/>
      </c>
      <c r="AC493" s="8" t="str">
        <f ca="1">IFERROR(__xludf.DUMMYFUNCTION("""COMPUTED_VALUE"""),"")</f>
        <v/>
      </c>
      <c r="AD493" s="11" t="str">
        <f ca="1">IFERROR(__xludf.DUMMYFUNCTION("""COMPUTED_VALUE"""),"")</f>
        <v/>
      </c>
      <c r="AE493" t="str">
        <f ca="1">IFERROR(__xludf.DUMMYFUNCTION("""COMPUTED_VALUE"""),"")</f>
        <v/>
      </c>
    </row>
    <row r="494" spans="1:31" ht="12.75" x14ac:dyDescent="0.2">
      <c r="A494">
        <f ca="1">IFERROR(__xludf.DUMMYFUNCTION("""COMPUTED_VALUE"""),37964)</f>
        <v>37964</v>
      </c>
      <c r="B494" t="str">
        <f ca="1">IFERROR(__xludf.DUMMYFUNCTION("""COMPUTED_VALUE"""),"LE MOULE")</f>
        <v>LE MOULE</v>
      </c>
      <c r="C494" t="str">
        <f ca="1">IFERROR(__xludf.DUMMYFUNCTION("""COMPUTED_VALUE"""),"U Express")</f>
        <v>U Express</v>
      </c>
      <c r="D494" t="str">
        <f ca="1">IFERROR(__xludf.DUMMYFUNCTION("""COMPUTED_VALUE"""),"Coop U Enseigne Ouest")</f>
        <v>Coop U Enseigne Ouest</v>
      </c>
      <c r="E494">
        <f ca="1">IFERROR(__xludf.DUMMYFUNCTION("""COMPUTED_VALUE"""),97160)</f>
        <v>97160</v>
      </c>
      <c r="F494" t="str">
        <f ca="1">IFERROR(__xludf.DUMMYFUNCTION("""COMPUTED_VALUE"""),"ANGLE BD ROUGÉ ET RUE DUCHASSAING")</f>
        <v>ANGLE BD ROUGÉ ET RUE DUCHASSAING</v>
      </c>
      <c r="G494" t="str">
        <f ca="1">IFERROR(__xludf.DUMMYFUNCTION("""COMPUTED_VALUE"""),"05.90.89.25.85")</f>
        <v>05.90.89.25.85</v>
      </c>
      <c r="H494" t="str">
        <f ca="1">IFERROR(__xludf.DUMMYFUNCTION("""COMPUTED_VALUE"""),"LUCE Raymond")</f>
        <v>LUCE Raymond</v>
      </c>
      <c r="I494" t="str">
        <f ca="1">IFERROR(__xludf.DUMMYFUNCTION("""COMPUTED_VALUE"""),"yohann.luce@systeme-u.fr")</f>
        <v>yohann.luce@systeme-u.fr</v>
      </c>
      <c r="J494" t="str">
        <f ca="1">IFERROR(__xludf.DUMMYFUNCTION("""COMPUTED_VALUE"""),"Raymonde Luce")</f>
        <v>Raymonde Luce</v>
      </c>
      <c r="K494" t="str">
        <f ca="1">IFERROR(__xludf.DUMMYFUNCTION("""COMPUTED_VALUE"""),"kerlory@hotmail.fr ,martine.crevecoeur@systeme-u.fr")</f>
        <v>kerlory@hotmail.fr ,martine.crevecoeur@systeme-u.fr</v>
      </c>
      <c r="L494" t="str">
        <f ca="1">IFERROR(__xludf.DUMMYFUNCTION("""COMPUTED_VALUE"""),"")</f>
        <v/>
      </c>
      <c r="M494" t="str">
        <f ca="1">IFERROR(__xludf.DUMMYFUNCTION("""COMPUTED_VALUE"""),"99.Hors Périmetre")</f>
        <v>99.Hors Périmetre</v>
      </c>
      <c r="N494" t="str">
        <f ca="1">IFERROR(__xludf.DUMMYFUNCTION("""COMPUTED_VALUE"""),"")</f>
        <v/>
      </c>
      <c r="O494" t="str">
        <f ca="1">IFERROR(__xludf.DUMMYFUNCTION("""COMPUTED_VALUE"""),"")</f>
        <v/>
      </c>
      <c r="P494" t="str">
        <f ca="1">IFERROR(__xludf.DUMMYFUNCTION("""COMPUTED_VALUE"""),"")</f>
        <v/>
      </c>
      <c r="Q494" s="5" t="str">
        <f ca="1">IFERROR(__xludf.DUMMYFUNCTION("""COMPUTED_VALUE"""),"")</f>
        <v/>
      </c>
      <c r="R494" s="6" t="str">
        <f ca="1">IFERROR(__xludf.DUMMYFUNCTION("""COMPUTED_VALUE"""),"")</f>
        <v/>
      </c>
      <c r="S494" t="str">
        <f ca="1">IFERROR(__xludf.DUMMYFUNCTION("""COMPUTED_VALUE"""),"")</f>
        <v/>
      </c>
      <c r="T494" t="str">
        <f ca="1">IFERROR(__xludf.DUMMYFUNCTION("""COMPUTED_VALUE"""),"")</f>
        <v/>
      </c>
      <c r="U494" t="str">
        <f ca="1">IFERROR(__xludf.DUMMYFUNCTION("""COMPUTED_VALUE"""),"")</f>
        <v/>
      </c>
      <c r="V494" t="str">
        <f ca="1">IFERROR(__xludf.DUMMYFUNCTION("""COMPUTED_VALUE"""),"")</f>
        <v/>
      </c>
      <c r="W494" t="str">
        <f ca="1">IFERROR(__xludf.DUMMYFUNCTION("""COMPUTED_VALUE"""),"")</f>
        <v/>
      </c>
      <c r="X494" t="str">
        <f ca="1">IFERROR(__xludf.DUMMYFUNCTION("""COMPUTED_VALUE"""),"")</f>
        <v/>
      </c>
      <c r="Y494" t="str">
        <f ca="1">IFERROR(__xludf.DUMMYFUNCTION("""COMPUTED_VALUE"""),"")</f>
        <v/>
      </c>
      <c r="Z494" t="str">
        <f ca="1">IFERROR(__xludf.DUMMYFUNCTION("""COMPUTED_VALUE"""),"")</f>
        <v/>
      </c>
      <c r="AA494" t="str">
        <f ca="1">IFERROR(__xludf.DUMMYFUNCTION("""COMPUTED_VALUE"""),"Pas de commande")</f>
        <v>Pas de commande</v>
      </c>
      <c r="AB494" s="8" t="str">
        <f ca="1">IFERROR(__xludf.DUMMYFUNCTION("""COMPUTED_VALUE"""),"")</f>
        <v/>
      </c>
      <c r="AC494" s="8" t="str">
        <f ca="1">IFERROR(__xludf.DUMMYFUNCTION("""COMPUTED_VALUE"""),"")</f>
        <v/>
      </c>
      <c r="AD494" s="11" t="str">
        <f ca="1">IFERROR(__xludf.DUMMYFUNCTION("""COMPUTED_VALUE"""),"")</f>
        <v/>
      </c>
      <c r="AE494" t="str">
        <f ca="1">IFERROR(__xludf.DUMMYFUNCTION("""COMPUTED_VALUE"""),"")</f>
        <v/>
      </c>
    </row>
    <row r="495" spans="1:31" ht="12.75" x14ac:dyDescent="0.2">
      <c r="A495">
        <f ca="1">IFERROR(__xludf.DUMMYFUNCTION("""COMPUTED_VALUE"""),38198)</f>
        <v>38198</v>
      </c>
      <c r="B495" t="str">
        <f ca="1">IFERROR(__xludf.DUMMYFUNCTION("""COMPUTED_VALUE"""),"LE PALAIS-SUR-VIENNE")</f>
        <v>LE PALAIS-SUR-VIENNE</v>
      </c>
      <c r="C495" t="str">
        <f ca="1">IFERROR(__xludf.DUMMYFUNCTION("""COMPUTED_VALUE"""),"Super U")</f>
        <v>Super U</v>
      </c>
      <c r="D495" t="str">
        <f ca="1">IFERROR(__xludf.DUMMYFUNCTION("""COMPUTED_VALUE"""),"Coop U Enseigne Ouest")</f>
        <v>Coop U Enseigne Ouest</v>
      </c>
      <c r="E495">
        <f ca="1">IFERROR(__xludf.DUMMYFUNCTION("""COMPUTED_VALUE"""),87410)</f>
        <v>87410</v>
      </c>
      <c r="F495" t="str">
        <f ca="1">IFERROR(__xludf.DUMMYFUNCTION("""COMPUTED_VALUE"""),"AVENUE DE LIMOGES")</f>
        <v>AVENUE DE LIMOGES</v>
      </c>
      <c r="G495" t="str">
        <f ca="1">IFERROR(__xludf.DUMMYFUNCTION("""COMPUTED_VALUE"""),"05.55.02.58.78")</f>
        <v>05.55.02.58.78</v>
      </c>
      <c r="H495" t="str">
        <f ca="1">IFERROR(__xludf.DUMMYFUNCTION("""COMPUTED_VALUE"""),"CRONIER Stéphane")</f>
        <v>CRONIER Stéphane</v>
      </c>
      <c r="I495" t="str">
        <f ca="1">IFERROR(__xludf.DUMMYFUNCTION("""COMPUTED_VALUE"""),"stephane.cronier@systeme-u.fr")</f>
        <v>stephane.cronier@systeme-u.fr</v>
      </c>
      <c r="J495" t="str">
        <f ca="1">IFERROR(__xludf.DUMMYFUNCTION("""COMPUTED_VALUE"""),"")</f>
        <v/>
      </c>
      <c r="K495" t="str">
        <f ca="1">IFERROR(__xludf.DUMMYFUNCTION("""COMPUTED_VALUE"""),"")</f>
        <v/>
      </c>
      <c r="L495" t="str">
        <f ca="1">IFERROR(__xludf.DUMMYFUNCTION("""COMPUTED_VALUE"""),"")</f>
        <v/>
      </c>
      <c r="M495" t="str">
        <f ca="1">IFERROR(__xludf.DUMMYFUNCTION("""COMPUTED_VALUE"""),"99.Hors Périmetre")</f>
        <v>99.Hors Périmetre</v>
      </c>
      <c r="N495" t="str">
        <f ca="1">IFERROR(__xludf.DUMMYFUNCTION("""COMPUTED_VALUE"""),"")</f>
        <v/>
      </c>
      <c r="O495" t="str">
        <f ca="1">IFERROR(__xludf.DUMMYFUNCTION("""COMPUTED_VALUE"""),"")</f>
        <v/>
      </c>
      <c r="P495" t="str">
        <f ca="1">IFERROR(__xludf.DUMMYFUNCTION("""COMPUTED_VALUE"""),"")</f>
        <v/>
      </c>
      <c r="Q495" s="5" t="str">
        <f ca="1">IFERROR(__xludf.DUMMYFUNCTION("""COMPUTED_VALUE"""),"")</f>
        <v/>
      </c>
      <c r="R495" s="6" t="str">
        <f ca="1">IFERROR(__xludf.DUMMYFUNCTION("""COMPUTED_VALUE"""),"")</f>
        <v/>
      </c>
      <c r="S495" t="str">
        <f ca="1">IFERROR(__xludf.DUMMYFUNCTION("""COMPUTED_VALUE"""),"")</f>
        <v/>
      </c>
      <c r="T495" t="str">
        <f ca="1">IFERROR(__xludf.DUMMYFUNCTION("""COMPUTED_VALUE"""),"")</f>
        <v/>
      </c>
      <c r="U495" t="str">
        <f ca="1">IFERROR(__xludf.DUMMYFUNCTION("""COMPUTED_VALUE"""),"")</f>
        <v/>
      </c>
      <c r="V495" t="str">
        <f ca="1">IFERROR(__xludf.DUMMYFUNCTION("""COMPUTED_VALUE"""),"")</f>
        <v/>
      </c>
      <c r="W495" t="str">
        <f ca="1">IFERROR(__xludf.DUMMYFUNCTION("""COMPUTED_VALUE"""),"")</f>
        <v/>
      </c>
      <c r="X495" t="str">
        <f ca="1">IFERROR(__xludf.DUMMYFUNCTION("""COMPUTED_VALUE"""),"")</f>
        <v/>
      </c>
      <c r="Y495" t="str">
        <f ca="1">IFERROR(__xludf.DUMMYFUNCTION("""COMPUTED_VALUE"""),"")</f>
        <v/>
      </c>
      <c r="Z495" t="str">
        <f ca="1">IFERROR(__xludf.DUMMYFUNCTION("""COMPUTED_VALUE"""),"")</f>
        <v/>
      </c>
      <c r="AA495" t="str">
        <f ca="1">IFERROR(__xludf.DUMMYFUNCTION("""COMPUTED_VALUE"""),"Pas de commande")</f>
        <v>Pas de commande</v>
      </c>
      <c r="AB495" s="8" t="str">
        <f ca="1">IFERROR(__xludf.DUMMYFUNCTION("""COMPUTED_VALUE"""),"")</f>
        <v/>
      </c>
      <c r="AC495" s="8" t="str">
        <f ca="1">IFERROR(__xludf.DUMMYFUNCTION("""COMPUTED_VALUE"""),"")</f>
        <v/>
      </c>
      <c r="AD495" s="11" t="str">
        <f ca="1">IFERROR(__xludf.DUMMYFUNCTION("""COMPUTED_VALUE"""),"")</f>
        <v/>
      </c>
      <c r="AE495" t="str">
        <f ca="1">IFERROR(__xludf.DUMMYFUNCTION("""COMPUTED_VALUE"""),"")</f>
        <v/>
      </c>
    </row>
    <row r="496" spans="1:31" ht="12.75" x14ac:dyDescent="0.2">
      <c r="A496">
        <f ca="1">IFERROR(__xludf.DUMMYFUNCTION("""COMPUTED_VALUE"""),91132)</f>
        <v>91132</v>
      </c>
      <c r="B496" t="str">
        <f ca="1">IFERROR(__xludf.DUMMYFUNCTION("""COMPUTED_VALUE"""),"LE PONTET")</f>
        <v>LE PONTET</v>
      </c>
      <c r="C496" t="str">
        <f ca="1">IFERROR(__xludf.DUMMYFUNCTION("""COMPUTED_VALUE"""),"U Express")</f>
        <v>U Express</v>
      </c>
      <c r="D496" t="str">
        <f ca="1">IFERROR(__xludf.DUMMYFUNCTION("""COMPUTED_VALUE"""),"Coop MISTRAL")</f>
        <v>Coop MISTRAL</v>
      </c>
      <c r="E496">
        <f ca="1">IFERROR(__xludf.DUMMYFUNCTION("""COMPUTED_VALUE"""),84134)</f>
        <v>84134</v>
      </c>
      <c r="F496" t="str">
        <f ca="1">IFERROR(__xludf.DUMMYFUNCTION("""COMPUTED_VALUE"""),"36 BIS AV CHARLES DE GAULLE")</f>
        <v>36 BIS AV CHARLES DE GAULLE</v>
      </c>
      <c r="G496" t="str">
        <f ca="1">IFERROR(__xludf.DUMMYFUNCTION("""COMPUTED_VALUE"""),"06.20.90.25.72")</f>
        <v>06.20.90.25.72</v>
      </c>
      <c r="H496" t="str">
        <f ca="1">IFERROR(__xludf.DUMMYFUNCTION("""COMPUTED_VALUE"""),"DELATTRE Benoit")</f>
        <v>DELATTRE Benoit</v>
      </c>
      <c r="I496" t="str">
        <f ca="1">IFERROR(__xludf.DUMMYFUNCTION("""COMPUTED_VALUE"""),"uexpress.lepontet@mistral-u.fr")</f>
        <v>uexpress.lepontet@mistral-u.fr</v>
      </c>
      <c r="J496" t="str">
        <f ca="1">IFERROR(__xludf.DUMMYFUNCTION("""COMPUTED_VALUE"""),"")</f>
        <v/>
      </c>
      <c r="K496" t="str">
        <f ca="1">IFERROR(__xludf.DUMMYFUNCTION("""COMPUTED_VALUE"""),"delphine.damian@lemistral.fr,helene.mina@lemistral.fr")</f>
        <v>delphine.damian@lemistral.fr,helene.mina@lemistral.fr</v>
      </c>
      <c r="L496" t="str">
        <f ca="1">IFERROR(__xludf.DUMMYFUNCTION("""COMPUTED_VALUE"""),"")</f>
        <v/>
      </c>
      <c r="M496" t="str">
        <f ca="1">IFERROR(__xludf.DUMMYFUNCTION("""COMPUTED_VALUE"""),"99.Hors Périmetre")</f>
        <v>99.Hors Périmetre</v>
      </c>
      <c r="N496" t="str">
        <f ca="1">IFERROR(__xludf.DUMMYFUNCTION("""COMPUTED_VALUE"""),"")</f>
        <v/>
      </c>
      <c r="O496" t="str">
        <f ca="1">IFERROR(__xludf.DUMMYFUNCTION("""COMPUTED_VALUE"""),"")</f>
        <v/>
      </c>
      <c r="P496" t="str">
        <f ca="1">IFERROR(__xludf.DUMMYFUNCTION("""COMPUTED_VALUE"""),"")</f>
        <v/>
      </c>
      <c r="Q496" s="5" t="str">
        <f ca="1">IFERROR(__xludf.DUMMYFUNCTION("""COMPUTED_VALUE"""),"")</f>
        <v/>
      </c>
      <c r="R496" s="6" t="str">
        <f ca="1">IFERROR(__xludf.DUMMYFUNCTION("""COMPUTED_VALUE"""),"")</f>
        <v/>
      </c>
      <c r="S496" t="str">
        <f ca="1">IFERROR(__xludf.DUMMYFUNCTION("""COMPUTED_VALUE"""),"")</f>
        <v/>
      </c>
      <c r="T496" t="str">
        <f ca="1">IFERROR(__xludf.DUMMYFUNCTION("""COMPUTED_VALUE"""),"")</f>
        <v/>
      </c>
      <c r="U496" t="str">
        <f ca="1">IFERROR(__xludf.DUMMYFUNCTION("""COMPUTED_VALUE"""),"")</f>
        <v/>
      </c>
      <c r="V496" t="str">
        <f ca="1">IFERROR(__xludf.DUMMYFUNCTION("""COMPUTED_VALUE"""),"")</f>
        <v/>
      </c>
      <c r="W496" t="str">
        <f ca="1">IFERROR(__xludf.DUMMYFUNCTION("""COMPUTED_VALUE"""),"")</f>
        <v/>
      </c>
      <c r="X496" t="str">
        <f ca="1">IFERROR(__xludf.DUMMYFUNCTION("""COMPUTED_VALUE"""),"")</f>
        <v/>
      </c>
      <c r="Y496" t="str">
        <f ca="1">IFERROR(__xludf.DUMMYFUNCTION("""COMPUTED_VALUE"""),"")</f>
        <v/>
      </c>
      <c r="Z496" t="str">
        <f ca="1">IFERROR(__xludf.DUMMYFUNCTION("""COMPUTED_VALUE"""),"")</f>
        <v/>
      </c>
      <c r="AA496" t="str">
        <f ca="1">IFERROR(__xludf.DUMMYFUNCTION("""COMPUTED_VALUE"""),"Pas de commande")</f>
        <v>Pas de commande</v>
      </c>
      <c r="AB496" s="8" t="str">
        <f ca="1">IFERROR(__xludf.DUMMYFUNCTION("""COMPUTED_VALUE"""),"")</f>
        <v/>
      </c>
      <c r="AC496" s="8" t="str">
        <f ca="1">IFERROR(__xludf.DUMMYFUNCTION("""COMPUTED_VALUE"""),"")</f>
        <v/>
      </c>
      <c r="AD496" s="11" t="str">
        <f ca="1">IFERROR(__xludf.DUMMYFUNCTION("""COMPUTED_VALUE"""),"")</f>
        <v/>
      </c>
      <c r="AE496" t="str">
        <f ca="1">IFERROR(__xludf.DUMMYFUNCTION("""COMPUTED_VALUE"""),"")</f>
        <v/>
      </c>
    </row>
    <row r="497" spans="1:31" ht="12.75" x14ac:dyDescent="0.2">
      <c r="A497">
        <f ca="1">IFERROR(__xludf.DUMMYFUNCTION("""COMPUTED_VALUE"""),23891)</f>
        <v>23891</v>
      </c>
      <c r="B497" t="str">
        <f ca="1">IFERROR(__xludf.DUMMYFUNCTION("""COMPUTED_VALUE"""),"LE PORT MARLY")</f>
        <v>LE PORT MARLY</v>
      </c>
      <c r="C497" t="str">
        <f ca="1">IFERROR(__xludf.DUMMYFUNCTION("""COMPUTED_VALUE"""),"Super U")</f>
        <v>Super U</v>
      </c>
      <c r="D497" t="str">
        <f ca="1">IFERROR(__xludf.DUMMYFUNCTION("""COMPUTED_VALUE"""),"Coop U Enseigne NordOuest")</f>
        <v>Coop U Enseigne NordOuest</v>
      </c>
      <c r="E497">
        <f ca="1">IFERROR(__xludf.DUMMYFUNCTION("""COMPUTED_VALUE"""),78560)</f>
        <v>78560</v>
      </c>
      <c r="F497" t="str">
        <f ca="1">IFERROR(__xludf.DUMMYFUNCTION("""COMPUTED_VALUE"""),"14 BIS AVENUE ST GERMAIN")</f>
        <v>14 BIS AVENUE ST GERMAIN</v>
      </c>
      <c r="G497" t="str">
        <f ca="1">IFERROR(__xludf.DUMMYFUNCTION("""COMPUTED_VALUE"""),"01.39.16.00.78")</f>
        <v>01.39.16.00.78</v>
      </c>
      <c r="H497" t="str">
        <f ca="1">IFERROR(__xludf.DUMMYFUNCTION("""COMPUTED_VALUE"""),"PRUNET Jérôme")</f>
        <v>PRUNET Jérôme</v>
      </c>
      <c r="I497" t="str">
        <f ca="1">IFERROR(__xludf.DUMMYFUNCTION("""COMPUTED_VALUE"""),"jerome.prunet@systeme-u.fr")</f>
        <v>jerome.prunet@systeme-u.fr</v>
      </c>
      <c r="J497" t="str">
        <f ca="1">IFERROR(__xludf.DUMMYFUNCTION("""COMPUTED_VALUE"""),"Drouet Stéphane")</f>
        <v>Drouet Stéphane</v>
      </c>
      <c r="K497" t="str">
        <f ca="1">IFERROR(__xludf.DUMMYFUNCTION("""COMPUTED_VALUE"""),"superu.portmarly@systeme-u.fr")</f>
        <v>superu.portmarly@systeme-u.fr</v>
      </c>
      <c r="L497" t="str">
        <f ca="1">IFERROR(__xludf.DUMMYFUNCTION("""COMPUTED_VALUE"""),"")</f>
        <v/>
      </c>
      <c r="M497" t="str">
        <f ca="1">IFERROR(__xludf.DUMMYFUNCTION("""COMPUTED_VALUE"""),"99.Hors Périmetre")</f>
        <v>99.Hors Périmetre</v>
      </c>
      <c r="N497" t="str">
        <f ca="1">IFERROR(__xludf.DUMMYFUNCTION("""COMPUTED_VALUE"""),"")</f>
        <v/>
      </c>
      <c r="O497" t="str">
        <f ca="1">IFERROR(__xludf.DUMMYFUNCTION("""COMPUTED_VALUE"""),"")</f>
        <v/>
      </c>
      <c r="P497" t="str">
        <f ca="1">IFERROR(__xludf.DUMMYFUNCTION("""COMPUTED_VALUE"""),"")</f>
        <v/>
      </c>
      <c r="Q497" s="5" t="str">
        <f ca="1">IFERROR(__xludf.DUMMYFUNCTION("""COMPUTED_VALUE"""),"")</f>
        <v/>
      </c>
      <c r="R497" s="6" t="str">
        <f ca="1">IFERROR(__xludf.DUMMYFUNCTION("""COMPUTED_VALUE"""),"")</f>
        <v/>
      </c>
      <c r="S497" t="str">
        <f ca="1">IFERROR(__xludf.DUMMYFUNCTION("""COMPUTED_VALUE"""),"")</f>
        <v/>
      </c>
      <c r="T497" t="str">
        <f ca="1">IFERROR(__xludf.DUMMYFUNCTION("""COMPUTED_VALUE"""),"")</f>
        <v/>
      </c>
      <c r="U497" t="str">
        <f ca="1">IFERROR(__xludf.DUMMYFUNCTION("""COMPUTED_VALUE"""),"")</f>
        <v/>
      </c>
      <c r="V497" t="str">
        <f ca="1">IFERROR(__xludf.DUMMYFUNCTION("""COMPUTED_VALUE"""),"")</f>
        <v/>
      </c>
      <c r="W497" t="str">
        <f ca="1">IFERROR(__xludf.DUMMYFUNCTION("""COMPUTED_VALUE"""),"")</f>
        <v/>
      </c>
      <c r="X497" t="str">
        <f ca="1">IFERROR(__xludf.DUMMYFUNCTION("""COMPUTED_VALUE"""),"")</f>
        <v/>
      </c>
      <c r="Y497" t="str">
        <f ca="1">IFERROR(__xludf.DUMMYFUNCTION("""COMPUTED_VALUE"""),"")</f>
        <v/>
      </c>
      <c r="Z497" t="str">
        <f ca="1">IFERROR(__xludf.DUMMYFUNCTION("""COMPUTED_VALUE"""),"")</f>
        <v/>
      </c>
      <c r="AA497" t="str">
        <f ca="1">IFERROR(__xludf.DUMMYFUNCTION("""COMPUTED_VALUE"""),"Pas de commande")</f>
        <v>Pas de commande</v>
      </c>
      <c r="AB497" s="8" t="str">
        <f ca="1">IFERROR(__xludf.DUMMYFUNCTION("""COMPUTED_VALUE"""),"")</f>
        <v/>
      </c>
      <c r="AC497" s="8" t="str">
        <f ca="1">IFERROR(__xludf.DUMMYFUNCTION("""COMPUTED_VALUE"""),"")</f>
        <v/>
      </c>
      <c r="AD497" s="11" t="str">
        <f ca="1">IFERROR(__xludf.DUMMYFUNCTION("""COMPUTED_VALUE"""),"")</f>
        <v/>
      </c>
      <c r="AE497" t="str">
        <f ca="1">IFERROR(__xludf.DUMMYFUNCTION("""COMPUTED_VALUE"""),"")</f>
        <v/>
      </c>
    </row>
    <row r="498" spans="1:31" ht="12.75" x14ac:dyDescent="0.2">
      <c r="A498">
        <f ca="1">IFERROR(__xludf.DUMMYFUNCTION("""COMPUTED_VALUE"""),32817)</f>
        <v>32817</v>
      </c>
      <c r="B498" t="str">
        <f ca="1">IFERROR(__xludf.DUMMYFUNCTION("""COMPUTED_VALUE"""),"LE RHEU")</f>
        <v>LE RHEU</v>
      </c>
      <c r="C498" t="str">
        <f ca="1">IFERROR(__xludf.DUMMYFUNCTION("""COMPUTED_VALUE"""),"U Express")</f>
        <v>U Express</v>
      </c>
      <c r="D498" t="str">
        <f ca="1">IFERROR(__xludf.DUMMYFUNCTION("""COMPUTED_VALUE"""),"Coop U Enseigne Ouest")</f>
        <v>Coop U Enseigne Ouest</v>
      </c>
      <c r="E498">
        <f ca="1">IFERROR(__xludf.DUMMYFUNCTION("""COMPUTED_VALUE"""),35650)</f>
        <v>35650</v>
      </c>
      <c r="F498" t="str">
        <f ca="1">IFERROR(__xludf.DUMMYFUNCTION("""COMPUTED_VALUE"""),"LE BOURG")</f>
        <v>LE BOURG</v>
      </c>
      <c r="G498" t="str">
        <f ca="1">IFERROR(__xludf.DUMMYFUNCTION("""COMPUTED_VALUE"""),"02.99.60.73.78")</f>
        <v>02.99.60.73.78</v>
      </c>
      <c r="H498" t="str">
        <f ca="1">IFERROR(__xludf.DUMMYFUNCTION("""COMPUTED_VALUE"""),"BOUVET Jérôme")</f>
        <v>BOUVET Jérôme</v>
      </c>
      <c r="I498" t="str">
        <f ca="1">IFERROR(__xludf.DUMMYFUNCTION("""COMPUTED_VALUE"""),"jerome.bouvet@systeme-u.fr")</f>
        <v>jerome.bouvet@systeme-u.fr</v>
      </c>
      <c r="J498" t="str">
        <f ca="1">IFERROR(__xludf.DUMMYFUNCTION("""COMPUTED_VALUE"""),"")</f>
        <v/>
      </c>
      <c r="K498" t="str">
        <f ca="1">IFERROR(__xludf.DUMMYFUNCTION("""COMPUTED_VALUE"""),"")</f>
        <v/>
      </c>
      <c r="L498" t="str">
        <f ca="1">IFERROR(__xludf.DUMMYFUNCTION("""COMPUTED_VALUE"""),"")</f>
        <v/>
      </c>
      <c r="M498" t="str">
        <f ca="1">IFERROR(__xludf.DUMMYFUNCTION("""COMPUTED_VALUE"""),"99.Hors Périmetre")</f>
        <v>99.Hors Périmetre</v>
      </c>
      <c r="N498" t="str">
        <f ca="1">IFERROR(__xludf.DUMMYFUNCTION("""COMPUTED_VALUE"""),"")</f>
        <v/>
      </c>
      <c r="O498" t="str">
        <f ca="1">IFERROR(__xludf.DUMMYFUNCTION("""COMPUTED_VALUE"""),"")</f>
        <v/>
      </c>
      <c r="P498" t="str">
        <f ca="1">IFERROR(__xludf.DUMMYFUNCTION("""COMPUTED_VALUE"""),"")</f>
        <v/>
      </c>
      <c r="Q498" s="5" t="str">
        <f ca="1">IFERROR(__xludf.DUMMYFUNCTION("""COMPUTED_VALUE"""),"")</f>
        <v/>
      </c>
      <c r="R498" s="6" t="str">
        <f ca="1">IFERROR(__xludf.DUMMYFUNCTION("""COMPUTED_VALUE"""),"")</f>
        <v/>
      </c>
      <c r="S498" t="str">
        <f ca="1">IFERROR(__xludf.DUMMYFUNCTION("""COMPUTED_VALUE"""),"")</f>
        <v/>
      </c>
      <c r="T498" t="str">
        <f ca="1">IFERROR(__xludf.DUMMYFUNCTION("""COMPUTED_VALUE"""),"")</f>
        <v/>
      </c>
      <c r="U498" t="str">
        <f ca="1">IFERROR(__xludf.DUMMYFUNCTION("""COMPUTED_VALUE"""),"")</f>
        <v/>
      </c>
      <c r="V498" t="str">
        <f ca="1">IFERROR(__xludf.DUMMYFUNCTION("""COMPUTED_VALUE"""),"")</f>
        <v/>
      </c>
      <c r="W498" t="str">
        <f ca="1">IFERROR(__xludf.DUMMYFUNCTION("""COMPUTED_VALUE"""),"")</f>
        <v/>
      </c>
      <c r="X498" t="str">
        <f ca="1">IFERROR(__xludf.DUMMYFUNCTION("""COMPUTED_VALUE"""),"")</f>
        <v/>
      </c>
      <c r="Y498" t="str">
        <f ca="1">IFERROR(__xludf.DUMMYFUNCTION("""COMPUTED_VALUE"""),"")</f>
        <v/>
      </c>
      <c r="Z498" t="str">
        <f ca="1">IFERROR(__xludf.DUMMYFUNCTION("""COMPUTED_VALUE"""),"")</f>
        <v/>
      </c>
      <c r="AA498" t="str">
        <f ca="1">IFERROR(__xludf.DUMMYFUNCTION("""COMPUTED_VALUE"""),"Pas de commande")</f>
        <v>Pas de commande</v>
      </c>
      <c r="AB498" s="8" t="str">
        <f ca="1">IFERROR(__xludf.DUMMYFUNCTION("""COMPUTED_VALUE"""),"")</f>
        <v/>
      </c>
      <c r="AC498" s="8" t="str">
        <f ca="1">IFERROR(__xludf.DUMMYFUNCTION("""COMPUTED_VALUE"""),"")</f>
        <v/>
      </c>
      <c r="AD498" s="11" t="str">
        <f ca="1">IFERROR(__xludf.DUMMYFUNCTION("""COMPUTED_VALUE"""),"")</f>
        <v/>
      </c>
      <c r="AE498" t="str">
        <f ca="1">IFERROR(__xludf.DUMMYFUNCTION("""COMPUTED_VALUE"""),"")</f>
        <v/>
      </c>
    </row>
    <row r="499" spans="1:31" ht="12.75" x14ac:dyDescent="0.2">
      <c r="A499">
        <f ca="1">IFERROR(__xludf.DUMMYFUNCTION("""COMPUTED_VALUE"""),64147)</f>
        <v>64147</v>
      </c>
      <c r="B499" t="str">
        <f ca="1">IFERROR(__xludf.DUMMYFUNCTION("""COMPUTED_VALUE"""),"LE RUSSEY")</f>
        <v>LE RUSSEY</v>
      </c>
      <c r="C499" t="str">
        <f ca="1">IFERROR(__xludf.DUMMYFUNCTION("""COMPUTED_VALUE"""),"Super U")</f>
        <v>Super U</v>
      </c>
      <c r="D499" t="str">
        <f ca="1">IFERROR(__xludf.DUMMYFUNCTION("""COMPUTED_VALUE"""),"Coop U Enseigne Est")</f>
        <v>Coop U Enseigne Est</v>
      </c>
      <c r="E499">
        <f ca="1">IFERROR(__xludf.DUMMYFUNCTION("""COMPUTED_VALUE"""),25210)</f>
        <v>25210</v>
      </c>
      <c r="F499" t="str">
        <f ca="1">IFERROR(__xludf.DUMMYFUNCTION("""COMPUTED_VALUE"""),"Rue de Lattre de Tassigny")</f>
        <v>Rue de Lattre de Tassigny</v>
      </c>
      <c r="G499" t="str">
        <f ca="1">IFERROR(__xludf.DUMMYFUNCTION("""COMPUTED_VALUE"""),"03.81.43.85.85")</f>
        <v>03.81.43.85.85</v>
      </c>
      <c r="H499" t="str">
        <f ca="1">IFERROR(__xludf.DUMMYFUNCTION("""COMPUTED_VALUE"""),"FESSELET Pierre Alain")</f>
        <v>FESSELET Pierre Alain</v>
      </c>
      <c r="I499" t="str">
        <f ca="1">IFERROR(__xludf.DUMMYFUNCTION("""COMPUTED_VALUE"""),"pierre-alain.fesselet@systeme-u.fr")</f>
        <v>pierre-alain.fesselet@systeme-u.fr</v>
      </c>
      <c r="J499" t="str">
        <f ca="1">IFERROR(__xludf.DUMMYFUNCTION("""COMPUTED_VALUE"""),"VERMOT des ROCHES Rolland ")</f>
        <v xml:space="preserve">VERMOT des ROCHES Rolland </v>
      </c>
      <c r="K499" t="str">
        <f ca="1">IFERROR(__xludf.DUMMYFUNCTION("""COMPUTED_VALUE"""),"superu.lerussey.services@systeme-u.fr")</f>
        <v>superu.lerussey.services@systeme-u.fr</v>
      </c>
      <c r="L499" t="str">
        <f ca="1">IFERROR(__xludf.DUMMYFUNCTION("""COMPUTED_VALUE"""),"")</f>
        <v/>
      </c>
      <c r="M499" t="str">
        <f ca="1">IFERROR(__xludf.DUMMYFUNCTION("""COMPUTED_VALUE"""),"99.Hors Périmetre")</f>
        <v>99.Hors Périmetre</v>
      </c>
      <c r="N499" t="str">
        <f ca="1">IFERROR(__xludf.DUMMYFUNCTION("""COMPUTED_VALUE"""),"")</f>
        <v/>
      </c>
      <c r="O499" t="str">
        <f ca="1">IFERROR(__xludf.DUMMYFUNCTION("""COMPUTED_VALUE"""),"")</f>
        <v/>
      </c>
      <c r="P499" t="str">
        <f ca="1">IFERROR(__xludf.DUMMYFUNCTION("""COMPUTED_VALUE"""),"")</f>
        <v/>
      </c>
      <c r="Q499" s="5" t="str">
        <f ca="1">IFERROR(__xludf.DUMMYFUNCTION("""COMPUTED_VALUE"""),"")</f>
        <v/>
      </c>
      <c r="R499" s="6" t="str">
        <f ca="1">IFERROR(__xludf.DUMMYFUNCTION("""COMPUTED_VALUE"""),"")</f>
        <v/>
      </c>
      <c r="S499" t="str">
        <f ca="1">IFERROR(__xludf.DUMMYFUNCTION("""COMPUTED_VALUE"""),"")</f>
        <v/>
      </c>
      <c r="T499" t="str">
        <f ca="1">IFERROR(__xludf.DUMMYFUNCTION("""COMPUTED_VALUE"""),"")</f>
        <v/>
      </c>
      <c r="U499" t="str">
        <f ca="1">IFERROR(__xludf.DUMMYFUNCTION("""COMPUTED_VALUE"""),"")</f>
        <v/>
      </c>
      <c r="V499" t="str">
        <f ca="1">IFERROR(__xludf.DUMMYFUNCTION("""COMPUTED_VALUE"""),"")</f>
        <v/>
      </c>
      <c r="W499" t="str">
        <f ca="1">IFERROR(__xludf.DUMMYFUNCTION("""COMPUTED_VALUE"""),"")</f>
        <v/>
      </c>
      <c r="X499" t="str">
        <f ca="1">IFERROR(__xludf.DUMMYFUNCTION("""COMPUTED_VALUE"""),"")</f>
        <v/>
      </c>
      <c r="Y499" t="str">
        <f ca="1">IFERROR(__xludf.DUMMYFUNCTION("""COMPUTED_VALUE"""),"")</f>
        <v/>
      </c>
      <c r="Z499" t="str">
        <f ca="1">IFERROR(__xludf.DUMMYFUNCTION("""COMPUTED_VALUE"""),"")</f>
        <v/>
      </c>
      <c r="AA499" t="str">
        <f ca="1">IFERROR(__xludf.DUMMYFUNCTION("""COMPUTED_VALUE"""),"Pas de commande")</f>
        <v>Pas de commande</v>
      </c>
      <c r="AB499" s="8" t="str">
        <f ca="1">IFERROR(__xludf.DUMMYFUNCTION("""COMPUTED_VALUE"""),"")</f>
        <v/>
      </c>
      <c r="AC499" s="8" t="str">
        <f ca="1">IFERROR(__xludf.DUMMYFUNCTION("""COMPUTED_VALUE"""),"")</f>
        <v/>
      </c>
      <c r="AD499" s="11" t="str">
        <f ca="1">IFERROR(__xludf.DUMMYFUNCTION("""COMPUTED_VALUE"""),"")</f>
        <v/>
      </c>
      <c r="AE499" t="str">
        <f ca="1">IFERROR(__xludf.DUMMYFUNCTION("""COMPUTED_VALUE"""),"")</f>
        <v/>
      </c>
    </row>
    <row r="500" spans="1:31" ht="12.75" x14ac:dyDescent="0.2">
      <c r="A500">
        <f ca="1">IFERROR(__xludf.DUMMYFUNCTION("""COMPUTED_VALUE"""),96927)</f>
        <v>96927</v>
      </c>
      <c r="B500" t="str">
        <f ca="1">IFERROR(__xludf.DUMMYFUNCTION("""COMPUTED_VALUE"""),"LE TEICH")</f>
        <v>LE TEICH</v>
      </c>
      <c r="C500" t="str">
        <f ca="1">IFERROR(__xludf.DUMMYFUNCTION("""COMPUTED_VALUE"""),"Super U")</f>
        <v>Super U</v>
      </c>
      <c r="D500" t="str">
        <f ca="1">IFERROR(__xludf.DUMMYFUNCTION("""COMPUTED_VALUE"""),"Coop U Enseigne Sud")</f>
        <v>Coop U Enseigne Sud</v>
      </c>
      <c r="E500">
        <f ca="1">IFERROR(__xludf.DUMMYFUNCTION("""COMPUTED_VALUE"""),33470)</f>
        <v>33470</v>
      </c>
      <c r="F500" t="str">
        <f ca="1">IFERROR(__xludf.DUMMYFUNCTION("""COMPUTED_VALUE"""),"AVENUE DE BORDEAUX")</f>
        <v>AVENUE DE BORDEAUX</v>
      </c>
      <c r="G500" t="str">
        <f ca="1">IFERROR(__xludf.DUMMYFUNCTION("""COMPUTED_VALUE"""),"05.56.22.88.21")</f>
        <v>05.56.22.88.21</v>
      </c>
      <c r="H500" t="str">
        <f ca="1">IFERROR(__xludf.DUMMYFUNCTION("""COMPUTED_VALUE"""),"WERNERT Stephane")</f>
        <v>WERNERT Stephane</v>
      </c>
      <c r="I500" t="str">
        <f ca="1">IFERROR(__xludf.DUMMYFUNCTION("""COMPUTED_VALUE"""),"stephane.wernert@systeme-u.fr")</f>
        <v>stephane.wernert@systeme-u.fr</v>
      </c>
      <c r="J500" t="str">
        <f ca="1">IFERROR(__xludf.DUMMYFUNCTION("""COMPUTED_VALUE"""),"Brigitte Delestre")</f>
        <v>Brigitte Delestre</v>
      </c>
      <c r="K500" t="str">
        <f ca="1">IFERROR(__xludf.DUMMYFUNCTION("""COMPUTED_VALUE"""),"superu.leteich.compta@systeme-u.fr")</f>
        <v>superu.leteich.compta@systeme-u.fr</v>
      </c>
      <c r="L500" t="str">
        <f ca="1">IFERROR(__xludf.DUMMYFUNCTION("""COMPUTED_VALUE"""),"")</f>
        <v/>
      </c>
      <c r="M500" t="str">
        <f ca="1">IFERROR(__xludf.DUMMYFUNCTION("""COMPUTED_VALUE"""),"99.Hors Périmetre")</f>
        <v>99.Hors Périmetre</v>
      </c>
      <c r="N500" t="str">
        <f ca="1">IFERROR(__xludf.DUMMYFUNCTION("""COMPUTED_VALUE"""),"")</f>
        <v/>
      </c>
      <c r="O500" t="str">
        <f ca="1">IFERROR(__xludf.DUMMYFUNCTION("""COMPUTED_VALUE"""),"")</f>
        <v/>
      </c>
      <c r="P500" t="str">
        <f ca="1">IFERROR(__xludf.DUMMYFUNCTION("""COMPUTED_VALUE"""),"")</f>
        <v/>
      </c>
      <c r="Q500" s="5" t="str">
        <f ca="1">IFERROR(__xludf.DUMMYFUNCTION("""COMPUTED_VALUE"""),"")</f>
        <v/>
      </c>
      <c r="R500" s="6" t="str">
        <f ca="1">IFERROR(__xludf.DUMMYFUNCTION("""COMPUTED_VALUE"""),"")</f>
        <v/>
      </c>
      <c r="S500" t="str">
        <f ca="1">IFERROR(__xludf.DUMMYFUNCTION("""COMPUTED_VALUE"""),"")</f>
        <v/>
      </c>
      <c r="T500" t="str">
        <f ca="1">IFERROR(__xludf.DUMMYFUNCTION("""COMPUTED_VALUE"""),"")</f>
        <v/>
      </c>
      <c r="U500" t="str">
        <f ca="1">IFERROR(__xludf.DUMMYFUNCTION("""COMPUTED_VALUE"""),"")</f>
        <v/>
      </c>
      <c r="V500" t="str">
        <f ca="1">IFERROR(__xludf.DUMMYFUNCTION("""COMPUTED_VALUE"""),"")</f>
        <v/>
      </c>
      <c r="W500" t="str">
        <f ca="1">IFERROR(__xludf.DUMMYFUNCTION("""COMPUTED_VALUE"""),"")</f>
        <v/>
      </c>
      <c r="X500" t="str">
        <f ca="1">IFERROR(__xludf.DUMMYFUNCTION("""COMPUTED_VALUE"""),"")</f>
        <v/>
      </c>
      <c r="Y500" t="str">
        <f ca="1">IFERROR(__xludf.DUMMYFUNCTION("""COMPUTED_VALUE"""),"")</f>
        <v/>
      </c>
      <c r="Z500" t="str">
        <f ca="1">IFERROR(__xludf.DUMMYFUNCTION("""COMPUTED_VALUE"""),"")</f>
        <v/>
      </c>
      <c r="AA500" t="str">
        <f ca="1">IFERROR(__xludf.DUMMYFUNCTION("""COMPUTED_VALUE"""),"Pas de commande")</f>
        <v>Pas de commande</v>
      </c>
      <c r="AB500" s="8" t="str">
        <f ca="1">IFERROR(__xludf.DUMMYFUNCTION("""COMPUTED_VALUE"""),"")</f>
        <v/>
      </c>
      <c r="AC500" s="8" t="str">
        <f ca="1">IFERROR(__xludf.DUMMYFUNCTION("""COMPUTED_VALUE"""),"")</f>
        <v/>
      </c>
      <c r="AD500" s="11" t="str">
        <f ca="1">IFERROR(__xludf.DUMMYFUNCTION("""COMPUTED_VALUE"""),"")</f>
        <v/>
      </c>
      <c r="AE500" t="str">
        <f ca="1">IFERROR(__xludf.DUMMYFUNCTION("""COMPUTED_VALUE"""),"")</f>
        <v/>
      </c>
    </row>
    <row r="501" spans="1:31" ht="12.75" x14ac:dyDescent="0.2">
      <c r="A501">
        <f ca="1">IFERROR(__xludf.DUMMYFUNCTION("""COMPUTED_VALUE"""),27943)</f>
        <v>27943</v>
      </c>
      <c r="B501" t="str">
        <f ca="1">IFERROR(__xludf.DUMMYFUNCTION("""COMPUTED_VALUE"""),"LE THILLAY")</f>
        <v>LE THILLAY</v>
      </c>
      <c r="C501" t="str">
        <f ca="1">IFERROR(__xludf.DUMMYFUNCTION("""COMPUTED_VALUE"""),"#N/A")</f>
        <v>#N/A</v>
      </c>
      <c r="D501" t="str">
        <f ca="1">IFERROR(__xludf.DUMMYFUNCTION("""COMPUTED_VALUE"""),"#N/A")</f>
        <v>#N/A</v>
      </c>
      <c r="E501" t="str">
        <f ca="1">IFERROR(__xludf.DUMMYFUNCTION("""COMPUTED_VALUE"""),"")</f>
        <v/>
      </c>
      <c r="F501" t="str">
        <f ca="1">IFERROR(__xludf.DUMMYFUNCTION("""COMPUTED_VALUE"""),"#N/A")</f>
        <v>#N/A</v>
      </c>
      <c r="G501" t="str">
        <f ca="1">IFERROR(__xludf.DUMMYFUNCTION("""COMPUTED_VALUE"""),"#N/A")</f>
        <v>#N/A</v>
      </c>
      <c r="H501" t="str">
        <f ca="1">IFERROR(__xludf.DUMMYFUNCTION("""COMPUTED_VALUE"""),"#N/A")</f>
        <v>#N/A</v>
      </c>
      <c r="I501" t="str">
        <f ca="1">IFERROR(__xludf.DUMMYFUNCTION("""COMPUTED_VALUE"""),"#N/A")</f>
        <v>#N/A</v>
      </c>
      <c r="J501" t="str">
        <f ca="1">IFERROR(__xludf.DUMMYFUNCTION("""COMPUTED_VALUE"""),"")</f>
        <v/>
      </c>
      <c r="K501" t="str">
        <f ca="1">IFERROR(__xludf.DUMMYFUNCTION("""COMPUTED_VALUE"""),"")</f>
        <v/>
      </c>
      <c r="L501" t="str">
        <f ca="1">IFERROR(__xludf.DUMMYFUNCTION("""COMPUTED_VALUE"""),"")</f>
        <v/>
      </c>
      <c r="M501" t="str">
        <f ca="1">IFERROR(__xludf.DUMMYFUNCTION("""COMPUTED_VALUE"""),"99.Hors Périmetre")</f>
        <v>99.Hors Périmetre</v>
      </c>
      <c r="N501" t="str">
        <f ca="1">IFERROR(__xludf.DUMMYFUNCTION("""COMPUTED_VALUE"""),"")</f>
        <v/>
      </c>
      <c r="O501" t="str">
        <f ca="1">IFERROR(__xludf.DUMMYFUNCTION("""COMPUTED_VALUE"""),"06/08 LFO : Ce PDV a quité le groupement")</f>
        <v>06/08 LFO : Ce PDV a quité le groupement</v>
      </c>
      <c r="P501" t="str">
        <f ca="1">IFERROR(__xludf.DUMMYFUNCTION("""COMPUTED_VALUE"""),"")</f>
        <v/>
      </c>
      <c r="Q501" s="5" t="str">
        <f ca="1">IFERROR(__xludf.DUMMYFUNCTION("""COMPUTED_VALUE"""),"")</f>
        <v/>
      </c>
      <c r="R501" s="6" t="str">
        <f ca="1">IFERROR(__xludf.DUMMYFUNCTION("""COMPUTED_VALUE"""),"")</f>
        <v/>
      </c>
      <c r="S501" t="str">
        <f ca="1">IFERROR(__xludf.DUMMYFUNCTION("""COMPUTED_VALUE"""),"")</f>
        <v/>
      </c>
      <c r="T501" t="str">
        <f ca="1">IFERROR(__xludf.DUMMYFUNCTION("""COMPUTED_VALUE"""),"")</f>
        <v/>
      </c>
      <c r="U501" t="str">
        <f ca="1">IFERROR(__xludf.DUMMYFUNCTION("""COMPUTED_VALUE"""),"")</f>
        <v/>
      </c>
      <c r="V501" t="str">
        <f ca="1">IFERROR(__xludf.DUMMYFUNCTION("""COMPUTED_VALUE"""),"")</f>
        <v/>
      </c>
      <c r="W501" t="str">
        <f ca="1">IFERROR(__xludf.DUMMYFUNCTION("""COMPUTED_VALUE"""),"")</f>
        <v/>
      </c>
      <c r="X501" t="str">
        <f ca="1">IFERROR(__xludf.DUMMYFUNCTION("""COMPUTED_VALUE"""),"")</f>
        <v/>
      </c>
      <c r="Y501" t="str">
        <f ca="1">IFERROR(__xludf.DUMMYFUNCTION("""COMPUTED_VALUE"""),"")</f>
        <v/>
      </c>
      <c r="Z501" t="str">
        <f ca="1">IFERROR(__xludf.DUMMYFUNCTION("""COMPUTED_VALUE"""),"")</f>
        <v/>
      </c>
      <c r="AA501" t="str">
        <f ca="1">IFERROR(__xludf.DUMMYFUNCTION("""COMPUTED_VALUE"""),"Pas de commande")</f>
        <v>Pas de commande</v>
      </c>
      <c r="AB501" s="8" t="str">
        <f ca="1">IFERROR(__xludf.DUMMYFUNCTION("""COMPUTED_VALUE"""),"")</f>
        <v/>
      </c>
      <c r="AC501" s="8" t="str">
        <f ca="1">IFERROR(__xludf.DUMMYFUNCTION("""COMPUTED_VALUE"""),"")</f>
        <v/>
      </c>
      <c r="AD501" s="11" t="str">
        <f ca="1">IFERROR(__xludf.DUMMYFUNCTION("""COMPUTED_VALUE"""),"")</f>
        <v/>
      </c>
      <c r="AE501" t="str">
        <f ca="1">IFERROR(__xludf.DUMMYFUNCTION("""COMPUTED_VALUE"""),"")</f>
        <v/>
      </c>
    </row>
    <row r="502" spans="1:31" ht="12.75" x14ac:dyDescent="0.2">
      <c r="A502">
        <f ca="1">IFERROR(__xludf.DUMMYFUNCTION("""COMPUTED_VALUE"""),65448)</f>
        <v>65448</v>
      </c>
      <c r="B502" t="str">
        <f ca="1">IFERROR(__xludf.DUMMYFUNCTION("""COMPUTED_VALUE"""),"LE VAL D'AJOL")</f>
        <v>LE VAL D'AJOL</v>
      </c>
      <c r="C502" t="str">
        <f ca="1">IFERROR(__xludf.DUMMYFUNCTION("""COMPUTED_VALUE"""),"U Express")</f>
        <v>U Express</v>
      </c>
      <c r="D502" t="str">
        <f ca="1">IFERROR(__xludf.DUMMYFUNCTION("""COMPUTED_VALUE"""),"Coop U Enseigne Est")</f>
        <v>Coop U Enseigne Est</v>
      </c>
      <c r="E502">
        <f ca="1">IFERROR(__xludf.DUMMYFUNCTION("""COMPUTED_VALUE"""),88340)</f>
        <v>88340</v>
      </c>
      <c r="F502" t="str">
        <f ca="1">IFERROR(__xludf.DUMMYFUNCTION("""COMPUTED_VALUE"""),"2 RUE DES HALLES")</f>
        <v>2 RUE DES HALLES</v>
      </c>
      <c r="G502" t="str">
        <f ca="1">IFERROR(__xludf.DUMMYFUNCTION("""COMPUTED_VALUE"""),"03.29.30.66.51")</f>
        <v>03.29.30.66.51</v>
      </c>
      <c r="H502" t="str">
        <f ca="1">IFERROR(__xludf.DUMMYFUNCTION("""COMPUTED_VALUE"""),"COLNOT Jean")</f>
        <v>COLNOT Jean</v>
      </c>
      <c r="I502" t="str">
        <f ca="1">IFERROR(__xludf.DUMMYFUNCTION("""COMPUTED_VALUE"""),"jean.colnot@systeme-u.fr")</f>
        <v>jean.colnot@systeme-u.fr</v>
      </c>
      <c r="J502" t="str">
        <f ca="1">IFERROR(__xludf.DUMMYFUNCTION("""COMPUTED_VALUE"""),"mr bucher jannick")</f>
        <v>mr bucher jannick</v>
      </c>
      <c r="K502" t="str">
        <f ca="1">IFERROR(__xludf.DUMMYFUNCTION("""COMPUTED_VALUE"""),"jean.colnot@systeme-u.fr")</f>
        <v>jean.colnot@systeme-u.fr</v>
      </c>
      <c r="L502" t="str">
        <f ca="1">IFERROR(__xludf.DUMMYFUNCTION("""COMPUTED_VALUE"""),"")</f>
        <v/>
      </c>
      <c r="M502" t="str">
        <f ca="1">IFERROR(__xludf.DUMMYFUNCTION("""COMPUTED_VALUE"""),"99.Hors Périmetre")</f>
        <v>99.Hors Périmetre</v>
      </c>
      <c r="N502" t="str">
        <f ca="1">IFERROR(__xludf.DUMMYFUNCTION("""COMPUTED_VALUE"""),"")</f>
        <v/>
      </c>
      <c r="O502" t="str">
        <f ca="1">IFERROR(__xludf.DUMMYFUNCTION("""COMPUTED_VALUE"""),"")</f>
        <v/>
      </c>
      <c r="P502" t="str">
        <f ca="1">IFERROR(__xludf.DUMMYFUNCTION("""COMPUTED_VALUE"""),"")</f>
        <v/>
      </c>
      <c r="Q502" s="5" t="str">
        <f ca="1">IFERROR(__xludf.DUMMYFUNCTION("""COMPUTED_VALUE"""),"")</f>
        <v/>
      </c>
      <c r="R502" s="6" t="str">
        <f ca="1">IFERROR(__xludf.DUMMYFUNCTION("""COMPUTED_VALUE"""),"")</f>
        <v/>
      </c>
      <c r="S502" t="str">
        <f ca="1">IFERROR(__xludf.DUMMYFUNCTION("""COMPUTED_VALUE"""),"")</f>
        <v/>
      </c>
      <c r="T502" t="str">
        <f ca="1">IFERROR(__xludf.DUMMYFUNCTION("""COMPUTED_VALUE"""),"")</f>
        <v/>
      </c>
      <c r="U502" t="str">
        <f ca="1">IFERROR(__xludf.DUMMYFUNCTION("""COMPUTED_VALUE"""),"")</f>
        <v/>
      </c>
      <c r="V502" t="str">
        <f ca="1">IFERROR(__xludf.DUMMYFUNCTION("""COMPUTED_VALUE"""),"")</f>
        <v/>
      </c>
      <c r="W502" t="str">
        <f ca="1">IFERROR(__xludf.DUMMYFUNCTION("""COMPUTED_VALUE"""),"")</f>
        <v/>
      </c>
      <c r="X502" t="str">
        <f ca="1">IFERROR(__xludf.DUMMYFUNCTION("""COMPUTED_VALUE"""),"")</f>
        <v/>
      </c>
      <c r="Y502" t="str">
        <f ca="1">IFERROR(__xludf.DUMMYFUNCTION("""COMPUTED_VALUE"""),"")</f>
        <v/>
      </c>
      <c r="Z502" t="str">
        <f ca="1">IFERROR(__xludf.DUMMYFUNCTION("""COMPUTED_VALUE"""),"")</f>
        <v/>
      </c>
      <c r="AA502" t="str">
        <f ca="1">IFERROR(__xludf.DUMMYFUNCTION("""COMPUTED_VALUE"""),"Pas de commande")</f>
        <v>Pas de commande</v>
      </c>
      <c r="AB502" s="8" t="str">
        <f ca="1">IFERROR(__xludf.DUMMYFUNCTION("""COMPUTED_VALUE"""),"")</f>
        <v/>
      </c>
      <c r="AC502" s="8" t="str">
        <f ca="1">IFERROR(__xludf.DUMMYFUNCTION("""COMPUTED_VALUE"""),"")</f>
        <v/>
      </c>
      <c r="AD502" s="11" t="str">
        <f ca="1">IFERROR(__xludf.DUMMYFUNCTION("""COMPUTED_VALUE"""),"")</f>
        <v/>
      </c>
      <c r="AE502" t="str">
        <f ca="1">IFERROR(__xludf.DUMMYFUNCTION("""COMPUTED_VALUE"""),"")</f>
        <v/>
      </c>
    </row>
    <row r="503" spans="1:31" ht="12.75" x14ac:dyDescent="0.2">
      <c r="A503">
        <f ca="1">IFERROR(__xludf.DUMMYFUNCTION("""COMPUTED_VALUE"""),90358)</f>
        <v>90358</v>
      </c>
      <c r="B503" t="str">
        <f ca="1">IFERROR(__xludf.DUMMYFUNCTION("""COMPUTED_VALUE"""),"LE VIGAN")</f>
        <v>LE VIGAN</v>
      </c>
      <c r="C503" t="str">
        <f ca="1">IFERROR(__xludf.DUMMYFUNCTION("""COMPUTED_VALUE"""),"Super U")</f>
        <v>Super U</v>
      </c>
      <c r="D503" t="str">
        <f ca="1">IFERROR(__xludf.DUMMYFUNCTION("""COMPUTED_VALUE"""),"Coop U Enseigne Sud")</f>
        <v>Coop U Enseigne Sud</v>
      </c>
      <c r="E503">
        <f ca="1">IFERROR(__xludf.DUMMYFUNCTION("""COMPUTED_VALUE"""),30120)</f>
        <v>30120</v>
      </c>
      <c r="F503" t="str">
        <f ca="1">IFERROR(__xludf.DUMMYFUNCTION("""COMPUTED_VALUE"""),"PLACE DU MARECHAL JUIN")</f>
        <v>PLACE DU MARECHAL JUIN</v>
      </c>
      <c r="G503" t="str">
        <f ca="1">IFERROR(__xludf.DUMMYFUNCTION("""COMPUTED_VALUE"""),"04.67.81.25.23")</f>
        <v>04.67.81.25.23</v>
      </c>
      <c r="H503" t="str">
        <f ca="1">IFERROR(__xludf.DUMMYFUNCTION("""COMPUTED_VALUE"""),"PUTTEMANS Gerald")</f>
        <v>PUTTEMANS Gerald</v>
      </c>
      <c r="I503" t="str">
        <f ca="1">IFERROR(__xludf.DUMMYFUNCTION("""COMPUTED_VALUE"""),"gerald.puttemans@systeme-u.fr")</f>
        <v>gerald.puttemans@systeme-u.fr</v>
      </c>
      <c r="J503" t="str">
        <f ca="1">IFERROR(__xludf.DUMMYFUNCTION("""COMPUTED_VALUE"""),"Mme Fabre")</f>
        <v>Mme Fabre</v>
      </c>
      <c r="K503" t="str">
        <f ca="1">IFERROR(__xludf.DUMMYFUNCTION("""COMPUTED_VALUE"""),"superu.levigan@systeme-u.fr")</f>
        <v>superu.levigan@systeme-u.fr</v>
      </c>
      <c r="L503" t="str">
        <f ca="1">IFERROR(__xludf.DUMMYFUNCTION("""COMPUTED_VALUE"""),"")</f>
        <v/>
      </c>
      <c r="M503" t="str">
        <f ca="1">IFERROR(__xludf.DUMMYFUNCTION("""COMPUTED_VALUE"""),"99.Hors Périmetre")</f>
        <v>99.Hors Périmetre</v>
      </c>
      <c r="N503" t="str">
        <f ca="1">IFERROR(__xludf.DUMMYFUNCTION("""COMPUTED_VALUE"""),"")</f>
        <v/>
      </c>
      <c r="O503" t="str">
        <f ca="1">IFERROR(__xludf.DUMMYFUNCTION("""COMPUTED_VALUE"""),"")</f>
        <v/>
      </c>
      <c r="P503" t="str">
        <f ca="1">IFERROR(__xludf.DUMMYFUNCTION("""COMPUTED_VALUE"""),"")</f>
        <v/>
      </c>
      <c r="Q503" s="5" t="str">
        <f ca="1">IFERROR(__xludf.DUMMYFUNCTION("""COMPUTED_VALUE"""),"")</f>
        <v/>
      </c>
      <c r="R503" s="6" t="str">
        <f ca="1">IFERROR(__xludf.DUMMYFUNCTION("""COMPUTED_VALUE"""),"")</f>
        <v/>
      </c>
      <c r="S503" t="str">
        <f ca="1">IFERROR(__xludf.DUMMYFUNCTION("""COMPUTED_VALUE"""),"")</f>
        <v/>
      </c>
      <c r="T503" t="str">
        <f ca="1">IFERROR(__xludf.DUMMYFUNCTION("""COMPUTED_VALUE"""),"")</f>
        <v/>
      </c>
      <c r="U503" t="str">
        <f ca="1">IFERROR(__xludf.DUMMYFUNCTION("""COMPUTED_VALUE"""),"")</f>
        <v/>
      </c>
      <c r="V503" t="str">
        <f ca="1">IFERROR(__xludf.DUMMYFUNCTION("""COMPUTED_VALUE"""),"")</f>
        <v/>
      </c>
      <c r="W503" t="str">
        <f ca="1">IFERROR(__xludf.DUMMYFUNCTION("""COMPUTED_VALUE"""),"")</f>
        <v/>
      </c>
      <c r="X503" t="str">
        <f ca="1">IFERROR(__xludf.DUMMYFUNCTION("""COMPUTED_VALUE"""),"")</f>
        <v/>
      </c>
      <c r="Y503" t="str">
        <f ca="1">IFERROR(__xludf.DUMMYFUNCTION("""COMPUTED_VALUE"""),"")</f>
        <v/>
      </c>
      <c r="Z503" t="str">
        <f ca="1">IFERROR(__xludf.DUMMYFUNCTION("""COMPUTED_VALUE"""),"")</f>
        <v/>
      </c>
      <c r="AA503" t="str">
        <f ca="1">IFERROR(__xludf.DUMMYFUNCTION("""COMPUTED_VALUE"""),"Pas de commande")</f>
        <v>Pas de commande</v>
      </c>
      <c r="AB503" s="8" t="str">
        <f ca="1">IFERROR(__xludf.DUMMYFUNCTION("""COMPUTED_VALUE"""),"")</f>
        <v/>
      </c>
      <c r="AC503" s="8" t="str">
        <f ca="1">IFERROR(__xludf.DUMMYFUNCTION("""COMPUTED_VALUE"""),"")</f>
        <v/>
      </c>
      <c r="AD503" s="11" t="str">
        <f ca="1">IFERROR(__xludf.DUMMYFUNCTION("""COMPUTED_VALUE"""),"")</f>
        <v/>
      </c>
      <c r="AE503" t="str">
        <f ca="1">IFERROR(__xludf.DUMMYFUNCTION("""COMPUTED_VALUE"""),"")</f>
        <v/>
      </c>
    </row>
    <row r="504" spans="1:31" ht="12.75" x14ac:dyDescent="0.2">
      <c r="A504">
        <f ca="1">IFERROR(__xludf.DUMMYFUNCTION("""COMPUTED_VALUE"""),39563)</f>
        <v>39563</v>
      </c>
      <c r="B504" t="str">
        <f ca="1">IFERROR(__xludf.DUMMYFUNCTION("""COMPUTED_VALUE"""),"LE-CHATELET-EN-BERRY")</f>
        <v>LE-CHATELET-EN-BERRY</v>
      </c>
      <c r="C504" t="str">
        <f ca="1">IFERROR(__xludf.DUMMYFUNCTION("""COMPUTED_VALUE"""),"U Express")</f>
        <v>U Express</v>
      </c>
      <c r="D504" t="str">
        <f ca="1">IFERROR(__xludf.DUMMYFUNCTION("""COMPUTED_VALUE"""),"Coop U Enseigne Ouest")</f>
        <v>Coop U Enseigne Ouest</v>
      </c>
      <c r="E504">
        <f ca="1">IFERROR(__xludf.DUMMYFUNCTION("""COMPUTED_VALUE"""),18170)</f>
        <v>18170</v>
      </c>
      <c r="F504" t="str">
        <f ca="1">IFERROR(__xludf.DUMMYFUNCTION("""COMPUTED_VALUE"""),"AVENUE DE L' EUROPE")</f>
        <v>AVENUE DE L' EUROPE</v>
      </c>
      <c r="G504" t="str">
        <f ca="1">IFERROR(__xludf.DUMMYFUNCTION("""COMPUTED_VALUE"""),"02.48.56.60.30")</f>
        <v>02.48.56.60.30</v>
      </c>
      <c r="H504" t="str">
        <f ca="1">IFERROR(__xludf.DUMMYFUNCTION("""COMPUTED_VALUE"""),"BEGAUD Christophe")</f>
        <v>BEGAUD Christophe</v>
      </c>
      <c r="I504" t="str">
        <f ca="1">IFERROR(__xludf.DUMMYFUNCTION("""COMPUTED_VALUE"""),"christophe.begaud@systeme-u.fr")</f>
        <v>christophe.begaud@systeme-u.fr</v>
      </c>
      <c r="J504" t="str">
        <f ca="1">IFERROR(__xludf.DUMMYFUNCTION("""COMPUTED_VALUE"""),"MR BEGAUD ou MME FROIDEFOND")</f>
        <v>MR BEGAUD ou MME FROIDEFOND</v>
      </c>
      <c r="K504" t="str">
        <f ca="1">IFERROR(__xludf.DUMMYFUNCTION("""COMPUTED_VALUE"""),"uexpress.lechatelet.compta@systeme-u.fr")</f>
        <v>uexpress.lechatelet.compta@systeme-u.fr</v>
      </c>
      <c r="L504" t="str">
        <f ca="1">IFERROR(__xludf.DUMMYFUNCTION("""COMPUTED_VALUE"""),"")</f>
        <v/>
      </c>
      <c r="M504" t="str">
        <f ca="1">IFERROR(__xludf.DUMMYFUNCTION("""COMPUTED_VALUE"""),"99.Hors Périmetre")</f>
        <v>99.Hors Périmetre</v>
      </c>
      <c r="N504" t="str">
        <f ca="1">IFERROR(__xludf.DUMMYFUNCTION("""COMPUTED_VALUE"""),"")</f>
        <v/>
      </c>
      <c r="O504" t="str">
        <f ca="1">IFERROR(__xludf.DUMMYFUNCTION("""COMPUTED_VALUE"""),"")</f>
        <v/>
      </c>
      <c r="P504" t="str">
        <f ca="1">IFERROR(__xludf.DUMMYFUNCTION("""COMPUTED_VALUE"""),"")</f>
        <v/>
      </c>
      <c r="Q504" s="5" t="str">
        <f ca="1">IFERROR(__xludf.DUMMYFUNCTION("""COMPUTED_VALUE"""),"")</f>
        <v/>
      </c>
      <c r="R504" s="6" t="str">
        <f ca="1">IFERROR(__xludf.DUMMYFUNCTION("""COMPUTED_VALUE"""),"")</f>
        <v/>
      </c>
      <c r="S504" t="str">
        <f ca="1">IFERROR(__xludf.DUMMYFUNCTION("""COMPUTED_VALUE"""),"")</f>
        <v/>
      </c>
      <c r="T504" t="str">
        <f ca="1">IFERROR(__xludf.DUMMYFUNCTION("""COMPUTED_VALUE"""),"")</f>
        <v/>
      </c>
      <c r="U504" t="str">
        <f ca="1">IFERROR(__xludf.DUMMYFUNCTION("""COMPUTED_VALUE"""),"")</f>
        <v/>
      </c>
      <c r="V504" t="str">
        <f ca="1">IFERROR(__xludf.DUMMYFUNCTION("""COMPUTED_VALUE"""),"")</f>
        <v/>
      </c>
      <c r="W504" t="str">
        <f ca="1">IFERROR(__xludf.DUMMYFUNCTION("""COMPUTED_VALUE"""),"")</f>
        <v/>
      </c>
      <c r="X504" t="str">
        <f ca="1">IFERROR(__xludf.DUMMYFUNCTION("""COMPUTED_VALUE"""),"")</f>
        <v/>
      </c>
      <c r="Y504" t="str">
        <f ca="1">IFERROR(__xludf.DUMMYFUNCTION("""COMPUTED_VALUE"""),"")</f>
        <v/>
      </c>
      <c r="Z504" t="str">
        <f ca="1">IFERROR(__xludf.DUMMYFUNCTION("""COMPUTED_VALUE"""),"")</f>
        <v/>
      </c>
      <c r="AA504" t="str">
        <f ca="1">IFERROR(__xludf.DUMMYFUNCTION("""COMPUTED_VALUE"""),"Pas de commande")</f>
        <v>Pas de commande</v>
      </c>
      <c r="AB504" s="8" t="str">
        <f ca="1">IFERROR(__xludf.DUMMYFUNCTION("""COMPUTED_VALUE"""),"")</f>
        <v/>
      </c>
      <c r="AC504" s="8" t="str">
        <f ca="1">IFERROR(__xludf.DUMMYFUNCTION("""COMPUTED_VALUE"""),"")</f>
        <v/>
      </c>
      <c r="AD504" s="11" t="str">
        <f ca="1">IFERROR(__xludf.DUMMYFUNCTION("""COMPUTED_VALUE"""),"")</f>
        <v/>
      </c>
      <c r="AE504" t="str">
        <f ca="1">IFERROR(__xludf.DUMMYFUNCTION("""COMPUTED_VALUE"""),"")</f>
        <v/>
      </c>
    </row>
    <row r="505" spans="1:31" ht="12.75" x14ac:dyDescent="0.2">
      <c r="A505">
        <f ca="1">IFERROR(__xludf.DUMMYFUNCTION("""COMPUTED_VALUE"""),99105)</f>
        <v>99105</v>
      </c>
      <c r="B505" t="str">
        <f ca="1">IFERROR(__xludf.DUMMYFUNCTION("""COMPUTED_VALUE"""),"LE-PORT-IDR")</f>
        <v>LE-PORT-IDR</v>
      </c>
      <c r="C505" t="str">
        <f ca="1">IFERROR(__xludf.DUMMYFUNCTION("""COMPUTED_VALUE"""),"U Express")</f>
        <v>U Express</v>
      </c>
      <c r="D505" t="str">
        <f ca="1">IFERROR(__xludf.DUMMYFUNCTION("""COMPUTED_VALUE"""),"Coop U Enseigne Sud")</f>
        <v>Coop U Enseigne Sud</v>
      </c>
      <c r="E505">
        <f ca="1">IFERROR(__xludf.DUMMYFUNCTION("""COMPUTED_VALUE"""),97420)</f>
        <v>97420</v>
      </c>
      <c r="F505" t="str">
        <f ca="1">IFERROR(__xludf.DUMMYFUNCTION("""COMPUTED_VALUE"""),"31 RUE DE CANNES")</f>
        <v>31 RUE DE CANNES</v>
      </c>
      <c r="G505" t="str">
        <f ca="1">IFERROR(__xludf.DUMMYFUNCTION("""COMPUTED_VALUE"""),"02.62.42.07.26")</f>
        <v>02.62.42.07.26</v>
      </c>
      <c r="H505" t="str">
        <f ca="1">IFERROR(__xludf.DUMMYFUNCTION("""COMPUTED_VALUE"""),"FOCK YING Guy")</f>
        <v>FOCK YING Guy</v>
      </c>
      <c r="I505" t="str">
        <f ca="1">IFERROR(__xludf.DUMMYFUNCTION("""COMPUTED_VALUE"""),"johan.fock@systeme-u.fr")</f>
        <v>johan.fock@systeme-u.fr</v>
      </c>
      <c r="J505" t="str">
        <f ca="1">IFERROR(__xludf.DUMMYFUNCTION("""COMPUTED_VALUE"""),"")</f>
        <v/>
      </c>
      <c r="K505" t="str">
        <f ca="1">IFERROR(__xludf.DUMMYFUNCTION("""COMPUTED_VALUE"""),"")</f>
        <v/>
      </c>
      <c r="L505" t="str">
        <f ca="1">IFERROR(__xludf.DUMMYFUNCTION("""COMPUTED_VALUE"""),"")</f>
        <v/>
      </c>
      <c r="M505" t="str">
        <f ca="1">IFERROR(__xludf.DUMMYFUNCTION("""COMPUTED_VALUE"""),"99.Hors Périmetre")</f>
        <v>99.Hors Périmetre</v>
      </c>
      <c r="N505" t="str">
        <f ca="1">IFERROR(__xludf.DUMMYFUNCTION("""COMPUTED_VALUE"""),"")</f>
        <v/>
      </c>
      <c r="O505" t="str">
        <f ca="1">IFERROR(__xludf.DUMMYFUNCTION("""COMPUTED_VALUE"""),"")</f>
        <v/>
      </c>
      <c r="P505" t="str">
        <f ca="1">IFERROR(__xludf.DUMMYFUNCTION("""COMPUTED_VALUE"""),"")</f>
        <v/>
      </c>
      <c r="Q505" s="5" t="str">
        <f ca="1">IFERROR(__xludf.DUMMYFUNCTION("""COMPUTED_VALUE"""),"")</f>
        <v/>
      </c>
      <c r="R505" s="6" t="str">
        <f ca="1">IFERROR(__xludf.DUMMYFUNCTION("""COMPUTED_VALUE"""),"")</f>
        <v/>
      </c>
      <c r="S505" t="str">
        <f ca="1">IFERROR(__xludf.DUMMYFUNCTION("""COMPUTED_VALUE"""),"")</f>
        <v/>
      </c>
      <c r="T505" t="str">
        <f ca="1">IFERROR(__xludf.DUMMYFUNCTION("""COMPUTED_VALUE"""),"")</f>
        <v/>
      </c>
      <c r="U505" t="str">
        <f ca="1">IFERROR(__xludf.DUMMYFUNCTION("""COMPUTED_VALUE"""),"")</f>
        <v/>
      </c>
      <c r="V505" t="str">
        <f ca="1">IFERROR(__xludf.DUMMYFUNCTION("""COMPUTED_VALUE"""),"")</f>
        <v/>
      </c>
      <c r="W505" t="str">
        <f ca="1">IFERROR(__xludf.DUMMYFUNCTION("""COMPUTED_VALUE"""),"")</f>
        <v/>
      </c>
      <c r="X505" t="str">
        <f ca="1">IFERROR(__xludf.DUMMYFUNCTION("""COMPUTED_VALUE"""),"")</f>
        <v/>
      </c>
      <c r="Y505" t="str">
        <f ca="1">IFERROR(__xludf.DUMMYFUNCTION("""COMPUTED_VALUE"""),"")</f>
        <v/>
      </c>
      <c r="Z505" t="str">
        <f ca="1">IFERROR(__xludf.DUMMYFUNCTION("""COMPUTED_VALUE"""),"")</f>
        <v/>
      </c>
      <c r="AA505" t="str">
        <f ca="1">IFERROR(__xludf.DUMMYFUNCTION("""COMPUTED_VALUE"""),"Pas de commande")</f>
        <v>Pas de commande</v>
      </c>
      <c r="AB505" s="8" t="str">
        <f ca="1">IFERROR(__xludf.DUMMYFUNCTION("""COMPUTED_VALUE"""),"")</f>
        <v/>
      </c>
      <c r="AC505" s="8" t="str">
        <f ca="1">IFERROR(__xludf.DUMMYFUNCTION("""COMPUTED_VALUE"""),"")</f>
        <v/>
      </c>
      <c r="AD505" s="11" t="str">
        <f ca="1">IFERROR(__xludf.DUMMYFUNCTION("""COMPUTED_VALUE"""),"")</f>
        <v/>
      </c>
      <c r="AE505" t="str">
        <f ca="1">IFERROR(__xludf.DUMMYFUNCTION("""COMPUTED_VALUE"""),"")</f>
        <v/>
      </c>
    </row>
    <row r="506" spans="1:31" ht="12.75" x14ac:dyDescent="0.2">
      <c r="A506">
        <f ca="1">IFERROR(__xludf.DUMMYFUNCTION("""COMPUTED_VALUE"""),99106)</f>
        <v>99106</v>
      </c>
      <c r="B506" t="str">
        <f ca="1">IFERROR(__xludf.DUMMYFUNCTION("""COMPUTED_VALUE"""),"LE-PORT-V-HUGO-IDR")</f>
        <v>LE-PORT-V-HUGO-IDR</v>
      </c>
      <c r="C506" t="str">
        <f ca="1">IFERROR(__xludf.DUMMYFUNCTION("""COMPUTED_VALUE"""),"U Express")</f>
        <v>U Express</v>
      </c>
      <c r="D506" t="str">
        <f ca="1">IFERROR(__xludf.DUMMYFUNCTION("""COMPUTED_VALUE"""),"Coop U Enseigne Sud")</f>
        <v>Coop U Enseigne Sud</v>
      </c>
      <c r="E506">
        <f ca="1">IFERROR(__xludf.DUMMYFUNCTION("""COMPUTED_VALUE"""),97420)</f>
        <v>97420</v>
      </c>
      <c r="F506" t="str">
        <f ca="1">IFERROR(__xludf.DUMMYFUNCTION("""COMPUTED_VALUE"""),"ZUP II RUE VICTOR HUGO")</f>
        <v>ZUP II RUE VICTOR HUGO</v>
      </c>
      <c r="G506" t="str">
        <f ca="1">IFERROR(__xludf.DUMMYFUNCTION("""COMPUTED_VALUE"""),"02.62.42.16.71")</f>
        <v>02.62.42.16.71</v>
      </c>
      <c r="H506" t="str">
        <f ca="1">IFERROR(__xludf.DUMMYFUNCTION("""COMPUTED_VALUE"""),"FOCK YING CHEUNG Guy")</f>
        <v>FOCK YING CHEUNG Guy</v>
      </c>
      <c r="I506" t="str">
        <f ca="1">IFERROR(__xludf.DUMMYFUNCTION("""COMPUTED_VALUE"""),"guy.fockyingcheung@systeme-u.fr")</f>
        <v>guy.fockyingcheung@systeme-u.fr</v>
      </c>
      <c r="J506" t="str">
        <f ca="1">IFERROR(__xludf.DUMMYFUNCTION("""COMPUTED_VALUE"""),"")</f>
        <v/>
      </c>
      <c r="K506" t="str">
        <f ca="1">IFERROR(__xludf.DUMMYFUNCTION("""COMPUTED_VALUE"""),"")</f>
        <v/>
      </c>
      <c r="L506" t="str">
        <f ca="1">IFERROR(__xludf.DUMMYFUNCTION("""COMPUTED_VALUE"""),"")</f>
        <v/>
      </c>
      <c r="M506" t="str">
        <f ca="1">IFERROR(__xludf.DUMMYFUNCTION("""COMPUTED_VALUE"""),"99.Hors Périmetre")</f>
        <v>99.Hors Périmetre</v>
      </c>
      <c r="N506" t="str">
        <f ca="1">IFERROR(__xludf.DUMMYFUNCTION("""COMPUTED_VALUE"""),"")</f>
        <v/>
      </c>
      <c r="O506" t="str">
        <f ca="1">IFERROR(__xludf.DUMMYFUNCTION("""COMPUTED_VALUE"""),"")</f>
        <v/>
      </c>
      <c r="P506" t="str">
        <f ca="1">IFERROR(__xludf.DUMMYFUNCTION("""COMPUTED_VALUE"""),"")</f>
        <v/>
      </c>
      <c r="Q506" s="5" t="str">
        <f ca="1">IFERROR(__xludf.DUMMYFUNCTION("""COMPUTED_VALUE"""),"")</f>
        <v/>
      </c>
      <c r="R506" s="6" t="str">
        <f ca="1">IFERROR(__xludf.DUMMYFUNCTION("""COMPUTED_VALUE"""),"")</f>
        <v/>
      </c>
      <c r="S506" t="str">
        <f ca="1">IFERROR(__xludf.DUMMYFUNCTION("""COMPUTED_VALUE"""),"")</f>
        <v/>
      </c>
      <c r="T506" t="str">
        <f ca="1">IFERROR(__xludf.DUMMYFUNCTION("""COMPUTED_VALUE"""),"")</f>
        <v/>
      </c>
      <c r="U506" t="str">
        <f ca="1">IFERROR(__xludf.DUMMYFUNCTION("""COMPUTED_VALUE"""),"")</f>
        <v/>
      </c>
      <c r="V506" t="str">
        <f ca="1">IFERROR(__xludf.DUMMYFUNCTION("""COMPUTED_VALUE"""),"")</f>
        <v/>
      </c>
      <c r="W506" t="str">
        <f ca="1">IFERROR(__xludf.DUMMYFUNCTION("""COMPUTED_VALUE"""),"")</f>
        <v/>
      </c>
      <c r="X506" t="str">
        <f ca="1">IFERROR(__xludf.DUMMYFUNCTION("""COMPUTED_VALUE"""),"")</f>
        <v/>
      </c>
      <c r="Y506" t="str">
        <f ca="1">IFERROR(__xludf.DUMMYFUNCTION("""COMPUTED_VALUE"""),"")</f>
        <v/>
      </c>
      <c r="Z506" t="str">
        <f ca="1">IFERROR(__xludf.DUMMYFUNCTION("""COMPUTED_VALUE"""),"")</f>
        <v/>
      </c>
      <c r="AA506" t="str">
        <f ca="1">IFERROR(__xludf.DUMMYFUNCTION("""COMPUTED_VALUE"""),"Pas de commande")</f>
        <v>Pas de commande</v>
      </c>
      <c r="AB506" s="8" t="str">
        <f ca="1">IFERROR(__xludf.DUMMYFUNCTION("""COMPUTED_VALUE"""),"")</f>
        <v/>
      </c>
      <c r="AC506" s="8" t="str">
        <f ca="1">IFERROR(__xludf.DUMMYFUNCTION("""COMPUTED_VALUE"""),"")</f>
        <v/>
      </c>
      <c r="AD506" s="11" t="str">
        <f ca="1">IFERROR(__xludf.DUMMYFUNCTION("""COMPUTED_VALUE"""),"")</f>
        <v/>
      </c>
      <c r="AE506" t="str">
        <f ca="1">IFERROR(__xludf.DUMMYFUNCTION("""COMPUTED_VALUE"""),"")</f>
        <v/>
      </c>
    </row>
    <row r="507" spans="1:31" ht="12.75" x14ac:dyDescent="0.2">
      <c r="A507">
        <f ca="1">IFERROR(__xludf.DUMMYFUNCTION("""COMPUTED_VALUE"""),32704)</f>
        <v>32704</v>
      </c>
      <c r="B507" t="str">
        <f ca="1">IFERROR(__xludf.DUMMYFUNCTION("""COMPUTED_VALUE"""),"LEGE")</f>
        <v>LEGE</v>
      </c>
      <c r="C507" t="str">
        <f ca="1">IFERROR(__xludf.DUMMYFUNCTION("""COMPUTED_VALUE"""),"Super U")</f>
        <v>Super U</v>
      </c>
      <c r="D507" t="str">
        <f ca="1">IFERROR(__xludf.DUMMYFUNCTION("""COMPUTED_VALUE"""),"Coop U Enseigne Ouest")</f>
        <v>Coop U Enseigne Ouest</v>
      </c>
      <c r="E507">
        <f ca="1">IFERROR(__xludf.DUMMYFUNCTION("""COMPUTED_VALUE"""),44650)</f>
        <v>44650</v>
      </c>
      <c r="F507" t="str">
        <f ca="1">IFERROR(__xludf.DUMMYFUNCTION("""COMPUTED_VALUE"""),"RUE DES VISITANDINES")</f>
        <v>RUE DES VISITANDINES</v>
      </c>
      <c r="G507" t="str">
        <f ca="1">IFERROR(__xludf.DUMMYFUNCTION("""COMPUTED_VALUE"""),"02.40.26.33.44")</f>
        <v>02.40.26.33.44</v>
      </c>
      <c r="H507" t="str">
        <f ca="1">IFERROR(__xludf.DUMMYFUNCTION("""COMPUTED_VALUE"""),"PASQUIER RPT SARL S.N.D.P. Bertrand")</f>
        <v>PASQUIER RPT SARL S.N.D.P. Bertrand</v>
      </c>
      <c r="I507" t="str">
        <f ca="1">IFERROR(__xludf.DUMMYFUNCTION("""COMPUTED_VALUE"""),"bertrand.pasquier@systeme-u.fr")</f>
        <v>bertrand.pasquier@systeme-u.fr</v>
      </c>
      <c r="J507" t="str">
        <f ca="1">IFERROR(__xludf.DUMMYFUNCTION("""COMPUTED_VALUE"""),"Madame Hervot ")</f>
        <v xml:space="preserve">Madame Hervot </v>
      </c>
      <c r="K507" t="str">
        <f ca="1">IFERROR(__xludf.DUMMYFUNCTION("""COMPUTED_VALUE"""),"superu.lege.gescom@systeme-u.fr")</f>
        <v>superu.lege.gescom@systeme-u.fr</v>
      </c>
      <c r="L507" t="str">
        <f ca="1">IFERROR(__xludf.DUMMYFUNCTION("""COMPUTED_VALUE"""),"")</f>
        <v/>
      </c>
      <c r="M507" t="str">
        <f ca="1">IFERROR(__xludf.DUMMYFUNCTION("""COMPUTED_VALUE"""),"99.Hors Périmetre")</f>
        <v>99.Hors Périmetre</v>
      </c>
      <c r="N507" t="str">
        <f ca="1">IFERROR(__xludf.DUMMYFUNCTION("""COMPUTED_VALUE"""),"")</f>
        <v/>
      </c>
      <c r="O507" t="str">
        <f ca="1">IFERROR(__xludf.DUMMYFUNCTION("""COMPUTED_VALUE"""),"")</f>
        <v/>
      </c>
      <c r="P507" t="str">
        <f ca="1">IFERROR(__xludf.DUMMYFUNCTION("""COMPUTED_VALUE"""),"")</f>
        <v/>
      </c>
      <c r="Q507" s="5" t="str">
        <f ca="1">IFERROR(__xludf.DUMMYFUNCTION("""COMPUTED_VALUE"""),"")</f>
        <v/>
      </c>
      <c r="R507" s="6" t="str">
        <f ca="1">IFERROR(__xludf.DUMMYFUNCTION("""COMPUTED_VALUE"""),"")</f>
        <v/>
      </c>
      <c r="S507" t="str">
        <f ca="1">IFERROR(__xludf.DUMMYFUNCTION("""COMPUTED_VALUE"""),"")</f>
        <v/>
      </c>
      <c r="T507" t="str">
        <f ca="1">IFERROR(__xludf.DUMMYFUNCTION("""COMPUTED_VALUE"""),"")</f>
        <v/>
      </c>
      <c r="U507" t="str">
        <f ca="1">IFERROR(__xludf.DUMMYFUNCTION("""COMPUTED_VALUE"""),"")</f>
        <v/>
      </c>
      <c r="V507" t="str">
        <f ca="1">IFERROR(__xludf.DUMMYFUNCTION("""COMPUTED_VALUE"""),"")</f>
        <v/>
      </c>
      <c r="W507" t="str">
        <f ca="1">IFERROR(__xludf.DUMMYFUNCTION("""COMPUTED_VALUE"""),"")</f>
        <v/>
      </c>
      <c r="X507" t="str">
        <f ca="1">IFERROR(__xludf.DUMMYFUNCTION("""COMPUTED_VALUE"""),"")</f>
        <v/>
      </c>
      <c r="Y507" t="str">
        <f ca="1">IFERROR(__xludf.DUMMYFUNCTION("""COMPUTED_VALUE"""),"")</f>
        <v/>
      </c>
      <c r="Z507" t="str">
        <f ca="1">IFERROR(__xludf.DUMMYFUNCTION("""COMPUTED_VALUE"""),"")</f>
        <v/>
      </c>
      <c r="AA507" t="str">
        <f ca="1">IFERROR(__xludf.DUMMYFUNCTION("""COMPUTED_VALUE"""),"Pas de commande")</f>
        <v>Pas de commande</v>
      </c>
      <c r="AB507" s="8" t="str">
        <f ca="1">IFERROR(__xludf.DUMMYFUNCTION("""COMPUTED_VALUE"""),"")</f>
        <v/>
      </c>
      <c r="AC507" s="8" t="str">
        <f ca="1">IFERROR(__xludf.DUMMYFUNCTION("""COMPUTED_VALUE"""),"")</f>
        <v/>
      </c>
      <c r="AD507" s="11" t="str">
        <f ca="1">IFERROR(__xludf.DUMMYFUNCTION("""COMPUTED_VALUE"""),"")</f>
        <v/>
      </c>
      <c r="AE507" t="str">
        <f ca="1">IFERROR(__xludf.DUMMYFUNCTION("""COMPUTED_VALUE"""),"")</f>
        <v/>
      </c>
    </row>
    <row r="508" spans="1:31" ht="12.75" x14ac:dyDescent="0.2">
      <c r="A508">
        <f ca="1">IFERROR(__xludf.DUMMYFUNCTION("""COMPUTED_VALUE"""),96989)</f>
        <v>96989</v>
      </c>
      <c r="B508" t="str">
        <f ca="1">IFERROR(__xludf.DUMMYFUNCTION("""COMPUTED_VALUE"""),"LEGUEVIN")</f>
        <v>LEGUEVIN</v>
      </c>
      <c r="C508" t="str">
        <f ca="1">IFERROR(__xludf.DUMMYFUNCTION("""COMPUTED_VALUE"""),"Super U")</f>
        <v>Super U</v>
      </c>
      <c r="D508" t="str">
        <f ca="1">IFERROR(__xludf.DUMMYFUNCTION("""COMPUTED_VALUE"""),"Coop U Enseigne Sud")</f>
        <v>Coop U Enseigne Sud</v>
      </c>
      <c r="E508">
        <f ca="1">IFERROR(__xludf.DUMMYFUNCTION("""COMPUTED_VALUE"""),31490)</f>
        <v>31490</v>
      </c>
      <c r="F508" t="str">
        <f ca="1">IFERROR(__xludf.DUMMYFUNCTION("""COMPUTED_VALUE"""),"AVENUE DE LENGEL")</f>
        <v>AVENUE DE LENGEL</v>
      </c>
      <c r="G508" t="str">
        <f ca="1">IFERROR(__xludf.DUMMYFUNCTION("""COMPUTED_VALUE"""),"05.61.86.51.64")</f>
        <v>05.61.86.51.64</v>
      </c>
      <c r="H508" t="str">
        <f ca="1">IFERROR(__xludf.DUMMYFUNCTION("""COMPUTED_VALUE"""),"ET PATRICK AUGE SYLVIE COURET")</f>
        <v>ET PATRICK AUGE SYLVIE COURET</v>
      </c>
      <c r="I508" t="str">
        <f ca="1">IFERROR(__xludf.DUMMYFUNCTION("""COMPUTED_VALUE"""),"patrick.auge@systeme-u.fr")</f>
        <v>patrick.auge@systeme-u.fr</v>
      </c>
      <c r="J508" t="str">
        <f ca="1">IFERROR(__xludf.DUMMYFUNCTION("""COMPUTED_VALUE"""),"")</f>
        <v/>
      </c>
      <c r="K508" t="str">
        <f ca="1">IFERROR(__xludf.DUMMYFUNCTION("""COMPUTED_VALUE"""),"")</f>
        <v/>
      </c>
      <c r="L508" t="str">
        <f ca="1">IFERROR(__xludf.DUMMYFUNCTION("""COMPUTED_VALUE"""),"")</f>
        <v/>
      </c>
      <c r="M508" t="str">
        <f ca="1">IFERROR(__xludf.DUMMYFUNCTION("""COMPUTED_VALUE"""),"99.Hors Périmetre")</f>
        <v>99.Hors Périmetre</v>
      </c>
      <c r="N508" t="str">
        <f ca="1">IFERROR(__xludf.DUMMYFUNCTION("""COMPUTED_VALUE"""),"")</f>
        <v/>
      </c>
      <c r="O508" t="str">
        <f ca="1">IFERROR(__xludf.DUMMYFUNCTION("""COMPUTED_VALUE"""),"")</f>
        <v/>
      </c>
      <c r="P508" t="str">
        <f ca="1">IFERROR(__xludf.DUMMYFUNCTION("""COMPUTED_VALUE"""),"")</f>
        <v/>
      </c>
      <c r="Q508" s="5" t="str">
        <f ca="1">IFERROR(__xludf.DUMMYFUNCTION("""COMPUTED_VALUE"""),"")</f>
        <v/>
      </c>
      <c r="R508" s="6" t="str">
        <f ca="1">IFERROR(__xludf.DUMMYFUNCTION("""COMPUTED_VALUE"""),"")</f>
        <v/>
      </c>
      <c r="S508" t="str">
        <f ca="1">IFERROR(__xludf.DUMMYFUNCTION("""COMPUTED_VALUE"""),"")</f>
        <v/>
      </c>
      <c r="T508" t="str">
        <f ca="1">IFERROR(__xludf.DUMMYFUNCTION("""COMPUTED_VALUE"""),"")</f>
        <v/>
      </c>
      <c r="U508" t="str">
        <f ca="1">IFERROR(__xludf.DUMMYFUNCTION("""COMPUTED_VALUE"""),"")</f>
        <v/>
      </c>
      <c r="V508" t="str">
        <f ca="1">IFERROR(__xludf.DUMMYFUNCTION("""COMPUTED_VALUE"""),"")</f>
        <v/>
      </c>
      <c r="W508" t="str">
        <f ca="1">IFERROR(__xludf.DUMMYFUNCTION("""COMPUTED_VALUE"""),"")</f>
        <v/>
      </c>
      <c r="X508" t="str">
        <f ca="1">IFERROR(__xludf.DUMMYFUNCTION("""COMPUTED_VALUE"""),"")</f>
        <v/>
      </c>
      <c r="Y508" t="str">
        <f ca="1">IFERROR(__xludf.DUMMYFUNCTION("""COMPUTED_VALUE"""),"")</f>
        <v/>
      </c>
      <c r="Z508" t="str">
        <f ca="1">IFERROR(__xludf.DUMMYFUNCTION("""COMPUTED_VALUE"""),"")</f>
        <v/>
      </c>
      <c r="AA508" t="str">
        <f ca="1">IFERROR(__xludf.DUMMYFUNCTION("""COMPUTED_VALUE"""),"Pas de commande")</f>
        <v>Pas de commande</v>
      </c>
      <c r="AB508" s="8" t="str">
        <f ca="1">IFERROR(__xludf.DUMMYFUNCTION("""COMPUTED_VALUE"""),"")</f>
        <v/>
      </c>
      <c r="AC508" s="8" t="str">
        <f ca="1">IFERROR(__xludf.DUMMYFUNCTION("""COMPUTED_VALUE"""),"")</f>
        <v/>
      </c>
      <c r="AD508" s="11" t="str">
        <f ca="1">IFERROR(__xludf.DUMMYFUNCTION("""COMPUTED_VALUE"""),"")</f>
        <v/>
      </c>
      <c r="AE508" t="str">
        <f ca="1">IFERROR(__xludf.DUMMYFUNCTION("""COMPUTED_VALUE"""),"")</f>
        <v/>
      </c>
    </row>
    <row r="509" spans="1:31" ht="12.75" x14ac:dyDescent="0.2">
      <c r="A509">
        <f ca="1">IFERROR(__xludf.DUMMYFUNCTION("""COMPUTED_VALUE"""),65278)</f>
        <v>65278</v>
      </c>
      <c r="B509" t="str">
        <f ca="1">IFERROR(__xludf.DUMMYFUNCTION("""COMPUTED_VALUE"""),"LEMUD")</f>
        <v>LEMUD</v>
      </c>
      <c r="C509" t="str">
        <f ca="1">IFERROR(__xludf.DUMMYFUNCTION("""COMPUTED_VALUE"""),"Super U")</f>
        <v>Super U</v>
      </c>
      <c r="D509" t="str">
        <f ca="1">IFERROR(__xludf.DUMMYFUNCTION("""COMPUTED_VALUE"""),"Coop U Enseigne Est")</f>
        <v>Coop U Enseigne Est</v>
      </c>
      <c r="E509">
        <f ca="1">IFERROR(__xludf.DUMMYFUNCTION("""COMPUTED_VALUE"""),57580)</f>
        <v>57580</v>
      </c>
      <c r="F509" t="str">
        <f ca="1">IFERROR(__xludf.DUMMYFUNCTION("""COMPUTED_VALUE"""),"ROUTE DE METZ")</f>
        <v>ROUTE DE METZ</v>
      </c>
      <c r="G509" t="str">
        <f ca="1">IFERROR(__xludf.DUMMYFUNCTION("""COMPUTED_VALUE"""),"03.87.64.62.63")</f>
        <v>03.87.64.62.63</v>
      </c>
      <c r="H509" t="str">
        <f ca="1">IFERROR(__xludf.DUMMYFUNCTION("""COMPUTED_VALUE"""),"GRANDJEAN Bernard")</f>
        <v>GRANDJEAN Bernard</v>
      </c>
      <c r="I509" t="str">
        <f ca="1">IFERROR(__xludf.DUMMYFUNCTION("""COMPUTED_VALUE"""),"bernard.grandjean@systeme-u.fr")</f>
        <v>bernard.grandjean@systeme-u.fr</v>
      </c>
      <c r="J509" t="str">
        <f ca="1">IFERROR(__xludf.DUMMYFUNCTION("""COMPUTED_VALUE"""),"Madame MABIRE Sylvie
Madame Medeni Olivia (planexa)")</f>
        <v>Madame MABIRE Sylvie
Madame Medeni Olivia (planexa)</v>
      </c>
      <c r="K509" t="str">
        <f ca="1">IFERROR(__xludf.DUMMYFUNCTION("""COMPUTED_VALUE"""),"superu.lemud.caisse@systeme-u.fr
superu.lemud.administratif@systeme-u.fr
")</f>
        <v xml:space="preserve">superu.lemud.caisse@systeme-u.fr
superu.lemud.administratif@systeme-u.fr
</v>
      </c>
      <c r="L509" t="str">
        <f ca="1">IFERROR(__xludf.DUMMYFUNCTION("""COMPUTED_VALUE"""),"")</f>
        <v/>
      </c>
      <c r="M509" t="str">
        <f ca="1">IFERROR(__xludf.DUMMYFUNCTION("""COMPUTED_VALUE"""),"99.Hors Périmetre")</f>
        <v>99.Hors Périmetre</v>
      </c>
      <c r="N509" t="str">
        <f ca="1">IFERROR(__xludf.DUMMYFUNCTION("""COMPUTED_VALUE"""),"")</f>
        <v/>
      </c>
      <c r="O509" t="str">
        <f ca="1">IFERROR(__xludf.DUMMYFUNCTION("""COMPUTED_VALUE"""),"")</f>
        <v/>
      </c>
      <c r="P509" t="str">
        <f ca="1">IFERROR(__xludf.DUMMYFUNCTION("""COMPUTED_VALUE"""),"")</f>
        <v/>
      </c>
      <c r="Q509" s="5" t="str">
        <f ca="1">IFERROR(__xludf.DUMMYFUNCTION("""COMPUTED_VALUE"""),"")</f>
        <v/>
      </c>
      <c r="R509" s="6" t="str">
        <f ca="1">IFERROR(__xludf.DUMMYFUNCTION("""COMPUTED_VALUE"""),"")</f>
        <v/>
      </c>
      <c r="S509" t="str">
        <f ca="1">IFERROR(__xludf.DUMMYFUNCTION("""COMPUTED_VALUE"""),"")</f>
        <v/>
      </c>
      <c r="T509" t="str">
        <f ca="1">IFERROR(__xludf.DUMMYFUNCTION("""COMPUTED_VALUE"""),"")</f>
        <v/>
      </c>
      <c r="U509" t="str">
        <f ca="1">IFERROR(__xludf.DUMMYFUNCTION("""COMPUTED_VALUE"""),"")</f>
        <v/>
      </c>
      <c r="V509" t="str">
        <f ca="1">IFERROR(__xludf.DUMMYFUNCTION("""COMPUTED_VALUE"""),"")</f>
        <v/>
      </c>
      <c r="W509" t="str">
        <f ca="1">IFERROR(__xludf.DUMMYFUNCTION("""COMPUTED_VALUE"""),"")</f>
        <v/>
      </c>
      <c r="X509" t="str">
        <f ca="1">IFERROR(__xludf.DUMMYFUNCTION("""COMPUTED_VALUE"""),"")</f>
        <v/>
      </c>
      <c r="Y509" t="str">
        <f ca="1">IFERROR(__xludf.DUMMYFUNCTION("""COMPUTED_VALUE"""),"")</f>
        <v/>
      </c>
      <c r="Z509" t="str">
        <f ca="1">IFERROR(__xludf.DUMMYFUNCTION("""COMPUTED_VALUE"""),"")</f>
        <v/>
      </c>
      <c r="AA509" t="str">
        <f ca="1">IFERROR(__xludf.DUMMYFUNCTION("""COMPUTED_VALUE"""),"Pas de commande")</f>
        <v>Pas de commande</v>
      </c>
      <c r="AB509" s="8" t="str">
        <f ca="1">IFERROR(__xludf.DUMMYFUNCTION("""COMPUTED_VALUE"""),"")</f>
        <v/>
      </c>
      <c r="AC509" s="8" t="str">
        <f ca="1">IFERROR(__xludf.DUMMYFUNCTION("""COMPUTED_VALUE"""),"")</f>
        <v/>
      </c>
      <c r="AD509" s="11" t="str">
        <f ca="1">IFERROR(__xludf.DUMMYFUNCTION("""COMPUTED_VALUE"""),"")</f>
        <v/>
      </c>
      <c r="AE509" t="str">
        <f ca="1">IFERROR(__xludf.DUMMYFUNCTION("""COMPUTED_VALUE"""),"")</f>
        <v/>
      </c>
    </row>
    <row r="510" spans="1:31" ht="12.75" x14ac:dyDescent="0.2">
      <c r="A510">
        <f ca="1">IFERROR(__xludf.DUMMYFUNCTION("""COMPUTED_VALUE"""),34208)</f>
        <v>34208</v>
      </c>
      <c r="B510" t="str">
        <f ca="1">IFERROR(__xludf.DUMMYFUNCTION("""COMPUTED_VALUE"""),"LENCLOITRE")</f>
        <v>LENCLOITRE</v>
      </c>
      <c r="C510" t="str">
        <f ca="1">IFERROR(__xludf.DUMMYFUNCTION("""COMPUTED_VALUE"""),"U Express")</f>
        <v>U Express</v>
      </c>
      <c r="D510" t="str">
        <f ca="1">IFERROR(__xludf.DUMMYFUNCTION("""COMPUTED_VALUE"""),"Coop Atlantique")</f>
        <v>Coop Atlantique</v>
      </c>
      <c r="E510">
        <f ca="1">IFERROR(__xludf.DUMMYFUNCTION("""COMPUTED_VALUE"""),86140)</f>
        <v>86140</v>
      </c>
      <c r="F510" t="str">
        <f ca="1">IFERROR(__xludf.DUMMYFUNCTION("""COMPUTED_VALUE"""),"3 PLACE DU CHAMP DE FOIRE")</f>
        <v>3 PLACE DU CHAMP DE FOIRE</v>
      </c>
      <c r="G510" t="str">
        <f ca="1">IFERROR(__xludf.DUMMYFUNCTION("""COMPUTED_VALUE"""),"05.49.90.74.89")</f>
        <v>05.49.90.74.89</v>
      </c>
      <c r="H510" t="str">
        <f ca="1">IFERROR(__xludf.DUMMYFUNCTION("""COMPUTED_VALUE"""),"FLAMBARD Hervé")</f>
        <v>FLAMBARD Hervé</v>
      </c>
      <c r="I510" t="str">
        <f ca="1">IFERROR(__xludf.DUMMYFUNCTION("""COMPUTED_VALUE"""),"bertrand.defontaine_coop_su_uex@systeme-u.fr")</f>
        <v>bertrand.defontaine_coop_su_uex@systeme-u.fr</v>
      </c>
      <c r="J510" t="str">
        <f ca="1">IFERROR(__xludf.DUMMYFUNCTION("""COMPUTED_VALUE"""),"M. VACHER / SOUCHET Yoann / Gaborit Aline")</f>
        <v>M. VACHER / SOUCHET Yoann / Gaborit Aline</v>
      </c>
      <c r="K510" t="str">
        <f ca="1">IFERROR(__xludf.DUMMYFUNCTION("""COMPUTED_VALUE"""),"uexpress.lencloitre.direction@systeme-u.fr,nbrigant@coop-atlantique.fr,sjaud@coop-atlantique.fr,ysouchet@coop-atlantique.fr,gaborit.aline@hotmail.fr")</f>
        <v>uexpress.lencloitre.direction@systeme-u.fr,nbrigant@coop-atlantique.fr,sjaud@coop-atlantique.fr,ysouchet@coop-atlantique.fr,gaborit.aline@hotmail.fr</v>
      </c>
      <c r="L510" t="str">
        <f ca="1">IFERROR(__xludf.DUMMYFUNCTION("""COMPUTED_VALUE"""),"")</f>
        <v/>
      </c>
      <c r="M510" t="str">
        <f ca="1">IFERROR(__xludf.DUMMYFUNCTION("""COMPUTED_VALUE"""),"99.Hors Périmetre")</f>
        <v>99.Hors Périmetre</v>
      </c>
      <c r="N510" t="str">
        <f ca="1">IFERROR(__xludf.DUMMYFUNCTION("""COMPUTED_VALUE"""),"")</f>
        <v/>
      </c>
      <c r="O510" t="str">
        <f ca="1">IFERROR(__xludf.DUMMYFUNCTION("""COMPUTED_VALUE"""),"")</f>
        <v/>
      </c>
      <c r="P510" t="str">
        <f ca="1">IFERROR(__xludf.DUMMYFUNCTION("""COMPUTED_VALUE"""),"")</f>
        <v/>
      </c>
      <c r="Q510" s="5" t="str">
        <f ca="1">IFERROR(__xludf.DUMMYFUNCTION("""COMPUTED_VALUE"""),"")</f>
        <v/>
      </c>
      <c r="R510" s="6" t="str">
        <f ca="1">IFERROR(__xludf.DUMMYFUNCTION("""COMPUTED_VALUE"""),"")</f>
        <v/>
      </c>
      <c r="S510" t="str">
        <f ca="1">IFERROR(__xludf.DUMMYFUNCTION("""COMPUTED_VALUE"""),"")</f>
        <v/>
      </c>
      <c r="T510" t="str">
        <f ca="1">IFERROR(__xludf.DUMMYFUNCTION("""COMPUTED_VALUE"""),"")</f>
        <v/>
      </c>
      <c r="U510" t="str">
        <f ca="1">IFERROR(__xludf.DUMMYFUNCTION("""COMPUTED_VALUE"""),"")</f>
        <v/>
      </c>
      <c r="V510" t="str">
        <f ca="1">IFERROR(__xludf.DUMMYFUNCTION("""COMPUTED_VALUE"""),"")</f>
        <v/>
      </c>
      <c r="W510" t="str">
        <f ca="1">IFERROR(__xludf.DUMMYFUNCTION("""COMPUTED_VALUE"""),"")</f>
        <v/>
      </c>
      <c r="X510" t="str">
        <f ca="1">IFERROR(__xludf.DUMMYFUNCTION("""COMPUTED_VALUE"""),"")</f>
        <v/>
      </c>
      <c r="Y510" t="str">
        <f ca="1">IFERROR(__xludf.DUMMYFUNCTION("""COMPUTED_VALUE"""),"")</f>
        <v/>
      </c>
      <c r="Z510" t="str">
        <f ca="1">IFERROR(__xludf.DUMMYFUNCTION("""COMPUTED_VALUE"""),"")</f>
        <v/>
      </c>
      <c r="AA510" t="str">
        <f ca="1">IFERROR(__xludf.DUMMYFUNCTION("""COMPUTED_VALUE"""),"Pas de commande")</f>
        <v>Pas de commande</v>
      </c>
      <c r="AB510" s="8" t="str">
        <f ca="1">IFERROR(__xludf.DUMMYFUNCTION("""COMPUTED_VALUE"""),"")</f>
        <v/>
      </c>
      <c r="AC510" s="8" t="str">
        <f ca="1">IFERROR(__xludf.DUMMYFUNCTION("""COMPUTED_VALUE"""),"")</f>
        <v/>
      </c>
      <c r="AD510" s="11" t="str">
        <f ca="1">IFERROR(__xludf.DUMMYFUNCTION("""COMPUTED_VALUE"""),"")</f>
        <v/>
      </c>
      <c r="AE510" t="str">
        <f ca="1">IFERROR(__xludf.DUMMYFUNCTION("""COMPUTED_VALUE"""),"")</f>
        <v/>
      </c>
    </row>
    <row r="511" spans="1:31" ht="12.75" x14ac:dyDescent="0.2">
      <c r="A511">
        <f ca="1">IFERROR(__xludf.DUMMYFUNCTION("""COMPUTED_VALUE"""),96951)</f>
        <v>96951</v>
      </c>
      <c r="B511" t="str">
        <f ca="1">IFERROR(__xludf.DUMMYFUNCTION("""COMPUTED_VALUE"""),"LEOGNAN")</f>
        <v>LEOGNAN</v>
      </c>
      <c r="C511" t="str">
        <f ca="1">IFERROR(__xludf.DUMMYFUNCTION("""COMPUTED_VALUE"""),"U Express")</f>
        <v>U Express</v>
      </c>
      <c r="D511" t="str">
        <f ca="1">IFERROR(__xludf.DUMMYFUNCTION("""COMPUTED_VALUE"""),"Coop U Enseigne Sud")</f>
        <v>Coop U Enseigne Sud</v>
      </c>
      <c r="E511">
        <f ca="1">IFERROR(__xludf.DUMMYFUNCTION("""COMPUTED_VALUE"""),33850)</f>
        <v>33850</v>
      </c>
      <c r="F511" t="str">
        <f ca="1">IFERROR(__xludf.DUMMYFUNCTION("""COMPUTED_VALUE"""),"2 AVENUE DE BORDEAUX")</f>
        <v>2 AVENUE DE BORDEAUX</v>
      </c>
      <c r="G511" t="str">
        <f ca="1">IFERROR(__xludf.DUMMYFUNCTION("""COMPUTED_VALUE"""),"05.56.64.78.25")</f>
        <v>05.56.64.78.25</v>
      </c>
      <c r="H511" t="str">
        <f ca="1">IFERROR(__xludf.DUMMYFUNCTION("""COMPUTED_VALUE"""),"SANGNIER Bertrand")</f>
        <v>SANGNIER Bertrand</v>
      </c>
      <c r="I511" t="str">
        <f ca="1">IFERROR(__xludf.DUMMYFUNCTION("""COMPUTED_VALUE"""),"bertrand.sangnier@systeme-u.fr")</f>
        <v>bertrand.sangnier@systeme-u.fr</v>
      </c>
      <c r="J511" t="str">
        <f ca="1">IFERROR(__xludf.DUMMYFUNCTION("""COMPUTED_VALUE"""),"")</f>
        <v/>
      </c>
      <c r="K511" t="str">
        <f ca="1">IFERROR(__xludf.DUMMYFUNCTION("""COMPUTED_VALUE"""),"")</f>
        <v/>
      </c>
      <c r="L511" t="str">
        <f ca="1">IFERROR(__xludf.DUMMYFUNCTION("""COMPUTED_VALUE"""),"")</f>
        <v/>
      </c>
      <c r="M511" t="str">
        <f ca="1">IFERROR(__xludf.DUMMYFUNCTION("""COMPUTED_VALUE"""),"99.Hors Périmetre")</f>
        <v>99.Hors Périmetre</v>
      </c>
      <c r="N511" t="str">
        <f ca="1">IFERROR(__xludf.DUMMYFUNCTION("""COMPUTED_VALUE"""),"")</f>
        <v/>
      </c>
      <c r="O511" t="str">
        <f ca="1">IFERROR(__xludf.DUMMYFUNCTION("""COMPUTED_VALUE"""),"")</f>
        <v/>
      </c>
      <c r="P511" t="str">
        <f ca="1">IFERROR(__xludf.DUMMYFUNCTION("""COMPUTED_VALUE"""),"")</f>
        <v/>
      </c>
      <c r="Q511" s="5" t="str">
        <f ca="1">IFERROR(__xludf.DUMMYFUNCTION("""COMPUTED_VALUE"""),"")</f>
        <v/>
      </c>
      <c r="R511" s="6" t="str">
        <f ca="1">IFERROR(__xludf.DUMMYFUNCTION("""COMPUTED_VALUE"""),"")</f>
        <v/>
      </c>
      <c r="S511" t="str">
        <f ca="1">IFERROR(__xludf.DUMMYFUNCTION("""COMPUTED_VALUE"""),"")</f>
        <v/>
      </c>
      <c r="T511" t="str">
        <f ca="1">IFERROR(__xludf.DUMMYFUNCTION("""COMPUTED_VALUE"""),"")</f>
        <v/>
      </c>
      <c r="U511" t="str">
        <f ca="1">IFERROR(__xludf.DUMMYFUNCTION("""COMPUTED_VALUE"""),"")</f>
        <v/>
      </c>
      <c r="V511" t="str">
        <f ca="1">IFERROR(__xludf.DUMMYFUNCTION("""COMPUTED_VALUE"""),"")</f>
        <v/>
      </c>
      <c r="W511" t="str">
        <f ca="1">IFERROR(__xludf.DUMMYFUNCTION("""COMPUTED_VALUE"""),"")</f>
        <v/>
      </c>
      <c r="X511" t="str">
        <f ca="1">IFERROR(__xludf.DUMMYFUNCTION("""COMPUTED_VALUE"""),"")</f>
        <v/>
      </c>
      <c r="Y511" t="str">
        <f ca="1">IFERROR(__xludf.DUMMYFUNCTION("""COMPUTED_VALUE"""),"")</f>
        <v/>
      </c>
      <c r="Z511" t="str">
        <f ca="1">IFERROR(__xludf.DUMMYFUNCTION("""COMPUTED_VALUE"""),"")</f>
        <v/>
      </c>
      <c r="AA511" t="str">
        <f ca="1">IFERROR(__xludf.DUMMYFUNCTION("""COMPUTED_VALUE"""),"Pas de commande")</f>
        <v>Pas de commande</v>
      </c>
      <c r="AB511" s="8" t="str">
        <f ca="1">IFERROR(__xludf.DUMMYFUNCTION("""COMPUTED_VALUE"""),"")</f>
        <v/>
      </c>
      <c r="AC511" s="8" t="str">
        <f ca="1">IFERROR(__xludf.DUMMYFUNCTION("""COMPUTED_VALUE"""),"")</f>
        <v/>
      </c>
      <c r="AD511" s="11" t="str">
        <f ca="1">IFERROR(__xludf.DUMMYFUNCTION("""COMPUTED_VALUE"""),"")</f>
        <v/>
      </c>
      <c r="AE511" t="str">
        <f ca="1">IFERROR(__xludf.DUMMYFUNCTION("""COMPUTED_VALUE"""),"")</f>
        <v/>
      </c>
    </row>
    <row r="512" spans="1:31" ht="12.75" x14ac:dyDescent="0.2">
      <c r="A512">
        <f ca="1">IFERROR(__xludf.DUMMYFUNCTION("""COMPUTED_VALUE"""),35371)</f>
        <v>35371</v>
      </c>
      <c r="B512" t="str">
        <f ca="1">IFERROR(__xludf.DUMMYFUNCTION("""COMPUTED_VALUE"""),"LES ABYMES ROCADE")</f>
        <v>LES ABYMES ROCADE</v>
      </c>
      <c r="C512" t="str">
        <f ca="1">IFERROR(__xludf.DUMMYFUNCTION("""COMPUTED_VALUE"""),"Super U")</f>
        <v>Super U</v>
      </c>
      <c r="D512" t="str">
        <f ca="1">IFERROR(__xludf.DUMMYFUNCTION("""COMPUTED_VALUE"""),"Coop U Enseigne Ouest")</f>
        <v>Coop U Enseigne Ouest</v>
      </c>
      <c r="E512">
        <f ca="1">IFERROR(__xludf.DUMMYFUNCTION("""COMPUTED_VALUE"""),97139)</f>
        <v>97139</v>
      </c>
      <c r="F512" t="str">
        <f ca="1">IFERROR(__xludf.DUMMYFUNCTION("""COMPUTED_VALUE"""),"CENTRE COMMERCIAL LA ROCADE")</f>
        <v>CENTRE COMMERCIAL LA ROCADE</v>
      </c>
      <c r="G512" t="str">
        <f ca="1">IFERROR(__xludf.DUMMYFUNCTION("""COMPUTED_VALUE"""),"05.90.90.36.81")</f>
        <v>05.90.90.36.81</v>
      </c>
      <c r="H512" t="str">
        <f ca="1">IFERROR(__xludf.DUMMYFUNCTION("""COMPUTED_VALUE"""),"BAPTISTE Evelyne")</f>
        <v>BAPTISTE Evelyne</v>
      </c>
      <c r="I512" t="str">
        <f ca="1">IFERROR(__xludf.DUMMYFUNCTION("""COMPUTED_VALUE"""),"evelyne.baptiste@systeme-u.fr")</f>
        <v>evelyne.baptiste@systeme-u.fr</v>
      </c>
      <c r="J512" t="str">
        <f ca="1">IFERROR(__xludf.DUMMYFUNCTION("""COMPUTED_VALUE"""),"")</f>
        <v/>
      </c>
      <c r="K512" t="str">
        <f ca="1">IFERROR(__xludf.DUMMYFUNCTION("""COMPUTED_VALUE"""),"martine.crevecoeur@systeme-u.fr")</f>
        <v>martine.crevecoeur@systeme-u.fr</v>
      </c>
      <c r="L512" t="str">
        <f ca="1">IFERROR(__xludf.DUMMYFUNCTION("""COMPUTED_VALUE"""),"")</f>
        <v/>
      </c>
      <c r="M512" t="str">
        <f ca="1">IFERROR(__xludf.DUMMYFUNCTION("""COMPUTED_VALUE"""),"99.Hors Périmetre")</f>
        <v>99.Hors Périmetre</v>
      </c>
      <c r="N512" t="str">
        <f ca="1">IFERROR(__xludf.DUMMYFUNCTION("""COMPUTED_VALUE"""),"")</f>
        <v/>
      </c>
      <c r="O512" t="str">
        <f ca="1">IFERROR(__xludf.DUMMYFUNCTION("""COMPUTED_VALUE"""),"")</f>
        <v/>
      </c>
      <c r="P512" t="str">
        <f ca="1">IFERROR(__xludf.DUMMYFUNCTION("""COMPUTED_VALUE"""),"")</f>
        <v/>
      </c>
      <c r="Q512" s="5" t="str">
        <f ca="1">IFERROR(__xludf.DUMMYFUNCTION("""COMPUTED_VALUE"""),"")</f>
        <v/>
      </c>
      <c r="R512" s="6" t="str">
        <f ca="1">IFERROR(__xludf.DUMMYFUNCTION("""COMPUTED_VALUE"""),"")</f>
        <v/>
      </c>
      <c r="S512" t="str">
        <f ca="1">IFERROR(__xludf.DUMMYFUNCTION("""COMPUTED_VALUE"""),"")</f>
        <v/>
      </c>
      <c r="T512" t="str">
        <f ca="1">IFERROR(__xludf.DUMMYFUNCTION("""COMPUTED_VALUE"""),"")</f>
        <v/>
      </c>
      <c r="U512" t="str">
        <f ca="1">IFERROR(__xludf.DUMMYFUNCTION("""COMPUTED_VALUE"""),"")</f>
        <v/>
      </c>
      <c r="V512" t="str">
        <f ca="1">IFERROR(__xludf.DUMMYFUNCTION("""COMPUTED_VALUE"""),"")</f>
        <v/>
      </c>
      <c r="W512" t="str">
        <f ca="1">IFERROR(__xludf.DUMMYFUNCTION("""COMPUTED_VALUE"""),"")</f>
        <v/>
      </c>
      <c r="X512" t="str">
        <f ca="1">IFERROR(__xludf.DUMMYFUNCTION("""COMPUTED_VALUE"""),"")</f>
        <v/>
      </c>
      <c r="Y512" t="str">
        <f ca="1">IFERROR(__xludf.DUMMYFUNCTION("""COMPUTED_VALUE"""),"")</f>
        <v/>
      </c>
      <c r="Z512" t="str">
        <f ca="1">IFERROR(__xludf.DUMMYFUNCTION("""COMPUTED_VALUE"""),"")</f>
        <v/>
      </c>
      <c r="AA512" t="str">
        <f ca="1">IFERROR(__xludf.DUMMYFUNCTION("""COMPUTED_VALUE"""),"Pas de commande")</f>
        <v>Pas de commande</v>
      </c>
      <c r="AB512" s="8" t="str">
        <f ca="1">IFERROR(__xludf.DUMMYFUNCTION("""COMPUTED_VALUE"""),"")</f>
        <v/>
      </c>
      <c r="AC512" s="8" t="str">
        <f ca="1">IFERROR(__xludf.DUMMYFUNCTION("""COMPUTED_VALUE"""),"")</f>
        <v/>
      </c>
      <c r="AD512" s="11" t="str">
        <f ca="1">IFERROR(__xludf.DUMMYFUNCTION("""COMPUTED_VALUE"""),"")</f>
        <v/>
      </c>
      <c r="AE512" t="str">
        <f ca="1">IFERROR(__xludf.DUMMYFUNCTION("""COMPUTED_VALUE"""),"")</f>
        <v/>
      </c>
    </row>
    <row r="513" spans="1:31" ht="12.75" x14ac:dyDescent="0.2">
      <c r="A513">
        <f ca="1">IFERROR(__xludf.DUMMYFUNCTION("""COMPUTED_VALUE"""),90501)</f>
        <v>90501</v>
      </c>
      <c r="B513" t="str">
        <f ca="1">IFERROR(__xludf.DUMMYFUNCTION("""COMPUTED_VALUE"""),"LES ARCS")</f>
        <v>LES ARCS</v>
      </c>
      <c r="C513" t="str">
        <f ca="1">IFERROR(__xludf.DUMMYFUNCTION("""COMPUTED_VALUE"""),"Hyper U")</f>
        <v>Hyper U</v>
      </c>
      <c r="D513" t="str">
        <f ca="1">IFERROR(__xludf.DUMMYFUNCTION("""COMPUTED_VALUE"""),"Coop U Enseigne Sud")</f>
        <v>Coop U Enseigne Sud</v>
      </c>
      <c r="E513">
        <f ca="1">IFERROR(__xludf.DUMMYFUNCTION("""COMPUTED_VALUE"""),83460)</f>
        <v>83460</v>
      </c>
      <c r="F513" t="str">
        <f ca="1">IFERROR(__xludf.DUMMYFUNCTION("""COMPUTED_VALUE"""),"Voie Jacques PREVERT")</f>
        <v>Voie Jacques PREVERT</v>
      </c>
      <c r="G513" t="str">
        <f ca="1">IFERROR(__xludf.DUMMYFUNCTION("""COMPUTED_VALUE"""),"04.98.10.00.60")</f>
        <v>04.98.10.00.60</v>
      </c>
      <c r="H513" t="str">
        <f ca="1">IFERROR(__xludf.DUMMYFUNCTION("""COMPUTED_VALUE"""),"BENHAMOU Stephane")</f>
        <v>BENHAMOU Stephane</v>
      </c>
      <c r="I513" t="str">
        <f ca="1">IFERROR(__xludf.DUMMYFUNCTION("""COMPUTED_VALUE"""),"stephane.benhamou@systeme-u.fr")</f>
        <v>stephane.benhamou@systeme-u.fr</v>
      </c>
      <c r="J513" t="str">
        <f ca="1">IFERROR(__xludf.DUMMYFUNCTION("""COMPUTED_VALUE"""),"Mr Licata")</f>
        <v>Mr Licata</v>
      </c>
      <c r="K513" t="str">
        <f ca="1">IFERROR(__xludf.DUMMYFUNCTION("""COMPUTED_VALUE"""),"a.licata@pacapart.fr")</f>
        <v>a.licata@pacapart.fr</v>
      </c>
      <c r="L513" t="str">
        <f ca="1">IFERROR(__xludf.DUMMYFUNCTION("""COMPUTED_VALUE"""),"Standard")</f>
        <v>Standard</v>
      </c>
      <c r="M513" t="str">
        <f ca="1">IFERROR(__xludf.DUMMYFUNCTION("""COMPUTED_VALUE"""),"0. Non démarré")</f>
        <v>0. Non démarré</v>
      </c>
      <c r="N513" t="str">
        <f ca="1">IFERROR(__xludf.DUMMYFUNCTION("""COMPUTED_VALUE"""),"")</f>
        <v/>
      </c>
      <c r="O513" t="str">
        <f ca="1">IFERROR(__xludf.DUMMYFUNCTION("""COMPUTED_VALUE"""),"")</f>
        <v/>
      </c>
      <c r="P513" t="str">
        <f ca="1">IFERROR(__xludf.DUMMYFUNCTION("""COMPUTED_VALUE"""),"")</f>
        <v/>
      </c>
      <c r="Q513" s="5" t="str">
        <f ca="1">IFERROR(__xludf.DUMMYFUNCTION("""COMPUTED_VALUE"""),"")</f>
        <v/>
      </c>
      <c r="R513" s="6" t="str">
        <f ca="1">IFERROR(__xludf.DUMMYFUNCTION("""COMPUTED_VALUE"""),"")</f>
        <v/>
      </c>
      <c r="S513" t="str">
        <f ca="1">IFERROR(__xludf.DUMMYFUNCTION("""COMPUTED_VALUE"""),"")</f>
        <v/>
      </c>
      <c r="T513" t="str">
        <f ca="1">IFERROR(__xludf.DUMMYFUNCTION("""COMPUTED_VALUE"""),"")</f>
        <v/>
      </c>
      <c r="U513" t="str">
        <f ca="1">IFERROR(__xludf.DUMMYFUNCTION("""COMPUTED_VALUE"""),"")</f>
        <v/>
      </c>
      <c r="V513" t="str">
        <f ca="1">IFERROR(__xludf.DUMMYFUNCTION("""COMPUTED_VALUE"""),"")</f>
        <v/>
      </c>
      <c r="W513" t="str">
        <f ca="1">IFERROR(__xludf.DUMMYFUNCTION("""COMPUTED_VALUE"""),"R5")</f>
        <v>R5</v>
      </c>
      <c r="X513" t="str">
        <f ca="1">IFERROR(__xludf.DUMMYFUNCTION("""COMPUTED_VALUE"""),"Pricer")</f>
        <v>Pricer</v>
      </c>
      <c r="Y513" t="str">
        <f ca="1">IFERROR(__xludf.DUMMYFUNCTION("""COMPUTED_VALUE"""),"")</f>
        <v/>
      </c>
      <c r="Z513" t="str">
        <f ca="1">IFERROR(__xludf.DUMMYFUNCTION("""COMPUTED_VALUE"""),"")</f>
        <v/>
      </c>
      <c r="AA513" t="str">
        <f ca="1">IFERROR(__xludf.DUMMYFUNCTION("""COMPUTED_VALUE"""),"Pas de commande")</f>
        <v>Pas de commande</v>
      </c>
      <c r="AB513" s="8" t="str">
        <f ca="1">IFERROR(__xludf.DUMMYFUNCTION("""COMPUTED_VALUE"""),"")</f>
        <v/>
      </c>
      <c r="AC513" s="8" t="str">
        <f ca="1">IFERROR(__xludf.DUMMYFUNCTION("""COMPUTED_VALUE"""),"")</f>
        <v/>
      </c>
      <c r="AD513" s="11" t="str">
        <f ca="1">IFERROR(__xludf.DUMMYFUNCTION("""COMPUTED_VALUE"""),"")</f>
        <v/>
      </c>
      <c r="AE513" t="str">
        <f ca="1">IFERROR(__xludf.DUMMYFUNCTION("""COMPUTED_VALUE"""),"")</f>
        <v/>
      </c>
    </row>
    <row r="514" spans="1:31" ht="12.75" x14ac:dyDescent="0.2">
      <c r="A514">
        <f ca="1">IFERROR(__xludf.DUMMYFUNCTION("""COMPUTED_VALUE"""),66163)</f>
        <v>66163</v>
      </c>
      <c r="B514" t="str">
        <f ca="1">IFERROR(__xludf.DUMMYFUNCTION("""COMPUTED_VALUE"""),"LES DEUX ALPES")</f>
        <v>LES DEUX ALPES</v>
      </c>
      <c r="C514" t="str">
        <f ca="1">IFERROR(__xludf.DUMMYFUNCTION("""COMPUTED_VALUE"""),"U Express")</f>
        <v>U Express</v>
      </c>
      <c r="D514" t="str">
        <f ca="1">IFERROR(__xludf.DUMMYFUNCTION("""COMPUTED_VALUE"""),"Coop U Enseigne Est")</f>
        <v>Coop U Enseigne Est</v>
      </c>
      <c r="E514">
        <f ca="1">IFERROR(__xludf.DUMMYFUNCTION("""COMPUTED_VALUE"""),38860)</f>
        <v>38860</v>
      </c>
      <c r="F514" t="str">
        <f ca="1">IFERROR(__xludf.DUMMYFUNCTION("""COMPUTED_VALUE"""),"57 avenue de la Muzelle")</f>
        <v>57 avenue de la Muzelle</v>
      </c>
      <c r="G514" t="str">
        <f ca="1">IFERROR(__xludf.DUMMYFUNCTION("""COMPUTED_VALUE"""),"04.76.79.58.63")</f>
        <v>04.76.79.58.63</v>
      </c>
      <c r="H514" t="str">
        <f ca="1">IFERROR(__xludf.DUMMYFUNCTION("""COMPUTED_VALUE"""),"DESQUAIRES Arnaud")</f>
        <v>DESQUAIRES Arnaud</v>
      </c>
      <c r="I514" t="str">
        <f ca="1">IFERROR(__xludf.DUMMYFUNCTION("""COMPUTED_VALUE"""),"arnaud.desquaires@systeme-u.fr")</f>
        <v>arnaud.desquaires@systeme-u.fr</v>
      </c>
      <c r="J514" t="str">
        <f ca="1">IFERROR(__xludf.DUMMYFUNCTION("""COMPUTED_VALUE"""),"")</f>
        <v/>
      </c>
      <c r="K514" t="str">
        <f ca="1">IFERROR(__xludf.DUMMYFUNCTION("""COMPUTED_VALUE"""),"")</f>
        <v/>
      </c>
      <c r="L514" t="str">
        <f ca="1">IFERROR(__xludf.DUMMYFUNCTION("""COMPUTED_VALUE"""),"")</f>
        <v/>
      </c>
      <c r="M514" t="str">
        <f ca="1">IFERROR(__xludf.DUMMYFUNCTION("""COMPUTED_VALUE"""),"99.Hors Périmetre")</f>
        <v>99.Hors Périmetre</v>
      </c>
      <c r="N514" t="str">
        <f ca="1">IFERROR(__xludf.DUMMYFUNCTION("""COMPUTED_VALUE"""),"")</f>
        <v/>
      </c>
      <c r="O514" t="str">
        <f ca="1">IFERROR(__xludf.DUMMYFUNCTION("""COMPUTED_VALUE"""),"")</f>
        <v/>
      </c>
      <c r="P514" t="str">
        <f ca="1">IFERROR(__xludf.DUMMYFUNCTION("""COMPUTED_VALUE"""),"")</f>
        <v/>
      </c>
      <c r="Q514" s="5" t="str">
        <f ca="1">IFERROR(__xludf.DUMMYFUNCTION("""COMPUTED_VALUE"""),"")</f>
        <v/>
      </c>
      <c r="R514" s="6" t="str">
        <f ca="1">IFERROR(__xludf.DUMMYFUNCTION("""COMPUTED_VALUE"""),"")</f>
        <v/>
      </c>
      <c r="S514" t="str">
        <f ca="1">IFERROR(__xludf.DUMMYFUNCTION("""COMPUTED_VALUE"""),"")</f>
        <v/>
      </c>
      <c r="T514" t="str">
        <f ca="1">IFERROR(__xludf.DUMMYFUNCTION("""COMPUTED_VALUE"""),"")</f>
        <v/>
      </c>
      <c r="U514" t="str">
        <f ca="1">IFERROR(__xludf.DUMMYFUNCTION("""COMPUTED_VALUE"""),"")</f>
        <v/>
      </c>
      <c r="V514" t="str">
        <f ca="1">IFERROR(__xludf.DUMMYFUNCTION("""COMPUTED_VALUE"""),"")</f>
        <v/>
      </c>
      <c r="W514" t="str">
        <f ca="1">IFERROR(__xludf.DUMMYFUNCTION("""COMPUTED_VALUE"""),"")</f>
        <v/>
      </c>
      <c r="X514" t="str">
        <f ca="1">IFERROR(__xludf.DUMMYFUNCTION("""COMPUTED_VALUE"""),"")</f>
        <v/>
      </c>
      <c r="Y514" t="str">
        <f ca="1">IFERROR(__xludf.DUMMYFUNCTION("""COMPUTED_VALUE"""),"")</f>
        <v/>
      </c>
      <c r="Z514" t="str">
        <f ca="1">IFERROR(__xludf.DUMMYFUNCTION("""COMPUTED_VALUE"""),"")</f>
        <v/>
      </c>
      <c r="AA514" t="str">
        <f ca="1">IFERROR(__xludf.DUMMYFUNCTION("""COMPUTED_VALUE"""),"Pas de commande")</f>
        <v>Pas de commande</v>
      </c>
      <c r="AB514" s="8" t="str">
        <f ca="1">IFERROR(__xludf.DUMMYFUNCTION("""COMPUTED_VALUE"""),"")</f>
        <v/>
      </c>
      <c r="AC514" s="8" t="str">
        <f ca="1">IFERROR(__xludf.DUMMYFUNCTION("""COMPUTED_VALUE"""),"")</f>
        <v/>
      </c>
      <c r="AD514" s="11" t="str">
        <f ca="1">IFERROR(__xludf.DUMMYFUNCTION("""COMPUTED_VALUE"""),"")</f>
        <v/>
      </c>
      <c r="AE514" t="str">
        <f ca="1">IFERROR(__xludf.DUMMYFUNCTION("""COMPUTED_VALUE"""),"")</f>
        <v/>
      </c>
    </row>
    <row r="515" spans="1:31" ht="12.75" x14ac:dyDescent="0.2">
      <c r="A515">
        <f ca="1">IFERROR(__xludf.DUMMYFUNCTION("""COMPUTED_VALUE"""),30205)</f>
        <v>30205</v>
      </c>
      <c r="B515" t="str">
        <f ca="1">IFERROR(__xludf.DUMMYFUNCTION("""COMPUTED_VALUE"""),"LES ESSARTS")</f>
        <v>LES ESSARTS</v>
      </c>
      <c r="C515" t="str">
        <f ca="1">IFERROR(__xludf.DUMMYFUNCTION("""COMPUTED_VALUE"""),"Super U")</f>
        <v>Super U</v>
      </c>
      <c r="D515" t="str">
        <f ca="1">IFERROR(__xludf.DUMMYFUNCTION("""COMPUTED_VALUE"""),"Coop U Enseigne Ouest")</f>
        <v>Coop U Enseigne Ouest</v>
      </c>
      <c r="E515">
        <f ca="1">IFERROR(__xludf.DUMMYFUNCTION("""COMPUTED_VALUE"""),85140)</f>
        <v>85140</v>
      </c>
      <c r="F515" t="str">
        <f ca="1">IFERROR(__xludf.DUMMYFUNCTION("""COMPUTED_VALUE"""),"ROUTE DE LA ROCHE SUR YON")</f>
        <v>ROUTE DE LA ROCHE SUR YON</v>
      </c>
      <c r="G515" t="str">
        <f ca="1">IFERROR(__xludf.DUMMYFUNCTION("""COMPUTED_VALUE"""),"02.51.48.43.43")</f>
        <v>02.51.48.43.43</v>
      </c>
      <c r="H515" t="str">
        <f ca="1">IFERROR(__xludf.DUMMYFUNCTION("""COMPUTED_VALUE"""),"LAIGLE Daniel")</f>
        <v>LAIGLE Daniel</v>
      </c>
      <c r="I515" t="str">
        <f ca="1">IFERROR(__xludf.DUMMYFUNCTION("""COMPUTED_VALUE"""),"daniel.laigle@systeme-u.fr")</f>
        <v>daniel.laigle@systeme-u.fr</v>
      </c>
      <c r="J515" t="str">
        <f ca="1">IFERROR(__xludf.DUMMYFUNCTION("""COMPUTED_VALUE"""),"Mme. CHAPLEAU
Mr ANGIBEAU (directeur)")</f>
        <v>Mme. CHAPLEAU
Mr ANGIBEAU (directeur)</v>
      </c>
      <c r="K515" t="str">
        <f ca="1">IFERROR(__xludf.DUMMYFUNCTION("""COMPUTED_VALUE"""),"superu.lesessarts.compta@systeme-u.fr, superu.lesessarts@systeme-u.fr")</f>
        <v>superu.lesessarts.compta@systeme-u.fr, superu.lesessarts@systeme-u.fr</v>
      </c>
      <c r="L515" t="str">
        <f ca="1">IFERROR(__xludf.DUMMYFUNCTION("""COMPUTED_VALUE"""),"")</f>
        <v/>
      </c>
      <c r="M515" t="str">
        <f ca="1">IFERROR(__xludf.DUMMYFUNCTION("""COMPUTED_VALUE"""),"99.Hors Périmetre")</f>
        <v>99.Hors Périmetre</v>
      </c>
      <c r="N515" t="str">
        <f ca="1">IFERROR(__xludf.DUMMYFUNCTION("""COMPUTED_VALUE"""),"")</f>
        <v/>
      </c>
      <c r="O515" t="str">
        <f ca="1">IFERROR(__xludf.DUMMYFUNCTION("""COMPUTED_VALUE"""),"")</f>
        <v/>
      </c>
      <c r="P515" t="str">
        <f ca="1">IFERROR(__xludf.DUMMYFUNCTION("""COMPUTED_VALUE"""),"")</f>
        <v/>
      </c>
      <c r="Q515" s="5" t="str">
        <f ca="1">IFERROR(__xludf.DUMMYFUNCTION("""COMPUTED_VALUE"""),"")</f>
        <v/>
      </c>
      <c r="R515" s="6" t="str">
        <f ca="1">IFERROR(__xludf.DUMMYFUNCTION("""COMPUTED_VALUE"""),"")</f>
        <v/>
      </c>
      <c r="S515" t="str">
        <f ca="1">IFERROR(__xludf.DUMMYFUNCTION("""COMPUTED_VALUE"""),"")</f>
        <v/>
      </c>
      <c r="T515" t="str">
        <f ca="1">IFERROR(__xludf.DUMMYFUNCTION("""COMPUTED_VALUE"""),"")</f>
        <v/>
      </c>
      <c r="U515" t="str">
        <f ca="1">IFERROR(__xludf.DUMMYFUNCTION("""COMPUTED_VALUE"""),"")</f>
        <v/>
      </c>
      <c r="V515" t="str">
        <f ca="1">IFERROR(__xludf.DUMMYFUNCTION("""COMPUTED_VALUE"""),"")</f>
        <v/>
      </c>
      <c r="W515" t="str">
        <f ca="1">IFERROR(__xludf.DUMMYFUNCTION("""COMPUTED_VALUE"""),"")</f>
        <v/>
      </c>
      <c r="X515" t="str">
        <f ca="1">IFERROR(__xludf.DUMMYFUNCTION("""COMPUTED_VALUE"""),"")</f>
        <v/>
      </c>
      <c r="Y515" t="str">
        <f ca="1">IFERROR(__xludf.DUMMYFUNCTION("""COMPUTED_VALUE"""),"")</f>
        <v/>
      </c>
      <c r="Z515" t="str">
        <f ca="1">IFERROR(__xludf.DUMMYFUNCTION("""COMPUTED_VALUE"""),"")</f>
        <v/>
      </c>
      <c r="AA515" t="str">
        <f ca="1">IFERROR(__xludf.DUMMYFUNCTION("""COMPUTED_VALUE"""),"Pas de commande")</f>
        <v>Pas de commande</v>
      </c>
      <c r="AB515" s="8" t="str">
        <f ca="1">IFERROR(__xludf.DUMMYFUNCTION("""COMPUTED_VALUE"""),"")</f>
        <v/>
      </c>
      <c r="AC515" s="8" t="str">
        <f ca="1">IFERROR(__xludf.DUMMYFUNCTION("""COMPUTED_VALUE"""),"")</f>
        <v/>
      </c>
      <c r="AD515" s="11" t="str">
        <f ca="1">IFERROR(__xludf.DUMMYFUNCTION("""COMPUTED_VALUE"""),"")</f>
        <v/>
      </c>
      <c r="AE515" t="str">
        <f ca="1">IFERROR(__xludf.DUMMYFUNCTION("""COMPUTED_VALUE"""),"")</f>
        <v/>
      </c>
    </row>
    <row r="516" spans="1:31" ht="12.75" x14ac:dyDescent="0.2">
      <c r="A516">
        <f ca="1">IFERROR(__xludf.DUMMYFUNCTION("""COMPUTED_VALUE"""),24413)</f>
        <v>24413</v>
      </c>
      <c r="B516" t="str">
        <f ca="1">IFERROR(__xludf.DUMMYFUNCTION("""COMPUTED_VALUE"""),"LES ESSARTS LR")</f>
        <v>LES ESSARTS LR</v>
      </c>
      <c r="C516" t="str">
        <f ca="1">IFERROR(__xludf.DUMMYFUNCTION("""COMPUTED_VALUE"""),"U Express")</f>
        <v>U Express</v>
      </c>
      <c r="D516" t="str">
        <f ca="1">IFERROR(__xludf.DUMMYFUNCTION("""COMPUTED_VALUE"""),"Coop U Enseigne NordOuest")</f>
        <v>Coop U Enseigne NordOuest</v>
      </c>
      <c r="E516">
        <f ca="1">IFERROR(__xludf.DUMMYFUNCTION("""COMPUTED_VALUE"""),78690)</f>
        <v>78690</v>
      </c>
      <c r="F516" t="str">
        <f ca="1">IFERROR(__xludf.DUMMYFUNCTION("""COMPUTED_VALUE"""),"20 RUE MAUBERT")</f>
        <v>20 RUE MAUBERT</v>
      </c>
      <c r="G516" t="str">
        <f ca="1">IFERROR(__xludf.DUMMYFUNCTION("""COMPUTED_VALUE"""),"01.30.41.68.60")</f>
        <v>01.30.41.68.60</v>
      </c>
      <c r="H516" t="str">
        <f ca="1">IFERROR(__xludf.DUMMYFUNCTION("""COMPUTED_VALUE"""),"DELOMMEZ Stéphane")</f>
        <v>DELOMMEZ Stéphane</v>
      </c>
      <c r="I516" t="str">
        <f ca="1">IFERROR(__xludf.DUMMYFUNCTION("""COMPUTED_VALUE"""),"stephane.delommez@systeme-u.fr")</f>
        <v>stephane.delommez@systeme-u.fr</v>
      </c>
      <c r="J516" t="str">
        <f ca="1">IFERROR(__xludf.DUMMYFUNCTION("""COMPUTED_VALUE"""),"M. Dupuis")</f>
        <v>M. Dupuis</v>
      </c>
      <c r="K516" t="str">
        <f ca="1">IFERROR(__xludf.DUMMYFUNCTION("""COMPUTED_VALUE"""),"uexpress.lesessartsleroi@systeme-u.fr")</f>
        <v>uexpress.lesessartsleroi@systeme-u.fr</v>
      </c>
      <c r="L516" t="str">
        <f ca="1">IFERROR(__xludf.DUMMYFUNCTION("""COMPUTED_VALUE"""),"")</f>
        <v/>
      </c>
      <c r="M516" t="str">
        <f ca="1">IFERROR(__xludf.DUMMYFUNCTION("""COMPUTED_VALUE"""),"99.Hors Périmetre")</f>
        <v>99.Hors Périmetre</v>
      </c>
      <c r="N516" t="str">
        <f ca="1">IFERROR(__xludf.DUMMYFUNCTION("""COMPUTED_VALUE"""),"")</f>
        <v/>
      </c>
      <c r="O516" t="str">
        <f ca="1">IFERROR(__xludf.DUMMYFUNCTION("""COMPUTED_VALUE"""),"")</f>
        <v/>
      </c>
      <c r="P516" t="str">
        <f ca="1">IFERROR(__xludf.DUMMYFUNCTION("""COMPUTED_VALUE"""),"")</f>
        <v/>
      </c>
      <c r="Q516" s="5" t="str">
        <f ca="1">IFERROR(__xludf.DUMMYFUNCTION("""COMPUTED_VALUE"""),"")</f>
        <v/>
      </c>
      <c r="R516" s="6" t="str">
        <f ca="1">IFERROR(__xludf.DUMMYFUNCTION("""COMPUTED_VALUE"""),"")</f>
        <v/>
      </c>
      <c r="S516" t="str">
        <f ca="1">IFERROR(__xludf.DUMMYFUNCTION("""COMPUTED_VALUE"""),"")</f>
        <v/>
      </c>
      <c r="T516" t="str">
        <f ca="1">IFERROR(__xludf.DUMMYFUNCTION("""COMPUTED_VALUE"""),"")</f>
        <v/>
      </c>
      <c r="U516" t="str">
        <f ca="1">IFERROR(__xludf.DUMMYFUNCTION("""COMPUTED_VALUE"""),"")</f>
        <v/>
      </c>
      <c r="V516" t="str">
        <f ca="1">IFERROR(__xludf.DUMMYFUNCTION("""COMPUTED_VALUE"""),"")</f>
        <v/>
      </c>
      <c r="W516" t="str">
        <f ca="1">IFERROR(__xludf.DUMMYFUNCTION("""COMPUTED_VALUE"""),"")</f>
        <v/>
      </c>
      <c r="X516" t="str">
        <f ca="1">IFERROR(__xludf.DUMMYFUNCTION("""COMPUTED_VALUE"""),"")</f>
        <v/>
      </c>
      <c r="Y516" t="str">
        <f ca="1">IFERROR(__xludf.DUMMYFUNCTION("""COMPUTED_VALUE"""),"")</f>
        <v/>
      </c>
      <c r="Z516" t="str">
        <f ca="1">IFERROR(__xludf.DUMMYFUNCTION("""COMPUTED_VALUE"""),"")</f>
        <v/>
      </c>
      <c r="AA516" t="str">
        <f ca="1">IFERROR(__xludf.DUMMYFUNCTION("""COMPUTED_VALUE"""),"Pas de commande")</f>
        <v>Pas de commande</v>
      </c>
      <c r="AB516" s="8" t="str">
        <f ca="1">IFERROR(__xludf.DUMMYFUNCTION("""COMPUTED_VALUE"""),"")</f>
        <v/>
      </c>
      <c r="AC516" s="8" t="str">
        <f ca="1">IFERROR(__xludf.DUMMYFUNCTION("""COMPUTED_VALUE"""),"")</f>
        <v/>
      </c>
      <c r="AD516" s="11" t="str">
        <f ca="1">IFERROR(__xludf.DUMMYFUNCTION("""COMPUTED_VALUE"""),"")</f>
        <v/>
      </c>
      <c r="AE516" t="str">
        <f ca="1">IFERROR(__xludf.DUMMYFUNCTION("""COMPUTED_VALUE"""),"")</f>
        <v/>
      </c>
    </row>
    <row r="517" spans="1:31" ht="12.75" x14ac:dyDescent="0.2">
      <c r="A517">
        <f ca="1">IFERROR(__xludf.DUMMYFUNCTION("""COMPUTED_VALUE"""),66121)</f>
        <v>66121</v>
      </c>
      <c r="B517" t="str">
        <f ca="1">IFERROR(__xludf.DUMMYFUNCTION("""COMPUTED_VALUE"""),"LES HOUCHES")</f>
        <v>LES HOUCHES</v>
      </c>
      <c r="C517" t="str">
        <f ca="1">IFERROR(__xludf.DUMMYFUNCTION("""COMPUTED_VALUE"""),"Super U")</f>
        <v>Super U</v>
      </c>
      <c r="D517" t="str">
        <f ca="1">IFERROR(__xludf.DUMMYFUNCTION("""COMPUTED_VALUE"""),"Coop U Enseigne Est")</f>
        <v>Coop U Enseigne Est</v>
      </c>
      <c r="E517">
        <f ca="1">IFERROR(__xludf.DUMMYFUNCTION("""COMPUTED_VALUE"""),74310)</f>
        <v>74310</v>
      </c>
      <c r="F517" t="str">
        <f ca="1">IFERROR(__xludf.DUMMYFUNCTION("""COMPUTED_VALUE"""),"Le Borgeat")</f>
        <v>Le Borgeat</v>
      </c>
      <c r="G517" t="str">
        <f ca="1">IFERROR(__xludf.DUMMYFUNCTION("""COMPUTED_VALUE"""),"04.50.55.51.70")</f>
        <v>04.50.55.51.70</v>
      </c>
      <c r="H517" t="str">
        <f ca="1">IFERROR(__xludf.DUMMYFUNCTION("""COMPUTED_VALUE"""),"PAYOT PERTIN Henri")</f>
        <v>PAYOT PERTIN Henri</v>
      </c>
      <c r="I517" t="str">
        <f ca="1">IFERROR(__xludf.DUMMYFUNCTION("""COMPUTED_VALUE"""),"henri.payot-pertin@systeme-u.fr")</f>
        <v>henri.payot-pertin@systeme-u.fr</v>
      </c>
      <c r="J517" t="str">
        <f ca="1">IFERROR(__xludf.DUMMYFUNCTION("""COMPUTED_VALUE"""),"Karine Chamel")</f>
        <v>Karine Chamel</v>
      </c>
      <c r="K517" t="str">
        <f ca="1">IFERROR(__xludf.DUMMYFUNCTION("""COMPUTED_VALUE"""),"superu.leshouches.direction@systeme-u.fr")</f>
        <v>superu.leshouches.direction@systeme-u.fr</v>
      </c>
      <c r="L517" t="str">
        <f ca="1">IFERROR(__xludf.DUMMYFUNCTION("""COMPUTED_VALUE"""),"")</f>
        <v/>
      </c>
      <c r="M517" t="str">
        <f ca="1">IFERROR(__xludf.DUMMYFUNCTION("""COMPUTED_VALUE"""),"99.Hors Périmetre")</f>
        <v>99.Hors Périmetre</v>
      </c>
      <c r="N517" t="str">
        <f ca="1">IFERROR(__xludf.DUMMYFUNCTION("""COMPUTED_VALUE"""),"")</f>
        <v/>
      </c>
      <c r="O517" t="str">
        <f ca="1">IFERROR(__xludf.DUMMYFUNCTION("""COMPUTED_VALUE"""),"")</f>
        <v/>
      </c>
      <c r="P517" t="str">
        <f ca="1">IFERROR(__xludf.DUMMYFUNCTION("""COMPUTED_VALUE"""),"")</f>
        <v/>
      </c>
      <c r="Q517" s="5" t="str">
        <f ca="1">IFERROR(__xludf.DUMMYFUNCTION("""COMPUTED_VALUE"""),"")</f>
        <v/>
      </c>
      <c r="R517" s="6" t="str">
        <f ca="1">IFERROR(__xludf.DUMMYFUNCTION("""COMPUTED_VALUE"""),"")</f>
        <v/>
      </c>
      <c r="S517" t="str">
        <f ca="1">IFERROR(__xludf.DUMMYFUNCTION("""COMPUTED_VALUE"""),"")</f>
        <v/>
      </c>
      <c r="T517" t="str">
        <f ca="1">IFERROR(__xludf.DUMMYFUNCTION("""COMPUTED_VALUE"""),"")</f>
        <v/>
      </c>
      <c r="U517" t="str">
        <f ca="1">IFERROR(__xludf.DUMMYFUNCTION("""COMPUTED_VALUE"""),"")</f>
        <v/>
      </c>
      <c r="V517" t="str">
        <f ca="1">IFERROR(__xludf.DUMMYFUNCTION("""COMPUTED_VALUE"""),"")</f>
        <v/>
      </c>
      <c r="W517" t="str">
        <f ca="1">IFERROR(__xludf.DUMMYFUNCTION("""COMPUTED_VALUE"""),"")</f>
        <v/>
      </c>
      <c r="X517" t="str">
        <f ca="1">IFERROR(__xludf.DUMMYFUNCTION("""COMPUTED_VALUE"""),"")</f>
        <v/>
      </c>
      <c r="Y517" t="str">
        <f ca="1">IFERROR(__xludf.DUMMYFUNCTION("""COMPUTED_VALUE"""),"")</f>
        <v/>
      </c>
      <c r="Z517" t="str">
        <f ca="1">IFERROR(__xludf.DUMMYFUNCTION("""COMPUTED_VALUE"""),"")</f>
        <v/>
      </c>
      <c r="AA517" t="str">
        <f ca="1">IFERROR(__xludf.DUMMYFUNCTION("""COMPUTED_VALUE"""),"Pas de commande")</f>
        <v>Pas de commande</v>
      </c>
      <c r="AB517" s="8" t="str">
        <f ca="1">IFERROR(__xludf.DUMMYFUNCTION("""COMPUTED_VALUE"""),"")</f>
        <v/>
      </c>
      <c r="AC517" s="8" t="str">
        <f ca="1">IFERROR(__xludf.DUMMYFUNCTION("""COMPUTED_VALUE"""),"")</f>
        <v/>
      </c>
      <c r="AD517" s="11" t="str">
        <f ca="1">IFERROR(__xludf.DUMMYFUNCTION("""COMPUTED_VALUE"""),"")</f>
        <v/>
      </c>
      <c r="AE517" t="str">
        <f ca="1">IFERROR(__xludf.DUMMYFUNCTION("""COMPUTED_VALUE"""),"")</f>
        <v/>
      </c>
    </row>
    <row r="518" spans="1:31" ht="12.75" x14ac:dyDescent="0.2">
      <c r="A518">
        <f ca="1">IFERROR(__xludf.DUMMYFUNCTION("""COMPUTED_VALUE"""),31163)</f>
        <v>31163</v>
      </c>
      <c r="B518" t="str">
        <f ca="1">IFERROR(__xludf.DUMMYFUNCTION("""COMPUTED_VALUE"""),"LES MARINES-ST-HILAIRE")</f>
        <v>LES MARINES-ST-HILAIRE</v>
      </c>
      <c r="C518" t="str">
        <f ca="1">IFERROR(__xludf.DUMMYFUNCTION("""COMPUTED_VALUE"""),"U Express")</f>
        <v>U Express</v>
      </c>
      <c r="D518" t="str">
        <f ca="1">IFERROR(__xludf.DUMMYFUNCTION("""COMPUTED_VALUE"""),"Coop U Enseigne Ouest")</f>
        <v>Coop U Enseigne Ouest</v>
      </c>
      <c r="E518">
        <f ca="1">IFERROR(__xludf.DUMMYFUNCTION("""COMPUTED_VALUE"""),85270)</f>
        <v>85270</v>
      </c>
      <c r="F518" t="str">
        <f ca="1">IFERROR(__xludf.DUMMYFUNCTION("""COMPUTED_VALUE"""),"150 RUE DE LA PEGE")</f>
        <v>150 RUE DE LA PEGE</v>
      </c>
      <c r="G518" t="str">
        <f ca="1">IFERROR(__xludf.DUMMYFUNCTION("""COMPUTED_VALUE"""),"02.51.58.48.45")</f>
        <v>02.51.58.48.45</v>
      </c>
      <c r="H518" t="str">
        <f ca="1">IFERROR(__xludf.DUMMYFUNCTION("""COMPUTED_VALUE"""),"STEPHAN Loic")</f>
        <v>STEPHAN Loic</v>
      </c>
      <c r="I518" t="str">
        <f ca="1">IFERROR(__xludf.DUMMYFUNCTION("""COMPUTED_VALUE"""),"loic.stephan@systeme-u.fr")</f>
        <v>loic.stephan@systeme-u.fr</v>
      </c>
      <c r="J518" t="str">
        <f ca="1">IFERROR(__xludf.DUMMYFUNCTION("""COMPUTED_VALUE"""),"RABILLE Nicolas")</f>
        <v>RABILLE Nicolas</v>
      </c>
      <c r="K518" t="str">
        <f ca="1">IFERROR(__xludf.DUMMYFUNCTION("""COMPUTED_VALUE"""),"superu.saintgillescroixdevie.gescom@systeme-u.fr")</f>
        <v>superu.saintgillescroixdevie.gescom@systeme-u.fr</v>
      </c>
      <c r="L518" t="str">
        <f ca="1">IFERROR(__xludf.DUMMYFUNCTION("""COMPUTED_VALUE"""),"")</f>
        <v/>
      </c>
      <c r="M518" t="str">
        <f ca="1">IFERROR(__xludf.DUMMYFUNCTION("""COMPUTED_VALUE"""),"99.Hors Périmetre")</f>
        <v>99.Hors Périmetre</v>
      </c>
      <c r="N518" t="str">
        <f ca="1">IFERROR(__xludf.DUMMYFUNCTION("""COMPUTED_VALUE"""),"")</f>
        <v/>
      </c>
      <c r="O518" t="str">
        <f ca="1">IFERROR(__xludf.DUMMYFUNCTION("""COMPUTED_VALUE"""),"")</f>
        <v/>
      </c>
      <c r="P518" t="str">
        <f ca="1">IFERROR(__xludf.DUMMYFUNCTION("""COMPUTED_VALUE"""),"")</f>
        <v/>
      </c>
      <c r="Q518" s="5" t="str">
        <f ca="1">IFERROR(__xludf.DUMMYFUNCTION("""COMPUTED_VALUE"""),"")</f>
        <v/>
      </c>
      <c r="R518" s="6" t="str">
        <f ca="1">IFERROR(__xludf.DUMMYFUNCTION("""COMPUTED_VALUE"""),"")</f>
        <v/>
      </c>
      <c r="S518" t="str">
        <f ca="1">IFERROR(__xludf.DUMMYFUNCTION("""COMPUTED_VALUE"""),"")</f>
        <v/>
      </c>
      <c r="T518" t="str">
        <f ca="1">IFERROR(__xludf.DUMMYFUNCTION("""COMPUTED_VALUE"""),"")</f>
        <v/>
      </c>
      <c r="U518" t="str">
        <f ca="1">IFERROR(__xludf.DUMMYFUNCTION("""COMPUTED_VALUE"""),"")</f>
        <v/>
      </c>
      <c r="V518" t="str">
        <f ca="1">IFERROR(__xludf.DUMMYFUNCTION("""COMPUTED_VALUE"""),"")</f>
        <v/>
      </c>
      <c r="W518" t="str">
        <f ca="1">IFERROR(__xludf.DUMMYFUNCTION("""COMPUTED_VALUE"""),"")</f>
        <v/>
      </c>
      <c r="X518" t="str">
        <f ca="1">IFERROR(__xludf.DUMMYFUNCTION("""COMPUTED_VALUE"""),"")</f>
        <v/>
      </c>
      <c r="Y518" t="str">
        <f ca="1">IFERROR(__xludf.DUMMYFUNCTION("""COMPUTED_VALUE"""),"")</f>
        <v/>
      </c>
      <c r="Z518" t="str">
        <f ca="1">IFERROR(__xludf.DUMMYFUNCTION("""COMPUTED_VALUE"""),"")</f>
        <v/>
      </c>
      <c r="AA518" t="str">
        <f ca="1">IFERROR(__xludf.DUMMYFUNCTION("""COMPUTED_VALUE"""),"Pas de commande")</f>
        <v>Pas de commande</v>
      </c>
      <c r="AB518" s="8" t="str">
        <f ca="1">IFERROR(__xludf.DUMMYFUNCTION("""COMPUTED_VALUE"""),"")</f>
        <v/>
      </c>
      <c r="AC518" s="8" t="str">
        <f ca="1">IFERROR(__xludf.DUMMYFUNCTION("""COMPUTED_VALUE"""),"")</f>
        <v/>
      </c>
      <c r="AD518" s="11" t="str">
        <f ca="1">IFERROR(__xludf.DUMMYFUNCTION("""COMPUTED_VALUE"""),"")</f>
        <v/>
      </c>
      <c r="AE518" t="str">
        <f ca="1">IFERROR(__xludf.DUMMYFUNCTION("""COMPUTED_VALUE"""),"")</f>
        <v/>
      </c>
    </row>
    <row r="519" spans="1:31" ht="12.75" x14ac:dyDescent="0.2">
      <c r="A519">
        <f ca="1">IFERROR(__xludf.DUMMYFUNCTION("""COMPUTED_VALUE"""),20450)</f>
        <v>20450</v>
      </c>
      <c r="B519" t="str">
        <f ca="1">IFERROR(__xludf.DUMMYFUNCTION("""COMPUTED_VALUE"""),"LES PIEUX")</f>
        <v>LES PIEUX</v>
      </c>
      <c r="C519" t="str">
        <f ca="1">IFERROR(__xludf.DUMMYFUNCTION("""COMPUTED_VALUE"""),"Super U")</f>
        <v>Super U</v>
      </c>
      <c r="D519" t="str">
        <f ca="1">IFERROR(__xludf.DUMMYFUNCTION("""COMPUTED_VALUE"""),"Coop U Enseigne NordOuest")</f>
        <v>Coop U Enseigne NordOuest</v>
      </c>
      <c r="E519">
        <f ca="1">IFERROR(__xludf.DUMMYFUNCTION("""COMPUTED_VALUE"""),50340)</f>
        <v>50340</v>
      </c>
      <c r="F519" t="str">
        <f ca="1">IFERROR(__xludf.DUMMYFUNCTION("""COMPUTED_VALUE"""),"2 ROUTE DE FLAMANVILLE")</f>
        <v>2 ROUTE DE FLAMANVILLE</v>
      </c>
      <c r="G519" t="str">
        <f ca="1">IFERROR(__xludf.DUMMYFUNCTION("""COMPUTED_VALUE"""),"02.33.52.91.69")</f>
        <v>02.33.52.91.69</v>
      </c>
      <c r="H519" t="str">
        <f ca="1">IFERROR(__xludf.DUMMYFUNCTION("""COMPUTED_VALUE"""),"GAIGNARD Christian")</f>
        <v>GAIGNARD Christian</v>
      </c>
      <c r="I519" t="str">
        <f ca="1">IFERROR(__xludf.DUMMYFUNCTION("""COMPUTED_VALUE"""),"christian.gaignard@systeme-u.fr")</f>
        <v>christian.gaignard@systeme-u.fr</v>
      </c>
      <c r="J519" t="str">
        <f ca="1">IFERROR(__xludf.DUMMYFUNCTION("""COMPUTED_VALUE"""),"M Olivier Hervé")</f>
        <v>M Olivier Hervé</v>
      </c>
      <c r="K519" t="str">
        <f ca="1">IFERROR(__xludf.DUMMYFUNCTION("""COMPUTED_VALUE"""),"herve.olivier@systeme-u.fr")</f>
        <v>herve.olivier@systeme-u.fr</v>
      </c>
      <c r="L519" t="str">
        <f ca="1">IFERROR(__xludf.DUMMYFUNCTION("""COMPUTED_VALUE"""),"")</f>
        <v/>
      </c>
      <c r="M519" t="str">
        <f ca="1">IFERROR(__xludf.DUMMYFUNCTION("""COMPUTED_VALUE"""),"99.Hors Périmetre")</f>
        <v>99.Hors Périmetre</v>
      </c>
      <c r="N519" t="str">
        <f ca="1">IFERROR(__xludf.DUMMYFUNCTION("""COMPUTED_VALUE"""),"")</f>
        <v/>
      </c>
      <c r="O519" t="str">
        <f ca="1">IFERROR(__xludf.DUMMYFUNCTION("""COMPUTED_VALUE"""),"")</f>
        <v/>
      </c>
      <c r="P519" t="str">
        <f ca="1">IFERROR(__xludf.DUMMYFUNCTION("""COMPUTED_VALUE"""),"")</f>
        <v/>
      </c>
      <c r="Q519" s="5" t="str">
        <f ca="1">IFERROR(__xludf.DUMMYFUNCTION("""COMPUTED_VALUE"""),"")</f>
        <v/>
      </c>
      <c r="R519" s="6" t="str">
        <f ca="1">IFERROR(__xludf.DUMMYFUNCTION("""COMPUTED_VALUE"""),"")</f>
        <v/>
      </c>
      <c r="S519" t="str">
        <f ca="1">IFERROR(__xludf.DUMMYFUNCTION("""COMPUTED_VALUE"""),"")</f>
        <v/>
      </c>
      <c r="T519" t="str">
        <f ca="1">IFERROR(__xludf.DUMMYFUNCTION("""COMPUTED_VALUE"""),"")</f>
        <v/>
      </c>
      <c r="U519" t="str">
        <f ca="1">IFERROR(__xludf.DUMMYFUNCTION("""COMPUTED_VALUE"""),"")</f>
        <v/>
      </c>
      <c r="V519" t="str">
        <f ca="1">IFERROR(__xludf.DUMMYFUNCTION("""COMPUTED_VALUE"""),"")</f>
        <v/>
      </c>
      <c r="W519" t="str">
        <f ca="1">IFERROR(__xludf.DUMMYFUNCTION("""COMPUTED_VALUE"""),"")</f>
        <v/>
      </c>
      <c r="X519" t="str">
        <f ca="1">IFERROR(__xludf.DUMMYFUNCTION("""COMPUTED_VALUE"""),"")</f>
        <v/>
      </c>
      <c r="Y519" t="str">
        <f ca="1">IFERROR(__xludf.DUMMYFUNCTION("""COMPUTED_VALUE"""),"")</f>
        <v/>
      </c>
      <c r="Z519" t="str">
        <f ca="1">IFERROR(__xludf.DUMMYFUNCTION("""COMPUTED_VALUE"""),"")</f>
        <v/>
      </c>
      <c r="AA519" t="str">
        <f ca="1">IFERROR(__xludf.DUMMYFUNCTION("""COMPUTED_VALUE"""),"Pas de commande")</f>
        <v>Pas de commande</v>
      </c>
      <c r="AB519" s="8" t="str">
        <f ca="1">IFERROR(__xludf.DUMMYFUNCTION("""COMPUTED_VALUE"""),"")</f>
        <v/>
      </c>
      <c r="AC519" s="8" t="str">
        <f ca="1">IFERROR(__xludf.DUMMYFUNCTION("""COMPUTED_VALUE"""),"")</f>
        <v/>
      </c>
      <c r="AD519" s="11" t="str">
        <f ca="1">IFERROR(__xludf.DUMMYFUNCTION("""COMPUTED_VALUE"""),"")</f>
        <v/>
      </c>
      <c r="AE519" t="str">
        <f ca="1">IFERROR(__xludf.DUMMYFUNCTION("""COMPUTED_VALUE"""),"")</f>
        <v/>
      </c>
    </row>
    <row r="520" spans="1:31" ht="12.75" x14ac:dyDescent="0.2">
      <c r="A520">
        <f ca="1">IFERROR(__xludf.DUMMYFUNCTION("""COMPUTED_VALUE"""),32992)</f>
        <v>32992</v>
      </c>
      <c r="B520" t="str">
        <f ca="1">IFERROR(__xludf.DUMMYFUNCTION("""COMPUTED_VALUE"""),"LES SABLES LA CHAUME")</f>
        <v>LES SABLES LA CHAUME</v>
      </c>
      <c r="C520" t="str">
        <f ca="1">IFERROR(__xludf.DUMMYFUNCTION("""COMPUTED_VALUE"""),"Super U")</f>
        <v>Super U</v>
      </c>
      <c r="D520" t="str">
        <f ca="1">IFERROR(__xludf.DUMMYFUNCTION("""COMPUTED_VALUE"""),"Coop U Enseigne Ouest")</f>
        <v>Coop U Enseigne Ouest</v>
      </c>
      <c r="E520">
        <f ca="1">IFERROR(__xludf.DUMMYFUNCTION("""COMPUTED_VALUE"""),85100)</f>
        <v>85100</v>
      </c>
      <c r="F520" t="str">
        <f ca="1">IFERROR(__xludf.DUMMYFUNCTION("""COMPUTED_VALUE"""),"68 RUE JOSEPH BENATIER")</f>
        <v>68 RUE JOSEPH BENATIER</v>
      </c>
      <c r="G520" t="str">
        <f ca="1">IFERROR(__xludf.DUMMYFUNCTION("""COMPUTED_VALUE"""),"02.51.32.46.51")</f>
        <v>02.51.32.46.51</v>
      </c>
      <c r="H520" t="str">
        <f ca="1">IFERROR(__xludf.DUMMYFUNCTION("""COMPUTED_VALUE"""),"THOUZEAU RPT SAS SO LI FI T Lionel")</f>
        <v>THOUZEAU RPT SAS SO LI FI T Lionel</v>
      </c>
      <c r="I520" t="str">
        <f ca="1">IFERROR(__xludf.DUMMYFUNCTION("""COMPUTED_VALUE"""),"lionel.thouzeau@systeme-u.fr")</f>
        <v>lionel.thouzeau@systeme-u.fr</v>
      </c>
      <c r="J520" t="str">
        <f ca="1">IFERROR(__xludf.DUMMYFUNCTION("""COMPUTED_VALUE"""),"Patrick BERNARD
Charles Henry THOUZEAU (fils de l'associé, futur associé, destinataire de mail mais pas référent)
Mme Mallorie (UPLV)")</f>
        <v>Patrick BERNARD
Charles Henry THOUZEAU (fils de l'associé, futur associé, destinataire de mail mais pas référent)
Mme Mallorie (UPLV)</v>
      </c>
      <c r="K520" t="str">
        <f ca="1">IFERROR(__xludf.DUMMYFUNCTION("""COMPUTED_VALUE"""),"superu.lachaume.administratif@systeme-u.fr,charles-henri.thouzeau@systeme-u.fr, superu.lachaume.affichage@systeme-u.fr")</f>
        <v>superu.lachaume.administratif@systeme-u.fr,charles-henri.thouzeau@systeme-u.fr, superu.lachaume.affichage@systeme-u.fr</v>
      </c>
      <c r="L520" t="str">
        <f ca="1">IFERROR(__xludf.DUMMYFUNCTION("""COMPUTED_VALUE"""),"")</f>
        <v/>
      </c>
      <c r="M520" t="str">
        <f ca="1">IFERROR(__xludf.DUMMYFUNCTION("""COMPUTED_VALUE"""),"99.Hors Périmetre")</f>
        <v>99.Hors Périmetre</v>
      </c>
      <c r="N520" t="str">
        <f ca="1">IFERROR(__xludf.DUMMYFUNCTION("""COMPUTED_VALUE"""),"")</f>
        <v/>
      </c>
      <c r="O520" t="str">
        <f ca="1">IFERROR(__xludf.DUMMYFUNCTION("""COMPUTED_VALUE"""),"")</f>
        <v/>
      </c>
      <c r="P520" t="str">
        <f ca="1">IFERROR(__xludf.DUMMYFUNCTION("""COMPUTED_VALUE"""),"")</f>
        <v/>
      </c>
      <c r="Q520" s="5" t="str">
        <f ca="1">IFERROR(__xludf.DUMMYFUNCTION("""COMPUTED_VALUE"""),"")</f>
        <v/>
      </c>
      <c r="R520" s="6" t="str">
        <f ca="1">IFERROR(__xludf.DUMMYFUNCTION("""COMPUTED_VALUE"""),"")</f>
        <v/>
      </c>
      <c r="S520" t="str">
        <f ca="1">IFERROR(__xludf.DUMMYFUNCTION("""COMPUTED_VALUE"""),"")</f>
        <v/>
      </c>
      <c r="T520" t="str">
        <f ca="1">IFERROR(__xludf.DUMMYFUNCTION("""COMPUTED_VALUE"""),"")</f>
        <v/>
      </c>
      <c r="U520" t="str">
        <f ca="1">IFERROR(__xludf.DUMMYFUNCTION("""COMPUTED_VALUE"""),"")</f>
        <v/>
      </c>
      <c r="V520" t="str">
        <f ca="1">IFERROR(__xludf.DUMMYFUNCTION("""COMPUTED_VALUE"""),"")</f>
        <v/>
      </c>
      <c r="W520" t="str">
        <f ca="1">IFERROR(__xludf.DUMMYFUNCTION("""COMPUTED_VALUE"""),"")</f>
        <v/>
      </c>
      <c r="X520" t="str">
        <f ca="1">IFERROR(__xludf.DUMMYFUNCTION("""COMPUTED_VALUE"""),"")</f>
        <v/>
      </c>
      <c r="Y520" t="str">
        <f ca="1">IFERROR(__xludf.DUMMYFUNCTION("""COMPUTED_VALUE"""),"")</f>
        <v/>
      </c>
      <c r="Z520" t="str">
        <f ca="1">IFERROR(__xludf.DUMMYFUNCTION("""COMPUTED_VALUE"""),"")</f>
        <v/>
      </c>
      <c r="AA520" t="str">
        <f ca="1">IFERROR(__xludf.DUMMYFUNCTION("""COMPUTED_VALUE"""),"Pas de commande")</f>
        <v>Pas de commande</v>
      </c>
      <c r="AB520" s="8" t="str">
        <f ca="1">IFERROR(__xludf.DUMMYFUNCTION("""COMPUTED_VALUE"""),"")</f>
        <v/>
      </c>
      <c r="AC520" s="8" t="str">
        <f ca="1">IFERROR(__xludf.DUMMYFUNCTION("""COMPUTED_VALUE"""),"")</f>
        <v/>
      </c>
      <c r="AD520" s="11" t="str">
        <f ca="1">IFERROR(__xludf.DUMMYFUNCTION("""COMPUTED_VALUE"""),"")</f>
        <v/>
      </c>
      <c r="AE520" t="str">
        <f ca="1">IFERROR(__xludf.DUMMYFUNCTION("""COMPUTED_VALUE"""),"")</f>
        <v/>
      </c>
    </row>
    <row r="521" spans="1:31" ht="12.75" x14ac:dyDescent="0.2">
      <c r="A521">
        <f ca="1">IFERROR(__xludf.DUMMYFUNCTION("""COMPUTED_VALUE"""),90190)</f>
        <v>90190</v>
      </c>
      <c r="B521" t="str">
        <f ca="1">IFERROR(__xludf.DUMMYFUNCTION("""COMPUTED_VALUE"""),"LES VANS")</f>
        <v>LES VANS</v>
      </c>
      <c r="C521" t="str">
        <f ca="1">IFERROR(__xludf.DUMMYFUNCTION("""COMPUTED_VALUE"""),"Super U")</f>
        <v>Super U</v>
      </c>
      <c r="D521" t="str">
        <f ca="1">IFERROR(__xludf.DUMMYFUNCTION("""COMPUTED_VALUE"""),"Coop U Enseigne Sud")</f>
        <v>Coop U Enseigne Sud</v>
      </c>
      <c r="E521">
        <f ca="1">IFERROR(__xludf.DUMMYFUNCTION("""COMPUTED_VALUE"""),7140)</f>
        <v>7140</v>
      </c>
      <c r="F521" t="str">
        <f ca="1">IFERROR(__xludf.DUMMYFUNCTION("""COMPUTED_VALUE"""),"LE COUSSILLON")</f>
        <v>LE COUSSILLON</v>
      </c>
      <c r="G521" t="str">
        <f ca="1">IFERROR(__xludf.DUMMYFUNCTION("""COMPUTED_VALUE"""),"04.75.37.23.03")</f>
        <v>04.75.37.23.03</v>
      </c>
      <c r="H521" t="str">
        <f ca="1">IFERROR(__xludf.DUMMYFUNCTION("""COMPUTED_VALUE"""),"BOUVY Renee")</f>
        <v>BOUVY Renee</v>
      </c>
      <c r="I521" t="str">
        <f ca="1">IFERROR(__xludf.DUMMYFUNCTION("""COMPUTED_VALUE"""),"robert.bouvy@systeme-u.fr")</f>
        <v>robert.bouvy@systeme-u.fr</v>
      </c>
      <c r="J521" t="str">
        <f ca="1">IFERROR(__xludf.DUMMYFUNCTION("""COMPUTED_VALUE"""),"")</f>
        <v/>
      </c>
      <c r="K521" t="str">
        <f ca="1">IFERROR(__xludf.DUMMYFUNCTION("""COMPUTED_VALUE"""),"mathilde.bouvy@systeme-u.fr")</f>
        <v>mathilde.bouvy@systeme-u.fr</v>
      </c>
      <c r="L521" t="str">
        <f ca="1">IFERROR(__xludf.DUMMYFUNCTION("""COMPUTED_VALUE"""),"")</f>
        <v/>
      </c>
      <c r="M521" t="str">
        <f ca="1">IFERROR(__xludf.DUMMYFUNCTION("""COMPUTED_VALUE"""),"99.Hors Périmetre")</f>
        <v>99.Hors Périmetre</v>
      </c>
      <c r="N521" t="str">
        <f ca="1">IFERROR(__xludf.DUMMYFUNCTION("""COMPUTED_VALUE"""),"")</f>
        <v/>
      </c>
      <c r="O521" t="str">
        <f ca="1">IFERROR(__xludf.DUMMYFUNCTION("""COMPUTED_VALUE"""),"")</f>
        <v/>
      </c>
      <c r="P521" t="str">
        <f ca="1">IFERROR(__xludf.DUMMYFUNCTION("""COMPUTED_VALUE"""),"")</f>
        <v/>
      </c>
      <c r="Q521" s="5" t="str">
        <f ca="1">IFERROR(__xludf.DUMMYFUNCTION("""COMPUTED_VALUE"""),"")</f>
        <v/>
      </c>
      <c r="R521" s="6" t="str">
        <f ca="1">IFERROR(__xludf.DUMMYFUNCTION("""COMPUTED_VALUE"""),"")</f>
        <v/>
      </c>
      <c r="S521" t="str">
        <f ca="1">IFERROR(__xludf.DUMMYFUNCTION("""COMPUTED_VALUE"""),"")</f>
        <v/>
      </c>
      <c r="T521" t="str">
        <f ca="1">IFERROR(__xludf.DUMMYFUNCTION("""COMPUTED_VALUE"""),"")</f>
        <v/>
      </c>
      <c r="U521" t="str">
        <f ca="1">IFERROR(__xludf.DUMMYFUNCTION("""COMPUTED_VALUE"""),"")</f>
        <v/>
      </c>
      <c r="V521" t="str">
        <f ca="1">IFERROR(__xludf.DUMMYFUNCTION("""COMPUTED_VALUE"""),"")</f>
        <v/>
      </c>
      <c r="W521" t="str">
        <f ca="1">IFERROR(__xludf.DUMMYFUNCTION("""COMPUTED_VALUE"""),"")</f>
        <v/>
      </c>
      <c r="X521" t="str">
        <f ca="1">IFERROR(__xludf.DUMMYFUNCTION("""COMPUTED_VALUE"""),"")</f>
        <v/>
      </c>
      <c r="Y521" t="str">
        <f ca="1">IFERROR(__xludf.DUMMYFUNCTION("""COMPUTED_VALUE"""),"")</f>
        <v/>
      </c>
      <c r="Z521" t="str">
        <f ca="1">IFERROR(__xludf.DUMMYFUNCTION("""COMPUTED_VALUE"""),"")</f>
        <v/>
      </c>
      <c r="AA521" t="str">
        <f ca="1">IFERROR(__xludf.DUMMYFUNCTION("""COMPUTED_VALUE"""),"Pas de commande")</f>
        <v>Pas de commande</v>
      </c>
      <c r="AB521" s="8" t="str">
        <f ca="1">IFERROR(__xludf.DUMMYFUNCTION("""COMPUTED_VALUE"""),"")</f>
        <v/>
      </c>
      <c r="AC521" s="8" t="str">
        <f ca="1">IFERROR(__xludf.DUMMYFUNCTION("""COMPUTED_VALUE"""),"")</f>
        <v/>
      </c>
      <c r="AD521" s="11" t="str">
        <f ca="1">IFERROR(__xludf.DUMMYFUNCTION("""COMPUTED_VALUE"""),"")</f>
        <v/>
      </c>
      <c r="AE521" t="str">
        <f ca="1">IFERROR(__xludf.DUMMYFUNCTION("""COMPUTED_VALUE"""),"")</f>
        <v/>
      </c>
    </row>
    <row r="522" spans="1:31" ht="12.75" x14ac:dyDescent="0.2">
      <c r="A522">
        <f ca="1">IFERROR(__xludf.DUMMYFUNCTION("""COMPUTED_VALUE"""),23581)</f>
        <v>23581</v>
      </c>
      <c r="B522" t="str">
        <f ca="1">IFERROR(__xludf.DUMMYFUNCTION("""COMPUTED_VALUE"""),"LEVALLOIS PERRET")</f>
        <v>LEVALLOIS PERRET</v>
      </c>
      <c r="C522" t="str">
        <f ca="1">IFERROR(__xludf.DUMMYFUNCTION("""COMPUTED_VALUE"""),"U Express")</f>
        <v>U Express</v>
      </c>
      <c r="D522" t="str">
        <f ca="1">IFERROR(__xludf.DUMMYFUNCTION("""COMPUTED_VALUE"""),"Coop U Enseigne NordOuest")</f>
        <v>Coop U Enseigne NordOuest</v>
      </c>
      <c r="E522">
        <f ca="1">IFERROR(__xludf.DUMMYFUNCTION("""COMPUTED_VALUE"""),92300)</f>
        <v>92300</v>
      </c>
      <c r="F522" t="str">
        <f ca="1">IFERROR(__xludf.DUMMYFUNCTION("""COMPUTED_VALUE"""),"90 RUE ANATOLE FRANCE")</f>
        <v>90 RUE ANATOLE FRANCE</v>
      </c>
      <c r="G522" t="str">
        <f ca="1">IFERROR(__xludf.DUMMYFUNCTION("""COMPUTED_VALUE"""),"01.56.76.60.32")</f>
        <v>01.56.76.60.32</v>
      </c>
      <c r="H522" t="str">
        <f ca="1">IFERROR(__xludf.DUMMYFUNCTION("""COMPUTED_VALUE"""),"OUAKNINE Salomon")</f>
        <v>OUAKNINE Salomon</v>
      </c>
      <c r="I522" t="str">
        <f ca="1">IFERROR(__xludf.DUMMYFUNCTION("""COMPUTED_VALUE"""),"nathalie.ouaknine@systeme-u.fr")</f>
        <v>nathalie.ouaknine@systeme-u.fr</v>
      </c>
      <c r="J522" t="str">
        <f ca="1">IFERROR(__xludf.DUMMYFUNCTION("""COMPUTED_VALUE"""),"Lepinay Benedicte")</f>
        <v>Lepinay Benedicte</v>
      </c>
      <c r="K522" t="str">
        <f ca="1">IFERROR(__xludf.DUMMYFUNCTION("""COMPUTED_VALUE"""),"uexpress.levallois@systeme-u.fr")</f>
        <v>uexpress.levallois@systeme-u.fr</v>
      </c>
      <c r="L522" t="str">
        <f ca="1">IFERROR(__xludf.DUMMYFUNCTION("""COMPUTED_VALUE"""),"")</f>
        <v/>
      </c>
      <c r="M522" t="str">
        <f ca="1">IFERROR(__xludf.DUMMYFUNCTION("""COMPUTED_VALUE"""),"")</f>
        <v/>
      </c>
      <c r="N522" t="str">
        <f ca="1">IFERROR(__xludf.DUMMYFUNCTION("""COMPUTED_VALUE"""),"")</f>
        <v/>
      </c>
      <c r="O522" t="str">
        <f ca="1">IFERROR(__xludf.DUMMYFUNCTION("""COMPUTED_VALUE"""),"")</f>
        <v/>
      </c>
      <c r="P522" t="str">
        <f ca="1">IFERROR(__xludf.DUMMYFUNCTION("""COMPUTED_VALUE"""),"")</f>
        <v/>
      </c>
      <c r="Q522" s="5" t="str">
        <f ca="1">IFERROR(__xludf.DUMMYFUNCTION("""COMPUTED_VALUE"""),"")</f>
        <v/>
      </c>
      <c r="R522" s="6" t="str">
        <f ca="1">IFERROR(__xludf.DUMMYFUNCTION("""COMPUTED_VALUE"""),"")</f>
        <v/>
      </c>
      <c r="S522" t="str">
        <f ca="1">IFERROR(__xludf.DUMMYFUNCTION("""COMPUTED_VALUE"""),"")</f>
        <v/>
      </c>
      <c r="T522" t="str">
        <f ca="1">IFERROR(__xludf.DUMMYFUNCTION("""COMPUTED_VALUE"""),"")</f>
        <v/>
      </c>
      <c r="U522" t="str">
        <f ca="1">IFERROR(__xludf.DUMMYFUNCTION("""COMPUTED_VALUE"""),"")</f>
        <v/>
      </c>
      <c r="V522" t="str">
        <f ca="1">IFERROR(__xludf.DUMMYFUNCTION("""COMPUTED_VALUE"""),"")</f>
        <v/>
      </c>
      <c r="W522" t="str">
        <f ca="1">IFERROR(__xludf.DUMMYFUNCTION("""COMPUTED_VALUE"""),"R3")</f>
        <v>R3</v>
      </c>
      <c r="X522" t="str">
        <f ca="1">IFERROR(__xludf.DUMMYFUNCTION("""COMPUTED_VALUE"""),"PC mag &lt;8Go")</f>
        <v>PC mag &lt;8Go</v>
      </c>
      <c r="Y522" t="str">
        <f ca="1">IFERROR(__xludf.DUMMYFUNCTION("""COMPUTED_VALUE"""),"")</f>
        <v/>
      </c>
      <c r="Z522" t="str">
        <f ca="1">IFERROR(__xludf.DUMMYFUNCTION("""COMPUTED_VALUE"""),"")</f>
        <v/>
      </c>
      <c r="AA522" t="str">
        <f ca="1">IFERROR(__xludf.DUMMYFUNCTION("""COMPUTED_VALUE"""),"Pas de commande")</f>
        <v>Pas de commande</v>
      </c>
      <c r="AB522" s="8" t="str">
        <f ca="1">IFERROR(__xludf.DUMMYFUNCTION("""COMPUTED_VALUE"""),"")</f>
        <v/>
      </c>
      <c r="AC522" s="8" t="str">
        <f ca="1">IFERROR(__xludf.DUMMYFUNCTION("""COMPUTED_VALUE"""),"")</f>
        <v/>
      </c>
      <c r="AD522" s="11" t="str">
        <f ca="1">IFERROR(__xludf.DUMMYFUNCTION("""COMPUTED_VALUE"""),"")</f>
        <v/>
      </c>
      <c r="AE522" t="str">
        <f ca="1">IFERROR(__xludf.DUMMYFUNCTION("""COMPUTED_VALUE"""),"")</f>
        <v/>
      </c>
    </row>
    <row r="523" spans="1:31" ht="12.75" x14ac:dyDescent="0.2">
      <c r="A523">
        <f ca="1">IFERROR(__xludf.DUMMYFUNCTION("""COMPUTED_VALUE"""),32074)</f>
        <v>32074</v>
      </c>
      <c r="B523" t="str">
        <f ca="1">IFERROR(__xludf.DUMMYFUNCTION("""COMPUTED_VALUE"""),"LEVROUX")</f>
        <v>LEVROUX</v>
      </c>
      <c r="C523" t="str">
        <f ca="1">IFERROR(__xludf.DUMMYFUNCTION("""COMPUTED_VALUE"""),"Super U")</f>
        <v>Super U</v>
      </c>
      <c r="D523" t="str">
        <f ca="1">IFERROR(__xludf.DUMMYFUNCTION("""COMPUTED_VALUE"""),"Coop Atlantique")</f>
        <v>Coop Atlantique</v>
      </c>
      <c r="E523">
        <f ca="1">IFERROR(__xludf.DUMMYFUNCTION("""COMPUTED_VALUE"""),36110)</f>
        <v>36110</v>
      </c>
      <c r="F523" t="str">
        <f ca="1">IFERROR(__xludf.DUMMYFUNCTION("""COMPUTED_VALUE"""),"ROUTE DE VILLEGONGIS")</f>
        <v>ROUTE DE VILLEGONGIS</v>
      </c>
      <c r="G523" t="str">
        <f ca="1">IFERROR(__xludf.DUMMYFUNCTION("""COMPUTED_VALUE"""),"02.54.35.72.35")</f>
        <v>02.54.35.72.35</v>
      </c>
      <c r="H523" t="str">
        <f ca="1">IFERROR(__xludf.DUMMYFUNCTION("""COMPUTED_VALUE"""),"FLAMBARD Hervé")</f>
        <v>FLAMBARD Hervé</v>
      </c>
      <c r="I523" t="str">
        <f ca="1">IFERROR(__xludf.DUMMYFUNCTION("""COMPUTED_VALUE"""),"bertrand.defontaine_coop_su_uex@systeme-u.fr")</f>
        <v>bertrand.defontaine_coop_su_uex@systeme-u.fr</v>
      </c>
      <c r="J523" t="str">
        <f ca="1">IFERROR(__xludf.DUMMYFUNCTION("""COMPUTED_VALUE"""),"")</f>
        <v/>
      </c>
      <c r="K523" t="str">
        <f ca="1">IFERROR(__xludf.DUMMYFUNCTION("""COMPUTED_VALUE"""),"superu.levroux.direction@systeme-u.fr,nbrigant@coop-atlantique.fr,sjaud@coop-atlantique.fr,mlieby@coop-atlantique.fr")</f>
        <v>superu.levroux.direction@systeme-u.fr,nbrigant@coop-atlantique.fr,sjaud@coop-atlantique.fr,mlieby@coop-atlantique.fr</v>
      </c>
      <c r="L523" t="str">
        <f ca="1">IFERROR(__xludf.DUMMYFUNCTION("""COMPUTED_VALUE"""),"Standard")</f>
        <v>Standard</v>
      </c>
      <c r="M523" t="str">
        <f ca="1">IFERROR(__xludf.DUMMYFUNCTION("""COMPUTED_VALUE"""),"0. Non démarré")</f>
        <v>0. Non démarré</v>
      </c>
      <c r="N523" t="str">
        <f ca="1">IFERROR(__xludf.DUMMYFUNCTION("""COMPUTED_VALUE"""),"")</f>
        <v/>
      </c>
      <c r="O523" t="str">
        <f ca="1">IFERROR(__xludf.DUMMYFUNCTION("""COMPUTED_VALUE"""),"")</f>
        <v/>
      </c>
      <c r="P523" t="str">
        <f ca="1">IFERROR(__xludf.DUMMYFUNCTION("""COMPUTED_VALUE"""),"")</f>
        <v/>
      </c>
      <c r="Q523" s="5" t="str">
        <f ca="1">IFERROR(__xludf.DUMMYFUNCTION("""COMPUTED_VALUE"""),"")</f>
        <v/>
      </c>
      <c r="R523" s="6" t="str">
        <f ca="1">IFERROR(__xludf.DUMMYFUNCTION("""COMPUTED_VALUE"""),"")</f>
        <v/>
      </c>
      <c r="S523" t="str">
        <f ca="1">IFERROR(__xludf.DUMMYFUNCTION("""COMPUTED_VALUE"""),"")</f>
        <v/>
      </c>
      <c r="T523" t="str">
        <f ca="1">IFERROR(__xludf.DUMMYFUNCTION("""COMPUTED_VALUE"""),"")</f>
        <v/>
      </c>
      <c r="U523" t="str">
        <f ca="1">IFERROR(__xludf.DUMMYFUNCTION("""COMPUTED_VALUE"""),"")</f>
        <v/>
      </c>
      <c r="V523" t="str">
        <f ca="1">IFERROR(__xludf.DUMMYFUNCTION("""COMPUTED_VALUE"""),"")</f>
        <v/>
      </c>
      <c r="W523" t="str">
        <f ca="1">IFERROR(__xludf.DUMMYFUNCTION("""COMPUTED_VALUE"""),"R5")</f>
        <v>R5</v>
      </c>
      <c r="X523" t="str">
        <f ca="1">IFERROR(__xludf.DUMMYFUNCTION("""COMPUTED_VALUE"""),"PC mag &lt;8Go")</f>
        <v>PC mag &lt;8Go</v>
      </c>
      <c r="Y523" t="str">
        <f ca="1">IFERROR(__xludf.DUMMYFUNCTION("""COMPUTED_VALUE"""),"")</f>
        <v/>
      </c>
      <c r="Z523" t="str">
        <f ca="1">IFERROR(__xludf.DUMMYFUNCTION("""COMPUTED_VALUE"""),"")</f>
        <v/>
      </c>
      <c r="AA523" t="str">
        <f ca="1">IFERROR(__xludf.DUMMYFUNCTION("""COMPUTED_VALUE"""),"Pas de commande")</f>
        <v>Pas de commande</v>
      </c>
      <c r="AB523" s="8" t="str">
        <f ca="1">IFERROR(__xludf.DUMMYFUNCTION("""COMPUTED_VALUE"""),"")</f>
        <v/>
      </c>
      <c r="AC523" s="8" t="str">
        <f ca="1">IFERROR(__xludf.DUMMYFUNCTION("""COMPUTED_VALUE"""),"")</f>
        <v/>
      </c>
      <c r="AD523" s="11" t="str">
        <f ca="1">IFERROR(__xludf.DUMMYFUNCTION("""COMPUTED_VALUE"""),"")</f>
        <v/>
      </c>
      <c r="AE523" t="str">
        <f ca="1">IFERROR(__xludf.DUMMYFUNCTION("""COMPUTED_VALUE"""),"")</f>
        <v/>
      </c>
    </row>
    <row r="524" spans="1:31" ht="12.75" x14ac:dyDescent="0.2">
      <c r="A524">
        <f ca="1">IFERROR(__xludf.DUMMYFUNCTION("""COMPUTED_VALUE"""),95189)</f>
        <v>95189</v>
      </c>
      <c r="B524" t="str">
        <f ca="1">IFERROR(__xludf.DUMMYFUNCTION("""COMPUTED_VALUE"""),"LIBOURNE")</f>
        <v>LIBOURNE</v>
      </c>
      <c r="C524" t="str">
        <f ca="1">IFERROR(__xludf.DUMMYFUNCTION("""COMPUTED_VALUE"""),"U Express")</f>
        <v>U Express</v>
      </c>
      <c r="D524" t="str">
        <f ca="1">IFERROR(__xludf.DUMMYFUNCTION("""COMPUTED_VALUE"""),"Coop U Enseigne Sud")</f>
        <v>Coop U Enseigne Sud</v>
      </c>
      <c r="E524">
        <f ca="1">IFERROR(__xludf.DUMMYFUNCTION("""COMPUTED_VALUE"""),33500)</f>
        <v>33500</v>
      </c>
      <c r="F524" t="str">
        <f ca="1">IFERROR(__xludf.DUMMYFUNCTION("""COMPUTED_VALUE"""),"27 29 ALLEE ROBERT BOULIN")</f>
        <v>27 29 ALLEE ROBERT BOULIN</v>
      </c>
      <c r="G524" t="str">
        <f ca="1">IFERROR(__xludf.DUMMYFUNCTION("""COMPUTED_VALUE"""),"05.57.55.00.20")</f>
        <v>05.57.55.00.20</v>
      </c>
      <c r="H524" t="str">
        <f ca="1">IFERROR(__xludf.DUMMYFUNCTION("""COMPUTED_VALUE"""),"ROUX Jean-Christophe")</f>
        <v>ROUX Jean-Christophe</v>
      </c>
      <c r="I524" t="str">
        <f ca="1">IFERROR(__xludf.DUMMYFUNCTION("""COMPUTED_VALUE"""),"jean-christophe.roux@systeme-u.fr")</f>
        <v>jean-christophe.roux@systeme-u.fr</v>
      </c>
      <c r="J524" t="str">
        <f ca="1">IFERROR(__xludf.DUMMYFUNCTION("""COMPUTED_VALUE"""),"Marie-Claire ROUX")</f>
        <v>Marie-Claire ROUX</v>
      </c>
      <c r="K524" t="str">
        <f ca="1">IFERROR(__xludf.DUMMYFUNCTION("""COMPUTED_VALUE"""),"uexpress.libourne@systeme-u.fr")</f>
        <v>uexpress.libourne@systeme-u.fr</v>
      </c>
      <c r="L524" t="str">
        <f ca="1">IFERROR(__xludf.DUMMYFUNCTION("""COMPUTED_VALUE"""),"")</f>
        <v/>
      </c>
      <c r="M524" t="str">
        <f ca="1">IFERROR(__xludf.DUMMYFUNCTION("""COMPUTED_VALUE"""),"99.Hors Périmetre")</f>
        <v>99.Hors Périmetre</v>
      </c>
      <c r="N524" t="str">
        <f ca="1">IFERROR(__xludf.DUMMYFUNCTION("""COMPUTED_VALUE"""),"")</f>
        <v/>
      </c>
      <c r="O524" t="str">
        <f ca="1">IFERROR(__xludf.DUMMYFUNCTION("""COMPUTED_VALUE"""),"")</f>
        <v/>
      </c>
      <c r="P524" t="str">
        <f ca="1">IFERROR(__xludf.DUMMYFUNCTION("""COMPUTED_VALUE"""),"")</f>
        <v/>
      </c>
      <c r="Q524" s="5" t="str">
        <f ca="1">IFERROR(__xludf.DUMMYFUNCTION("""COMPUTED_VALUE"""),"")</f>
        <v/>
      </c>
      <c r="R524" s="6" t="str">
        <f ca="1">IFERROR(__xludf.DUMMYFUNCTION("""COMPUTED_VALUE"""),"")</f>
        <v/>
      </c>
      <c r="S524" t="str">
        <f ca="1">IFERROR(__xludf.DUMMYFUNCTION("""COMPUTED_VALUE"""),"")</f>
        <v/>
      </c>
      <c r="T524" t="str">
        <f ca="1">IFERROR(__xludf.DUMMYFUNCTION("""COMPUTED_VALUE"""),"")</f>
        <v/>
      </c>
      <c r="U524" t="str">
        <f ca="1">IFERROR(__xludf.DUMMYFUNCTION("""COMPUTED_VALUE"""),"")</f>
        <v/>
      </c>
      <c r="V524" t="str">
        <f ca="1">IFERROR(__xludf.DUMMYFUNCTION("""COMPUTED_VALUE"""),"")</f>
        <v/>
      </c>
      <c r="W524" t="str">
        <f ca="1">IFERROR(__xludf.DUMMYFUNCTION("""COMPUTED_VALUE"""),"")</f>
        <v/>
      </c>
      <c r="X524" t="str">
        <f ca="1">IFERROR(__xludf.DUMMYFUNCTION("""COMPUTED_VALUE"""),"")</f>
        <v/>
      </c>
      <c r="Y524" t="str">
        <f ca="1">IFERROR(__xludf.DUMMYFUNCTION("""COMPUTED_VALUE"""),"")</f>
        <v/>
      </c>
      <c r="Z524" t="str">
        <f ca="1">IFERROR(__xludf.DUMMYFUNCTION("""COMPUTED_VALUE"""),"")</f>
        <v/>
      </c>
      <c r="AA524" t="str">
        <f ca="1">IFERROR(__xludf.DUMMYFUNCTION("""COMPUTED_VALUE"""),"Pas de commande")</f>
        <v>Pas de commande</v>
      </c>
      <c r="AB524" s="8" t="str">
        <f ca="1">IFERROR(__xludf.DUMMYFUNCTION("""COMPUTED_VALUE"""),"")</f>
        <v/>
      </c>
      <c r="AC524" s="8" t="str">
        <f ca="1">IFERROR(__xludf.DUMMYFUNCTION("""COMPUTED_VALUE"""),"")</f>
        <v/>
      </c>
      <c r="AD524" s="11" t="str">
        <f ca="1">IFERROR(__xludf.DUMMYFUNCTION("""COMPUTED_VALUE"""),"")</f>
        <v/>
      </c>
      <c r="AE524" t="str">
        <f ca="1">IFERROR(__xludf.DUMMYFUNCTION("""COMPUTED_VALUE"""),"")</f>
        <v/>
      </c>
    </row>
    <row r="525" spans="1:31" ht="12.75" x14ac:dyDescent="0.2">
      <c r="A525">
        <f ca="1">IFERROR(__xludf.DUMMYFUNCTION("""COMPUTED_VALUE"""),65226)</f>
        <v>65226</v>
      </c>
      <c r="B525" t="str">
        <f ca="1">IFERROR(__xludf.DUMMYFUNCTION("""COMPUTED_VALUE"""),"LIFFOL LE GRAND")</f>
        <v>LIFFOL LE GRAND</v>
      </c>
      <c r="C525" t="str">
        <f ca="1">IFERROR(__xludf.DUMMYFUNCTION("""COMPUTED_VALUE"""),"U Express")</f>
        <v>U Express</v>
      </c>
      <c r="D525" t="str">
        <f ca="1">IFERROR(__xludf.DUMMYFUNCTION("""COMPUTED_VALUE"""),"Coop U Enseigne Est")</f>
        <v>Coop U Enseigne Est</v>
      </c>
      <c r="E525">
        <f ca="1">IFERROR(__xludf.DUMMYFUNCTION("""COMPUTED_VALUE"""),88350)</f>
        <v>88350</v>
      </c>
      <c r="F525" t="str">
        <f ca="1">IFERROR(__xludf.DUMMYFUNCTION("""COMPUTED_VALUE"""),"ROUTE DE JOINVILLE")</f>
        <v>ROUTE DE JOINVILLE</v>
      </c>
      <c r="G525" t="str">
        <f ca="1">IFERROR(__xludf.DUMMYFUNCTION("""COMPUTED_VALUE"""),"03.29.06.61.57")</f>
        <v>03.29.06.61.57</v>
      </c>
      <c r="H525" t="str">
        <f ca="1">IFERROR(__xludf.DUMMYFUNCTION("""COMPUTED_VALUE"""),"TOUSSAINT Virgile")</f>
        <v>TOUSSAINT Virgile</v>
      </c>
      <c r="I525" t="str">
        <f ca="1">IFERROR(__xludf.DUMMYFUNCTION("""COMPUTED_VALUE"""),"virgile.toussaint@systeme-u.fr")</f>
        <v>virgile.toussaint@systeme-u.fr</v>
      </c>
      <c r="J525" t="str">
        <f ca="1">IFERROR(__xludf.DUMMYFUNCTION("""COMPUTED_VALUE"""),"")</f>
        <v/>
      </c>
      <c r="K525" t="str">
        <f ca="1">IFERROR(__xludf.DUMMYFUNCTION("""COMPUTED_VALUE"""),"")</f>
        <v/>
      </c>
      <c r="L525" t="str">
        <f ca="1">IFERROR(__xludf.DUMMYFUNCTION("""COMPUTED_VALUE"""),"")</f>
        <v/>
      </c>
      <c r="M525" t="str">
        <f ca="1">IFERROR(__xludf.DUMMYFUNCTION("""COMPUTED_VALUE"""),"99.Hors Périmetre")</f>
        <v>99.Hors Périmetre</v>
      </c>
      <c r="N525" t="str">
        <f ca="1">IFERROR(__xludf.DUMMYFUNCTION("""COMPUTED_VALUE"""),"")</f>
        <v/>
      </c>
      <c r="O525" t="str">
        <f ca="1">IFERROR(__xludf.DUMMYFUNCTION("""COMPUTED_VALUE"""),"")</f>
        <v/>
      </c>
      <c r="P525" t="str">
        <f ca="1">IFERROR(__xludf.DUMMYFUNCTION("""COMPUTED_VALUE"""),"")</f>
        <v/>
      </c>
      <c r="Q525" s="5" t="str">
        <f ca="1">IFERROR(__xludf.DUMMYFUNCTION("""COMPUTED_VALUE"""),"")</f>
        <v/>
      </c>
      <c r="R525" s="6" t="str">
        <f ca="1">IFERROR(__xludf.DUMMYFUNCTION("""COMPUTED_VALUE"""),"")</f>
        <v/>
      </c>
      <c r="S525" t="str">
        <f ca="1">IFERROR(__xludf.DUMMYFUNCTION("""COMPUTED_VALUE"""),"")</f>
        <v/>
      </c>
      <c r="T525" t="str">
        <f ca="1">IFERROR(__xludf.DUMMYFUNCTION("""COMPUTED_VALUE"""),"")</f>
        <v/>
      </c>
      <c r="U525" t="str">
        <f ca="1">IFERROR(__xludf.DUMMYFUNCTION("""COMPUTED_VALUE"""),"")</f>
        <v/>
      </c>
      <c r="V525" t="str">
        <f ca="1">IFERROR(__xludf.DUMMYFUNCTION("""COMPUTED_VALUE"""),"")</f>
        <v/>
      </c>
      <c r="W525" t="str">
        <f ca="1">IFERROR(__xludf.DUMMYFUNCTION("""COMPUTED_VALUE"""),"")</f>
        <v/>
      </c>
      <c r="X525" t="str">
        <f ca="1">IFERROR(__xludf.DUMMYFUNCTION("""COMPUTED_VALUE"""),"")</f>
        <v/>
      </c>
      <c r="Y525" t="str">
        <f ca="1">IFERROR(__xludf.DUMMYFUNCTION("""COMPUTED_VALUE"""),"")</f>
        <v/>
      </c>
      <c r="Z525" t="str">
        <f ca="1">IFERROR(__xludf.DUMMYFUNCTION("""COMPUTED_VALUE"""),"")</f>
        <v/>
      </c>
      <c r="AA525" t="str">
        <f ca="1">IFERROR(__xludf.DUMMYFUNCTION("""COMPUTED_VALUE"""),"Pas de commande")</f>
        <v>Pas de commande</v>
      </c>
      <c r="AB525" s="8" t="str">
        <f ca="1">IFERROR(__xludf.DUMMYFUNCTION("""COMPUTED_VALUE"""),"")</f>
        <v/>
      </c>
      <c r="AC525" s="8" t="str">
        <f ca="1">IFERROR(__xludf.DUMMYFUNCTION("""COMPUTED_VALUE"""),"")</f>
        <v/>
      </c>
      <c r="AD525" s="11" t="str">
        <f ca="1">IFERROR(__xludf.DUMMYFUNCTION("""COMPUTED_VALUE"""),"")</f>
        <v/>
      </c>
      <c r="AE525" t="str">
        <f ca="1">IFERROR(__xludf.DUMMYFUNCTION("""COMPUTED_VALUE"""),"")</f>
        <v/>
      </c>
    </row>
    <row r="526" spans="1:31" ht="12.75" x14ac:dyDescent="0.2">
      <c r="A526">
        <f ca="1">IFERROR(__xludf.DUMMYFUNCTION("""COMPUTED_VALUE"""),35525)</f>
        <v>35525</v>
      </c>
      <c r="B526" t="str">
        <f ca="1">IFERROR(__xludf.DUMMYFUNCTION("""COMPUTED_VALUE"""),"LIFFRE")</f>
        <v>LIFFRE</v>
      </c>
      <c r="C526" t="str">
        <f ca="1">IFERROR(__xludf.DUMMYFUNCTION("""COMPUTED_VALUE"""),"Super U")</f>
        <v>Super U</v>
      </c>
      <c r="D526" t="str">
        <f ca="1">IFERROR(__xludf.DUMMYFUNCTION("""COMPUTED_VALUE"""),"Coop U Enseigne Ouest")</f>
        <v>Coop U Enseigne Ouest</v>
      </c>
      <c r="E526">
        <f ca="1">IFERROR(__xludf.DUMMYFUNCTION("""COMPUTED_VALUE"""),35340)</f>
        <v>35340</v>
      </c>
      <c r="F526" t="str">
        <f ca="1">IFERROR(__xludf.DUMMYFUNCTION("""COMPUTED_VALUE"""),"98, RUE DE RENNES")</f>
        <v>98, RUE DE RENNES</v>
      </c>
      <c r="G526" t="str">
        <f ca="1">IFERROR(__xludf.DUMMYFUNCTION("""COMPUTED_VALUE"""),"02.99.23.53.70")</f>
        <v>02.99.23.53.70</v>
      </c>
      <c r="H526" t="str">
        <f ca="1">IFERROR(__xludf.DUMMYFUNCTION("""COMPUTED_VALUE"""),"LASSAIGNE RPT SAS KERLADIS Kristèle")</f>
        <v>LASSAIGNE RPT SAS KERLADIS Kristèle</v>
      </c>
      <c r="I526" t="str">
        <f ca="1">IFERROR(__xludf.DUMMYFUNCTION("""COMPUTED_VALUE"""),"anthony.lassaigne@systeme-u.fr")</f>
        <v>anthony.lassaigne@systeme-u.fr</v>
      </c>
      <c r="J526" t="str">
        <f ca="1">IFERROR(__xludf.DUMMYFUNCTION("""COMPUTED_VALUE"""),"AINS Valérie")</f>
        <v>AINS Valérie</v>
      </c>
      <c r="K526" t="str">
        <f ca="1">IFERROR(__xludf.DUMMYFUNCTION("""COMPUTED_VALUE"""),"superu.liffre.administratif@systeme-u.fr")</f>
        <v>superu.liffre.administratif@systeme-u.fr</v>
      </c>
      <c r="L526" t="str">
        <f ca="1">IFERROR(__xludf.DUMMYFUNCTION("""COMPUTED_VALUE"""),"")</f>
        <v/>
      </c>
      <c r="M526" t="str">
        <f ca="1">IFERROR(__xludf.DUMMYFUNCTION("""COMPUTED_VALUE"""),"99.Hors Périmetre")</f>
        <v>99.Hors Périmetre</v>
      </c>
      <c r="N526" t="str">
        <f ca="1">IFERROR(__xludf.DUMMYFUNCTION("""COMPUTED_VALUE"""),"")</f>
        <v/>
      </c>
      <c r="O526" t="str">
        <f ca="1">IFERROR(__xludf.DUMMYFUNCTION("""COMPUTED_VALUE"""),"")</f>
        <v/>
      </c>
      <c r="P526" t="str">
        <f ca="1">IFERROR(__xludf.DUMMYFUNCTION("""COMPUTED_VALUE"""),"")</f>
        <v/>
      </c>
      <c r="Q526" s="5" t="str">
        <f ca="1">IFERROR(__xludf.DUMMYFUNCTION("""COMPUTED_VALUE"""),"")</f>
        <v/>
      </c>
      <c r="R526" s="6" t="str">
        <f ca="1">IFERROR(__xludf.DUMMYFUNCTION("""COMPUTED_VALUE"""),"")</f>
        <v/>
      </c>
      <c r="S526" t="str">
        <f ca="1">IFERROR(__xludf.DUMMYFUNCTION("""COMPUTED_VALUE"""),"")</f>
        <v/>
      </c>
      <c r="T526" t="str">
        <f ca="1">IFERROR(__xludf.DUMMYFUNCTION("""COMPUTED_VALUE"""),"")</f>
        <v/>
      </c>
      <c r="U526" t="str">
        <f ca="1">IFERROR(__xludf.DUMMYFUNCTION("""COMPUTED_VALUE"""),"")</f>
        <v/>
      </c>
      <c r="V526" t="str">
        <f ca="1">IFERROR(__xludf.DUMMYFUNCTION("""COMPUTED_VALUE"""),"")</f>
        <v/>
      </c>
      <c r="W526" t="str">
        <f ca="1">IFERROR(__xludf.DUMMYFUNCTION("""COMPUTED_VALUE"""),"")</f>
        <v/>
      </c>
      <c r="X526" t="str">
        <f ca="1">IFERROR(__xludf.DUMMYFUNCTION("""COMPUTED_VALUE"""),"")</f>
        <v/>
      </c>
      <c r="Y526" t="str">
        <f ca="1">IFERROR(__xludf.DUMMYFUNCTION("""COMPUTED_VALUE"""),"")</f>
        <v/>
      </c>
      <c r="Z526" t="str">
        <f ca="1">IFERROR(__xludf.DUMMYFUNCTION("""COMPUTED_VALUE"""),"")</f>
        <v/>
      </c>
      <c r="AA526" t="str">
        <f ca="1">IFERROR(__xludf.DUMMYFUNCTION("""COMPUTED_VALUE"""),"Pas de commande")</f>
        <v>Pas de commande</v>
      </c>
      <c r="AB526" s="8" t="str">
        <f ca="1">IFERROR(__xludf.DUMMYFUNCTION("""COMPUTED_VALUE"""),"")</f>
        <v/>
      </c>
      <c r="AC526" s="8" t="str">
        <f ca="1">IFERROR(__xludf.DUMMYFUNCTION("""COMPUTED_VALUE"""),"")</f>
        <v/>
      </c>
      <c r="AD526" s="11" t="str">
        <f ca="1">IFERROR(__xludf.DUMMYFUNCTION("""COMPUTED_VALUE"""),"")</f>
        <v/>
      </c>
      <c r="AE526" t="str">
        <f ca="1">IFERROR(__xludf.DUMMYFUNCTION("""COMPUTED_VALUE"""),"")</f>
        <v/>
      </c>
    </row>
    <row r="527" spans="1:31" ht="12.75" x14ac:dyDescent="0.2">
      <c r="A527">
        <f ca="1">IFERROR(__xludf.DUMMYFUNCTION("""COMPUTED_VALUE"""),30981)</f>
        <v>30981</v>
      </c>
      <c r="B527" t="str">
        <f ca="1">IFERROR(__xludf.DUMMYFUNCTION("""COMPUTED_VALUE"""),"LIGNE")</f>
        <v>LIGNE</v>
      </c>
      <c r="C527" t="str">
        <f ca="1">IFERROR(__xludf.DUMMYFUNCTION("""COMPUTED_VALUE"""),"Super U")</f>
        <v>Super U</v>
      </c>
      <c r="D527" t="str">
        <f ca="1">IFERROR(__xludf.DUMMYFUNCTION("""COMPUTED_VALUE"""),"Coop U Enseigne Ouest")</f>
        <v>Coop U Enseigne Ouest</v>
      </c>
      <c r="E527">
        <f ca="1">IFERROR(__xludf.DUMMYFUNCTION("""COMPUTED_VALUE"""),44850)</f>
        <v>44850</v>
      </c>
      <c r="F527" t="str">
        <f ca="1">IFERROR(__xludf.DUMMYFUNCTION("""COMPUTED_VALUE"""),"89, RUE DU SOUVENIR")</f>
        <v>89, RUE DU SOUVENIR</v>
      </c>
      <c r="G527" t="str">
        <f ca="1">IFERROR(__xludf.DUMMYFUNCTION("""COMPUTED_VALUE"""),"02.40.77.04.45")</f>
        <v>02.40.77.04.45</v>
      </c>
      <c r="H527" t="str">
        <f ca="1">IFERROR(__xludf.DUMMYFUNCTION("""COMPUTED_VALUE"""),"BESNARD RPT SARL MARINEDIS Sébastien")</f>
        <v>BESNARD RPT SARL MARINEDIS Sébastien</v>
      </c>
      <c r="I527" t="str">
        <f ca="1">IFERROR(__xludf.DUMMYFUNCTION("""COMPUTED_VALUE"""),"sebastien.besnard@systeme-u.fr")</f>
        <v>sebastien.besnard@systeme-u.fr</v>
      </c>
      <c r="J527" t="str">
        <f ca="1">IFERROR(__xludf.DUMMYFUNCTION("""COMPUTED_VALUE"""),"")</f>
        <v/>
      </c>
      <c r="K527" t="str">
        <f ca="1">IFERROR(__xludf.DUMMYFUNCTION("""COMPUTED_VALUE"""),"")</f>
        <v/>
      </c>
      <c r="L527" t="str">
        <f ca="1">IFERROR(__xludf.DUMMYFUNCTION("""COMPUTED_VALUE"""),"")</f>
        <v/>
      </c>
      <c r="M527" t="str">
        <f ca="1">IFERROR(__xludf.DUMMYFUNCTION("""COMPUTED_VALUE"""),"99.Hors Périmetre")</f>
        <v>99.Hors Périmetre</v>
      </c>
      <c r="N527" t="str">
        <f ca="1">IFERROR(__xludf.DUMMYFUNCTION("""COMPUTED_VALUE"""),"")</f>
        <v/>
      </c>
      <c r="O527" t="str">
        <f ca="1">IFERROR(__xludf.DUMMYFUNCTION("""COMPUTED_VALUE"""),"")</f>
        <v/>
      </c>
      <c r="P527" t="str">
        <f ca="1">IFERROR(__xludf.DUMMYFUNCTION("""COMPUTED_VALUE"""),"")</f>
        <v/>
      </c>
      <c r="Q527" s="5" t="str">
        <f ca="1">IFERROR(__xludf.DUMMYFUNCTION("""COMPUTED_VALUE"""),"")</f>
        <v/>
      </c>
      <c r="R527" s="6" t="str">
        <f ca="1">IFERROR(__xludf.DUMMYFUNCTION("""COMPUTED_VALUE"""),"")</f>
        <v/>
      </c>
      <c r="S527" t="str">
        <f ca="1">IFERROR(__xludf.DUMMYFUNCTION("""COMPUTED_VALUE"""),"")</f>
        <v/>
      </c>
      <c r="T527" t="str">
        <f ca="1">IFERROR(__xludf.DUMMYFUNCTION("""COMPUTED_VALUE"""),"")</f>
        <v/>
      </c>
      <c r="U527" t="str">
        <f ca="1">IFERROR(__xludf.DUMMYFUNCTION("""COMPUTED_VALUE"""),"")</f>
        <v/>
      </c>
      <c r="V527" t="str">
        <f ca="1">IFERROR(__xludf.DUMMYFUNCTION("""COMPUTED_VALUE"""),"")</f>
        <v/>
      </c>
      <c r="W527" t="str">
        <f ca="1">IFERROR(__xludf.DUMMYFUNCTION("""COMPUTED_VALUE"""),"")</f>
        <v/>
      </c>
      <c r="X527" t="str">
        <f ca="1">IFERROR(__xludf.DUMMYFUNCTION("""COMPUTED_VALUE"""),"")</f>
        <v/>
      </c>
      <c r="Y527" t="str">
        <f ca="1">IFERROR(__xludf.DUMMYFUNCTION("""COMPUTED_VALUE"""),"")</f>
        <v/>
      </c>
      <c r="Z527" t="str">
        <f ca="1">IFERROR(__xludf.DUMMYFUNCTION("""COMPUTED_VALUE"""),"")</f>
        <v/>
      </c>
      <c r="AA527" t="str">
        <f ca="1">IFERROR(__xludf.DUMMYFUNCTION("""COMPUTED_VALUE"""),"Pas de commande")</f>
        <v>Pas de commande</v>
      </c>
      <c r="AB527" s="8" t="str">
        <f ca="1">IFERROR(__xludf.DUMMYFUNCTION("""COMPUTED_VALUE"""),"")</f>
        <v/>
      </c>
      <c r="AC527" s="8" t="str">
        <f ca="1">IFERROR(__xludf.DUMMYFUNCTION("""COMPUTED_VALUE"""),"")</f>
        <v/>
      </c>
      <c r="AD527" s="11" t="str">
        <f ca="1">IFERROR(__xludf.DUMMYFUNCTION("""COMPUTED_VALUE"""),"")</f>
        <v/>
      </c>
      <c r="AE527" t="str">
        <f ca="1">IFERROR(__xludf.DUMMYFUNCTION("""COMPUTED_VALUE"""),"")</f>
        <v/>
      </c>
    </row>
    <row r="528" spans="1:31" ht="12.75" x14ac:dyDescent="0.2">
      <c r="A528">
        <f ca="1">IFERROR(__xludf.DUMMYFUNCTION("""COMPUTED_VALUE"""),22062)</f>
        <v>22062</v>
      </c>
      <c r="B528" t="str">
        <f ca="1">IFERROR(__xludf.DUMMYFUNCTION("""COMPUTED_VALUE"""),"LILLE")</f>
        <v>LILLE</v>
      </c>
      <c r="C528" t="str">
        <f ca="1">IFERROR(__xludf.DUMMYFUNCTION("""COMPUTED_VALUE"""),"U Express")</f>
        <v>U Express</v>
      </c>
      <c r="D528" t="str">
        <f ca="1">IFERROR(__xludf.DUMMYFUNCTION("""COMPUTED_VALUE"""),"Coop U Enseigne NordOuest")</f>
        <v>Coop U Enseigne NordOuest</v>
      </c>
      <c r="E528">
        <f ca="1">IFERROR(__xludf.DUMMYFUNCTION("""COMPUTED_VALUE"""),59000)</f>
        <v>59000</v>
      </c>
      <c r="F528" t="str">
        <f ca="1">IFERROR(__xludf.DUMMYFUNCTION("""COMPUTED_VALUE"""),"51 RUE DU BUISSON")</f>
        <v>51 RUE DU BUISSON</v>
      </c>
      <c r="G528" t="str">
        <f ca="1">IFERROR(__xludf.DUMMYFUNCTION("""COMPUTED_VALUE"""),"03.20.55.25.93")</f>
        <v>03.20.55.25.93</v>
      </c>
      <c r="H528" t="str">
        <f ca="1">IFERROR(__xludf.DUMMYFUNCTION("""COMPUTED_VALUE"""),"DUMARCHE Cyrille")</f>
        <v>DUMARCHE Cyrille</v>
      </c>
      <c r="I528" t="str">
        <f ca="1">IFERROR(__xludf.DUMMYFUNCTION("""COMPUTED_VALUE"""),"cyrille.dumarche@systeme-u.fr")</f>
        <v>cyrille.dumarche@systeme-u.fr</v>
      </c>
      <c r="J528" t="str">
        <f ca="1">IFERROR(__xludf.DUMMYFUNCTION("""COMPUTED_VALUE"""),"")</f>
        <v/>
      </c>
      <c r="K528" t="str">
        <f ca="1">IFERROR(__xludf.DUMMYFUNCTION("""COMPUTED_VALUE"""),"")</f>
        <v/>
      </c>
      <c r="L528" t="str">
        <f ca="1">IFERROR(__xludf.DUMMYFUNCTION("""COMPUTED_VALUE"""),"")</f>
        <v/>
      </c>
      <c r="M528" t="str">
        <f ca="1">IFERROR(__xludf.DUMMYFUNCTION("""COMPUTED_VALUE"""),"99.Hors Périmetre")</f>
        <v>99.Hors Périmetre</v>
      </c>
      <c r="N528" t="str">
        <f ca="1">IFERROR(__xludf.DUMMYFUNCTION("""COMPUTED_VALUE"""),"")</f>
        <v/>
      </c>
      <c r="O528" t="str">
        <f ca="1">IFERROR(__xludf.DUMMYFUNCTION("""COMPUTED_VALUE"""),"")</f>
        <v/>
      </c>
      <c r="P528" t="str">
        <f ca="1">IFERROR(__xludf.DUMMYFUNCTION("""COMPUTED_VALUE"""),"")</f>
        <v/>
      </c>
      <c r="Q528" s="5" t="str">
        <f ca="1">IFERROR(__xludf.DUMMYFUNCTION("""COMPUTED_VALUE"""),"")</f>
        <v/>
      </c>
      <c r="R528" s="6" t="str">
        <f ca="1">IFERROR(__xludf.DUMMYFUNCTION("""COMPUTED_VALUE"""),"")</f>
        <v/>
      </c>
      <c r="S528" t="str">
        <f ca="1">IFERROR(__xludf.DUMMYFUNCTION("""COMPUTED_VALUE"""),"")</f>
        <v/>
      </c>
      <c r="T528" t="str">
        <f ca="1">IFERROR(__xludf.DUMMYFUNCTION("""COMPUTED_VALUE"""),"")</f>
        <v/>
      </c>
      <c r="U528" t="str">
        <f ca="1">IFERROR(__xludf.DUMMYFUNCTION("""COMPUTED_VALUE"""),"")</f>
        <v/>
      </c>
      <c r="V528" t="str">
        <f ca="1">IFERROR(__xludf.DUMMYFUNCTION("""COMPUTED_VALUE"""),"")</f>
        <v/>
      </c>
      <c r="W528" t="str">
        <f ca="1">IFERROR(__xludf.DUMMYFUNCTION("""COMPUTED_VALUE"""),"")</f>
        <v/>
      </c>
      <c r="X528" t="str">
        <f ca="1">IFERROR(__xludf.DUMMYFUNCTION("""COMPUTED_VALUE"""),"")</f>
        <v/>
      </c>
      <c r="Y528" t="str">
        <f ca="1">IFERROR(__xludf.DUMMYFUNCTION("""COMPUTED_VALUE"""),"")</f>
        <v/>
      </c>
      <c r="Z528" t="str">
        <f ca="1">IFERROR(__xludf.DUMMYFUNCTION("""COMPUTED_VALUE"""),"")</f>
        <v/>
      </c>
      <c r="AA528" t="str">
        <f ca="1">IFERROR(__xludf.DUMMYFUNCTION("""COMPUTED_VALUE"""),"Pas de commande")</f>
        <v>Pas de commande</v>
      </c>
      <c r="AB528" s="8" t="str">
        <f ca="1">IFERROR(__xludf.DUMMYFUNCTION("""COMPUTED_VALUE"""),"")</f>
        <v/>
      </c>
      <c r="AC528" s="8" t="str">
        <f ca="1">IFERROR(__xludf.DUMMYFUNCTION("""COMPUTED_VALUE"""),"")</f>
        <v/>
      </c>
      <c r="AD528" s="11" t="str">
        <f ca="1">IFERROR(__xludf.DUMMYFUNCTION("""COMPUTED_VALUE"""),"")</f>
        <v/>
      </c>
      <c r="AE528" t="str">
        <f ca="1">IFERROR(__xludf.DUMMYFUNCTION("""COMPUTED_VALUE"""),"")</f>
        <v/>
      </c>
    </row>
    <row r="529" spans="1:31" ht="12.75" x14ac:dyDescent="0.2">
      <c r="A529">
        <f ca="1">IFERROR(__xludf.DUMMYFUNCTION("""COMPUTED_VALUE"""),25509)</f>
        <v>25509</v>
      </c>
      <c r="B529" t="str">
        <f ca="1">IFERROR(__xludf.DUMMYFUNCTION("""COMPUTED_VALUE"""),"LILLEBONNE")</f>
        <v>LILLEBONNE</v>
      </c>
      <c r="C529" t="str">
        <f ca="1">IFERROR(__xludf.DUMMYFUNCTION("""COMPUTED_VALUE"""),"U Express")</f>
        <v>U Express</v>
      </c>
      <c r="D529" t="str">
        <f ca="1">IFERROR(__xludf.DUMMYFUNCTION("""COMPUTED_VALUE"""),"Coop U Enseigne NordOuest")</f>
        <v>Coop U Enseigne NordOuest</v>
      </c>
      <c r="E529">
        <f ca="1">IFERROR(__xludf.DUMMYFUNCTION("""COMPUTED_VALUE"""),76170)</f>
        <v>76170</v>
      </c>
      <c r="F529" t="str">
        <f ca="1">IFERROR(__xludf.DUMMYFUNCTION("""COMPUTED_VALUE"""),"35 RUE HENRI MESSAGER")</f>
        <v>35 RUE HENRI MESSAGER</v>
      </c>
      <c r="G529" t="str">
        <f ca="1">IFERROR(__xludf.DUMMYFUNCTION("""COMPUTED_VALUE"""),"02.35.39.99.59")</f>
        <v>02.35.39.99.59</v>
      </c>
      <c r="H529" t="str">
        <f ca="1">IFERROR(__xludf.DUMMYFUNCTION("""COMPUTED_VALUE"""),"BARRE Stéphane")</f>
        <v>BARRE Stéphane</v>
      </c>
      <c r="I529" t="str">
        <f ca="1">IFERROR(__xludf.DUMMYFUNCTION("""COMPUTED_VALUE"""),"stephane.barre@systeme-u.fr")</f>
        <v>stephane.barre@systeme-u.fr</v>
      </c>
      <c r="J529" t="str">
        <f ca="1">IFERROR(__xludf.DUMMYFUNCTION("""COMPUTED_VALUE"""),"Massau dominique")</f>
        <v>Massau dominique</v>
      </c>
      <c r="K529" t="str">
        <f ca="1">IFERROR(__xludf.DUMMYFUNCTION("""COMPUTED_VALUE"""),"dominique.massau@coop-cnp.coop,philippe.cappe@coop-cnp.coop²")</f>
        <v>dominique.massau@coop-cnp.coop,philippe.cappe@coop-cnp.coop²</v>
      </c>
      <c r="L529" t="str">
        <f ca="1">IFERROR(__xludf.DUMMYFUNCTION("""COMPUTED_VALUE"""),"Standard")</f>
        <v>Standard</v>
      </c>
      <c r="M529" t="str">
        <f ca="1">IFERROR(__xludf.DUMMYFUNCTION("""COMPUTED_VALUE"""),"0. Non démarré")</f>
        <v>0. Non démarré</v>
      </c>
      <c r="N529" t="str">
        <f ca="1">IFERROR(__xludf.DUMMYFUNCTION("""COMPUTED_VALUE"""),"")</f>
        <v/>
      </c>
      <c r="O529" t="str">
        <f ca="1">IFERROR(__xludf.DUMMYFUNCTION("""COMPUTED_VALUE"""),"")</f>
        <v/>
      </c>
      <c r="P529" t="str">
        <f ca="1">IFERROR(__xludf.DUMMYFUNCTION("""COMPUTED_VALUE"""),"")</f>
        <v/>
      </c>
      <c r="Q529" s="5" t="str">
        <f ca="1">IFERROR(__xludf.DUMMYFUNCTION("""COMPUTED_VALUE"""),"")</f>
        <v/>
      </c>
      <c r="R529" s="6" t="str">
        <f ca="1">IFERROR(__xludf.DUMMYFUNCTION("""COMPUTED_VALUE"""),"")</f>
        <v/>
      </c>
      <c r="S529" t="str">
        <f ca="1">IFERROR(__xludf.DUMMYFUNCTION("""COMPUTED_VALUE"""),"")</f>
        <v/>
      </c>
      <c r="T529" t="str">
        <f ca="1">IFERROR(__xludf.DUMMYFUNCTION("""COMPUTED_VALUE"""),"")</f>
        <v/>
      </c>
      <c r="U529" t="str">
        <f ca="1">IFERROR(__xludf.DUMMYFUNCTION("""COMPUTED_VALUE"""),"")</f>
        <v/>
      </c>
      <c r="V529" t="str">
        <f ca="1">IFERROR(__xludf.DUMMYFUNCTION("""COMPUTED_VALUE"""),"")</f>
        <v/>
      </c>
      <c r="W529" t="str">
        <f ca="1">IFERROR(__xludf.DUMMYFUNCTION("""COMPUTED_VALUE"""),"R3")</f>
        <v>R3</v>
      </c>
      <c r="X529" t="str">
        <f ca="1">IFERROR(__xludf.DUMMYFUNCTION("""COMPUTED_VALUE"""),"Pricer &lt;8Go")</f>
        <v>Pricer &lt;8Go</v>
      </c>
      <c r="Y529" t="str">
        <f ca="1">IFERROR(__xludf.DUMMYFUNCTION("""COMPUTED_VALUE"""),"")</f>
        <v/>
      </c>
      <c r="Z529" t="str">
        <f ca="1">IFERROR(__xludf.DUMMYFUNCTION("""COMPUTED_VALUE"""),"")</f>
        <v/>
      </c>
      <c r="AA529" t="str">
        <f ca="1">IFERROR(__xludf.DUMMYFUNCTION("""COMPUTED_VALUE"""),"Pas de commande")</f>
        <v>Pas de commande</v>
      </c>
      <c r="AB529" s="8" t="str">
        <f ca="1">IFERROR(__xludf.DUMMYFUNCTION("""COMPUTED_VALUE"""),"")</f>
        <v/>
      </c>
      <c r="AC529" s="8" t="str">
        <f ca="1">IFERROR(__xludf.DUMMYFUNCTION("""COMPUTED_VALUE"""),"")</f>
        <v/>
      </c>
      <c r="AD529" s="11" t="str">
        <f ca="1">IFERROR(__xludf.DUMMYFUNCTION("""COMPUTED_VALUE"""),"")</f>
        <v/>
      </c>
      <c r="AE529" t="str">
        <f ca="1">IFERROR(__xludf.DUMMYFUNCTION("""COMPUTED_VALUE"""),"")</f>
        <v/>
      </c>
    </row>
    <row r="530" spans="1:31" ht="12.75" x14ac:dyDescent="0.2">
      <c r="A530">
        <f ca="1">IFERROR(__xludf.DUMMYFUNCTION("""COMPUTED_VALUE"""),31436)</f>
        <v>31436</v>
      </c>
      <c r="B530" t="str">
        <f ca="1">IFERROR(__xludf.DUMMYFUNCTION("""COMPUTED_VALUE"""),"LIMOGES")</f>
        <v>LIMOGES</v>
      </c>
      <c r="C530" t="str">
        <f ca="1">IFERROR(__xludf.DUMMYFUNCTION("""COMPUTED_VALUE"""),"Hyper U")</f>
        <v>Hyper U</v>
      </c>
      <c r="D530" t="str">
        <f ca="1">IFERROR(__xludf.DUMMYFUNCTION("""COMPUTED_VALUE"""),"Coop Atlantique")</f>
        <v>Coop Atlantique</v>
      </c>
      <c r="E530">
        <f ca="1">IFERROR(__xludf.DUMMYFUNCTION("""COMPUTED_VALUE"""),87100)</f>
        <v>87100</v>
      </c>
      <c r="F530" t="str">
        <f ca="1">IFERROR(__xludf.DUMMYFUNCTION("""COMPUTED_VALUE"""),"14, RUE GEORGES BRIQUET")</f>
        <v>14, RUE GEORGES BRIQUET</v>
      </c>
      <c r="G530" t="str">
        <f ca="1">IFERROR(__xludf.DUMMYFUNCTION("""COMPUTED_VALUE"""),"05.55.01.45.02")</f>
        <v>05.55.01.45.02</v>
      </c>
      <c r="H530" t="str">
        <f ca="1">IFERROR(__xludf.DUMMYFUNCTION("""COMPUTED_VALUE"""),"FLAMBARD Hervé")</f>
        <v>FLAMBARD Hervé</v>
      </c>
      <c r="I530" t="str">
        <f ca="1">IFERROR(__xludf.DUMMYFUNCTION("""COMPUTED_VALUE"""),"laurent.fleury_coop_hu@systeme-u.fr")</f>
        <v>laurent.fleury_coop_hu@systeme-u.fr</v>
      </c>
      <c r="J530" t="str">
        <f ca="1">IFERROR(__xludf.DUMMYFUNCTION("""COMPUTED_VALUE"""),"")</f>
        <v/>
      </c>
      <c r="K530" t="str">
        <f ca="1">IFERROR(__xludf.DUMMYFUNCTION("""COMPUTED_VALUE"""),"hyperu.limogescorgnac.direction@systeme-u.fr,nbrigant@coop-atlantique.fr,sjaud@coop-atlantique.fr")</f>
        <v>hyperu.limogescorgnac.direction@systeme-u.fr,nbrigant@coop-atlantique.fr,sjaud@coop-atlantique.fr</v>
      </c>
      <c r="L530" t="str">
        <f ca="1">IFERROR(__xludf.DUMMYFUNCTION("""COMPUTED_VALUE"""),"Standard")</f>
        <v>Standard</v>
      </c>
      <c r="M530" t="str">
        <f ca="1">IFERROR(__xludf.DUMMYFUNCTION("""COMPUTED_VALUE"""),"0. Non démarré")</f>
        <v>0. Non démarré</v>
      </c>
      <c r="N530" t="str">
        <f ca="1">IFERROR(__xludf.DUMMYFUNCTION("""COMPUTED_VALUE"""),"")</f>
        <v/>
      </c>
      <c r="O530" t="str">
        <f ca="1">IFERROR(__xludf.DUMMYFUNCTION("""COMPUTED_VALUE"""),"")</f>
        <v/>
      </c>
      <c r="P530" t="str">
        <f ca="1">IFERROR(__xludf.DUMMYFUNCTION("""COMPUTED_VALUE"""),"")</f>
        <v/>
      </c>
      <c r="Q530" s="5" t="str">
        <f ca="1">IFERROR(__xludf.DUMMYFUNCTION("""COMPUTED_VALUE"""),"")</f>
        <v/>
      </c>
      <c r="R530" s="6" t="str">
        <f ca="1">IFERROR(__xludf.DUMMYFUNCTION("""COMPUTED_VALUE"""),"")</f>
        <v/>
      </c>
      <c r="S530" t="str">
        <f ca="1">IFERROR(__xludf.DUMMYFUNCTION("""COMPUTED_VALUE"""),"")</f>
        <v/>
      </c>
      <c r="T530" t="str">
        <f ca="1">IFERROR(__xludf.DUMMYFUNCTION("""COMPUTED_VALUE"""),"")</f>
        <v/>
      </c>
      <c r="U530" t="str">
        <f ca="1">IFERROR(__xludf.DUMMYFUNCTION("""COMPUTED_VALUE"""),"")</f>
        <v/>
      </c>
      <c r="V530" t="str">
        <f ca="1">IFERROR(__xludf.DUMMYFUNCTION("""COMPUTED_VALUE"""),"")</f>
        <v/>
      </c>
      <c r="W530" t="str">
        <f ca="1">IFERROR(__xludf.DUMMYFUNCTION("""COMPUTED_VALUE"""),"R5")</f>
        <v>R5</v>
      </c>
      <c r="X530" t="str">
        <f ca="1">IFERROR(__xludf.DUMMYFUNCTION("""COMPUTED_VALUE"""),"PC mag &lt;8Go")</f>
        <v>PC mag &lt;8Go</v>
      </c>
      <c r="Y530" t="str">
        <f ca="1">IFERROR(__xludf.DUMMYFUNCTION("""COMPUTED_VALUE"""),"")</f>
        <v/>
      </c>
      <c r="Z530" t="str">
        <f ca="1">IFERROR(__xludf.DUMMYFUNCTION("""COMPUTED_VALUE"""),"")</f>
        <v/>
      </c>
      <c r="AA530" t="str">
        <f ca="1">IFERROR(__xludf.DUMMYFUNCTION("""COMPUTED_VALUE"""),"Pas de commande")</f>
        <v>Pas de commande</v>
      </c>
      <c r="AB530" s="8" t="str">
        <f ca="1">IFERROR(__xludf.DUMMYFUNCTION("""COMPUTED_VALUE"""),"")</f>
        <v/>
      </c>
      <c r="AC530" s="8" t="str">
        <f ca="1">IFERROR(__xludf.DUMMYFUNCTION("""COMPUTED_VALUE"""),"")</f>
        <v/>
      </c>
      <c r="AD530" s="11" t="str">
        <f ca="1">IFERROR(__xludf.DUMMYFUNCTION("""COMPUTED_VALUE"""),"")</f>
        <v/>
      </c>
      <c r="AE530" t="str">
        <f ca="1">IFERROR(__xludf.DUMMYFUNCTION("""COMPUTED_VALUE"""),"")</f>
        <v/>
      </c>
    </row>
    <row r="531" spans="1:31" ht="12.75" x14ac:dyDescent="0.2">
      <c r="A531">
        <f ca="1">IFERROR(__xludf.DUMMYFUNCTION("""COMPUTED_VALUE"""),32075)</f>
        <v>32075</v>
      </c>
      <c r="B531" t="str">
        <f ca="1">IFERROR(__xludf.DUMMYFUNCTION("""COMPUTED_VALUE"""),"LIMOGES")</f>
        <v>LIMOGES</v>
      </c>
      <c r="C531" t="str">
        <f ca="1">IFERROR(__xludf.DUMMYFUNCTION("""COMPUTED_VALUE"""),"Super U")</f>
        <v>Super U</v>
      </c>
      <c r="D531" t="str">
        <f ca="1">IFERROR(__xludf.DUMMYFUNCTION("""COMPUTED_VALUE"""),"Coop Atlantique")</f>
        <v>Coop Atlantique</v>
      </c>
      <c r="E531">
        <f ca="1">IFERROR(__xludf.DUMMYFUNCTION("""COMPUTED_VALUE"""),87000)</f>
        <v>87000</v>
      </c>
      <c r="F531" t="str">
        <f ca="1">IFERROR(__xludf.DUMMYFUNCTION("""COMPUTED_VALUE"""),"282 RUE FRANÇOIS PERRIN")</f>
        <v>282 RUE FRANÇOIS PERRIN</v>
      </c>
      <c r="G531" t="str">
        <f ca="1">IFERROR(__xludf.DUMMYFUNCTION("""COMPUTED_VALUE"""),"05.55.50.32.50")</f>
        <v>05.55.50.32.50</v>
      </c>
      <c r="H531" t="str">
        <f ca="1">IFERROR(__xludf.DUMMYFUNCTION("""COMPUTED_VALUE"""),"FLAMBARD Hervé")</f>
        <v>FLAMBARD Hervé</v>
      </c>
      <c r="I531" t="str">
        <f ca="1">IFERROR(__xludf.DUMMYFUNCTION("""COMPUTED_VALUE"""),"bertrand.defontaine_coop_su_uex@systeme-u.fr")</f>
        <v>bertrand.defontaine_coop_su_uex@systeme-u.fr</v>
      </c>
      <c r="J531" t="str">
        <f ca="1">IFERROR(__xludf.DUMMYFUNCTION("""COMPUTED_VALUE"""),"GRANSAGNE Jean-Louis")</f>
        <v>GRANSAGNE Jean-Louis</v>
      </c>
      <c r="K531" t="str">
        <f ca="1">IFERROR(__xludf.DUMMYFUNCTION("""COMPUTED_VALUE"""),"superu.limogesperrin.direction@systeme-u.fr,nbrigant@coop-atlantique.fr,sjaud@coop-atlantique.fr,jlgransagne@coop-atlantique.fr")</f>
        <v>superu.limogesperrin.direction@systeme-u.fr,nbrigant@coop-atlantique.fr,sjaud@coop-atlantique.fr,jlgransagne@coop-atlantique.fr</v>
      </c>
      <c r="L531" t="str">
        <f ca="1">IFERROR(__xludf.DUMMYFUNCTION("""COMPUTED_VALUE"""),"Standard")</f>
        <v>Standard</v>
      </c>
      <c r="M531" t="str">
        <f ca="1">IFERROR(__xludf.DUMMYFUNCTION("""COMPUTED_VALUE"""),"0. Non démarré")</f>
        <v>0. Non démarré</v>
      </c>
      <c r="N531" t="str">
        <f ca="1">IFERROR(__xludf.DUMMYFUNCTION("""COMPUTED_VALUE"""),"")</f>
        <v/>
      </c>
      <c r="O531" t="str">
        <f ca="1">IFERROR(__xludf.DUMMYFUNCTION("""COMPUTED_VALUE"""),"")</f>
        <v/>
      </c>
      <c r="P531" t="str">
        <f ca="1">IFERROR(__xludf.DUMMYFUNCTION("""COMPUTED_VALUE"""),"")</f>
        <v/>
      </c>
      <c r="Q531" s="5" t="str">
        <f ca="1">IFERROR(__xludf.DUMMYFUNCTION("""COMPUTED_VALUE"""),"")</f>
        <v/>
      </c>
      <c r="R531" s="6" t="str">
        <f ca="1">IFERROR(__xludf.DUMMYFUNCTION("""COMPUTED_VALUE"""),"")</f>
        <v/>
      </c>
      <c r="S531" t="str">
        <f ca="1">IFERROR(__xludf.DUMMYFUNCTION("""COMPUTED_VALUE"""),"")</f>
        <v/>
      </c>
      <c r="T531" t="str">
        <f ca="1">IFERROR(__xludf.DUMMYFUNCTION("""COMPUTED_VALUE"""),"")</f>
        <v/>
      </c>
      <c r="U531" t="str">
        <f ca="1">IFERROR(__xludf.DUMMYFUNCTION("""COMPUTED_VALUE"""),"")</f>
        <v/>
      </c>
      <c r="V531" t="str">
        <f ca="1">IFERROR(__xludf.DUMMYFUNCTION("""COMPUTED_VALUE"""),"")</f>
        <v/>
      </c>
      <c r="W531" t="str">
        <f ca="1">IFERROR(__xludf.DUMMYFUNCTION("""COMPUTED_VALUE"""),"R5")</f>
        <v>R5</v>
      </c>
      <c r="X531" t="str">
        <f ca="1">IFERROR(__xludf.DUMMYFUNCTION("""COMPUTED_VALUE"""),"PC mag &lt;8Go")</f>
        <v>PC mag &lt;8Go</v>
      </c>
      <c r="Y531" t="str">
        <f ca="1">IFERROR(__xludf.DUMMYFUNCTION("""COMPUTED_VALUE"""),"")</f>
        <v/>
      </c>
      <c r="Z531" t="str">
        <f ca="1">IFERROR(__xludf.DUMMYFUNCTION("""COMPUTED_VALUE"""),"")</f>
        <v/>
      </c>
      <c r="AA531" t="str">
        <f ca="1">IFERROR(__xludf.DUMMYFUNCTION("""COMPUTED_VALUE"""),"Pas de commande")</f>
        <v>Pas de commande</v>
      </c>
      <c r="AB531" s="8" t="str">
        <f ca="1">IFERROR(__xludf.DUMMYFUNCTION("""COMPUTED_VALUE"""),"")</f>
        <v/>
      </c>
      <c r="AC531" s="8" t="str">
        <f ca="1">IFERROR(__xludf.DUMMYFUNCTION("""COMPUTED_VALUE"""),"")</f>
        <v/>
      </c>
      <c r="AD531" s="11" t="str">
        <f ca="1">IFERROR(__xludf.DUMMYFUNCTION("""COMPUTED_VALUE"""),"")</f>
        <v/>
      </c>
      <c r="AE531" t="str">
        <f ca="1">IFERROR(__xludf.DUMMYFUNCTION("""COMPUTED_VALUE"""),"")</f>
        <v/>
      </c>
    </row>
    <row r="532" spans="1:31" ht="12.75" x14ac:dyDescent="0.2">
      <c r="A532">
        <f ca="1">IFERROR(__xludf.DUMMYFUNCTION("""COMPUTED_VALUE"""),37560)</f>
        <v>37560</v>
      </c>
      <c r="B532" t="str">
        <f ca="1">IFERROR(__xludf.DUMMYFUNCTION("""COMPUTED_VALUE"""),"LIMOGES BERGONIE")</f>
        <v>LIMOGES BERGONIE</v>
      </c>
      <c r="C532" t="str">
        <f ca="1">IFERROR(__xludf.DUMMYFUNCTION("""COMPUTED_VALUE"""),"U Express")</f>
        <v>U Express</v>
      </c>
      <c r="D532" t="str">
        <f ca="1">IFERROR(__xludf.DUMMYFUNCTION("""COMPUTED_VALUE"""),"Coop U Enseigne Ouest")</f>
        <v>Coop U Enseigne Ouest</v>
      </c>
      <c r="E532">
        <f ca="1">IFERROR(__xludf.DUMMYFUNCTION("""COMPUTED_VALUE"""),87100)</f>
        <v>87100</v>
      </c>
      <c r="F532" t="str">
        <f ca="1">IFERROR(__xludf.DUMMYFUNCTION("""COMPUTED_VALUE"""),"1, RUE DU DOCTEUR BERGONIE")</f>
        <v>1, RUE DU DOCTEUR BERGONIE</v>
      </c>
      <c r="G532" t="str">
        <f ca="1">IFERROR(__xludf.DUMMYFUNCTION("""COMPUTED_VALUE"""),"05.55.04.22.46")</f>
        <v>05.55.04.22.46</v>
      </c>
      <c r="H532" t="str">
        <f ca="1">IFERROR(__xludf.DUMMYFUNCTION("""COMPUTED_VALUE"""),"DOUGE Anthony")</f>
        <v>DOUGE Anthony</v>
      </c>
      <c r="I532" t="str">
        <f ca="1">IFERROR(__xludf.DUMMYFUNCTION("""COMPUTED_VALUE"""),"anthony.douge@systeme-u.fr")</f>
        <v>anthony.douge@systeme-u.fr</v>
      </c>
      <c r="J532" t="str">
        <f ca="1">IFERROR(__xludf.DUMMYFUNCTION("""COMPUTED_VALUE"""),"Julien VERGNE")</f>
        <v>Julien VERGNE</v>
      </c>
      <c r="K532" t="str">
        <f ca="1">IFERROR(__xludf.DUMMYFUNCTION("""COMPUTED_VALUE"""),"uexpress.limoges@systeme-u.fr")</f>
        <v>uexpress.limoges@systeme-u.fr</v>
      </c>
      <c r="L532" t="str">
        <f ca="1">IFERROR(__xludf.DUMMYFUNCTION("""COMPUTED_VALUE"""),"")</f>
        <v/>
      </c>
      <c r="M532" t="str">
        <f ca="1">IFERROR(__xludf.DUMMYFUNCTION("""COMPUTED_VALUE"""),"99.Hors Périmetre")</f>
        <v>99.Hors Périmetre</v>
      </c>
      <c r="N532" t="str">
        <f ca="1">IFERROR(__xludf.DUMMYFUNCTION("""COMPUTED_VALUE"""),"")</f>
        <v/>
      </c>
      <c r="O532" t="str">
        <f ca="1">IFERROR(__xludf.DUMMYFUNCTION("""COMPUTED_VALUE"""),"")</f>
        <v/>
      </c>
      <c r="P532" t="str">
        <f ca="1">IFERROR(__xludf.DUMMYFUNCTION("""COMPUTED_VALUE"""),"")</f>
        <v/>
      </c>
      <c r="Q532" s="5" t="str">
        <f ca="1">IFERROR(__xludf.DUMMYFUNCTION("""COMPUTED_VALUE"""),"")</f>
        <v/>
      </c>
      <c r="R532" s="6" t="str">
        <f ca="1">IFERROR(__xludf.DUMMYFUNCTION("""COMPUTED_VALUE"""),"")</f>
        <v/>
      </c>
      <c r="S532" t="str">
        <f ca="1">IFERROR(__xludf.DUMMYFUNCTION("""COMPUTED_VALUE"""),"")</f>
        <v/>
      </c>
      <c r="T532" t="str">
        <f ca="1">IFERROR(__xludf.DUMMYFUNCTION("""COMPUTED_VALUE"""),"")</f>
        <v/>
      </c>
      <c r="U532" t="str">
        <f ca="1">IFERROR(__xludf.DUMMYFUNCTION("""COMPUTED_VALUE"""),"")</f>
        <v/>
      </c>
      <c r="V532" t="str">
        <f ca="1">IFERROR(__xludf.DUMMYFUNCTION("""COMPUTED_VALUE"""),"")</f>
        <v/>
      </c>
      <c r="W532" t="str">
        <f ca="1">IFERROR(__xludf.DUMMYFUNCTION("""COMPUTED_VALUE"""),"")</f>
        <v/>
      </c>
      <c r="X532" t="str">
        <f ca="1">IFERROR(__xludf.DUMMYFUNCTION("""COMPUTED_VALUE"""),"")</f>
        <v/>
      </c>
      <c r="Y532" t="str">
        <f ca="1">IFERROR(__xludf.DUMMYFUNCTION("""COMPUTED_VALUE"""),"")</f>
        <v/>
      </c>
      <c r="Z532" t="str">
        <f ca="1">IFERROR(__xludf.DUMMYFUNCTION("""COMPUTED_VALUE"""),"")</f>
        <v/>
      </c>
      <c r="AA532" t="str">
        <f ca="1">IFERROR(__xludf.DUMMYFUNCTION("""COMPUTED_VALUE"""),"Pas de commande")</f>
        <v>Pas de commande</v>
      </c>
      <c r="AB532" s="8" t="str">
        <f ca="1">IFERROR(__xludf.DUMMYFUNCTION("""COMPUTED_VALUE"""),"")</f>
        <v/>
      </c>
      <c r="AC532" s="8" t="str">
        <f ca="1">IFERROR(__xludf.DUMMYFUNCTION("""COMPUTED_VALUE"""),"")</f>
        <v/>
      </c>
      <c r="AD532" s="11" t="str">
        <f ca="1">IFERROR(__xludf.DUMMYFUNCTION("""COMPUTED_VALUE"""),"")</f>
        <v/>
      </c>
      <c r="AE532" t="str">
        <f ca="1">IFERROR(__xludf.DUMMYFUNCTION("""COMPUTED_VALUE"""),"")</f>
        <v/>
      </c>
    </row>
    <row r="533" spans="1:31" ht="12.75" x14ac:dyDescent="0.2">
      <c r="A533">
        <f ca="1">IFERROR(__xludf.DUMMYFUNCTION("""COMPUTED_VALUE"""),34174)</f>
        <v>34174</v>
      </c>
      <c r="B533" t="str">
        <f ca="1">IFERROR(__xludf.DUMMYFUNCTION("""COMPUTED_VALUE"""),"LIMOGES GARE")</f>
        <v>LIMOGES GARE</v>
      </c>
      <c r="C533" t="str">
        <f ca="1">IFERROR(__xludf.DUMMYFUNCTION("""COMPUTED_VALUE"""),"U Express")</f>
        <v>U Express</v>
      </c>
      <c r="D533" t="str">
        <f ca="1">IFERROR(__xludf.DUMMYFUNCTION("""COMPUTED_VALUE"""),"Coop Atlantique")</f>
        <v>Coop Atlantique</v>
      </c>
      <c r="E533">
        <f ca="1">IFERROR(__xludf.DUMMYFUNCTION("""COMPUTED_VALUE"""),87000)</f>
        <v>87000</v>
      </c>
      <c r="F533" t="str">
        <f ca="1">IFERROR(__xludf.DUMMYFUNCTION("""COMPUTED_VALUE"""),"RUE DU MAS LOUBIER")</f>
        <v>RUE DU MAS LOUBIER</v>
      </c>
      <c r="G533" t="str">
        <f ca="1">IFERROR(__xludf.DUMMYFUNCTION("""COMPUTED_VALUE"""),"05.55.77.25.93")</f>
        <v>05.55.77.25.93</v>
      </c>
      <c r="H533" t="str">
        <f ca="1">IFERROR(__xludf.DUMMYFUNCTION("""COMPUTED_VALUE"""),"FLAMBARD Hervé")</f>
        <v>FLAMBARD Hervé</v>
      </c>
      <c r="I533" t="str">
        <f ca="1">IFERROR(__xludf.DUMMYFUNCTION("""COMPUTED_VALUE"""),"bertrand.defontaine_coop_su_uex@systeme-u.fr")</f>
        <v>bertrand.defontaine_coop_su_uex@systeme-u.fr</v>
      </c>
      <c r="J533" t="str">
        <f ca="1">IFERROR(__xludf.DUMMYFUNCTION("""COMPUTED_VALUE"""),"Patrick VERGNE")</f>
        <v>Patrick VERGNE</v>
      </c>
      <c r="K533" t="str">
        <f ca="1">IFERROR(__xludf.DUMMYFUNCTION("""COMPUTED_VALUE"""),"uexpress.limogesgaredescharentes.direction@systeme-u.fr,nbrigant@coop-atlantique.fr,sjaud@coop-atlantique.fr,pvergne@coop-atlantique.fr")</f>
        <v>uexpress.limogesgaredescharentes.direction@systeme-u.fr,nbrigant@coop-atlantique.fr,sjaud@coop-atlantique.fr,pvergne@coop-atlantique.fr</v>
      </c>
      <c r="L533" t="str">
        <f ca="1">IFERROR(__xludf.DUMMYFUNCTION("""COMPUTED_VALUE"""),"")</f>
        <v/>
      </c>
      <c r="M533" t="str">
        <f ca="1">IFERROR(__xludf.DUMMYFUNCTION("""COMPUTED_VALUE"""),"99.Hors Périmetre")</f>
        <v>99.Hors Périmetre</v>
      </c>
      <c r="N533" t="str">
        <f ca="1">IFERROR(__xludf.DUMMYFUNCTION("""COMPUTED_VALUE"""),"")</f>
        <v/>
      </c>
      <c r="O533" t="str">
        <f ca="1">IFERROR(__xludf.DUMMYFUNCTION("""COMPUTED_VALUE"""),"")</f>
        <v/>
      </c>
      <c r="P533" t="str">
        <f ca="1">IFERROR(__xludf.DUMMYFUNCTION("""COMPUTED_VALUE"""),"")</f>
        <v/>
      </c>
      <c r="Q533" s="5" t="str">
        <f ca="1">IFERROR(__xludf.DUMMYFUNCTION("""COMPUTED_VALUE"""),"")</f>
        <v/>
      </c>
      <c r="R533" s="6" t="str">
        <f ca="1">IFERROR(__xludf.DUMMYFUNCTION("""COMPUTED_VALUE"""),"")</f>
        <v/>
      </c>
      <c r="S533" t="str">
        <f ca="1">IFERROR(__xludf.DUMMYFUNCTION("""COMPUTED_VALUE"""),"")</f>
        <v/>
      </c>
      <c r="T533" t="str">
        <f ca="1">IFERROR(__xludf.DUMMYFUNCTION("""COMPUTED_VALUE"""),"")</f>
        <v/>
      </c>
      <c r="U533" t="str">
        <f ca="1">IFERROR(__xludf.DUMMYFUNCTION("""COMPUTED_VALUE"""),"")</f>
        <v/>
      </c>
      <c r="V533" t="str">
        <f ca="1">IFERROR(__xludf.DUMMYFUNCTION("""COMPUTED_VALUE"""),"")</f>
        <v/>
      </c>
      <c r="W533" t="str">
        <f ca="1">IFERROR(__xludf.DUMMYFUNCTION("""COMPUTED_VALUE"""),"")</f>
        <v/>
      </c>
      <c r="X533" t="str">
        <f ca="1">IFERROR(__xludf.DUMMYFUNCTION("""COMPUTED_VALUE"""),"")</f>
        <v/>
      </c>
      <c r="Y533" t="str">
        <f ca="1">IFERROR(__xludf.DUMMYFUNCTION("""COMPUTED_VALUE"""),"")</f>
        <v/>
      </c>
      <c r="Z533" t="str">
        <f ca="1">IFERROR(__xludf.DUMMYFUNCTION("""COMPUTED_VALUE"""),"")</f>
        <v/>
      </c>
      <c r="AA533" t="str">
        <f ca="1">IFERROR(__xludf.DUMMYFUNCTION("""COMPUTED_VALUE"""),"Pas de commande")</f>
        <v>Pas de commande</v>
      </c>
      <c r="AB533" s="8" t="str">
        <f ca="1">IFERROR(__xludf.DUMMYFUNCTION("""COMPUTED_VALUE"""),"")</f>
        <v/>
      </c>
      <c r="AC533" s="8" t="str">
        <f ca="1">IFERROR(__xludf.DUMMYFUNCTION("""COMPUTED_VALUE"""),"")</f>
        <v/>
      </c>
      <c r="AD533" s="11" t="str">
        <f ca="1">IFERROR(__xludf.DUMMYFUNCTION("""COMPUTED_VALUE"""),"")</f>
        <v/>
      </c>
      <c r="AE533" t="str">
        <f ca="1">IFERROR(__xludf.DUMMYFUNCTION("""COMPUTED_VALUE"""),"")</f>
        <v/>
      </c>
    </row>
    <row r="534" spans="1:31" ht="12.75" x14ac:dyDescent="0.2">
      <c r="A534">
        <f ca="1">IFERROR(__xludf.DUMMYFUNCTION("""COMPUTED_VALUE"""),35843)</f>
        <v>35843</v>
      </c>
      <c r="B534" t="str">
        <f ca="1">IFERROR(__xludf.DUMMYFUNCTION("""COMPUTED_VALUE"""),"LIMOGES LABUSSIERE")</f>
        <v>LIMOGES LABUSSIERE</v>
      </c>
      <c r="C534" t="str">
        <f ca="1">IFERROR(__xludf.DUMMYFUNCTION("""COMPUTED_VALUE"""),"Super U")</f>
        <v>Super U</v>
      </c>
      <c r="D534" t="str">
        <f ca="1">IFERROR(__xludf.DUMMYFUNCTION("""COMPUTED_VALUE"""),"Coop U Enseigne Ouest")</f>
        <v>Coop U Enseigne Ouest</v>
      </c>
      <c r="E534">
        <f ca="1">IFERROR(__xludf.DUMMYFUNCTION("""COMPUTED_VALUE"""),87100)</f>
        <v>87100</v>
      </c>
      <c r="F534" t="str">
        <f ca="1">IFERROR(__xludf.DUMMYFUNCTION("""COMPUTED_VALUE"""),"AVENUE EMILE LABUSSIÈRE")</f>
        <v>AVENUE EMILE LABUSSIÈRE</v>
      </c>
      <c r="G534" t="str">
        <f ca="1">IFERROR(__xludf.DUMMYFUNCTION("""COMPUTED_VALUE"""),"05.55.77.46.16")</f>
        <v>05.55.77.46.16</v>
      </c>
      <c r="H534" t="str">
        <f ca="1">IFERROR(__xludf.DUMMYFUNCTION("""COMPUTED_VALUE"""),"EPAILLARD RPT SARL ALJOAN Hervé")</f>
        <v>EPAILLARD RPT SARL ALJOAN Hervé</v>
      </c>
      <c r="I534" t="str">
        <f ca="1">IFERROR(__xludf.DUMMYFUNCTION("""COMPUTED_VALUE"""),"herve.epaillard@systeme-u.fr")</f>
        <v>herve.epaillard@systeme-u.fr</v>
      </c>
      <c r="J534" t="str">
        <f ca="1">IFERROR(__xludf.DUMMYFUNCTION("""COMPUTED_VALUE"""),"Julien LIMOUSIN")</f>
        <v>Julien LIMOUSIN</v>
      </c>
      <c r="K534" t="str">
        <f ca="1">IFERROR(__xludf.DUMMYFUNCTION("""COMPUTED_VALUE"""),"superu.limogeslabussiere@systeme-u.fr, superu.limogeslabussiere.direction@systeme-u.fr")</f>
        <v>superu.limogeslabussiere@systeme-u.fr, superu.limogeslabussiere.direction@systeme-u.fr</v>
      </c>
      <c r="L534" t="str">
        <f ca="1">IFERROR(__xludf.DUMMYFUNCTION("""COMPUTED_VALUE"""),"Standard")</f>
        <v>Standard</v>
      </c>
      <c r="M534" t="str">
        <f ca="1">IFERROR(__xludf.DUMMYFUNCTION("""COMPUTED_VALUE"""),"0. Non démarré")</f>
        <v>0. Non démarré</v>
      </c>
      <c r="N534" t="str">
        <f ca="1">IFERROR(__xludf.DUMMYFUNCTION("""COMPUTED_VALUE"""),"")</f>
        <v/>
      </c>
      <c r="O534" t="str">
        <f ca="1">IFERROR(__xludf.DUMMYFUNCTION("""COMPUTED_VALUE"""),"")</f>
        <v/>
      </c>
      <c r="P534" t="str">
        <f ca="1">IFERROR(__xludf.DUMMYFUNCTION("""COMPUTED_VALUE"""),"")</f>
        <v/>
      </c>
      <c r="Q534" s="5" t="str">
        <f ca="1">IFERROR(__xludf.DUMMYFUNCTION("""COMPUTED_VALUE"""),"")</f>
        <v/>
      </c>
      <c r="R534" s="6" t="str">
        <f ca="1">IFERROR(__xludf.DUMMYFUNCTION("""COMPUTED_VALUE"""),"")</f>
        <v/>
      </c>
      <c r="S534" t="str">
        <f ca="1">IFERROR(__xludf.DUMMYFUNCTION("""COMPUTED_VALUE"""),"")</f>
        <v/>
      </c>
      <c r="T534" t="str">
        <f ca="1">IFERROR(__xludf.DUMMYFUNCTION("""COMPUTED_VALUE"""),"")</f>
        <v/>
      </c>
      <c r="U534" t="str">
        <f ca="1">IFERROR(__xludf.DUMMYFUNCTION("""COMPUTED_VALUE"""),"")</f>
        <v/>
      </c>
      <c r="V534" t="str">
        <f ca="1">IFERROR(__xludf.DUMMYFUNCTION("""COMPUTED_VALUE"""),"")</f>
        <v/>
      </c>
      <c r="W534" t="str">
        <f ca="1">IFERROR(__xludf.DUMMYFUNCTION("""COMPUTED_VALUE"""),"R5")</f>
        <v>R5</v>
      </c>
      <c r="X534" t="str">
        <f ca="1">IFERROR(__xludf.DUMMYFUNCTION("""COMPUTED_VALUE"""),"Pricer")</f>
        <v>Pricer</v>
      </c>
      <c r="Y534" t="str">
        <f ca="1">IFERROR(__xludf.DUMMYFUNCTION("""COMPUTED_VALUE"""),"")</f>
        <v/>
      </c>
      <c r="Z534" t="str">
        <f ca="1">IFERROR(__xludf.DUMMYFUNCTION("""COMPUTED_VALUE"""),"")</f>
        <v/>
      </c>
      <c r="AA534" t="str">
        <f ca="1">IFERROR(__xludf.DUMMYFUNCTION("""COMPUTED_VALUE"""),"Pas de commande")</f>
        <v>Pas de commande</v>
      </c>
      <c r="AB534" s="8" t="str">
        <f ca="1">IFERROR(__xludf.DUMMYFUNCTION("""COMPUTED_VALUE"""),"")</f>
        <v/>
      </c>
      <c r="AC534" s="8" t="str">
        <f ca="1">IFERROR(__xludf.DUMMYFUNCTION("""COMPUTED_VALUE"""),"")</f>
        <v/>
      </c>
      <c r="AD534" s="11" t="str">
        <f ca="1">IFERROR(__xludf.DUMMYFUNCTION("""COMPUTED_VALUE"""),"")</f>
        <v/>
      </c>
      <c r="AE534" t="str">
        <f ca="1">IFERROR(__xludf.DUMMYFUNCTION("""COMPUTED_VALUE"""),"")</f>
        <v/>
      </c>
    </row>
    <row r="535" spans="1:31" ht="12.75" x14ac:dyDescent="0.2">
      <c r="A535">
        <f ca="1">IFERROR(__xludf.DUMMYFUNCTION("""COMPUTED_VALUE"""),90473)</f>
        <v>90473</v>
      </c>
      <c r="B535" t="str">
        <f ca="1">IFERROR(__xludf.DUMMYFUNCTION("""COMPUTED_VALUE"""),"LIMOUX")</f>
        <v>LIMOUX</v>
      </c>
      <c r="C535" t="str">
        <f ca="1">IFERROR(__xludf.DUMMYFUNCTION("""COMPUTED_VALUE"""),"Super U")</f>
        <v>Super U</v>
      </c>
      <c r="D535" t="str">
        <f ca="1">IFERROR(__xludf.DUMMYFUNCTION("""COMPUTED_VALUE"""),"Coop U Enseigne Sud")</f>
        <v>Coop U Enseigne Sud</v>
      </c>
      <c r="E535">
        <f ca="1">IFERROR(__xludf.DUMMYFUNCTION("""COMPUTED_VALUE"""),11300)</f>
        <v>11300</v>
      </c>
      <c r="F535" t="str">
        <f ca="1">IFERROR(__xludf.DUMMYFUNCTION("""COMPUTED_VALUE"""),"59 AVENUE DE CATALOGNE")</f>
        <v>59 AVENUE DE CATALOGNE</v>
      </c>
      <c r="G535" t="str">
        <f ca="1">IFERROR(__xludf.DUMMYFUNCTION("""COMPUTED_VALUE"""),"04.68.74.72.20")</f>
        <v>04.68.74.72.20</v>
      </c>
      <c r="H535" t="str">
        <f ca="1">IFERROR(__xludf.DUMMYFUNCTION("""COMPUTED_VALUE"""),"BILLEBAULT Frédéric")</f>
        <v>BILLEBAULT Frédéric</v>
      </c>
      <c r="I535" t="str">
        <f ca="1">IFERROR(__xludf.DUMMYFUNCTION("""COMPUTED_VALUE"""),"frederic.billebault@systeme-u.fr")</f>
        <v>frederic.billebault@systeme-u.fr</v>
      </c>
      <c r="J535" t="str">
        <f ca="1">IFERROR(__xludf.DUMMYFUNCTION("""COMPUTED_VALUE"""),"BILLEBAULT Frédéric
M.BENKEMOUN")</f>
        <v>BILLEBAULT Frédéric
M.BENKEMOUN</v>
      </c>
      <c r="K535" t="str">
        <f ca="1">IFERROR(__xludf.DUMMYFUNCTION("""COMPUTED_VALUE"""),"superu.limoux.direction@systeme-u.fr")</f>
        <v>superu.limoux.direction@systeme-u.fr</v>
      </c>
      <c r="L535" t="str">
        <f ca="1">IFERROR(__xludf.DUMMYFUNCTION("""COMPUTED_VALUE"""),"")</f>
        <v/>
      </c>
      <c r="M535" t="str">
        <f ca="1">IFERROR(__xludf.DUMMYFUNCTION("""COMPUTED_VALUE"""),"99.Hors Périmetre")</f>
        <v>99.Hors Périmetre</v>
      </c>
      <c r="N535" t="str">
        <f ca="1">IFERROR(__xludf.DUMMYFUNCTION("""COMPUTED_VALUE"""),"")</f>
        <v/>
      </c>
      <c r="O535" t="str">
        <f ca="1">IFERROR(__xludf.DUMMYFUNCTION("""COMPUTED_VALUE"""),"")</f>
        <v/>
      </c>
      <c r="P535" t="str">
        <f ca="1">IFERROR(__xludf.DUMMYFUNCTION("""COMPUTED_VALUE"""),"")</f>
        <v/>
      </c>
      <c r="Q535" s="5" t="str">
        <f ca="1">IFERROR(__xludf.DUMMYFUNCTION("""COMPUTED_VALUE"""),"")</f>
        <v/>
      </c>
      <c r="R535" s="6" t="str">
        <f ca="1">IFERROR(__xludf.DUMMYFUNCTION("""COMPUTED_VALUE"""),"")</f>
        <v/>
      </c>
      <c r="S535" t="str">
        <f ca="1">IFERROR(__xludf.DUMMYFUNCTION("""COMPUTED_VALUE"""),"")</f>
        <v/>
      </c>
      <c r="T535" t="str">
        <f ca="1">IFERROR(__xludf.DUMMYFUNCTION("""COMPUTED_VALUE"""),"")</f>
        <v/>
      </c>
      <c r="U535" t="str">
        <f ca="1">IFERROR(__xludf.DUMMYFUNCTION("""COMPUTED_VALUE"""),"")</f>
        <v/>
      </c>
      <c r="V535" t="str">
        <f ca="1">IFERROR(__xludf.DUMMYFUNCTION("""COMPUTED_VALUE"""),"")</f>
        <v/>
      </c>
      <c r="W535" t="str">
        <f ca="1">IFERROR(__xludf.DUMMYFUNCTION("""COMPUTED_VALUE"""),"")</f>
        <v/>
      </c>
      <c r="X535" t="str">
        <f ca="1">IFERROR(__xludf.DUMMYFUNCTION("""COMPUTED_VALUE"""),"")</f>
        <v/>
      </c>
      <c r="Y535" t="str">
        <f ca="1">IFERROR(__xludf.DUMMYFUNCTION("""COMPUTED_VALUE"""),"")</f>
        <v/>
      </c>
      <c r="Z535" t="str">
        <f ca="1">IFERROR(__xludf.DUMMYFUNCTION("""COMPUTED_VALUE"""),"")</f>
        <v/>
      </c>
      <c r="AA535" t="str">
        <f ca="1">IFERROR(__xludf.DUMMYFUNCTION("""COMPUTED_VALUE"""),"Pas de commande")</f>
        <v>Pas de commande</v>
      </c>
      <c r="AB535" s="8" t="str">
        <f ca="1">IFERROR(__xludf.DUMMYFUNCTION("""COMPUTED_VALUE"""),"")</f>
        <v/>
      </c>
      <c r="AC535" s="8" t="str">
        <f ca="1">IFERROR(__xludf.DUMMYFUNCTION("""COMPUTED_VALUE"""),"")</f>
        <v/>
      </c>
      <c r="AD535" s="11" t="str">
        <f ca="1">IFERROR(__xludf.DUMMYFUNCTION("""COMPUTED_VALUE"""),"")</f>
        <v/>
      </c>
      <c r="AE535" t="str">
        <f ca="1">IFERROR(__xludf.DUMMYFUNCTION("""COMPUTED_VALUE"""),"")</f>
        <v/>
      </c>
    </row>
    <row r="536" spans="1:31" ht="12.75" x14ac:dyDescent="0.2">
      <c r="A536">
        <f ca="1">IFERROR(__xludf.DUMMYFUNCTION("""COMPUTED_VALUE"""),60090)</f>
        <v>60090</v>
      </c>
      <c r="B536" t="str">
        <f ca="1">IFERROR(__xludf.DUMMYFUNCTION("""COMPUTED_VALUE"""),"LINGOLSHEIM")</f>
        <v>LINGOLSHEIM</v>
      </c>
      <c r="C536" t="str">
        <f ca="1">IFERROR(__xludf.DUMMYFUNCTION("""COMPUTED_VALUE"""),"Super U")</f>
        <v>Super U</v>
      </c>
      <c r="D536" t="str">
        <f ca="1">IFERROR(__xludf.DUMMYFUNCTION("""COMPUTED_VALUE"""),"Coop U Enseigne Est")</f>
        <v>Coop U Enseigne Est</v>
      </c>
      <c r="E536">
        <f ca="1">IFERROR(__xludf.DUMMYFUNCTION("""COMPUTED_VALUE"""),67380)</f>
        <v>67380</v>
      </c>
      <c r="F536" t="str">
        <f ca="1">IFERROR(__xludf.DUMMYFUNCTION("""COMPUTED_VALUE"""),"Rue d'Eckbolsheim")</f>
        <v>Rue d'Eckbolsheim</v>
      </c>
      <c r="G536" t="str">
        <f ca="1">IFERROR(__xludf.DUMMYFUNCTION("""COMPUTED_VALUE"""),"03.90.20.76.76")</f>
        <v>03.90.20.76.76</v>
      </c>
      <c r="H536" t="str">
        <f ca="1">IFERROR(__xludf.DUMMYFUNCTION("""COMPUTED_VALUE"""),"GRASS RPT SAS HOLDING Philippe")</f>
        <v>GRASS RPT SAS HOLDING Philippe</v>
      </c>
      <c r="I536" t="str">
        <f ca="1">IFERROR(__xludf.DUMMYFUNCTION("""COMPUTED_VALUE"""),"philippe.grass@systeme-u.fr")</f>
        <v>philippe.grass@systeme-u.fr</v>
      </c>
      <c r="J536" t="str">
        <f ca="1">IFERROR(__xludf.DUMMYFUNCTION("""COMPUTED_VALUE"""),"Anne-Marie Schierer
Mme Avignon (directrice - UPLV)")</f>
        <v>Anne-Marie Schierer
Mme Avignon (directrice - UPLV)</v>
      </c>
      <c r="K536" t="str">
        <f ca="1">IFERROR(__xludf.DUMMYFUNCTION("""COMPUTED_VALUE"""),"SUPERU.LINGOLSHEIM.CAISSE@SYSTEME-U.FR, superu.lingolsheim.direction@systeme-u.fr")</f>
        <v>SUPERU.LINGOLSHEIM.CAISSE@SYSTEME-U.FR, superu.lingolsheim.direction@systeme-u.fr</v>
      </c>
      <c r="L536" t="str">
        <f ca="1">IFERROR(__xludf.DUMMYFUNCTION("""COMPUTED_VALUE"""),"")</f>
        <v/>
      </c>
      <c r="M536" t="str">
        <f ca="1">IFERROR(__xludf.DUMMYFUNCTION("""COMPUTED_VALUE"""),"99.Hors Périmetre")</f>
        <v>99.Hors Périmetre</v>
      </c>
      <c r="N536" t="str">
        <f ca="1">IFERROR(__xludf.DUMMYFUNCTION("""COMPUTED_VALUE"""),"")</f>
        <v/>
      </c>
      <c r="O536" t="str">
        <f ca="1">IFERROR(__xludf.DUMMYFUNCTION("""COMPUTED_VALUE"""),"")</f>
        <v/>
      </c>
      <c r="P536" t="str">
        <f ca="1">IFERROR(__xludf.DUMMYFUNCTION("""COMPUTED_VALUE"""),"")</f>
        <v/>
      </c>
      <c r="Q536" s="5" t="str">
        <f ca="1">IFERROR(__xludf.DUMMYFUNCTION("""COMPUTED_VALUE"""),"")</f>
        <v/>
      </c>
      <c r="R536" s="6" t="str">
        <f ca="1">IFERROR(__xludf.DUMMYFUNCTION("""COMPUTED_VALUE"""),"")</f>
        <v/>
      </c>
      <c r="S536" t="str">
        <f ca="1">IFERROR(__xludf.DUMMYFUNCTION("""COMPUTED_VALUE"""),"")</f>
        <v/>
      </c>
      <c r="T536" t="str">
        <f ca="1">IFERROR(__xludf.DUMMYFUNCTION("""COMPUTED_VALUE"""),"")</f>
        <v/>
      </c>
      <c r="U536" t="str">
        <f ca="1">IFERROR(__xludf.DUMMYFUNCTION("""COMPUTED_VALUE"""),"")</f>
        <v/>
      </c>
      <c r="V536" t="str">
        <f ca="1">IFERROR(__xludf.DUMMYFUNCTION("""COMPUTED_VALUE"""),"")</f>
        <v/>
      </c>
      <c r="W536" t="str">
        <f ca="1">IFERROR(__xludf.DUMMYFUNCTION("""COMPUTED_VALUE"""),"")</f>
        <v/>
      </c>
      <c r="X536" t="str">
        <f ca="1">IFERROR(__xludf.DUMMYFUNCTION("""COMPUTED_VALUE"""),"")</f>
        <v/>
      </c>
      <c r="Y536" t="str">
        <f ca="1">IFERROR(__xludf.DUMMYFUNCTION("""COMPUTED_VALUE"""),"")</f>
        <v/>
      </c>
      <c r="Z536" t="str">
        <f ca="1">IFERROR(__xludf.DUMMYFUNCTION("""COMPUTED_VALUE"""),"")</f>
        <v/>
      </c>
      <c r="AA536" t="str">
        <f ca="1">IFERROR(__xludf.DUMMYFUNCTION("""COMPUTED_VALUE"""),"Pas de commande")</f>
        <v>Pas de commande</v>
      </c>
      <c r="AB536" s="8" t="str">
        <f ca="1">IFERROR(__xludf.DUMMYFUNCTION("""COMPUTED_VALUE"""),"")</f>
        <v/>
      </c>
      <c r="AC536" s="8" t="str">
        <f ca="1">IFERROR(__xludf.DUMMYFUNCTION("""COMPUTED_VALUE"""),"")</f>
        <v/>
      </c>
      <c r="AD536" s="11" t="str">
        <f ca="1">IFERROR(__xludf.DUMMYFUNCTION("""COMPUTED_VALUE"""),"")</f>
        <v/>
      </c>
      <c r="AE536" t="str">
        <f ca="1">IFERROR(__xludf.DUMMYFUNCTION("""COMPUTED_VALUE"""),"")</f>
        <v/>
      </c>
    </row>
    <row r="537" spans="1:31" ht="12.75" x14ac:dyDescent="0.2">
      <c r="A537">
        <f ca="1">IFERROR(__xludf.DUMMYFUNCTION("""COMPUTED_VALUE"""),95135)</f>
        <v>95135</v>
      </c>
      <c r="B537" t="str">
        <f ca="1">IFERROR(__xludf.DUMMYFUNCTION("""COMPUTED_VALUE"""),"LIT ET MIXE")</f>
        <v>LIT ET MIXE</v>
      </c>
      <c r="C537" t="str">
        <f ca="1">IFERROR(__xludf.DUMMYFUNCTION("""COMPUTED_VALUE"""),"Super U")</f>
        <v>Super U</v>
      </c>
      <c r="D537" t="str">
        <f ca="1">IFERROR(__xludf.DUMMYFUNCTION("""COMPUTED_VALUE"""),"Coop U Enseigne Sud")</f>
        <v>Coop U Enseigne Sud</v>
      </c>
      <c r="E537">
        <f ca="1">IFERROR(__xludf.DUMMYFUNCTION("""COMPUTED_VALUE"""),40170)</f>
        <v>40170</v>
      </c>
      <c r="F537" t="str">
        <f ca="1">IFERROR(__xludf.DUMMYFUNCTION("""COMPUTED_VALUE"""),"ROUTE DES LACS")</f>
        <v>ROUTE DES LACS</v>
      </c>
      <c r="G537" t="str">
        <f ca="1">IFERROR(__xludf.DUMMYFUNCTION("""COMPUTED_VALUE"""),"05.58.42.41.39")</f>
        <v>05.58.42.41.39</v>
      </c>
      <c r="H537" t="str">
        <f ca="1">IFERROR(__xludf.DUMMYFUNCTION("""COMPUTED_VALUE"""),"GUILHEMJOUAN Marielle")</f>
        <v>GUILHEMJOUAN Marielle</v>
      </c>
      <c r="I537" t="str">
        <f ca="1">IFERROR(__xludf.DUMMYFUNCTION("""COMPUTED_VALUE"""),"marielle.guilhemjouan@systeme-u.fr")</f>
        <v>marielle.guilhemjouan@systeme-u.fr</v>
      </c>
      <c r="J537" t="str">
        <f ca="1">IFERROR(__xludf.DUMMYFUNCTION("""COMPUTED_VALUE"""),"DUNOYE Laure")</f>
        <v>DUNOYE Laure</v>
      </c>
      <c r="K537" t="str">
        <f ca="1">IFERROR(__xludf.DUMMYFUNCTION("""COMPUTED_VALUE"""),"superu.litetmixe.compta@systeme-u.fr")</f>
        <v>superu.litetmixe.compta@systeme-u.fr</v>
      </c>
      <c r="L537" t="str">
        <f ca="1">IFERROR(__xludf.DUMMYFUNCTION("""COMPUTED_VALUE"""),"")</f>
        <v/>
      </c>
      <c r="M537" t="str">
        <f ca="1">IFERROR(__xludf.DUMMYFUNCTION("""COMPUTED_VALUE"""),"99.Hors Périmetre")</f>
        <v>99.Hors Périmetre</v>
      </c>
      <c r="N537" t="str">
        <f ca="1">IFERROR(__xludf.DUMMYFUNCTION("""COMPUTED_VALUE"""),"")</f>
        <v/>
      </c>
      <c r="O537" t="str">
        <f ca="1">IFERROR(__xludf.DUMMYFUNCTION("""COMPUTED_VALUE"""),"")</f>
        <v/>
      </c>
      <c r="P537" t="str">
        <f ca="1">IFERROR(__xludf.DUMMYFUNCTION("""COMPUTED_VALUE"""),"")</f>
        <v/>
      </c>
      <c r="Q537" s="5" t="str">
        <f ca="1">IFERROR(__xludf.DUMMYFUNCTION("""COMPUTED_VALUE"""),"")</f>
        <v/>
      </c>
      <c r="R537" s="6" t="str">
        <f ca="1">IFERROR(__xludf.DUMMYFUNCTION("""COMPUTED_VALUE"""),"")</f>
        <v/>
      </c>
      <c r="S537" t="str">
        <f ca="1">IFERROR(__xludf.DUMMYFUNCTION("""COMPUTED_VALUE"""),"")</f>
        <v/>
      </c>
      <c r="T537" t="str">
        <f ca="1">IFERROR(__xludf.DUMMYFUNCTION("""COMPUTED_VALUE"""),"")</f>
        <v/>
      </c>
      <c r="U537" t="str">
        <f ca="1">IFERROR(__xludf.DUMMYFUNCTION("""COMPUTED_VALUE"""),"")</f>
        <v/>
      </c>
      <c r="V537" t="str">
        <f ca="1">IFERROR(__xludf.DUMMYFUNCTION("""COMPUTED_VALUE"""),"")</f>
        <v/>
      </c>
      <c r="W537" t="str">
        <f ca="1">IFERROR(__xludf.DUMMYFUNCTION("""COMPUTED_VALUE"""),"")</f>
        <v/>
      </c>
      <c r="X537" t="str">
        <f ca="1">IFERROR(__xludf.DUMMYFUNCTION("""COMPUTED_VALUE"""),"")</f>
        <v/>
      </c>
      <c r="Y537" t="str">
        <f ca="1">IFERROR(__xludf.DUMMYFUNCTION("""COMPUTED_VALUE"""),"")</f>
        <v/>
      </c>
      <c r="Z537" t="str">
        <f ca="1">IFERROR(__xludf.DUMMYFUNCTION("""COMPUTED_VALUE"""),"")</f>
        <v/>
      </c>
      <c r="AA537" t="str">
        <f ca="1">IFERROR(__xludf.DUMMYFUNCTION("""COMPUTED_VALUE"""),"Pas de commande")</f>
        <v>Pas de commande</v>
      </c>
      <c r="AB537" s="8" t="str">
        <f ca="1">IFERROR(__xludf.DUMMYFUNCTION("""COMPUTED_VALUE"""),"")</f>
        <v/>
      </c>
      <c r="AC537" s="8" t="str">
        <f ca="1">IFERROR(__xludf.DUMMYFUNCTION("""COMPUTED_VALUE"""),"")</f>
        <v/>
      </c>
      <c r="AD537" s="11" t="str">
        <f ca="1">IFERROR(__xludf.DUMMYFUNCTION("""COMPUTED_VALUE"""),"")</f>
        <v/>
      </c>
      <c r="AE537" t="str">
        <f ca="1">IFERROR(__xludf.DUMMYFUNCTION("""COMPUTED_VALUE"""),"")</f>
        <v/>
      </c>
    </row>
    <row r="538" spans="1:31" ht="12.75" x14ac:dyDescent="0.2">
      <c r="A538">
        <f ca="1">IFERROR(__xludf.DUMMYFUNCTION("""COMPUTED_VALUE"""),33352)</f>
        <v>33352</v>
      </c>
      <c r="B538" t="str">
        <f ca="1">IFERROR(__xludf.DUMMYFUNCTION("""COMPUTED_VALUE"""),"LOCHES")</f>
        <v>LOCHES</v>
      </c>
      <c r="C538" t="str">
        <f ca="1">IFERROR(__xludf.DUMMYFUNCTION("""COMPUTED_VALUE"""),"Super U")</f>
        <v>Super U</v>
      </c>
      <c r="D538" t="str">
        <f ca="1">IFERROR(__xludf.DUMMYFUNCTION("""COMPUTED_VALUE"""),"Coop U Enseigne Ouest")</f>
        <v>Coop U Enseigne Ouest</v>
      </c>
      <c r="E538">
        <f ca="1">IFERROR(__xludf.DUMMYFUNCTION("""COMPUTED_VALUE"""),37600)</f>
        <v>37600</v>
      </c>
      <c r="F538" t="str">
        <f ca="1">IFERROR(__xludf.DUMMYFUNCTION("""COMPUTED_VALUE"""),"ROUTE DE VAUZELLES")</f>
        <v>ROUTE DE VAUZELLES</v>
      </c>
      <c r="G538" t="str">
        <f ca="1">IFERROR(__xludf.DUMMYFUNCTION("""COMPUTED_VALUE"""),"02.47.59.38.52")</f>
        <v>02.47.59.38.52</v>
      </c>
      <c r="H538" t="str">
        <f ca="1">IFERROR(__xludf.DUMMYFUNCTION("""COMPUTED_VALUE"""),"HUMEAU RPT SARL FGC Fabien")</f>
        <v>HUMEAU RPT SARL FGC Fabien</v>
      </c>
      <c r="I538" t="str">
        <f ca="1">IFERROR(__xludf.DUMMYFUNCTION("""COMPUTED_VALUE"""),"fabien.humeau@systeme-u.fr")</f>
        <v>fabien.humeau@systeme-u.fr</v>
      </c>
      <c r="J538" t="str">
        <f ca="1">IFERROR(__xludf.DUMMYFUNCTION("""COMPUTED_VALUE"""),"LE BOUCHER Sarah")</f>
        <v>LE BOUCHER Sarah</v>
      </c>
      <c r="K538" t="str">
        <f ca="1">IFERROR(__xludf.DUMMYFUNCTION("""COMPUTED_VALUE"""),"")</f>
        <v/>
      </c>
      <c r="L538" t="str">
        <f ca="1">IFERROR(__xludf.DUMMYFUNCTION("""COMPUTED_VALUE"""),"")</f>
        <v/>
      </c>
      <c r="M538" t="str">
        <f ca="1">IFERROR(__xludf.DUMMYFUNCTION("""COMPUTED_VALUE"""),"99.Hors Périmetre")</f>
        <v>99.Hors Périmetre</v>
      </c>
      <c r="N538" t="str">
        <f ca="1">IFERROR(__xludf.DUMMYFUNCTION("""COMPUTED_VALUE"""),"")</f>
        <v/>
      </c>
      <c r="O538" t="str">
        <f ca="1">IFERROR(__xludf.DUMMYFUNCTION("""COMPUTED_VALUE"""),"")</f>
        <v/>
      </c>
      <c r="P538" t="str">
        <f ca="1">IFERROR(__xludf.DUMMYFUNCTION("""COMPUTED_VALUE"""),"")</f>
        <v/>
      </c>
      <c r="Q538" s="5" t="str">
        <f ca="1">IFERROR(__xludf.DUMMYFUNCTION("""COMPUTED_VALUE"""),"")</f>
        <v/>
      </c>
      <c r="R538" s="6" t="str">
        <f ca="1">IFERROR(__xludf.DUMMYFUNCTION("""COMPUTED_VALUE"""),"")</f>
        <v/>
      </c>
      <c r="S538" t="str">
        <f ca="1">IFERROR(__xludf.DUMMYFUNCTION("""COMPUTED_VALUE"""),"")</f>
        <v/>
      </c>
      <c r="T538" t="str">
        <f ca="1">IFERROR(__xludf.DUMMYFUNCTION("""COMPUTED_VALUE"""),"")</f>
        <v/>
      </c>
      <c r="U538" t="str">
        <f ca="1">IFERROR(__xludf.DUMMYFUNCTION("""COMPUTED_VALUE"""),"")</f>
        <v/>
      </c>
      <c r="V538" t="str">
        <f ca="1">IFERROR(__xludf.DUMMYFUNCTION("""COMPUTED_VALUE"""),"")</f>
        <v/>
      </c>
      <c r="W538" t="str">
        <f ca="1">IFERROR(__xludf.DUMMYFUNCTION("""COMPUTED_VALUE"""),"")</f>
        <v/>
      </c>
      <c r="X538" t="str">
        <f ca="1">IFERROR(__xludf.DUMMYFUNCTION("""COMPUTED_VALUE"""),"")</f>
        <v/>
      </c>
      <c r="Y538" t="str">
        <f ca="1">IFERROR(__xludf.DUMMYFUNCTION("""COMPUTED_VALUE"""),"")</f>
        <v/>
      </c>
      <c r="Z538" t="str">
        <f ca="1">IFERROR(__xludf.DUMMYFUNCTION("""COMPUTED_VALUE"""),"")</f>
        <v/>
      </c>
      <c r="AA538" t="str">
        <f ca="1">IFERROR(__xludf.DUMMYFUNCTION("""COMPUTED_VALUE"""),"Pas de commande")</f>
        <v>Pas de commande</v>
      </c>
      <c r="AB538" s="8" t="str">
        <f ca="1">IFERROR(__xludf.DUMMYFUNCTION("""COMPUTED_VALUE"""),"")</f>
        <v/>
      </c>
      <c r="AC538" s="8" t="str">
        <f ca="1">IFERROR(__xludf.DUMMYFUNCTION("""COMPUTED_VALUE"""),"")</f>
        <v/>
      </c>
      <c r="AD538" s="11" t="str">
        <f ca="1">IFERROR(__xludf.DUMMYFUNCTION("""COMPUTED_VALUE"""),"")</f>
        <v/>
      </c>
      <c r="AE538" t="str">
        <f ca="1">IFERROR(__xludf.DUMMYFUNCTION("""COMPUTED_VALUE"""),"")</f>
        <v/>
      </c>
    </row>
    <row r="539" spans="1:31" ht="12.75" x14ac:dyDescent="0.2">
      <c r="A539">
        <f ca="1">IFERROR(__xludf.DUMMYFUNCTION("""COMPUTED_VALUE"""),90423)</f>
        <v>90423</v>
      </c>
      <c r="B539" t="str">
        <f ca="1">IFERROR(__xludf.DUMMYFUNCTION("""COMPUTED_VALUE"""),"LODEVE")</f>
        <v>LODEVE</v>
      </c>
      <c r="C539" t="str">
        <f ca="1">IFERROR(__xludf.DUMMYFUNCTION("""COMPUTED_VALUE"""),"Super U")</f>
        <v>Super U</v>
      </c>
      <c r="D539" t="str">
        <f ca="1">IFERROR(__xludf.DUMMYFUNCTION("""COMPUTED_VALUE"""),"Coop U Enseigne Sud")</f>
        <v>Coop U Enseigne Sud</v>
      </c>
      <c r="E539">
        <f ca="1">IFERROR(__xludf.DUMMYFUNCTION("""COMPUTED_VALUE"""),34700)</f>
        <v>34700</v>
      </c>
      <c r="F539" t="str">
        <f ca="1">IFERROR(__xludf.DUMMYFUNCTION("""COMPUTED_VALUE"""),"AV.DU GENERAL DE GAULLE")</f>
        <v>AV.DU GENERAL DE GAULLE</v>
      </c>
      <c r="G539" t="str">
        <f ca="1">IFERROR(__xludf.DUMMYFUNCTION("""COMPUTED_VALUE"""),"04.67.88.42.75")</f>
        <v>04.67.88.42.75</v>
      </c>
      <c r="H539" t="str">
        <f ca="1">IFERROR(__xludf.DUMMYFUNCTION("""COMPUTED_VALUE"""),"BRINGER Nicolas")</f>
        <v>BRINGER Nicolas</v>
      </c>
      <c r="I539" t="str">
        <f ca="1">IFERROR(__xludf.DUMMYFUNCTION("""COMPUTED_VALUE"""),"nicolas.bringer@systeme-u.fr")</f>
        <v>nicolas.bringer@systeme-u.fr</v>
      </c>
      <c r="J539" t="str">
        <f ca="1">IFERROR(__xludf.DUMMYFUNCTION("""COMPUTED_VALUE"""),"M. FOLMER")</f>
        <v>M. FOLMER</v>
      </c>
      <c r="K539" t="str">
        <f ca="1">IFERROR(__xludf.DUMMYFUNCTION("""COMPUTED_VALUE"""),"superu.lodeve.direction@systeme-u.fr")</f>
        <v>superu.lodeve.direction@systeme-u.fr</v>
      </c>
      <c r="L539" t="str">
        <f ca="1">IFERROR(__xludf.DUMMYFUNCTION("""COMPUTED_VALUE"""),"")</f>
        <v/>
      </c>
      <c r="M539" t="str">
        <f ca="1">IFERROR(__xludf.DUMMYFUNCTION("""COMPUTED_VALUE"""),"99.Hors Périmetre")</f>
        <v>99.Hors Périmetre</v>
      </c>
      <c r="N539" t="str">
        <f ca="1">IFERROR(__xludf.DUMMYFUNCTION("""COMPUTED_VALUE"""),"")</f>
        <v/>
      </c>
      <c r="O539" t="str">
        <f ca="1">IFERROR(__xludf.DUMMYFUNCTION("""COMPUTED_VALUE"""),"")</f>
        <v/>
      </c>
      <c r="P539" t="str">
        <f ca="1">IFERROR(__xludf.DUMMYFUNCTION("""COMPUTED_VALUE"""),"")</f>
        <v/>
      </c>
      <c r="Q539" s="5" t="str">
        <f ca="1">IFERROR(__xludf.DUMMYFUNCTION("""COMPUTED_VALUE"""),"")</f>
        <v/>
      </c>
      <c r="R539" s="6" t="str">
        <f ca="1">IFERROR(__xludf.DUMMYFUNCTION("""COMPUTED_VALUE"""),"")</f>
        <v/>
      </c>
      <c r="S539" t="str">
        <f ca="1">IFERROR(__xludf.DUMMYFUNCTION("""COMPUTED_VALUE"""),"")</f>
        <v/>
      </c>
      <c r="T539" t="str">
        <f ca="1">IFERROR(__xludf.DUMMYFUNCTION("""COMPUTED_VALUE"""),"")</f>
        <v/>
      </c>
      <c r="U539" t="str">
        <f ca="1">IFERROR(__xludf.DUMMYFUNCTION("""COMPUTED_VALUE"""),"")</f>
        <v/>
      </c>
      <c r="V539" t="str">
        <f ca="1">IFERROR(__xludf.DUMMYFUNCTION("""COMPUTED_VALUE"""),"")</f>
        <v/>
      </c>
      <c r="W539" t="str">
        <f ca="1">IFERROR(__xludf.DUMMYFUNCTION("""COMPUTED_VALUE"""),"")</f>
        <v/>
      </c>
      <c r="X539" t="str">
        <f ca="1">IFERROR(__xludf.DUMMYFUNCTION("""COMPUTED_VALUE"""),"")</f>
        <v/>
      </c>
      <c r="Y539" t="str">
        <f ca="1">IFERROR(__xludf.DUMMYFUNCTION("""COMPUTED_VALUE"""),"")</f>
        <v/>
      </c>
      <c r="Z539" t="str">
        <f ca="1">IFERROR(__xludf.DUMMYFUNCTION("""COMPUTED_VALUE"""),"")</f>
        <v/>
      </c>
      <c r="AA539" t="str">
        <f ca="1">IFERROR(__xludf.DUMMYFUNCTION("""COMPUTED_VALUE"""),"Pas de commande")</f>
        <v>Pas de commande</v>
      </c>
      <c r="AB539" s="8" t="str">
        <f ca="1">IFERROR(__xludf.DUMMYFUNCTION("""COMPUTED_VALUE"""),"")</f>
        <v/>
      </c>
      <c r="AC539" s="8" t="str">
        <f ca="1">IFERROR(__xludf.DUMMYFUNCTION("""COMPUTED_VALUE"""),"")</f>
        <v/>
      </c>
      <c r="AD539" s="11" t="str">
        <f ca="1">IFERROR(__xludf.DUMMYFUNCTION("""COMPUTED_VALUE"""),"")</f>
        <v/>
      </c>
      <c r="AE539" t="str">
        <f ca="1">IFERROR(__xludf.DUMMYFUNCTION("""COMPUTED_VALUE"""),"")</f>
        <v/>
      </c>
    </row>
    <row r="540" spans="1:31" ht="12.75" x14ac:dyDescent="0.2">
      <c r="A540">
        <f ca="1">IFERROR(__xludf.DUMMYFUNCTION("""COMPUTED_VALUE"""),38258)</f>
        <v>38258</v>
      </c>
      <c r="B540" t="str">
        <f ca="1">IFERROR(__xludf.DUMMYFUNCTION("""COMPUTED_VALUE"""),"LOIRON")</f>
        <v>LOIRON</v>
      </c>
      <c r="C540" t="str">
        <f ca="1">IFERROR(__xludf.DUMMYFUNCTION("""COMPUTED_VALUE"""),"U Express")</f>
        <v>U Express</v>
      </c>
      <c r="D540" t="str">
        <f ca="1">IFERROR(__xludf.DUMMYFUNCTION("""COMPUTED_VALUE"""),"Coop U Enseigne Ouest")</f>
        <v>Coop U Enseigne Ouest</v>
      </c>
      <c r="E540">
        <f ca="1">IFERROR(__xludf.DUMMYFUNCTION("""COMPUTED_VALUE"""),53320)</f>
        <v>53320</v>
      </c>
      <c r="F540" t="str">
        <f ca="1">IFERROR(__xludf.DUMMYFUNCTION("""COMPUTED_VALUE"""),"RD 115")</f>
        <v>RD 115</v>
      </c>
      <c r="G540" t="str">
        <f ca="1">IFERROR(__xludf.DUMMYFUNCTION("""COMPUTED_VALUE"""),"02.43.66.96.96")</f>
        <v>02.43.66.96.96</v>
      </c>
      <c r="H540" t="str">
        <f ca="1">IFERROR(__xludf.DUMMYFUNCTION("""COMPUTED_VALUE"""),"CHAUVIERE Anthony")</f>
        <v>CHAUVIERE Anthony</v>
      </c>
      <c r="I540" t="str">
        <f ca="1">IFERROR(__xludf.DUMMYFUNCTION("""COMPUTED_VALUE"""),"anthony.chauviere@systeme-u.fr")</f>
        <v>anthony.chauviere@systeme-u.fr</v>
      </c>
      <c r="J540" t="str">
        <f ca="1">IFERROR(__xludf.DUMMYFUNCTION("""COMPUTED_VALUE"""),"")</f>
        <v/>
      </c>
      <c r="K540" t="str">
        <f ca="1">IFERROR(__xludf.DUMMYFUNCTION("""COMPUTED_VALUE"""),"")</f>
        <v/>
      </c>
      <c r="L540" t="str">
        <f ca="1">IFERROR(__xludf.DUMMYFUNCTION("""COMPUTED_VALUE"""),"")</f>
        <v/>
      </c>
      <c r="M540" t="str">
        <f ca="1">IFERROR(__xludf.DUMMYFUNCTION("""COMPUTED_VALUE"""),"99.Hors Périmetre")</f>
        <v>99.Hors Périmetre</v>
      </c>
      <c r="N540" t="str">
        <f ca="1">IFERROR(__xludf.DUMMYFUNCTION("""COMPUTED_VALUE"""),"")</f>
        <v/>
      </c>
      <c r="O540" t="str">
        <f ca="1">IFERROR(__xludf.DUMMYFUNCTION("""COMPUTED_VALUE"""),"")</f>
        <v/>
      </c>
      <c r="P540" t="str">
        <f ca="1">IFERROR(__xludf.DUMMYFUNCTION("""COMPUTED_VALUE"""),"")</f>
        <v/>
      </c>
      <c r="Q540" s="5" t="str">
        <f ca="1">IFERROR(__xludf.DUMMYFUNCTION("""COMPUTED_VALUE"""),"")</f>
        <v/>
      </c>
      <c r="R540" s="6" t="str">
        <f ca="1">IFERROR(__xludf.DUMMYFUNCTION("""COMPUTED_VALUE"""),"")</f>
        <v/>
      </c>
      <c r="S540" t="str">
        <f ca="1">IFERROR(__xludf.DUMMYFUNCTION("""COMPUTED_VALUE"""),"")</f>
        <v/>
      </c>
      <c r="T540" t="str">
        <f ca="1">IFERROR(__xludf.DUMMYFUNCTION("""COMPUTED_VALUE"""),"")</f>
        <v/>
      </c>
      <c r="U540" t="str">
        <f ca="1">IFERROR(__xludf.DUMMYFUNCTION("""COMPUTED_VALUE"""),"")</f>
        <v/>
      </c>
      <c r="V540" t="str">
        <f ca="1">IFERROR(__xludf.DUMMYFUNCTION("""COMPUTED_VALUE"""),"")</f>
        <v/>
      </c>
      <c r="W540" t="str">
        <f ca="1">IFERROR(__xludf.DUMMYFUNCTION("""COMPUTED_VALUE"""),"")</f>
        <v/>
      </c>
      <c r="X540" t="str">
        <f ca="1">IFERROR(__xludf.DUMMYFUNCTION("""COMPUTED_VALUE"""),"")</f>
        <v/>
      </c>
      <c r="Y540" t="str">
        <f ca="1">IFERROR(__xludf.DUMMYFUNCTION("""COMPUTED_VALUE"""),"")</f>
        <v/>
      </c>
      <c r="Z540" t="str">
        <f ca="1">IFERROR(__xludf.DUMMYFUNCTION("""COMPUTED_VALUE"""),"")</f>
        <v/>
      </c>
      <c r="AA540" t="str">
        <f ca="1">IFERROR(__xludf.DUMMYFUNCTION("""COMPUTED_VALUE"""),"Pas de commande")</f>
        <v>Pas de commande</v>
      </c>
      <c r="AB540" s="8" t="str">
        <f ca="1">IFERROR(__xludf.DUMMYFUNCTION("""COMPUTED_VALUE"""),"")</f>
        <v/>
      </c>
      <c r="AC540" s="8" t="str">
        <f ca="1">IFERROR(__xludf.DUMMYFUNCTION("""COMPUTED_VALUE"""),"")</f>
        <v/>
      </c>
      <c r="AD540" s="11" t="str">
        <f ca="1">IFERROR(__xludf.DUMMYFUNCTION("""COMPUTED_VALUE"""),"")</f>
        <v/>
      </c>
      <c r="AE540" t="str">
        <f ca="1">IFERROR(__xludf.DUMMYFUNCTION("""COMPUTED_VALUE"""),"")</f>
        <v/>
      </c>
    </row>
    <row r="541" spans="1:31" ht="12.75" x14ac:dyDescent="0.2">
      <c r="A541">
        <f ca="1">IFERROR(__xludf.DUMMYFUNCTION("""COMPUTED_VALUE"""),66135)</f>
        <v>66135</v>
      </c>
      <c r="B541" t="str">
        <f ca="1">IFERROR(__xludf.DUMMYFUNCTION("""COMPUTED_VALUE"""),"LOISIN")</f>
        <v>LOISIN</v>
      </c>
      <c r="C541" t="str">
        <f ca="1">IFERROR(__xludf.DUMMYFUNCTION("""COMPUTED_VALUE"""),"Super U")</f>
        <v>Super U</v>
      </c>
      <c r="D541" t="str">
        <f ca="1">IFERROR(__xludf.DUMMYFUNCTION("""COMPUTED_VALUE"""),"Coop U Enseigne Est")</f>
        <v>Coop U Enseigne Est</v>
      </c>
      <c r="E541">
        <f ca="1">IFERROR(__xludf.DUMMYFUNCTION("""COMPUTED_VALUE"""),74140)</f>
        <v>74140</v>
      </c>
      <c r="F541" t="str">
        <f ca="1">IFERROR(__xludf.DUMMYFUNCTION("""COMPUTED_VALUE"""),"RD 1206")</f>
        <v>RD 1206</v>
      </c>
      <c r="G541" t="str">
        <f ca="1">IFERROR(__xludf.DUMMYFUNCTION("""COMPUTED_VALUE"""),"04.50.35.40.14")</f>
        <v>04.50.35.40.14</v>
      </c>
      <c r="H541" t="str">
        <f ca="1">IFERROR(__xludf.DUMMYFUNCTION("""COMPUTED_VALUE"""),"DECARROZ Aurelie")</f>
        <v>DECARROZ Aurelie</v>
      </c>
      <c r="I541" t="str">
        <f ca="1">IFERROR(__xludf.DUMMYFUNCTION("""COMPUTED_VALUE"""),"aurelie.decarroz@systeme-u.fr")</f>
        <v>aurelie.decarroz@systeme-u.fr</v>
      </c>
      <c r="J541" t="str">
        <f ca="1">IFERROR(__xludf.DUMMYFUNCTION("""COMPUTED_VALUE"""),"")</f>
        <v/>
      </c>
      <c r="K541" t="str">
        <f ca="1">IFERROR(__xludf.DUMMYFUNCTION("""COMPUTED_VALUE"""),"")</f>
        <v/>
      </c>
      <c r="L541" t="str">
        <f ca="1">IFERROR(__xludf.DUMMYFUNCTION("""COMPUTED_VALUE"""),"")</f>
        <v/>
      </c>
      <c r="M541" t="str">
        <f ca="1">IFERROR(__xludf.DUMMYFUNCTION("""COMPUTED_VALUE"""),"99.Hors Périmetre")</f>
        <v>99.Hors Périmetre</v>
      </c>
      <c r="N541" t="str">
        <f ca="1">IFERROR(__xludf.DUMMYFUNCTION("""COMPUTED_VALUE"""),"")</f>
        <v/>
      </c>
      <c r="O541" t="str">
        <f ca="1">IFERROR(__xludf.DUMMYFUNCTION("""COMPUTED_VALUE"""),"")</f>
        <v/>
      </c>
      <c r="P541" t="str">
        <f ca="1">IFERROR(__xludf.DUMMYFUNCTION("""COMPUTED_VALUE"""),"")</f>
        <v/>
      </c>
      <c r="Q541" s="5" t="str">
        <f ca="1">IFERROR(__xludf.DUMMYFUNCTION("""COMPUTED_VALUE"""),"")</f>
        <v/>
      </c>
      <c r="R541" s="6" t="str">
        <f ca="1">IFERROR(__xludf.DUMMYFUNCTION("""COMPUTED_VALUE"""),"")</f>
        <v/>
      </c>
      <c r="S541" t="str">
        <f ca="1">IFERROR(__xludf.DUMMYFUNCTION("""COMPUTED_VALUE"""),"")</f>
        <v/>
      </c>
      <c r="T541" t="str">
        <f ca="1">IFERROR(__xludf.DUMMYFUNCTION("""COMPUTED_VALUE"""),"")</f>
        <v/>
      </c>
      <c r="U541" t="str">
        <f ca="1">IFERROR(__xludf.DUMMYFUNCTION("""COMPUTED_VALUE"""),"")</f>
        <v/>
      </c>
      <c r="V541" t="str">
        <f ca="1">IFERROR(__xludf.DUMMYFUNCTION("""COMPUTED_VALUE"""),"")</f>
        <v/>
      </c>
      <c r="W541" t="str">
        <f ca="1">IFERROR(__xludf.DUMMYFUNCTION("""COMPUTED_VALUE"""),"")</f>
        <v/>
      </c>
      <c r="X541" t="str">
        <f ca="1">IFERROR(__xludf.DUMMYFUNCTION("""COMPUTED_VALUE"""),"")</f>
        <v/>
      </c>
      <c r="Y541" t="str">
        <f ca="1">IFERROR(__xludf.DUMMYFUNCTION("""COMPUTED_VALUE"""),"")</f>
        <v/>
      </c>
      <c r="Z541" t="str">
        <f ca="1">IFERROR(__xludf.DUMMYFUNCTION("""COMPUTED_VALUE"""),"")</f>
        <v/>
      </c>
      <c r="AA541" t="str">
        <f ca="1">IFERROR(__xludf.DUMMYFUNCTION("""COMPUTED_VALUE"""),"Pas de commande")</f>
        <v>Pas de commande</v>
      </c>
      <c r="AB541" s="8" t="str">
        <f ca="1">IFERROR(__xludf.DUMMYFUNCTION("""COMPUTED_VALUE"""),"")</f>
        <v/>
      </c>
      <c r="AC541" s="8" t="str">
        <f ca="1">IFERROR(__xludf.DUMMYFUNCTION("""COMPUTED_VALUE"""),"")</f>
        <v/>
      </c>
      <c r="AD541" s="11" t="str">
        <f ca="1">IFERROR(__xludf.DUMMYFUNCTION("""COMPUTED_VALUE"""),"")</f>
        <v/>
      </c>
      <c r="AE541" t="str">
        <f ca="1">IFERROR(__xludf.DUMMYFUNCTION("""COMPUTED_VALUE"""),"")</f>
        <v/>
      </c>
    </row>
    <row r="542" spans="1:31" ht="12.75" x14ac:dyDescent="0.2">
      <c r="A542">
        <f ca="1">IFERROR(__xludf.DUMMYFUNCTION("""COMPUTED_VALUE"""),28125)</f>
        <v>28125</v>
      </c>
      <c r="B542" t="str">
        <f ca="1">IFERROR(__xludf.DUMMYFUNCTION("""COMPUTED_VALUE"""),"LONDINIÈRES")</f>
        <v>LONDINIÈRES</v>
      </c>
      <c r="C542" t="str">
        <f ca="1">IFERROR(__xludf.DUMMYFUNCTION("""COMPUTED_VALUE"""),"U Express")</f>
        <v>U Express</v>
      </c>
      <c r="D542" t="str">
        <f ca="1">IFERROR(__xludf.DUMMYFUNCTION("""COMPUTED_VALUE"""),"Coop U Enseigne NordOuest")</f>
        <v>Coop U Enseigne NordOuest</v>
      </c>
      <c r="E542">
        <f ca="1">IFERROR(__xludf.DUMMYFUNCTION("""COMPUTED_VALUE"""),76660)</f>
        <v>76660</v>
      </c>
      <c r="F542" t="str">
        <f ca="1">IFERROR(__xludf.DUMMYFUNCTION("""COMPUTED_VALUE"""),"32 ROUTE DE NEUFCHÂTEL-EN-BRAY")</f>
        <v>32 ROUTE DE NEUFCHÂTEL-EN-BRAY</v>
      </c>
      <c r="G542" t="str">
        <f ca="1">IFERROR(__xludf.DUMMYFUNCTION("""COMPUTED_VALUE"""),"02.35.93.35.15")</f>
        <v>02.35.93.35.15</v>
      </c>
      <c r="H542" t="str">
        <f ca="1">IFERROR(__xludf.DUMMYFUNCTION("""COMPUTED_VALUE"""),"PAUMIER Vincent")</f>
        <v>PAUMIER Vincent</v>
      </c>
      <c r="I542" t="str">
        <f ca="1">IFERROR(__xludf.DUMMYFUNCTION("""COMPUTED_VALUE"""),"vincent.paumier@systeme-u.fr")</f>
        <v>vincent.paumier@systeme-u.fr</v>
      </c>
      <c r="J542" t="str">
        <f ca="1">IFERROR(__xludf.DUMMYFUNCTION("""COMPUTED_VALUE"""),"")</f>
        <v/>
      </c>
      <c r="K542" t="str">
        <f ca="1">IFERROR(__xludf.DUMMYFUNCTION("""COMPUTED_VALUE"""),"")</f>
        <v/>
      </c>
      <c r="L542" t="str">
        <f ca="1">IFERROR(__xludf.DUMMYFUNCTION("""COMPUTED_VALUE"""),"")</f>
        <v/>
      </c>
      <c r="M542" t="str">
        <f ca="1">IFERROR(__xludf.DUMMYFUNCTION("""COMPUTED_VALUE"""),"99.Hors Périmetre")</f>
        <v>99.Hors Périmetre</v>
      </c>
      <c r="N542" t="str">
        <f ca="1">IFERROR(__xludf.DUMMYFUNCTION("""COMPUTED_VALUE"""),"")</f>
        <v/>
      </c>
      <c r="O542" t="str">
        <f ca="1">IFERROR(__xludf.DUMMYFUNCTION("""COMPUTED_VALUE"""),"")</f>
        <v/>
      </c>
      <c r="P542" t="str">
        <f ca="1">IFERROR(__xludf.DUMMYFUNCTION("""COMPUTED_VALUE"""),"")</f>
        <v/>
      </c>
      <c r="Q542" s="5" t="str">
        <f ca="1">IFERROR(__xludf.DUMMYFUNCTION("""COMPUTED_VALUE"""),"")</f>
        <v/>
      </c>
      <c r="R542" s="6" t="str">
        <f ca="1">IFERROR(__xludf.DUMMYFUNCTION("""COMPUTED_VALUE"""),"")</f>
        <v/>
      </c>
      <c r="S542" t="str">
        <f ca="1">IFERROR(__xludf.DUMMYFUNCTION("""COMPUTED_VALUE"""),"")</f>
        <v/>
      </c>
      <c r="T542" t="str">
        <f ca="1">IFERROR(__xludf.DUMMYFUNCTION("""COMPUTED_VALUE"""),"")</f>
        <v/>
      </c>
      <c r="U542" t="str">
        <f ca="1">IFERROR(__xludf.DUMMYFUNCTION("""COMPUTED_VALUE"""),"")</f>
        <v/>
      </c>
      <c r="V542" t="str">
        <f ca="1">IFERROR(__xludf.DUMMYFUNCTION("""COMPUTED_VALUE"""),"")</f>
        <v/>
      </c>
      <c r="W542" t="str">
        <f ca="1">IFERROR(__xludf.DUMMYFUNCTION("""COMPUTED_VALUE"""),"")</f>
        <v/>
      </c>
      <c r="X542" t="str">
        <f ca="1">IFERROR(__xludf.DUMMYFUNCTION("""COMPUTED_VALUE"""),"")</f>
        <v/>
      </c>
      <c r="Y542" t="str">
        <f ca="1">IFERROR(__xludf.DUMMYFUNCTION("""COMPUTED_VALUE"""),"")</f>
        <v/>
      </c>
      <c r="Z542" t="str">
        <f ca="1">IFERROR(__xludf.DUMMYFUNCTION("""COMPUTED_VALUE"""),"")</f>
        <v/>
      </c>
      <c r="AA542" t="str">
        <f ca="1">IFERROR(__xludf.DUMMYFUNCTION("""COMPUTED_VALUE"""),"Pas de commande")</f>
        <v>Pas de commande</v>
      </c>
      <c r="AB542" s="8" t="str">
        <f ca="1">IFERROR(__xludf.DUMMYFUNCTION("""COMPUTED_VALUE"""),"")</f>
        <v/>
      </c>
      <c r="AC542" s="8" t="str">
        <f ca="1">IFERROR(__xludf.DUMMYFUNCTION("""COMPUTED_VALUE"""),"")</f>
        <v/>
      </c>
      <c r="AD542" s="11" t="str">
        <f ca="1">IFERROR(__xludf.DUMMYFUNCTION("""COMPUTED_VALUE"""),"")</f>
        <v/>
      </c>
      <c r="AE542" t="str">
        <f ca="1">IFERROR(__xludf.DUMMYFUNCTION("""COMPUTED_VALUE"""),"")</f>
        <v/>
      </c>
    </row>
    <row r="543" spans="1:31" ht="12.75" x14ac:dyDescent="0.2">
      <c r="A543">
        <f ca="1">IFERROR(__xludf.DUMMYFUNCTION("""COMPUTED_VALUE"""),36432)</f>
        <v>36432</v>
      </c>
      <c r="B543" t="str">
        <f ca="1">IFERROR(__xludf.DUMMYFUNCTION("""COMPUTED_VALUE"""),"LONGUE JUMELLES")</f>
        <v>LONGUE JUMELLES</v>
      </c>
      <c r="C543" t="str">
        <f ca="1">IFERROR(__xludf.DUMMYFUNCTION("""COMPUTED_VALUE"""),"Super U")</f>
        <v>Super U</v>
      </c>
      <c r="D543" t="str">
        <f ca="1">IFERROR(__xludf.DUMMYFUNCTION("""COMPUTED_VALUE"""),"Coop U Enseigne Ouest")</f>
        <v>Coop U Enseigne Ouest</v>
      </c>
      <c r="E543">
        <f ca="1">IFERROR(__xludf.DUMMYFUNCTION("""COMPUTED_VALUE"""),49160)</f>
        <v>49160</v>
      </c>
      <c r="F543" t="str">
        <f ca="1">IFERROR(__xludf.DUMMYFUNCTION("""COMPUTED_VALUE"""),"ROUTE DE SAUMUR")</f>
        <v>ROUTE DE SAUMUR</v>
      </c>
      <c r="G543" t="str">
        <f ca="1">IFERROR(__xludf.DUMMYFUNCTION("""COMPUTED_VALUE"""),"02.41.52.72.60")</f>
        <v>02.41.52.72.60</v>
      </c>
      <c r="H543" t="str">
        <f ca="1">IFERROR(__xludf.DUMMYFUNCTION("""COMPUTED_VALUE"""),"MARCHAND RPT LES TERRASSES David")</f>
        <v>MARCHAND RPT LES TERRASSES David</v>
      </c>
      <c r="I543" t="str">
        <f ca="1">IFERROR(__xludf.DUMMYFUNCTION("""COMPUTED_VALUE"""),"david.marchand@systeme-u.fr")</f>
        <v>david.marchand@systeme-u.fr</v>
      </c>
      <c r="J543" t="str">
        <f ca="1">IFERROR(__xludf.DUMMYFUNCTION("""COMPUTED_VALUE"""),"HUBERT Frédérique")</f>
        <v>HUBERT Frédérique</v>
      </c>
      <c r="K543" t="str">
        <f ca="1">IFERROR(__xludf.DUMMYFUNCTION("""COMPUTED_VALUE"""),"frederique.hubert@systeme-u.fr")</f>
        <v>frederique.hubert@systeme-u.fr</v>
      </c>
      <c r="L543" t="str">
        <f ca="1">IFERROR(__xludf.DUMMYFUNCTION("""COMPUTED_VALUE"""),"Standard")</f>
        <v>Standard</v>
      </c>
      <c r="M543" t="str">
        <f ca="1">IFERROR(__xludf.DUMMYFUNCTION("""COMPUTED_VALUE"""),"0. Non démarré")</f>
        <v>0. Non démarré</v>
      </c>
      <c r="N543" t="str">
        <f ca="1">IFERROR(__xludf.DUMMYFUNCTION("""COMPUTED_VALUE"""),"")</f>
        <v/>
      </c>
      <c r="O543" t="str">
        <f ca="1">IFERROR(__xludf.DUMMYFUNCTION("""COMPUTED_VALUE"""),"")</f>
        <v/>
      </c>
      <c r="P543" t="str">
        <f ca="1">IFERROR(__xludf.DUMMYFUNCTION("""COMPUTED_VALUE"""),"")</f>
        <v/>
      </c>
      <c r="Q543" s="5" t="str">
        <f ca="1">IFERROR(__xludf.DUMMYFUNCTION("""COMPUTED_VALUE"""),"")</f>
        <v/>
      </c>
      <c r="R543" s="6" t="str">
        <f ca="1">IFERROR(__xludf.DUMMYFUNCTION("""COMPUTED_VALUE"""),"")</f>
        <v/>
      </c>
      <c r="S543" t="str">
        <f ca="1">IFERROR(__xludf.DUMMYFUNCTION("""COMPUTED_VALUE"""),"")</f>
        <v/>
      </c>
      <c r="T543" t="str">
        <f ca="1">IFERROR(__xludf.DUMMYFUNCTION("""COMPUTED_VALUE"""),"")</f>
        <v/>
      </c>
      <c r="U543" t="str">
        <f ca="1">IFERROR(__xludf.DUMMYFUNCTION("""COMPUTED_VALUE"""),"")</f>
        <v/>
      </c>
      <c r="V543" t="str">
        <f ca="1">IFERROR(__xludf.DUMMYFUNCTION("""COMPUTED_VALUE"""),"")</f>
        <v/>
      </c>
      <c r="W543" t="str">
        <f ca="1">IFERROR(__xludf.DUMMYFUNCTION("""COMPUTED_VALUE"""),"R5")</f>
        <v>R5</v>
      </c>
      <c r="X543" t="str">
        <f ca="1">IFERROR(__xludf.DUMMYFUNCTION("""COMPUTED_VALUE"""),"Pricer")</f>
        <v>Pricer</v>
      </c>
      <c r="Y543" t="str">
        <f ca="1">IFERROR(__xludf.DUMMYFUNCTION("""COMPUTED_VALUE"""),"")</f>
        <v/>
      </c>
      <c r="Z543" t="str">
        <f ca="1">IFERROR(__xludf.DUMMYFUNCTION("""COMPUTED_VALUE"""),"")</f>
        <v/>
      </c>
      <c r="AA543" t="str">
        <f ca="1">IFERROR(__xludf.DUMMYFUNCTION("""COMPUTED_VALUE"""),"Pas de commande")</f>
        <v>Pas de commande</v>
      </c>
      <c r="AB543" s="8" t="str">
        <f ca="1">IFERROR(__xludf.DUMMYFUNCTION("""COMPUTED_VALUE"""),"")</f>
        <v/>
      </c>
      <c r="AC543" s="8" t="str">
        <f ca="1">IFERROR(__xludf.DUMMYFUNCTION("""COMPUTED_VALUE"""),"")</f>
        <v/>
      </c>
      <c r="AD543" s="11" t="str">
        <f ca="1">IFERROR(__xludf.DUMMYFUNCTION("""COMPUTED_VALUE"""),"")</f>
        <v/>
      </c>
      <c r="AE543" t="str">
        <f ca="1">IFERROR(__xludf.DUMMYFUNCTION("""COMPUTED_VALUE"""),"")</f>
        <v/>
      </c>
    </row>
    <row r="544" spans="1:31" ht="12.75" x14ac:dyDescent="0.2">
      <c r="A544">
        <f ca="1">IFERROR(__xludf.DUMMYFUNCTION("""COMPUTED_VALUE"""),30296)</f>
        <v>30296</v>
      </c>
      <c r="B544" t="str">
        <f ca="1">IFERROR(__xludf.DUMMYFUNCTION("""COMPUTED_VALUE"""),"LOUDEAC")</f>
        <v>LOUDEAC</v>
      </c>
      <c r="C544" t="str">
        <f ca="1">IFERROR(__xludf.DUMMYFUNCTION("""COMPUTED_VALUE"""),"Super U")</f>
        <v>Super U</v>
      </c>
      <c r="D544" t="str">
        <f ca="1">IFERROR(__xludf.DUMMYFUNCTION("""COMPUTED_VALUE"""),"Coop U Enseigne Ouest")</f>
        <v>Coop U Enseigne Ouest</v>
      </c>
      <c r="E544">
        <f ca="1">IFERROR(__xludf.DUMMYFUNCTION("""COMPUTED_VALUE"""),22600)</f>
        <v>22600</v>
      </c>
      <c r="F544" t="str">
        <f ca="1">IFERROR(__xludf.DUMMYFUNCTION("""COMPUTED_VALUE"""),"PARC ACTIVITÉS DE KER D'HERVÉ")</f>
        <v>PARC ACTIVITÉS DE KER D'HERVÉ</v>
      </c>
      <c r="G544" t="str">
        <f ca="1">IFERROR(__xludf.DUMMYFUNCTION("""COMPUTED_VALUE"""),"02.96.25.82.15")</f>
        <v>02.96.25.82.15</v>
      </c>
      <c r="H544" t="str">
        <f ca="1">IFERROR(__xludf.DUMMYFUNCTION("""COMPUTED_VALUE"""),"ANDRE RPT SARL SOFIA Jean-Pierre")</f>
        <v>ANDRE RPT SARL SOFIA Jean-Pierre</v>
      </c>
      <c r="I544" t="str">
        <f ca="1">IFERROR(__xludf.DUMMYFUNCTION("""COMPUTED_VALUE"""),"jean-pierre.andre@systeme-u.fr")</f>
        <v>jean-pierre.andre@systeme-u.fr</v>
      </c>
      <c r="J544" t="str">
        <f ca="1">IFERROR(__xludf.DUMMYFUNCTION("""COMPUTED_VALUE"""),"GURVAN André")</f>
        <v>GURVAN André</v>
      </c>
      <c r="K544" t="str">
        <f ca="1">IFERROR(__xludf.DUMMYFUNCTION("""COMPUTED_VALUE"""),"superu.loudeac.bazarservice@systeme-u.fr")</f>
        <v>superu.loudeac.bazarservice@systeme-u.fr</v>
      </c>
      <c r="L544" t="str">
        <f ca="1">IFERROR(__xludf.DUMMYFUNCTION("""COMPUTED_VALUE"""),"Standard")</f>
        <v>Standard</v>
      </c>
      <c r="M544" t="str">
        <f ca="1">IFERROR(__xludf.DUMMYFUNCTION("""COMPUTED_VALUE"""),"0. Non démarré")</f>
        <v>0. Non démarré</v>
      </c>
      <c r="N544" t="str">
        <f ca="1">IFERROR(__xludf.DUMMYFUNCTION("""COMPUTED_VALUE"""),"")</f>
        <v/>
      </c>
      <c r="O544" t="str">
        <f ca="1">IFERROR(__xludf.DUMMYFUNCTION("""COMPUTED_VALUE"""),"")</f>
        <v/>
      </c>
      <c r="P544" t="str">
        <f ca="1">IFERROR(__xludf.DUMMYFUNCTION("""COMPUTED_VALUE"""),"")</f>
        <v/>
      </c>
      <c r="Q544" s="5" t="str">
        <f ca="1">IFERROR(__xludf.DUMMYFUNCTION("""COMPUTED_VALUE"""),"")</f>
        <v/>
      </c>
      <c r="R544" s="6" t="str">
        <f ca="1">IFERROR(__xludf.DUMMYFUNCTION("""COMPUTED_VALUE"""),"")</f>
        <v/>
      </c>
      <c r="S544" t="str">
        <f ca="1">IFERROR(__xludf.DUMMYFUNCTION("""COMPUTED_VALUE"""),"")</f>
        <v/>
      </c>
      <c r="T544" t="str">
        <f ca="1">IFERROR(__xludf.DUMMYFUNCTION("""COMPUTED_VALUE"""),"")</f>
        <v/>
      </c>
      <c r="U544" t="str">
        <f ca="1">IFERROR(__xludf.DUMMYFUNCTION("""COMPUTED_VALUE"""),"")</f>
        <v/>
      </c>
      <c r="V544" t="str">
        <f ca="1">IFERROR(__xludf.DUMMYFUNCTION("""COMPUTED_VALUE"""),"")</f>
        <v/>
      </c>
      <c r="W544" t="str">
        <f ca="1">IFERROR(__xludf.DUMMYFUNCTION("""COMPUTED_VALUE"""),"R5")</f>
        <v>R5</v>
      </c>
      <c r="X544" t="str">
        <f ca="1">IFERROR(__xludf.DUMMYFUNCTION("""COMPUTED_VALUE"""),"Pricer")</f>
        <v>Pricer</v>
      </c>
      <c r="Y544" t="str">
        <f ca="1">IFERROR(__xludf.DUMMYFUNCTION("""COMPUTED_VALUE"""),"")</f>
        <v/>
      </c>
      <c r="Z544" t="str">
        <f ca="1">IFERROR(__xludf.DUMMYFUNCTION("""COMPUTED_VALUE"""),"")</f>
        <v/>
      </c>
      <c r="AA544" t="str">
        <f ca="1">IFERROR(__xludf.DUMMYFUNCTION("""COMPUTED_VALUE"""),"Pas de commande")</f>
        <v>Pas de commande</v>
      </c>
      <c r="AB544" s="8" t="str">
        <f ca="1">IFERROR(__xludf.DUMMYFUNCTION("""COMPUTED_VALUE"""),"")</f>
        <v/>
      </c>
      <c r="AC544" s="8" t="str">
        <f ca="1">IFERROR(__xludf.DUMMYFUNCTION("""COMPUTED_VALUE"""),"")</f>
        <v/>
      </c>
      <c r="AD544" s="11" t="str">
        <f ca="1">IFERROR(__xludf.DUMMYFUNCTION("""COMPUTED_VALUE"""),"")</f>
        <v/>
      </c>
      <c r="AE544" t="str">
        <f ca="1">IFERROR(__xludf.DUMMYFUNCTION("""COMPUTED_VALUE"""),"")</f>
        <v/>
      </c>
    </row>
    <row r="545" spans="1:31" ht="12.75" x14ac:dyDescent="0.2">
      <c r="A545">
        <f ca="1">IFERROR(__xludf.DUMMYFUNCTION("""COMPUTED_VALUE"""),34177)</f>
        <v>34177</v>
      </c>
      <c r="B545" t="str">
        <f ca="1">IFERROR(__xludf.DUMMYFUNCTION("""COMPUTED_VALUE"""),"LOUDUN")</f>
        <v>LOUDUN</v>
      </c>
      <c r="C545" t="str">
        <f ca="1">IFERROR(__xludf.DUMMYFUNCTION("""COMPUTED_VALUE"""),"U Express")</f>
        <v>U Express</v>
      </c>
      <c r="D545" t="str">
        <f ca="1">IFERROR(__xludf.DUMMYFUNCTION("""COMPUTED_VALUE"""),"Coop Atlantique")</f>
        <v>Coop Atlantique</v>
      </c>
      <c r="E545">
        <f ca="1">IFERROR(__xludf.DUMMYFUNCTION("""COMPUTED_VALUE"""),86200)</f>
        <v>86200</v>
      </c>
      <c r="F545" t="str">
        <f ca="1">IFERROR(__xludf.DUMMYFUNCTION("""COMPUTED_VALUE"""),"4, RUE DE L'ÉPERON")</f>
        <v>4, RUE DE L'ÉPERON</v>
      </c>
      <c r="G545" t="str">
        <f ca="1">IFERROR(__xludf.DUMMYFUNCTION("""COMPUTED_VALUE"""),"05.49.98.11.72")</f>
        <v>05.49.98.11.72</v>
      </c>
      <c r="H545" t="str">
        <f ca="1">IFERROR(__xludf.DUMMYFUNCTION("""COMPUTED_VALUE"""),"FLAMBARD Hervé")</f>
        <v>FLAMBARD Hervé</v>
      </c>
      <c r="I545" t="str">
        <f ca="1">IFERROR(__xludf.DUMMYFUNCTION("""COMPUTED_VALUE"""),"bertrand.defontaine_coop_su_uex@systeme-u.fr")</f>
        <v>bertrand.defontaine_coop_su_uex@systeme-u.fr</v>
      </c>
      <c r="J545" t="str">
        <f ca="1">IFERROR(__xludf.DUMMYFUNCTION("""COMPUTED_VALUE"""),"Benoît POUPIN / Marie-France BEAUNEZ")</f>
        <v>Benoît POUPIN / Marie-France BEAUNEZ</v>
      </c>
      <c r="K545" t="str">
        <f ca="1">IFERROR(__xludf.DUMMYFUNCTION("""COMPUTED_VALUE"""),"uexpress.loudun.direction@systeme-u.fr,nbrigant@coop-atlantique.fr,sjaud@coop-atlantique.fr")</f>
        <v>uexpress.loudun.direction@systeme-u.fr,nbrigant@coop-atlantique.fr,sjaud@coop-atlantique.fr</v>
      </c>
      <c r="L545" t="str">
        <f ca="1">IFERROR(__xludf.DUMMYFUNCTION("""COMPUTED_VALUE"""),"")</f>
        <v/>
      </c>
      <c r="M545" t="str">
        <f ca="1">IFERROR(__xludf.DUMMYFUNCTION("""COMPUTED_VALUE"""),"99.Hors Périmetre")</f>
        <v>99.Hors Périmetre</v>
      </c>
      <c r="N545" t="str">
        <f ca="1">IFERROR(__xludf.DUMMYFUNCTION("""COMPUTED_VALUE"""),"")</f>
        <v/>
      </c>
      <c r="O545" t="str">
        <f ca="1">IFERROR(__xludf.DUMMYFUNCTION("""COMPUTED_VALUE"""),"")</f>
        <v/>
      </c>
      <c r="P545" t="str">
        <f ca="1">IFERROR(__xludf.DUMMYFUNCTION("""COMPUTED_VALUE"""),"")</f>
        <v/>
      </c>
      <c r="Q545" s="5" t="str">
        <f ca="1">IFERROR(__xludf.DUMMYFUNCTION("""COMPUTED_VALUE"""),"")</f>
        <v/>
      </c>
      <c r="R545" s="6" t="str">
        <f ca="1">IFERROR(__xludf.DUMMYFUNCTION("""COMPUTED_VALUE"""),"")</f>
        <v/>
      </c>
      <c r="S545" t="str">
        <f ca="1">IFERROR(__xludf.DUMMYFUNCTION("""COMPUTED_VALUE"""),"")</f>
        <v/>
      </c>
      <c r="T545" t="str">
        <f ca="1">IFERROR(__xludf.DUMMYFUNCTION("""COMPUTED_VALUE"""),"")</f>
        <v/>
      </c>
      <c r="U545" t="str">
        <f ca="1">IFERROR(__xludf.DUMMYFUNCTION("""COMPUTED_VALUE"""),"")</f>
        <v/>
      </c>
      <c r="V545" t="str">
        <f ca="1">IFERROR(__xludf.DUMMYFUNCTION("""COMPUTED_VALUE"""),"")</f>
        <v/>
      </c>
      <c r="W545" t="str">
        <f ca="1">IFERROR(__xludf.DUMMYFUNCTION("""COMPUTED_VALUE"""),"")</f>
        <v/>
      </c>
      <c r="X545" t="str">
        <f ca="1">IFERROR(__xludf.DUMMYFUNCTION("""COMPUTED_VALUE"""),"")</f>
        <v/>
      </c>
      <c r="Y545" t="str">
        <f ca="1">IFERROR(__xludf.DUMMYFUNCTION("""COMPUTED_VALUE"""),"")</f>
        <v/>
      </c>
      <c r="Z545" t="str">
        <f ca="1">IFERROR(__xludf.DUMMYFUNCTION("""COMPUTED_VALUE"""),"")</f>
        <v/>
      </c>
      <c r="AA545" t="str">
        <f ca="1">IFERROR(__xludf.DUMMYFUNCTION("""COMPUTED_VALUE"""),"Pas de commande")</f>
        <v>Pas de commande</v>
      </c>
      <c r="AB545" s="8" t="str">
        <f ca="1">IFERROR(__xludf.DUMMYFUNCTION("""COMPUTED_VALUE"""),"")</f>
        <v/>
      </c>
      <c r="AC545" s="8" t="str">
        <f ca="1">IFERROR(__xludf.DUMMYFUNCTION("""COMPUTED_VALUE"""),"")</f>
        <v/>
      </c>
      <c r="AD545" s="11" t="str">
        <f ca="1">IFERROR(__xludf.DUMMYFUNCTION("""COMPUTED_VALUE"""),"")</f>
        <v/>
      </c>
      <c r="AE545" t="str">
        <f ca="1">IFERROR(__xludf.DUMMYFUNCTION("""COMPUTED_VALUE"""),"")</f>
        <v/>
      </c>
    </row>
    <row r="546" spans="1:31" ht="12.75" x14ac:dyDescent="0.2">
      <c r="A546">
        <f ca="1">IFERROR(__xludf.DUMMYFUNCTION("""COMPUTED_VALUE"""),38162)</f>
        <v>38162</v>
      </c>
      <c r="B546" t="str">
        <f ca="1">IFERROR(__xludf.DUMMYFUNCTION("""COMPUTED_VALUE"""),"LOUDUN")</f>
        <v>LOUDUN</v>
      </c>
      <c r="C546" t="str">
        <f ca="1">IFERROR(__xludf.DUMMYFUNCTION("""COMPUTED_VALUE"""),"Super U")</f>
        <v>Super U</v>
      </c>
      <c r="D546" t="str">
        <f ca="1">IFERROR(__xludf.DUMMYFUNCTION("""COMPUTED_VALUE"""),"Coop Atlantique")</f>
        <v>Coop Atlantique</v>
      </c>
      <c r="E546">
        <f ca="1">IFERROR(__xludf.DUMMYFUNCTION("""COMPUTED_VALUE"""),86200)</f>
        <v>86200</v>
      </c>
      <c r="F546" t="str">
        <f ca="1">IFERROR(__xludf.DUMMYFUNCTION("""COMPUTED_VALUE"""),"LIEU DIT LES LANDES")</f>
        <v>LIEU DIT LES LANDES</v>
      </c>
      <c r="G546" t="str">
        <f ca="1">IFERROR(__xludf.DUMMYFUNCTION("""COMPUTED_VALUE"""),"05.49.22.26.20")</f>
        <v>05.49.22.26.20</v>
      </c>
      <c r="H546" t="str">
        <f ca="1">IFERROR(__xludf.DUMMYFUNCTION("""COMPUTED_VALUE"""),"FLAMBARD Hervé")</f>
        <v>FLAMBARD Hervé</v>
      </c>
      <c r="I546" t="str">
        <f ca="1">IFERROR(__xludf.DUMMYFUNCTION("""COMPUTED_VALUE"""),"bertrand.defontaine_coop_su_uex@systeme-u.fr")</f>
        <v>bertrand.defontaine_coop_su_uex@systeme-u.fr</v>
      </c>
      <c r="J546" t="str">
        <f ca="1">IFERROR(__xludf.DUMMYFUNCTION("""COMPUTED_VALUE"""),"Mr Berton")</f>
        <v>Mr Berton</v>
      </c>
      <c r="K546" t="str">
        <f ca="1">IFERROR(__xludf.DUMMYFUNCTION("""COMPUTED_VALUE"""),"mag795@coop-atlantique.fr,nbrigant@coop-atlantique.fr,sjaud@coop-atlantique.fr")</f>
        <v>mag795@coop-atlantique.fr,nbrigant@coop-atlantique.fr,sjaud@coop-atlantique.fr</v>
      </c>
      <c r="L546" t="str">
        <f ca="1">IFERROR(__xludf.DUMMYFUNCTION("""COMPUTED_VALUE"""),"Standard")</f>
        <v>Standard</v>
      </c>
      <c r="M546" t="str">
        <f ca="1">IFERROR(__xludf.DUMMYFUNCTION("""COMPUTED_VALUE"""),"0. Non démarré")</f>
        <v>0. Non démarré</v>
      </c>
      <c r="N546" t="str">
        <f ca="1">IFERROR(__xludf.DUMMYFUNCTION("""COMPUTED_VALUE"""),"")</f>
        <v/>
      </c>
      <c r="O546" t="str">
        <f ca="1">IFERROR(__xludf.DUMMYFUNCTION("""COMPUTED_VALUE"""),"")</f>
        <v/>
      </c>
      <c r="P546" t="str">
        <f ca="1">IFERROR(__xludf.DUMMYFUNCTION("""COMPUTED_VALUE"""),"")</f>
        <v/>
      </c>
      <c r="Q546" s="5" t="str">
        <f ca="1">IFERROR(__xludf.DUMMYFUNCTION("""COMPUTED_VALUE"""),"")</f>
        <v/>
      </c>
      <c r="R546" s="6" t="str">
        <f ca="1">IFERROR(__xludf.DUMMYFUNCTION("""COMPUTED_VALUE"""),"")</f>
        <v/>
      </c>
      <c r="S546" t="str">
        <f ca="1">IFERROR(__xludf.DUMMYFUNCTION("""COMPUTED_VALUE"""),"")</f>
        <v/>
      </c>
      <c r="T546" t="str">
        <f ca="1">IFERROR(__xludf.DUMMYFUNCTION("""COMPUTED_VALUE"""),"")</f>
        <v/>
      </c>
      <c r="U546" t="str">
        <f ca="1">IFERROR(__xludf.DUMMYFUNCTION("""COMPUTED_VALUE"""),"")</f>
        <v/>
      </c>
      <c r="V546" t="str">
        <f ca="1">IFERROR(__xludf.DUMMYFUNCTION("""COMPUTED_VALUE"""),"")</f>
        <v/>
      </c>
      <c r="W546" t="str">
        <f ca="1">IFERROR(__xludf.DUMMYFUNCTION("""COMPUTED_VALUE"""),"R5")</f>
        <v>R5</v>
      </c>
      <c r="X546" t="str">
        <f ca="1">IFERROR(__xludf.DUMMYFUNCTION("""COMPUTED_VALUE"""),"PC mag &lt;8Go")</f>
        <v>PC mag &lt;8Go</v>
      </c>
      <c r="Y546" t="str">
        <f ca="1">IFERROR(__xludf.DUMMYFUNCTION("""COMPUTED_VALUE"""),"")</f>
        <v/>
      </c>
      <c r="Z546" t="str">
        <f ca="1">IFERROR(__xludf.DUMMYFUNCTION("""COMPUTED_VALUE"""),"")</f>
        <v/>
      </c>
      <c r="AA546" t="str">
        <f ca="1">IFERROR(__xludf.DUMMYFUNCTION("""COMPUTED_VALUE"""),"Pas de commande")</f>
        <v>Pas de commande</v>
      </c>
      <c r="AB546" s="8" t="str">
        <f ca="1">IFERROR(__xludf.DUMMYFUNCTION("""COMPUTED_VALUE"""),"")</f>
        <v/>
      </c>
      <c r="AC546" s="8" t="str">
        <f ca="1">IFERROR(__xludf.DUMMYFUNCTION("""COMPUTED_VALUE"""),"")</f>
        <v/>
      </c>
      <c r="AD546" s="11" t="str">
        <f ca="1">IFERROR(__xludf.DUMMYFUNCTION("""COMPUTED_VALUE"""),"")</f>
        <v/>
      </c>
      <c r="AE546" t="str">
        <f ca="1">IFERROR(__xludf.DUMMYFUNCTION("""COMPUTED_VALUE"""),"")</f>
        <v/>
      </c>
    </row>
    <row r="547" spans="1:31" ht="12.75" x14ac:dyDescent="0.2">
      <c r="A547">
        <f ca="1">IFERROR(__xludf.DUMMYFUNCTION("""COMPUTED_VALUE"""),31856)</f>
        <v>31856</v>
      </c>
      <c r="B547" t="str">
        <f ca="1">IFERROR(__xludf.DUMMYFUNCTION("""COMPUTED_VALUE"""),"LOURY")</f>
        <v>LOURY</v>
      </c>
      <c r="C547" t="str">
        <f ca="1">IFERROR(__xludf.DUMMYFUNCTION("""COMPUTED_VALUE"""),"Super U")</f>
        <v>Super U</v>
      </c>
      <c r="D547" t="str">
        <f ca="1">IFERROR(__xludf.DUMMYFUNCTION("""COMPUTED_VALUE"""),"Coop U Enseigne Ouest")</f>
        <v>Coop U Enseigne Ouest</v>
      </c>
      <c r="E547">
        <f ca="1">IFERROR(__xludf.DUMMYFUNCTION("""COMPUTED_VALUE"""),45470)</f>
        <v>45470</v>
      </c>
      <c r="F547" t="str">
        <f ca="1">IFERROR(__xludf.DUMMYFUNCTION("""COMPUTED_VALUE"""),"AVENUE DU LION D'OR")</f>
        <v>AVENUE DU LION D'OR</v>
      </c>
      <c r="G547" t="str">
        <f ca="1">IFERROR(__xludf.DUMMYFUNCTION("""COMPUTED_VALUE"""),"02.38.91.00.07")</f>
        <v>02.38.91.00.07</v>
      </c>
      <c r="H547" t="str">
        <f ca="1">IFERROR(__xludf.DUMMYFUNCTION("""COMPUTED_VALUE"""),"DESHAYES RPT SAS DESHAYES PHILIPPE")</f>
        <v>DESHAYES RPT SAS DESHAYES PHILIPPE</v>
      </c>
      <c r="I547" t="str">
        <f ca="1">IFERROR(__xludf.DUMMYFUNCTION("""COMPUTED_VALUE"""),"philippe.deshayes@systeme-u.fr")</f>
        <v>philippe.deshayes@systeme-u.fr</v>
      </c>
      <c r="J547" t="str">
        <f ca="1">IFERROR(__xludf.DUMMYFUNCTION("""COMPUTED_VALUE"""),"DESHAYES Edouard")</f>
        <v>DESHAYES Edouard</v>
      </c>
      <c r="K547" t="str">
        <f ca="1">IFERROR(__xludf.DUMMYFUNCTION("""COMPUTED_VALUE"""),"edouard.deshayes@systeme-u.fr")</f>
        <v>edouard.deshayes@systeme-u.fr</v>
      </c>
      <c r="L547" t="str">
        <f ca="1">IFERROR(__xludf.DUMMYFUNCTION("""COMPUTED_VALUE"""),"")</f>
        <v/>
      </c>
      <c r="M547" t="str">
        <f ca="1">IFERROR(__xludf.DUMMYFUNCTION("""COMPUTED_VALUE"""),"99.Hors Périmetre")</f>
        <v>99.Hors Périmetre</v>
      </c>
      <c r="N547" t="str">
        <f ca="1">IFERROR(__xludf.DUMMYFUNCTION("""COMPUTED_VALUE"""),"")</f>
        <v/>
      </c>
      <c r="O547" t="str">
        <f ca="1">IFERROR(__xludf.DUMMYFUNCTION("""COMPUTED_VALUE"""),"")</f>
        <v/>
      </c>
      <c r="P547" t="str">
        <f ca="1">IFERROR(__xludf.DUMMYFUNCTION("""COMPUTED_VALUE"""),"")</f>
        <v/>
      </c>
      <c r="Q547" s="5" t="str">
        <f ca="1">IFERROR(__xludf.DUMMYFUNCTION("""COMPUTED_VALUE"""),"")</f>
        <v/>
      </c>
      <c r="R547" s="6" t="str">
        <f ca="1">IFERROR(__xludf.DUMMYFUNCTION("""COMPUTED_VALUE"""),"")</f>
        <v/>
      </c>
      <c r="S547" t="str">
        <f ca="1">IFERROR(__xludf.DUMMYFUNCTION("""COMPUTED_VALUE"""),"")</f>
        <v/>
      </c>
      <c r="T547" t="str">
        <f ca="1">IFERROR(__xludf.DUMMYFUNCTION("""COMPUTED_VALUE"""),"")</f>
        <v/>
      </c>
      <c r="U547" t="str">
        <f ca="1">IFERROR(__xludf.DUMMYFUNCTION("""COMPUTED_VALUE"""),"")</f>
        <v/>
      </c>
      <c r="V547" t="str">
        <f ca="1">IFERROR(__xludf.DUMMYFUNCTION("""COMPUTED_VALUE"""),"")</f>
        <v/>
      </c>
      <c r="W547" t="str">
        <f ca="1">IFERROR(__xludf.DUMMYFUNCTION("""COMPUTED_VALUE"""),"")</f>
        <v/>
      </c>
      <c r="X547" t="str">
        <f ca="1">IFERROR(__xludf.DUMMYFUNCTION("""COMPUTED_VALUE"""),"")</f>
        <v/>
      </c>
      <c r="Y547" t="str">
        <f ca="1">IFERROR(__xludf.DUMMYFUNCTION("""COMPUTED_VALUE"""),"")</f>
        <v/>
      </c>
      <c r="Z547" t="str">
        <f ca="1">IFERROR(__xludf.DUMMYFUNCTION("""COMPUTED_VALUE"""),"")</f>
        <v/>
      </c>
      <c r="AA547" t="str">
        <f ca="1">IFERROR(__xludf.DUMMYFUNCTION("""COMPUTED_VALUE"""),"Pas de commande")</f>
        <v>Pas de commande</v>
      </c>
      <c r="AB547" s="8" t="str">
        <f ca="1">IFERROR(__xludf.DUMMYFUNCTION("""COMPUTED_VALUE"""),"")</f>
        <v/>
      </c>
      <c r="AC547" s="8" t="str">
        <f ca="1">IFERROR(__xludf.DUMMYFUNCTION("""COMPUTED_VALUE"""),"")</f>
        <v/>
      </c>
      <c r="AD547" s="11" t="str">
        <f ca="1">IFERROR(__xludf.DUMMYFUNCTION("""COMPUTED_VALUE"""),"")</f>
        <v/>
      </c>
      <c r="AE547" t="str">
        <f ca="1">IFERROR(__xludf.DUMMYFUNCTION("""COMPUTED_VALUE"""),"")</f>
        <v/>
      </c>
    </row>
    <row r="548" spans="1:31" ht="12.75" x14ac:dyDescent="0.2">
      <c r="A548">
        <f ca="1">IFERROR(__xludf.DUMMYFUNCTION("""COMPUTED_VALUE"""),38013)</f>
        <v>38013</v>
      </c>
      <c r="B548" t="str">
        <f ca="1">IFERROR(__xludf.DUMMYFUNCTION("""COMPUTED_VALUE"""),"LOUVIGNE-DU-DESERT")</f>
        <v>LOUVIGNE-DU-DESERT</v>
      </c>
      <c r="C548" t="str">
        <f ca="1">IFERROR(__xludf.DUMMYFUNCTION("""COMPUTED_VALUE"""),"Super U")</f>
        <v>Super U</v>
      </c>
      <c r="D548" t="str">
        <f ca="1">IFERROR(__xludf.DUMMYFUNCTION("""COMPUTED_VALUE"""),"Coop U Enseigne Ouest")</f>
        <v>Coop U Enseigne Ouest</v>
      </c>
      <c r="E548">
        <f ca="1">IFERROR(__xludf.DUMMYFUNCTION("""COMPUTED_VALUE"""),35420)</f>
        <v>35420</v>
      </c>
      <c r="F548" t="str">
        <f ca="1">IFERROR(__xludf.DUMMYFUNCTION("""COMPUTED_VALUE"""),"AVENUE DE NORMANDIE")</f>
        <v>AVENUE DE NORMANDIE</v>
      </c>
      <c r="G548" t="str">
        <f ca="1">IFERROR(__xludf.DUMMYFUNCTION("""COMPUTED_VALUE"""),"02.99.98.59.00")</f>
        <v>02.99.98.59.00</v>
      </c>
      <c r="H548" t="str">
        <f ca="1">IFERROR(__xludf.DUMMYFUNCTION("""COMPUTED_VALUE"""),"VANDERKELEN RPT BV FINANCES Baptistin")</f>
        <v>VANDERKELEN RPT BV FINANCES Baptistin</v>
      </c>
      <c r="I548" t="str">
        <f ca="1">IFERROR(__xludf.DUMMYFUNCTION("""COMPUTED_VALUE"""),"baptistin.vanderkelen@systeme-u.fr")</f>
        <v>baptistin.vanderkelen@systeme-u.fr</v>
      </c>
      <c r="J548" t="str">
        <f ca="1">IFERROR(__xludf.DUMMYFUNCTION("""COMPUTED_VALUE"""),"")</f>
        <v/>
      </c>
      <c r="K548" t="str">
        <f ca="1">IFERROR(__xludf.DUMMYFUNCTION("""COMPUTED_VALUE"""),"")</f>
        <v/>
      </c>
      <c r="L548" t="str">
        <f ca="1">IFERROR(__xludf.DUMMYFUNCTION("""COMPUTED_VALUE"""),"")</f>
        <v/>
      </c>
      <c r="M548" t="str">
        <f ca="1">IFERROR(__xludf.DUMMYFUNCTION("""COMPUTED_VALUE"""),"99.Hors Périmetre")</f>
        <v>99.Hors Périmetre</v>
      </c>
      <c r="N548" t="str">
        <f ca="1">IFERROR(__xludf.DUMMYFUNCTION("""COMPUTED_VALUE"""),"")</f>
        <v/>
      </c>
      <c r="O548" t="str">
        <f ca="1">IFERROR(__xludf.DUMMYFUNCTION("""COMPUTED_VALUE"""),"")</f>
        <v/>
      </c>
      <c r="P548" t="str">
        <f ca="1">IFERROR(__xludf.DUMMYFUNCTION("""COMPUTED_VALUE"""),"")</f>
        <v/>
      </c>
      <c r="Q548" s="5" t="str">
        <f ca="1">IFERROR(__xludf.DUMMYFUNCTION("""COMPUTED_VALUE"""),"")</f>
        <v/>
      </c>
      <c r="R548" s="6" t="str">
        <f ca="1">IFERROR(__xludf.DUMMYFUNCTION("""COMPUTED_VALUE"""),"")</f>
        <v/>
      </c>
      <c r="S548" t="str">
        <f ca="1">IFERROR(__xludf.DUMMYFUNCTION("""COMPUTED_VALUE"""),"")</f>
        <v/>
      </c>
      <c r="T548" t="str">
        <f ca="1">IFERROR(__xludf.DUMMYFUNCTION("""COMPUTED_VALUE"""),"")</f>
        <v/>
      </c>
      <c r="U548" t="str">
        <f ca="1">IFERROR(__xludf.DUMMYFUNCTION("""COMPUTED_VALUE"""),"")</f>
        <v/>
      </c>
      <c r="V548" t="str">
        <f ca="1">IFERROR(__xludf.DUMMYFUNCTION("""COMPUTED_VALUE"""),"")</f>
        <v/>
      </c>
      <c r="W548" t="str">
        <f ca="1">IFERROR(__xludf.DUMMYFUNCTION("""COMPUTED_VALUE"""),"")</f>
        <v/>
      </c>
      <c r="X548" t="str">
        <f ca="1">IFERROR(__xludf.DUMMYFUNCTION("""COMPUTED_VALUE"""),"")</f>
        <v/>
      </c>
      <c r="Y548" t="str">
        <f ca="1">IFERROR(__xludf.DUMMYFUNCTION("""COMPUTED_VALUE"""),"")</f>
        <v/>
      </c>
      <c r="Z548" t="str">
        <f ca="1">IFERROR(__xludf.DUMMYFUNCTION("""COMPUTED_VALUE"""),"")</f>
        <v/>
      </c>
      <c r="AA548" t="str">
        <f ca="1">IFERROR(__xludf.DUMMYFUNCTION("""COMPUTED_VALUE"""),"Pas de commande")</f>
        <v>Pas de commande</v>
      </c>
      <c r="AB548" s="8" t="str">
        <f ca="1">IFERROR(__xludf.DUMMYFUNCTION("""COMPUTED_VALUE"""),"")</f>
        <v/>
      </c>
      <c r="AC548" s="8" t="str">
        <f ca="1">IFERROR(__xludf.DUMMYFUNCTION("""COMPUTED_VALUE"""),"")</f>
        <v/>
      </c>
      <c r="AD548" s="11" t="str">
        <f ca="1">IFERROR(__xludf.DUMMYFUNCTION("""COMPUTED_VALUE"""),"")</f>
        <v/>
      </c>
      <c r="AE548" t="str">
        <f ca="1">IFERROR(__xludf.DUMMYFUNCTION("""COMPUTED_VALUE"""),"")</f>
        <v/>
      </c>
    </row>
    <row r="549" spans="1:31" ht="12.75" x14ac:dyDescent="0.2">
      <c r="A549">
        <f ca="1">IFERROR(__xludf.DUMMYFUNCTION("""COMPUTED_VALUE"""),95285)</f>
        <v>95285</v>
      </c>
      <c r="B549" t="str">
        <f ca="1">IFERROR(__xludf.DUMMYFUNCTION("""COMPUTED_VALUE"""),"LUBERSAC")</f>
        <v>LUBERSAC</v>
      </c>
      <c r="C549" t="str">
        <f ca="1">IFERROR(__xludf.DUMMYFUNCTION("""COMPUTED_VALUE"""),"Super U")</f>
        <v>Super U</v>
      </c>
      <c r="D549" t="str">
        <f ca="1">IFERROR(__xludf.DUMMYFUNCTION("""COMPUTED_VALUE"""),"Coop U Enseigne Sud")</f>
        <v>Coop U Enseigne Sud</v>
      </c>
      <c r="E549">
        <f ca="1">IFERROR(__xludf.DUMMYFUNCTION("""COMPUTED_VALUE"""),19210)</f>
        <v>19210</v>
      </c>
      <c r="F549" t="str">
        <f ca="1">IFERROR(__xludf.DUMMYFUNCTION("""COMPUTED_VALUE"""),"ROUTE DE POMPADOUR")</f>
        <v>ROUTE DE POMPADOUR</v>
      </c>
      <c r="G549" t="str">
        <f ca="1">IFERROR(__xludf.DUMMYFUNCTION("""COMPUTED_VALUE"""),"05.55.73.56.84")</f>
        <v>05.55.73.56.84</v>
      </c>
      <c r="H549" t="str">
        <f ca="1">IFERROR(__xludf.DUMMYFUNCTION("""COMPUTED_VALUE"""),"TONNEAU Eric")</f>
        <v>TONNEAU Eric</v>
      </c>
      <c r="I549" t="str">
        <f ca="1">IFERROR(__xludf.DUMMYFUNCTION("""COMPUTED_VALUE"""),"eric.tonneau@systeme-u.fr")</f>
        <v>eric.tonneau@systeme-u.fr</v>
      </c>
      <c r="J549" t="str">
        <f ca="1">IFERROR(__xludf.DUMMYFUNCTION("""COMPUTED_VALUE"""),"REYROLLE NADINE")</f>
        <v>REYROLLE NADINE</v>
      </c>
      <c r="K549" t="str">
        <f ca="1">IFERROR(__xludf.DUMMYFUNCTION("""COMPUTED_VALUE"""),"superu.lubersac.compta@systeme-u.fr")</f>
        <v>superu.lubersac.compta@systeme-u.fr</v>
      </c>
      <c r="L549" t="str">
        <f ca="1">IFERROR(__xludf.DUMMYFUNCTION("""COMPUTED_VALUE"""),"")</f>
        <v/>
      </c>
      <c r="M549" t="str">
        <f ca="1">IFERROR(__xludf.DUMMYFUNCTION("""COMPUTED_VALUE"""),"99.Hors Périmetre")</f>
        <v>99.Hors Périmetre</v>
      </c>
      <c r="N549" t="str">
        <f ca="1">IFERROR(__xludf.DUMMYFUNCTION("""COMPUTED_VALUE"""),"")</f>
        <v/>
      </c>
      <c r="O549" t="str">
        <f ca="1">IFERROR(__xludf.DUMMYFUNCTION("""COMPUTED_VALUE"""),"")</f>
        <v/>
      </c>
      <c r="P549" t="str">
        <f ca="1">IFERROR(__xludf.DUMMYFUNCTION("""COMPUTED_VALUE"""),"")</f>
        <v/>
      </c>
      <c r="Q549" s="5" t="str">
        <f ca="1">IFERROR(__xludf.DUMMYFUNCTION("""COMPUTED_VALUE"""),"")</f>
        <v/>
      </c>
      <c r="R549" s="6" t="str">
        <f ca="1">IFERROR(__xludf.DUMMYFUNCTION("""COMPUTED_VALUE"""),"")</f>
        <v/>
      </c>
      <c r="S549" t="str">
        <f ca="1">IFERROR(__xludf.DUMMYFUNCTION("""COMPUTED_VALUE"""),"")</f>
        <v/>
      </c>
      <c r="T549" t="str">
        <f ca="1">IFERROR(__xludf.DUMMYFUNCTION("""COMPUTED_VALUE"""),"")</f>
        <v/>
      </c>
      <c r="U549" t="str">
        <f ca="1">IFERROR(__xludf.DUMMYFUNCTION("""COMPUTED_VALUE"""),"")</f>
        <v/>
      </c>
      <c r="V549" t="str">
        <f ca="1">IFERROR(__xludf.DUMMYFUNCTION("""COMPUTED_VALUE"""),"")</f>
        <v/>
      </c>
      <c r="W549" t="str">
        <f ca="1">IFERROR(__xludf.DUMMYFUNCTION("""COMPUTED_VALUE"""),"")</f>
        <v/>
      </c>
      <c r="X549" t="str">
        <f ca="1">IFERROR(__xludf.DUMMYFUNCTION("""COMPUTED_VALUE"""),"")</f>
        <v/>
      </c>
      <c r="Y549" t="str">
        <f ca="1">IFERROR(__xludf.DUMMYFUNCTION("""COMPUTED_VALUE"""),"")</f>
        <v/>
      </c>
      <c r="Z549" t="str">
        <f ca="1">IFERROR(__xludf.DUMMYFUNCTION("""COMPUTED_VALUE"""),"")</f>
        <v/>
      </c>
      <c r="AA549" t="str">
        <f ca="1">IFERROR(__xludf.DUMMYFUNCTION("""COMPUTED_VALUE"""),"Pas de commande")</f>
        <v>Pas de commande</v>
      </c>
      <c r="AB549" s="8" t="str">
        <f ca="1">IFERROR(__xludf.DUMMYFUNCTION("""COMPUTED_VALUE"""),"")</f>
        <v/>
      </c>
      <c r="AC549" s="8" t="str">
        <f ca="1">IFERROR(__xludf.DUMMYFUNCTION("""COMPUTED_VALUE"""),"")</f>
        <v/>
      </c>
      <c r="AD549" s="11" t="str">
        <f ca="1">IFERROR(__xludf.DUMMYFUNCTION("""COMPUTED_VALUE"""),"")</f>
        <v/>
      </c>
      <c r="AE549" t="str">
        <f ca="1">IFERROR(__xludf.DUMMYFUNCTION("""COMPUTED_VALUE"""),"")</f>
        <v/>
      </c>
    </row>
    <row r="550" spans="1:31" ht="12.75" x14ac:dyDescent="0.2">
      <c r="A550">
        <f ca="1">IFERROR(__xludf.DUMMYFUNCTION("""COMPUTED_VALUE"""),30477)</f>
        <v>30477</v>
      </c>
      <c r="B550" t="str">
        <f ca="1">IFERROR(__xludf.DUMMYFUNCTION("""COMPUTED_VALUE"""),"LUCON")</f>
        <v>LUCON</v>
      </c>
      <c r="C550" t="str">
        <f ca="1">IFERROR(__xludf.DUMMYFUNCTION("""COMPUTED_VALUE"""),"Hyper U")</f>
        <v>Hyper U</v>
      </c>
      <c r="D550" t="str">
        <f ca="1">IFERROR(__xludf.DUMMYFUNCTION("""COMPUTED_VALUE"""),"Coop U Enseigne Ouest")</f>
        <v>Coop U Enseigne Ouest</v>
      </c>
      <c r="E550">
        <f ca="1">IFERROR(__xludf.DUMMYFUNCTION("""COMPUTED_VALUE"""),85400)</f>
        <v>85400</v>
      </c>
      <c r="F550" t="str">
        <f ca="1">IFERROR(__xludf.DUMMYFUNCTION("""COMPUTED_VALUE"""),"20 BOULEVARD MICHEL PHELIPON")</f>
        <v>20 BOULEVARD MICHEL PHELIPON</v>
      </c>
      <c r="G550" t="str">
        <f ca="1">IFERROR(__xludf.DUMMYFUNCTION("""COMPUTED_VALUE"""),"02.51.56.02.06")</f>
        <v>02.51.56.02.06</v>
      </c>
      <c r="H550" t="str">
        <f ca="1">IFERROR(__xludf.DUMMYFUNCTION("""COMPUTED_VALUE"""),"SAVOURIN Laurent")</f>
        <v>SAVOURIN Laurent</v>
      </c>
      <c r="I550" t="str">
        <f ca="1">IFERROR(__xludf.DUMMYFUNCTION("""COMPUTED_VALUE"""),"laurent.savourin@systeme-u.fr")</f>
        <v>laurent.savourin@systeme-u.fr</v>
      </c>
      <c r="J550" t="str">
        <f ca="1">IFERROR(__xludf.DUMMYFUNCTION("""COMPUTED_VALUE"""),"GLUMINEAU Mathieu")</f>
        <v>GLUMINEAU Mathieu</v>
      </c>
      <c r="K550" t="str">
        <f ca="1">IFERROR(__xludf.DUMMYFUNCTION("""COMPUTED_VALUE"""),"hyperu.lucon.administratif@systeme-u.fr")</f>
        <v>hyperu.lucon.administratif@systeme-u.fr</v>
      </c>
      <c r="L550" t="str">
        <f ca="1">IFERROR(__xludf.DUMMYFUNCTION("""COMPUTED_VALUE"""),"")</f>
        <v/>
      </c>
      <c r="M550" t="str">
        <f ca="1">IFERROR(__xludf.DUMMYFUNCTION("""COMPUTED_VALUE"""),"99.Hors Périmetre")</f>
        <v>99.Hors Périmetre</v>
      </c>
      <c r="N550" t="str">
        <f ca="1">IFERROR(__xludf.DUMMYFUNCTION("""COMPUTED_VALUE"""),"")</f>
        <v/>
      </c>
      <c r="O550" t="str">
        <f ca="1">IFERROR(__xludf.DUMMYFUNCTION("""COMPUTED_VALUE"""),"")</f>
        <v/>
      </c>
      <c r="P550" t="str">
        <f ca="1">IFERROR(__xludf.DUMMYFUNCTION("""COMPUTED_VALUE"""),"")</f>
        <v/>
      </c>
      <c r="Q550" s="5" t="str">
        <f ca="1">IFERROR(__xludf.DUMMYFUNCTION("""COMPUTED_VALUE"""),"")</f>
        <v/>
      </c>
      <c r="R550" s="6" t="str">
        <f ca="1">IFERROR(__xludf.DUMMYFUNCTION("""COMPUTED_VALUE"""),"")</f>
        <v/>
      </c>
      <c r="S550" t="str">
        <f ca="1">IFERROR(__xludf.DUMMYFUNCTION("""COMPUTED_VALUE"""),"")</f>
        <v/>
      </c>
      <c r="T550" t="str">
        <f ca="1">IFERROR(__xludf.DUMMYFUNCTION("""COMPUTED_VALUE"""),"")</f>
        <v/>
      </c>
      <c r="U550" t="str">
        <f ca="1">IFERROR(__xludf.DUMMYFUNCTION("""COMPUTED_VALUE"""),"")</f>
        <v/>
      </c>
      <c r="V550" t="str">
        <f ca="1">IFERROR(__xludf.DUMMYFUNCTION("""COMPUTED_VALUE"""),"")</f>
        <v/>
      </c>
      <c r="W550" t="str">
        <f ca="1">IFERROR(__xludf.DUMMYFUNCTION("""COMPUTED_VALUE"""),"")</f>
        <v/>
      </c>
      <c r="X550" t="str">
        <f ca="1">IFERROR(__xludf.DUMMYFUNCTION("""COMPUTED_VALUE"""),"")</f>
        <v/>
      </c>
      <c r="Y550" t="str">
        <f ca="1">IFERROR(__xludf.DUMMYFUNCTION("""COMPUTED_VALUE"""),"")</f>
        <v/>
      </c>
      <c r="Z550" t="str">
        <f ca="1">IFERROR(__xludf.DUMMYFUNCTION("""COMPUTED_VALUE"""),"")</f>
        <v/>
      </c>
      <c r="AA550" t="str">
        <f ca="1">IFERROR(__xludf.DUMMYFUNCTION("""COMPUTED_VALUE"""),"Pas de commande")</f>
        <v>Pas de commande</v>
      </c>
      <c r="AB550" s="8" t="str">
        <f ca="1">IFERROR(__xludf.DUMMYFUNCTION("""COMPUTED_VALUE"""),"")</f>
        <v/>
      </c>
      <c r="AC550" s="8" t="str">
        <f ca="1">IFERROR(__xludf.DUMMYFUNCTION("""COMPUTED_VALUE"""),"")</f>
        <v/>
      </c>
      <c r="AD550" s="11" t="str">
        <f ca="1">IFERROR(__xludf.DUMMYFUNCTION("""COMPUTED_VALUE"""),"")</f>
        <v/>
      </c>
      <c r="AE550" t="str">
        <f ca="1">IFERROR(__xludf.DUMMYFUNCTION("""COMPUTED_VALUE"""),"")</f>
        <v/>
      </c>
    </row>
    <row r="551" spans="1:31" ht="12.75" x14ac:dyDescent="0.2">
      <c r="A551">
        <f ca="1">IFERROR(__xludf.DUMMYFUNCTION("""COMPUTED_VALUE"""),24502)</f>
        <v>24502</v>
      </c>
      <c r="B551" t="str">
        <f ca="1">IFERROR(__xludf.DUMMYFUNCTION("""COMPUTED_VALUE"""),"LUMBRES")</f>
        <v>LUMBRES</v>
      </c>
      <c r="C551" t="str">
        <f ca="1">IFERROR(__xludf.DUMMYFUNCTION("""COMPUTED_VALUE"""),"Super U")</f>
        <v>Super U</v>
      </c>
      <c r="D551" t="str">
        <f ca="1">IFERROR(__xludf.DUMMYFUNCTION("""COMPUTED_VALUE"""),"Coop U Enseigne NordOuest")</f>
        <v>Coop U Enseigne NordOuest</v>
      </c>
      <c r="E551">
        <f ca="1">IFERROR(__xludf.DUMMYFUNCTION("""COMPUTED_VALUE"""),62380)</f>
        <v>62380</v>
      </c>
      <c r="F551" t="str">
        <f ca="1">IFERROR(__xludf.DUMMYFUNCTION("""COMPUTED_VALUE"""),"ZI ROUTE D'ACQUIN")</f>
        <v>ZI ROUTE D'ACQUIN</v>
      </c>
      <c r="G551" t="str">
        <f ca="1">IFERROR(__xludf.DUMMYFUNCTION("""COMPUTED_VALUE"""),"03.21.93.70.00")</f>
        <v>03.21.93.70.00</v>
      </c>
      <c r="H551" t="str">
        <f ca="1">IFERROR(__xludf.DUMMYFUNCTION("""COMPUTED_VALUE"""),"LEFEBVRE Pascal")</f>
        <v>LEFEBVRE Pascal</v>
      </c>
      <c r="I551" t="str">
        <f ca="1">IFERROR(__xludf.DUMMYFUNCTION("""COMPUTED_VALUE"""),"pascal.lefebvre@systeme-u.fr")</f>
        <v>pascal.lefebvre@systeme-u.fr</v>
      </c>
      <c r="J551" t="str">
        <f ca="1">IFERROR(__xludf.DUMMYFUNCTION("""COMPUTED_VALUE"""),"Nathalie")</f>
        <v>Nathalie</v>
      </c>
      <c r="K551" t="str">
        <f ca="1">IFERROR(__xludf.DUMMYFUNCTION("""COMPUTED_VALUE"""),"superu.lumbres@systeme-u.fr")</f>
        <v>superu.lumbres@systeme-u.fr</v>
      </c>
      <c r="L551" t="str">
        <f ca="1">IFERROR(__xludf.DUMMYFUNCTION("""COMPUTED_VALUE"""),"")</f>
        <v/>
      </c>
      <c r="M551" t="str">
        <f ca="1">IFERROR(__xludf.DUMMYFUNCTION("""COMPUTED_VALUE"""),"99.Hors Périmetre")</f>
        <v>99.Hors Périmetre</v>
      </c>
      <c r="N551" t="str">
        <f ca="1">IFERROR(__xludf.DUMMYFUNCTION("""COMPUTED_VALUE"""),"")</f>
        <v/>
      </c>
      <c r="O551" t="str">
        <f ca="1">IFERROR(__xludf.DUMMYFUNCTION("""COMPUTED_VALUE"""),"")</f>
        <v/>
      </c>
      <c r="P551" t="str">
        <f ca="1">IFERROR(__xludf.DUMMYFUNCTION("""COMPUTED_VALUE"""),"")</f>
        <v/>
      </c>
      <c r="Q551" s="5" t="str">
        <f ca="1">IFERROR(__xludf.DUMMYFUNCTION("""COMPUTED_VALUE"""),"")</f>
        <v/>
      </c>
      <c r="R551" s="6" t="str">
        <f ca="1">IFERROR(__xludf.DUMMYFUNCTION("""COMPUTED_VALUE"""),"")</f>
        <v/>
      </c>
      <c r="S551" t="str">
        <f ca="1">IFERROR(__xludf.DUMMYFUNCTION("""COMPUTED_VALUE"""),"")</f>
        <v/>
      </c>
      <c r="T551" t="str">
        <f ca="1">IFERROR(__xludf.DUMMYFUNCTION("""COMPUTED_VALUE"""),"")</f>
        <v/>
      </c>
      <c r="U551" t="str">
        <f ca="1">IFERROR(__xludf.DUMMYFUNCTION("""COMPUTED_VALUE"""),"")</f>
        <v/>
      </c>
      <c r="V551" t="str">
        <f ca="1">IFERROR(__xludf.DUMMYFUNCTION("""COMPUTED_VALUE"""),"")</f>
        <v/>
      </c>
      <c r="W551" t="str">
        <f ca="1">IFERROR(__xludf.DUMMYFUNCTION("""COMPUTED_VALUE"""),"")</f>
        <v/>
      </c>
      <c r="X551" t="str">
        <f ca="1">IFERROR(__xludf.DUMMYFUNCTION("""COMPUTED_VALUE"""),"")</f>
        <v/>
      </c>
      <c r="Y551" t="str">
        <f ca="1">IFERROR(__xludf.DUMMYFUNCTION("""COMPUTED_VALUE"""),"")</f>
        <v/>
      </c>
      <c r="Z551" t="str">
        <f ca="1">IFERROR(__xludf.DUMMYFUNCTION("""COMPUTED_VALUE"""),"")</f>
        <v/>
      </c>
      <c r="AA551" t="str">
        <f ca="1">IFERROR(__xludf.DUMMYFUNCTION("""COMPUTED_VALUE"""),"Pas de commande")</f>
        <v>Pas de commande</v>
      </c>
      <c r="AB551" s="8" t="str">
        <f ca="1">IFERROR(__xludf.DUMMYFUNCTION("""COMPUTED_VALUE"""),"")</f>
        <v/>
      </c>
      <c r="AC551" s="8" t="str">
        <f ca="1">IFERROR(__xludf.DUMMYFUNCTION("""COMPUTED_VALUE"""),"")</f>
        <v/>
      </c>
      <c r="AD551" s="11" t="str">
        <f ca="1">IFERROR(__xludf.DUMMYFUNCTION("""COMPUTED_VALUE"""),"")</f>
        <v/>
      </c>
      <c r="AE551" t="str">
        <f ca="1">IFERROR(__xludf.DUMMYFUNCTION("""COMPUTED_VALUE"""),"")</f>
        <v/>
      </c>
    </row>
    <row r="552" spans="1:31" ht="12.75" x14ac:dyDescent="0.2">
      <c r="A552">
        <f ca="1">IFERROR(__xludf.DUMMYFUNCTION("""COMPUTED_VALUE"""),32658)</f>
        <v>32658</v>
      </c>
      <c r="B552" t="str">
        <f ca="1">IFERROR(__xludf.DUMMYFUNCTION("""COMPUTED_VALUE"""),"LUYNES")</f>
        <v>LUYNES</v>
      </c>
      <c r="C552" t="str">
        <f ca="1">IFERROR(__xludf.DUMMYFUNCTION("""COMPUTED_VALUE"""),"Super U")</f>
        <v>Super U</v>
      </c>
      <c r="D552" t="str">
        <f ca="1">IFERROR(__xludf.DUMMYFUNCTION("""COMPUTED_VALUE"""),"Coop U Enseigne Ouest")</f>
        <v>Coop U Enseigne Ouest</v>
      </c>
      <c r="E552">
        <f ca="1">IFERROR(__xludf.DUMMYFUNCTION("""COMPUTED_VALUE"""),37230)</f>
        <v>37230</v>
      </c>
      <c r="F552" t="str">
        <f ca="1">IFERROR(__xludf.DUMMYFUNCTION("""COMPUTED_VALUE"""),"ZONE INDUSTRIELLE DU CHAPELET")</f>
        <v>ZONE INDUSTRIELLE DU CHAPELET</v>
      </c>
      <c r="G552" t="str">
        <f ca="1">IFERROR(__xludf.DUMMYFUNCTION("""COMPUTED_VALUE"""),"02.47.55.56.56")</f>
        <v>02.47.55.56.56</v>
      </c>
      <c r="H552" t="str">
        <f ca="1">IFERROR(__xludf.DUMMYFUNCTION("""COMPUTED_VALUE"""),"BRIN RPT SARL DE LA FORGE Pascal")</f>
        <v>BRIN RPT SARL DE LA FORGE Pascal</v>
      </c>
      <c r="I552" t="str">
        <f ca="1">IFERROR(__xludf.DUMMYFUNCTION("""COMPUTED_VALUE"""),"pascal.brin@systeme-u.fr")</f>
        <v>pascal.brin@systeme-u.fr</v>
      </c>
      <c r="J552" t="str">
        <f ca="1">IFERROR(__xludf.DUMMYFUNCTION("""COMPUTED_VALUE"""),"Mme Brin")</f>
        <v>Mme Brin</v>
      </c>
      <c r="K552" t="str">
        <f ca="1">IFERROR(__xludf.DUMMYFUNCTION("""COMPUTED_VALUE"""),"superu.luynes.gescom@systeme-u.fr")</f>
        <v>superu.luynes.gescom@systeme-u.fr</v>
      </c>
      <c r="L552" t="str">
        <f ca="1">IFERROR(__xludf.DUMMYFUNCTION("""COMPUTED_VALUE"""),"")</f>
        <v/>
      </c>
      <c r="M552" t="str">
        <f ca="1">IFERROR(__xludf.DUMMYFUNCTION("""COMPUTED_VALUE"""),"99.Hors Périmetre")</f>
        <v>99.Hors Périmetre</v>
      </c>
      <c r="N552" t="str">
        <f ca="1">IFERROR(__xludf.DUMMYFUNCTION("""COMPUTED_VALUE"""),"")</f>
        <v/>
      </c>
      <c r="O552" t="str">
        <f ca="1">IFERROR(__xludf.DUMMYFUNCTION("""COMPUTED_VALUE"""),"")</f>
        <v/>
      </c>
      <c r="P552" t="str">
        <f ca="1">IFERROR(__xludf.DUMMYFUNCTION("""COMPUTED_VALUE"""),"")</f>
        <v/>
      </c>
      <c r="Q552" s="5" t="str">
        <f ca="1">IFERROR(__xludf.DUMMYFUNCTION("""COMPUTED_VALUE"""),"")</f>
        <v/>
      </c>
      <c r="R552" s="6" t="str">
        <f ca="1">IFERROR(__xludf.DUMMYFUNCTION("""COMPUTED_VALUE"""),"")</f>
        <v/>
      </c>
      <c r="S552" t="str">
        <f ca="1">IFERROR(__xludf.DUMMYFUNCTION("""COMPUTED_VALUE"""),"")</f>
        <v/>
      </c>
      <c r="T552" t="str">
        <f ca="1">IFERROR(__xludf.DUMMYFUNCTION("""COMPUTED_VALUE"""),"")</f>
        <v/>
      </c>
      <c r="U552" t="str">
        <f ca="1">IFERROR(__xludf.DUMMYFUNCTION("""COMPUTED_VALUE"""),"")</f>
        <v/>
      </c>
      <c r="V552" t="str">
        <f ca="1">IFERROR(__xludf.DUMMYFUNCTION("""COMPUTED_VALUE"""),"")</f>
        <v/>
      </c>
      <c r="W552" t="str">
        <f ca="1">IFERROR(__xludf.DUMMYFUNCTION("""COMPUTED_VALUE"""),"")</f>
        <v/>
      </c>
      <c r="X552" t="str">
        <f ca="1">IFERROR(__xludf.DUMMYFUNCTION("""COMPUTED_VALUE"""),"")</f>
        <v/>
      </c>
      <c r="Y552" t="str">
        <f ca="1">IFERROR(__xludf.DUMMYFUNCTION("""COMPUTED_VALUE"""),"")</f>
        <v/>
      </c>
      <c r="Z552" t="str">
        <f ca="1">IFERROR(__xludf.DUMMYFUNCTION("""COMPUTED_VALUE"""),"")</f>
        <v/>
      </c>
      <c r="AA552" t="str">
        <f ca="1">IFERROR(__xludf.DUMMYFUNCTION("""COMPUTED_VALUE"""),"Pas de commande")</f>
        <v>Pas de commande</v>
      </c>
      <c r="AB552" s="8" t="str">
        <f ca="1">IFERROR(__xludf.DUMMYFUNCTION("""COMPUTED_VALUE"""),"")</f>
        <v/>
      </c>
      <c r="AC552" s="8" t="str">
        <f ca="1">IFERROR(__xludf.DUMMYFUNCTION("""COMPUTED_VALUE"""),"")</f>
        <v/>
      </c>
      <c r="AD552" s="11" t="str">
        <f ca="1">IFERROR(__xludf.DUMMYFUNCTION("""COMPUTED_VALUE"""),"")</f>
        <v/>
      </c>
      <c r="AE552" t="str">
        <f ca="1">IFERROR(__xludf.DUMMYFUNCTION("""COMPUTED_VALUE"""),"")</f>
        <v/>
      </c>
    </row>
    <row r="553" spans="1:31" ht="12.75" x14ac:dyDescent="0.2">
      <c r="A553">
        <f ca="1">IFERROR(__xludf.DUMMYFUNCTION("""COMPUTED_VALUE"""),66159)</f>
        <v>66159</v>
      </c>
      <c r="B553" t="str">
        <f ca="1">IFERROR(__xludf.DUMMYFUNCTION("""COMPUTED_VALUE"""),"LYON 6EME")</f>
        <v>LYON 6EME</v>
      </c>
      <c r="C553" t="str">
        <f ca="1">IFERROR(__xludf.DUMMYFUNCTION("""COMPUTED_VALUE"""),"Super U")</f>
        <v>Super U</v>
      </c>
      <c r="D553" t="str">
        <f ca="1">IFERROR(__xludf.DUMMYFUNCTION("""COMPUTED_VALUE"""),"Coop U Enseigne Est")</f>
        <v>Coop U Enseigne Est</v>
      </c>
      <c r="E553">
        <f ca="1">IFERROR(__xludf.DUMMYFUNCTION("""COMPUTED_VALUE"""),69006)</f>
        <v>69006</v>
      </c>
      <c r="F553" t="str">
        <f ca="1">IFERROR(__xludf.DUMMYFUNCTION("""COMPUTED_VALUE"""),"107 RUE BOILEAU")</f>
        <v>107 RUE BOILEAU</v>
      </c>
      <c r="G553" t="str">
        <f ca="1">IFERROR(__xludf.DUMMYFUNCTION("""COMPUTED_VALUE"""),"04.78.52.40.82")</f>
        <v>04.78.52.40.82</v>
      </c>
      <c r="H553" t="str">
        <f ca="1">IFERROR(__xludf.DUMMYFUNCTION("""COMPUTED_VALUE"""),"THEVENIN Laurent")</f>
        <v>THEVENIN Laurent</v>
      </c>
      <c r="I553" t="str">
        <f ca="1">IFERROR(__xludf.DUMMYFUNCTION("""COMPUTED_VALUE"""),"laurent.thevenin@systeme-u.fr")</f>
        <v>laurent.thevenin@systeme-u.fr</v>
      </c>
      <c r="J553" t="str">
        <f ca="1">IFERROR(__xludf.DUMMYFUNCTION("""COMPUTED_VALUE"""),"")</f>
        <v/>
      </c>
      <c r="K553" t="str">
        <f ca="1">IFERROR(__xludf.DUMMYFUNCTION("""COMPUTED_VALUE"""),"uexpress.lyon6eme.directeur@systeme-u.fr")</f>
        <v>uexpress.lyon6eme.directeur@systeme-u.fr</v>
      </c>
      <c r="L553" t="str">
        <f ca="1">IFERROR(__xludf.DUMMYFUNCTION("""COMPUTED_VALUE"""),"")</f>
        <v/>
      </c>
      <c r="M553" t="str">
        <f ca="1">IFERROR(__xludf.DUMMYFUNCTION("""COMPUTED_VALUE"""),"99.Hors Périmetre")</f>
        <v>99.Hors Périmetre</v>
      </c>
      <c r="N553" t="str">
        <f ca="1">IFERROR(__xludf.DUMMYFUNCTION("""COMPUTED_VALUE"""),"")</f>
        <v/>
      </c>
      <c r="O553" t="str">
        <f ca="1">IFERROR(__xludf.DUMMYFUNCTION("""COMPUTED_VALUE"""),"")</f>
        <v/>
      </c>
      <c r="P553" t="str">
        <f ca="1">IFERROR(__xludf.DUMMYFUNCTION("""COMPUTED_VALUE"""),"")</f>
        <v/>
      </c>
      <c r="Q553" s="5" t="str">
        <f ca="1">IFERROR(__xludf.DUMMYFUNCTION("""COMPUTED_VALUE"""),"")</f>
        <v/>
      </c>
      <c r="R553" s="6" t="str">
        <f ca="1">IFERROR(__xludf.DUMMYFUNCTION("""COMPUTED_VALUE"""),"")</f>
        <v/>
      </c>
      <c r="S553" t="str">
        <f ca="1">IFERROR(__xludf.DUMMYFUNCTION("""COMPUTED_VALUE"""),"")</f>
        <v/>
      </c>
      <c r="T553" t="str">
        <f ca="1">IFERROR(__xludf.DUMMYFUNCTION("""COMPUTED_VALUE"""),"")</f>
        <v/>
      </c>
      <c r="U553" t="str">
        <f ca="1">IFERROR(__xludf.DUMMYFUNCTION("""COMPUTED_VALUE"""),"")</f>
        <v/>
      </c>
      <c r="V553" t="str">
        <f ca="1">IFERROR(__xludf.DUMMYFUNCTION("""COMPUTED_VALUE"""),"")</f>
        <v/>
      </c>
      <c r="W553" t="str">
        <f ca="1">IFERROR(__xludf.DUMMYFUNCTION("""COMPUTED_VALUE"""),"")</f>
        <v/>
      </c>
      <c r="X553" t="str">
        <f ca="1">IFERROR(__xludf.DUMMYFUNCTION("""COMPUTED_VALUE"""),"")</f>
        <v/>
      </c>
      <c r="Y553" t="str">
        <f ca="1">IFERROR(__xludf.DUMMYFUNCTION("""COMPUTED_VALUE"""),"")</f>
        <v/>
      </c>
      <c r="Z553" t="str">
        <f ca="1">IFERROR(__xludf.DUMMYFUNCTION("""COMPUTED_VALUE"""),"")</f>
        <v/>
      </c>
      <c r="AA553" t="str">
        <f ca="1">IFERROR(__xludf.DUMMYFUNCTION("""COMPUTED_VALUE"""),"Pas de commande")</f>
        <v>Pas de commande</v>
      </c>
      <c r="AB553" s="8" t="str">
        <f ca="1">IFERROR(__xludf.DUMMYFUNCTION("""COMPUTED_VALUE"""),"")</f>
        <v/>
      </c>
      <c r="AC553" s="8" t="str">
        <f ca="1">IFERROR(__xludf.DUMMYFUNCTION("""COMPUTED_VALUE"""),"")</f>
        <v/>
      </c>
      <c r="AD553" s="11" t="str">
        <f ca="1">IFERROR(__xludf.DUMMYFUNCTION("""COMPUTED_VALUE"""),"")</f>
        <v/>
      </c>
      <c r="AE553" t="str">
        <f ca="1">IFERROR(__xludf.DUMMYFUNCTION("""COMPUTED_VALUE"""),"")</f>
        <v/>
      </c>
    </row>
    <row r="554" spans="1:31" ht="12.75" x14ac:dyDescent="0.2">
      <c r="A554">
        <f ca="1">IFERROR(__xludf.DUMMYFUNCTION("""COMPUTED_VALUE"""),68534)</f>
        <v>68534</v>
      </c>
      <c r="B554" t="str">
        <f ca="1">IFERROR(__xludf.DUMMYFUNCTION("""COMPUTED_VALUE"""),"LYON BELLECOMBE")</f>
        <v>LYON BELLECOMBE</v>
      </c>
      <c r="C554" t="str">
        <f ca="1">IFERROR(__xludf.DUMMYFUNCTION("""COMPUTED_VALUE"""),"U Express")</f>
        <v>U Express</v>
      </c>
      <c r="D554" t="str">
        <f ca="1">IFERROR(__xludf.DUMMYFUNCTION("""COMPUTED_VALUE"""),"Coop U Enseigne Est")</f>
        <v>Coop U Enseigne Est</v>
      </c>
      <c r="E554">
        <f ca="1">IFERROR(__xludf.DUMMYFUNCTION("""COMPUTED_VALUE"""),69006)</f>
        <v>69006</v>
      </c>
      <c r="F554" t="str">
        <f ca="1">IFERROR(__xludf.DUMMYFUNCTION("""COMPUTED_VALUE"""),"251 COURS LAFAYETTE.")</f>
        <v>251 COURS LAFAYETTE.</v>
      </c>
      <c r="G554" t="str">
        <f ca="1">IFERROR(__xludf.DUMMYFUNCTION("""COMPUTED_VALUE"""),"04.37.24.21.92")</f>
        <v>04.37.24.21.92</v>
      </c>
      <c r="H554" t="str">
        <f ca="1">IFERROR(__xludf.DUMMYFUNCTION("""COMPUTED_VALUE"""),"INACIO RPT SAS INACIO DEVELOPP Rui")</f>
        <v>INACIO RPT SAS INACIO DEVELOPP Rui</v>
      </c>
      <c r="I554" t="str">
        <f ca="1">IFERROR(__xludf.DUMMYFUNCTION("""COMPUTED_VALUE"""),"rui.inacio@systeme-u.fr")</f>
        <v>rui.inacio@systeme-u.fr</v>
      </c>
      <c r="J554" t="str">
        <f ca="1">IFERROR(__xludf.DUMMYFUNCTION("""COMPUTED_VALUE"""),"MARTINEZ MARILYN
Aurore (UPLV)")</f>
        <v>MARTINEZ MARILYN
Aurore (UPLV)</v>
      </c>
      <c r="K554" t="str">
        <f ca="1">IFERROR(__xludf.DUMMYFUNCTION("""COMPUTED_VALUE"""),"marilyn.martinez@systeme-u.fr, uexpress.lyonvendome.directeur@systeme-u.fr")</f>
        <v>marilyn.martinez@systeme-u.fr, uexpress.lyonvendome.directeur@systeme-u.fr</v>
      </c>
      <c r="L554" t="str">
        <f ca="1">IFERROR(__xludf.DUMMYFUNCTION("""COMPUTED_VALUE"""),"")</f>
        <v/>
      </c>
      <c r="M554" t="str">
        <f ca="1">IFERROR(__xludf.DUMMYFUNCTION("""COMPUTED_VALUE"""),"99.Hors Périmetre")</f>
        <v>99.Hors Périmetre</v>
      </c>
      <c r="N554" t="str">
        <f ca="1">IFERROR(__xludf.DUMMYFUNCTION("""COMPUTED_VALUE"""),"")</f>
        <v/>
      </c>
      <c r="O554" t="str">
        <f ca="1">IFERROR(__xludf.DUMMYFUNCTION("""COMPUTED_VALUE"""),"")</f>
        <v/>
      </c>
      <c r="P554" t="str">
        <f ca="1">IFERROR(__xludf.DUMMYFUNCTION("""COMPUTED_VALUE"""),"")</f>
        <v/>
      </c>
      <c r="Q554" s="5" t="str">
        <f ca="1">IFERROR(__xludf.DUMMYFUNCTION("""COMPUTED_VALUE"""),"")</f>
        <v/>
      </c>
      <c r="R554" s="6" t="str">
        <f ca="1">IFERROR(__xludf.DUMMYFUNCTION("""COMPUTED_VALUE"""),"")</f>
        <v/>
      </c>
      <c r="S554" t="str">
        <f ca="1">IFERROR(__xludf.DUMMYFUNCTION("""COMPUTED_VALUE"""),"")</f>
        <v/>
      </c>
      <c r="T554" t="str">
        <f ca="1">IFERROR(__xludf.DUMMYFUNCTION("""COMPUTED_VALUE"""),"")</f>
        <v/>
      </c>
      <c r="U554" t="str">
        <f ca="1">IFERROR(__xludf.DUMMYFUNCTION("""COMPUTED_VALUE"""),"")</f>
        <v/>
      </c>
      <c r="V554" t="str">
        <f ca="1">IFERROR(__xludf.DUMMYFUNCTION("""COMPUTED_VALUE"""),"")</f>
        <v/>
      </c>
      <c r="W554" t="str">
        <f ca="1">IFERROR(__xludf.DUMMYFUNCTION("""COMPUTED_VALUE"""),"")</f>
        <v/>
      </c>
      <c r="X554" t="str">
        <f ca="1">IFERROR(__xludf.DUMMYFUNCTION("""COMPUTED_VALUE"""),"")</f>
        <v/>
      </c>
      <c r="Y554" t="str">
        <f ca="1">IFERROR(__xludf.DUMMYFUNCTION("""COMPUTED_VALUE"""),"")</f>
        <v/>
      </c>
      <c r="Z554" t="str">
        <f ca="1">IFERROR(__xludf.DUMMYFUNCTION("""COMPUTED_VALUE"""),"")</f>
        <v/>
      </c>
      <c r="AA554" t="str">
        <f ca="1">IFERROR(__xludf.DUMMYFUNCTION("""COMPUTED_VALUE"""),"Pas de commande")</f>
        <v>Pas de commande</v>
      </c>
      <c r="AB554" s="8" t="str">
        <f ca="1">IFERROR(__xludf.DUMMYFUNCTION("""COMPUTED_VALUE"""),"")</f>
        <v/>
      </c>
      <c r="AC554" s="8" t="str">
        <f ca="1">IFERROR(__xludf.DUMMYFUNCTION("""COMPUTED_VALUE"""),"")</f>
        <v/>
      </c>
      <c r="AD554" s="11" t="str">
        <f ca="1">IFERROR(__xludf.DUMMYFUNCTION("""COMPUTED_VALUE"""),"")</f>
        <v/>
      </c>
      <c r="AE554" t="str">
        <f ca="1">IFERROR(__xludf.DUMMYFUNCTION("""COMPUTED_VALUE"""),"")</f>
        <v/>
      </c>
    </row>
    <row r="555" spans="1:31" ht="12.75" x14ac:dyDescent="0.2">
      <c r="A555">
        <f ca="1">IFERROR(__xludf.DUMMYFUNCTION("""COMPUTED_VALUE"""),66201)</f>
        <v>66201</v>
      </c>
      <c r="B555" t="str">
        <f ca="1">IFERROR(__xludf.DUMMYFUNCTION("""COMPUTED_VALUE"""),"LYON BONNEL")</f>
        <v>LYON BONNEL</v>
      </c>
      <c r="C555" t="str">
        <f ca="1">IFERROR(__xludf.DUMMYFUNCTION("""COMPUTED_VALUE"""),"U Express")</f>
        <v>U Express</v>
      </c>
      <c r="D555" t="str">
        <f ca="1">IFERROR(__xludf.DUMMYFUNCTION("""COMPUTED_VALUE"""),"Coop U Enseigne Est")</f>
        <v>Coop U Enseigne Est</v>
      </c>
      <c r="E555">
        <f ca="1">IFERROR(__xludf.DUMMYFUNCTION("""COMPUTED_VALUE"""),69003)</f>
        <v>69003</v>
      </c>
      <c r="F555" t="str">
        <f ca="1">IFERROR(__xludf.DUMMYFUNCTION("""COMPUTED_VALUE"""),"169-171 RUE VENDÔME")</f>
        <v>169-171 RUE VENDÔME</v>
      </c>
      <c r="G555" t="str">
        <f ca="1">IFERROR(__xludf.DUMMYFUNCTION("""COMPUTED_VALUE"""),"04.37.23.68.80")</f>
        <v>04.37.23.68.80</v>
      </c>
      <c r="H555" t="str">
        <f ca="1">IFERROR(__xludf.DUMMYFUNCTION("""COMPUTED_VALUE"""),"PELOUX Franck")</f>
        <v>PELOUX Franck</v>
      </c>
      <c r="I555" t="str">
        <f ca="1">IFERROR(__xludf.DUMMYFUNCTION("""COMPUTED_VALUE"""),"franck.peloux@systeme-u.fr")</f>
        <v>franck.peloux@systeme-u.fr</v>
      </c>
      <c r="J555" t="str">
        <f ca="1">IFERROR(__xludf.DUMMYFUNCTION("""COMPUTED_VALUE"""),"DIGNE Julien")</f>
        <v>DIGNE Julien</v>
      </c>
      <c r="K555" t="str">
        <f ca="1">IFERROR(__xludf.DUMMYFUNCTION("""COMPUTED_VALUE"""),"uexpress.lyonbirhakeim.direction@systeme-u.fr")</f>
        <v>uexpress.lyonbirhakeim.direction@systeme-u.fr</v>
      </c>
      <c r="L555" t="str">
        <f ca="1">IFERROR(__xludf.DUMMYFUNCTION("""COMPUTED_VALUE"""),"")</f>
        <v/>
      </c>
      <c r="M555" t="str">
        <f ca="1">IFERROR(__xludf.DUMMYFUNCTION("""COMPUTED_VALUE"""),"99.Hors Périmetre")</f>
        <v>99.Hors Périmetre</v>
      </c>
      <c r="N555" t="str">
        <f ca="1">IFERROR(__xludf.DUMMYFUNCTION("""COMPUTED_VALUE"""),"")</f>
        <v/>
      </c>
      <c r="O555" t="str">
        <f ca="1">IFERROR(__xludf.DUMMYFUNCTION("""COMPUTED_VALUE"""),"")</f>
        <v/>
      </c>
      <c r="P555" t="str">
        <f ca="1">IFERROR(__xludf.DUMMYFUNCTION("""COMPUTED_VALUE"""),"")</f>
        <v/>
      </c>
      <c r="Q555" s="5" t="str">
        <f ca="1">IFERROR(__xludf.DUMMYFUNCTION("""COMPUTED_VALUE"""),"")</f>
        <v/>
      </c>
      <c r="R555" s="6" t="str">
        <f ca="1">IFERROR(__xludf.DUMMYFUNCTION("""COMPUTED_VALUE"""),"")</f>
        <v/>
      </c>
      <c r="S555" t="str">
        <f ca="1">IFERROR(__xludf.DUMMYFUNCTION("""COMPUTED_VALUE"""),"")</f>
        <v/>
      </c>
      <c r="T555" t="str">
        <f ca="1">IFERROR(__xludf.DUMMYFUNCTION("""COMPUTED_VALUE"""),"")</f>
        <v/>
      </c>
      <c r="U555" t="str">
        <f ca="1">IFERROR(__xludf.DUMMYFUNCTION("""COMPUTED_VALUE"""),"")</f>
        <v/>
      </c>
      <c r="V555" t="str">
        <f ca="1">IFERROR(__xludf.DUMMYFUNCTION("""COMPUTED_VALUE"""),"")</f>
        <v/>
      </c>
      <c r="W555" t="str">
        <f ca="1">IFERROR(__xludf.DUMMYFUNCTION("""COMPUTED_VALUE"""),"")</f>
        <v/>
      </c>
      <c r="X555" t="str">
        <f ca="1">IFERROR(__xludf.DUMMYFUNCTION("""COMPUTED_VALUE"""),"")</f>
        <v/>
      </c>
      <c r="Y555" t="str">
        <f ca="1">IFERROR(__xludf.DUMMYFUNCTION("""COMPUTED_VALUE"""),"")</f>
        <v/>
      </c>
      <c r="Z555" t="str">
        <f ca="1">IFERROR(__xludf.DUMMYFUNCTION("""COMPUTED_VALUE"""),"")</f>
        <v/>
      </c>
      <c r="AA555" t="str">
        <f ca="1">IFERROR(__xludf.DUMMYFUNCTION("""COMPUTED_VALUE"""),"Pas de commande")</f>
        <v>Pas de commande</v>
      </c>
      <c r="AB555" s="8" t="str">
        <f ca="1">IFERROR(__xludf.DUMMYFUNCTION("""COMPUTED_VALUE"""),"")</f>
        <v/>
      </c>
      <c r="AC555" s="8" t="str">
        <f ca="1">IFERROR(__xludf.DUMMYFUNCTION("""COMPUTED_VALUE"""),"")</f>
        <v/>
      </c>
      <c r="AD555" s="11" t="str">
        <f ca="1">IFERROR(__xludf.DUMMYFUNCTION("""COMPUTED_VALUE"""),"")</f>
        <v/>
      </c>
      <c r="AE555" t="str">
        <f ca="1">IFERROR(__xludf.DUMMYFUNCTION("""COMPUTED_VALUE"""),"")</f>
        <v/>
      </c>
    </row>
    <row r="556" spans="1:31" ht="12.75" x14ac:dyDescent="0.2">
      <c r="A556">
        <f ca="1">IFERROR(__xludf.DUMMYFUNCTION("""COMPUTED_VALUE"""),66101)</f>
        <v>66101</v>
      </c>
      <c r="B556" t="str">
        <f ca="1">IFERROR(__xludf.DUMMYFUNCTION("""COMPUTED_VALUE"""),"LYON CHARITE")</f>
        <v>LYON CHARITE</v>
      </c>
      <c r="C556" t="str">
        <f ca="1">IFERROR(__xludf.DUMMYFUNCTION("""COMPUTED_VALUE"""),"U Express")</f>
        <v>U Express</v>
      </c>
      <c r="D556" t="str">
        <f ca="1">IFERROR(__xludf.DUMMYFUNCTION("""COMPUTED_VALUE"""),"Coop U Enseigne Est")</f>
        <v>Coop U Enseigne Est</v>
      </c>
      <c r="E556">
        <f ca="1">IFERROR(__xludf.DUMMYFUNCTION("""COMPUTED_VALUE"""),69002)</f>
        <v>69002</v>
      </c>
      <c r="F556" t="str">
        <f ca="1">IFERROR(__xludf.DUMMYFUNCTION("""COMPUTED_VALUE"""),"60 RUE DE LA CHARITÉ")</f>
        <v>60 RUE DE LA CHARITÉ</v>
      </c>
      <c r="G556" t="str">
        <f ca="1">IFERROR(__xludf.DUMMYFUNCTION("""COMPUTED_VALUE"""),"04.78.37.39.62")</f>
        <v>04.78.37.39.62</v>
      </c>
      <c r="H556" t="str">
        <f ca="1">IFERROR(__xludf.DUMMYFUNCTION("""COMPUTED_VALUE"""),"MANTO Luigi")</f>
        <v>MANTO Luigi</v>
      </c>
      <c r="I556" t="str">
        <f ca="1">IFERROR(__xludf.DUMMYFUNCTION("""COMPUTED_VALUE"""),"luigi.manto@systeme-u.fr")</f>
        <v>luigi.manto@systeme-u.fr</v>
      </c>
      <c r="J556" t="str">
        <f ca="1">IFERROR(__xludf.DUMMYFUNCTION("""COMPUTED_VALUE"""),"Matthieu DUCERF / Martin LUMPP / BEDIAT ALICE")</f>
        <v>Matthieu DUCERF / Martin LUMPP / BEDIAT ALICE</v>
      </c>
      <c r="K556" t="str">
        <f ca="1">IFERROR(__xludf.DUMMYFUNCTION("""COMPUTED_VALUE"""),"uexpress.lyonlacharite@systeme-u.fr")</f>
        <v>uexpress.lyonlacharite@systeme-u.fr</v>
      </c>
      <c r="L556" t="str">
        <f ca="1">IFERROR(__xludf.DUMMYFUNCTION("""COMPUTED_VALUE"""),"")</f>
        <v/>
      </c>
      <c r="M556" t="str">
        <f ca="1">IFERROR(__xludf.DUMMYFUNCTION("""COMPUTED_VALUE"""),"99.Hors Périmetre")</f>
        <v>99.Hors Périmetre</v>
      </c>
      <c r="N556" t="str">
        <f ca="1">IFERROR(__xludf.DUMMYFUNCTION("""COMPUTED_VALUE"""),"")</f>
        <v/>
      </c>
      <c r="O556" t="str">
        <f ca="1">IFERROR(__xludf.DUMMYFUNCTION("""COMPUTED_VALUE"""),"")</f>
        <v/>
      </c>
      <c r="P556" t="str">
        <f ca="1">IFERROR(__xludf.DUMMYFUNCTION("""COMPUTED_VALUE"""),"")</f>
        <v/>
      </c>
      <c r="Q556" s="5" t="str">
        <f ca="1">IFERROR(__xludf.DUMMYFUNCTION("""COMPUTED_VALUE"""),"")</f>
        <v/>
      </c>
      <c r="R556" s="6" t="str">
        <f ca="1">IFERROR(__xludf.DUMMYFUNCTION("""COMPUTED_VALUE"""),"")</f>
        <v/>
      </c>
      <c r="S556" t="str">
        <f ca="1">IFERROR(__xludf.DUMMYFUNCTION("""COMPUTED_VALUE"""),"")</f>
        <v/>
      </c>
      <c r="T556" t="str">
        <f ca="1">IFERROR(__xludf.DUMMYFUNCTION("""COMPUTED_VALUE"""),"")</f>
        <v/>
      </c>
      <c r="U556" t="str">
        <f ca="1">IFERROR(__xludf.DUMMYFUNCTION("""COMPUTED_VALUE"""),"")</f>
        <v/>
      </c>
      <c r="V556" t="str">
        <f ca="1">IFERROR(__xludf.DUMMYFUNCTION("""COMPUTED_VALUE"""),"")</f>
        <v/>
      </c>
      <c r="W556" t="str">
        <f ca="1">IFERROR(__xludf.DUMMYFUNCTION("""COMPUTED_VALUE"""),"")</f>
        <v/>
      </c>
      <c r="X556" t="str">
        <f ca="1">IFERROR(__xludf.DUMMYFUNCTION("""COMPUTED_VALUE"""),"")</f>
        <v/>
      </c>
      <c r="Y556" t="str">
        <f ca="1">IFERROR(__xludf.DUMMYFUNCTION("""COMPUTED_VALUE"""),"")</f>
        <v/>
      </c>
      <c r="Z556" t="str">
        <f ca="1">IFERROR(__xludf.DUMMYFUNCTION("""COMPUTED_VALUE"""),"")</f>
        <v/>
      </c>
      <c r="AA556" t="str">
        <f ca="1">IFERROR(__xludf.DUMMYFUNCTION("""COMPUTED_VALUE"""),"Pas de commande")</f>
        <v>Pas de commande</v>
      </c>
      <c r="AB556" s="8" t="str">
        <f ca="1">IFERROR(__xludf.DUMMYFUNCTION("""COMPUTED_VALUE"""),"")</f>
        <v/>
      </c>
      <c r="AC556" s="8" t="str">
        <f ca="1">IFERROR(__xludf.DUMMYFUNCTION("""COMPUTED_VALUE"""),"")</f>
        <v/>
      </c>
      <c r="AD556" s="11" t="str">
        <f ca="1">IFERROR(__xludf.DUMMYFUNCTION("""COMPUTED_VALUE"""),"")</f>
        <v/>
      </c>
      <c r="AE556" t="str">
        <f ca="1">IFERROR(__xludf.DUMMYFUNCTION("""COMPUTED_VALUE"""),"")</f>
        <v/>
      </c>
    </row>
    <row r="557" spans="1:31" ht="12.75" x14ac:dyDescent="0.2">
      <c r="A557">
        <f ca="1">IFERROR(__xludf.DUMMYFUNCTION("""COMPUTED_VALUE"""),66190)</f>
        <v>66190</v>
      </c>
      <c r="B557" t="str">
        <f ca="1">IFERROR(__xludf.DUMMYFUNCTION("""COMPUTED_VALUE"""),"LYON CHILDEBERT")</f>
        <v>LYON CHILDEBERT</v>
      </c>
      <c r="C557" t="str">
        <f ca="1">IFERROR(__xludf.DUMMYFUNCTION("""COMPUTED_VALUE"""),"U Express")</f>
        <v>U Express</v>
      </c>
      <c r="D557" t="str">
        <f ca="1">IFERROR(__xludf.DUMMYFUNCTION("""COMPUTED_VALUE"""),"Coop U Enseigne Est")</f>
        <v>Coop U Enseigne Est</v>
      </c>
      <c r="E557">
        <f ca="1">IFERROR(__xludf.DUMMYFUNCTION("""COMPUTED_VALUE"""),69002)</f>
        <v>69002</v>
      </c>
      <c r="F557" t="str">
        <f ca="1">IFERROR(__xludf.DUMMYFUNCTION("""COMPUTED_VALUE"""),"12 QUAI JULES COURMONT")</f>
        <v>12 QUAI JULES COURMONT</v>
      </c>
      <c r="G557" t="str">
        <f ca="1">IFERROR(__xludf.DUMMYFUNCTION("""COMPUTED_VALUE"""),"04.72.56.08.40")</f>
        <v>04.72.56.08.40</v>
      </c>
      <c r="H557" t="str">
        <f ca="1">IFERROR(__xludf.DUMMYFUNCTION("""COMPUTED_VALUE"""),"MANTO Luigi")</f>
        <v>MANTO Luigi</v>
      </c>
      <c r="I557" t="str">
        <f ca="1">IFERROR(__xludf.DUMMYFUNCTION("""COMPUTED_VALUE"""),"luigi.manto@systeme-u.fr")</f>
        <v>luigi.manto@systeme-u.fr</v>
      </c>
      <c r="J557" t="str">
        <f ca="1">IFERROR(__xludf.DUMMYFUNCTION("""COMPUTED_VALUE"""),"CASEAUX Allan")</f>
        <v>CASEAUX Allan</v>
      </c>
      <c r="K557" t="str">
        <f ca="1">IFERROR(__xludf.DUMMYFUNCTION("""COMPUTED_VALUE"""),"uexpress.lyonchildebert@systeme-u.fr")</f>
        <v>uexpress.lyonchildebert@systeme-u.fr</v>
      </c>
      <c r="L557" t="str">
        <f ca="1">IFERROR(__xludf.DUMMYFUNCTION("""COMPUTED_VALUE"""),"")</f>
        <v/>
      </c>
      <c r="M557" t="str">
        <f ca="1">IFERROR(__xludf.DUMMYFUNCTION("""COMPUTED_VALUE"""),"99.Hors Périmetre")</f>
        <v>99.Hors Périmetre</v>
      </c>
      <c r="N557" t="str">
        <f ca="1">IFERROR(__xludf.DUMMYFUNCTION("""COMPUTED_VALUE"""),"")</f>
        <v/>
      </c>
      <c r="O557" t="str">
        <f ca="1">IFERROR(__xludf.DUMMYFUNCTION("""COMPUTED_VALUE"""),"")</f>
        <v/>
      </c>
      <c r="P557" t="str">
        <f ca="1">IFERROR(__xludf.DUMMYFUNCTION("""COMPUTED_VALUE"""),"")</f>
        <v/>
      </c>
      <c r="Q557" s="5" t="str">
        <f ca="1">IFERROR(__xludf.DUMMYFUNCTION("""COMPUTED_VALUE"""),"")</f>
        <v/>
      </c>
      <c r="R557" s="6" t="str">
        <f ca="1">IFERROR(__xludf.DUMMYFUNCTION("""COMPUTED_VALUE"""),"")</f>
        <v/>
      </c>
      <c r="S557" t="str">
        <f ca="1">IFERROR(__xludf.DUMMYFUNCTION("""COMPUTED_VALUE"""),"")</f>
        <v/>
      </c>
      <c r="T557" t="str">
        <f ca="1">IFERROR(__xludf.DUMMYFUNCTION("""COMPUTED_VALUE"""),"")</f>
        <v/>
      </c>
      <c r="U557" t="str">
        <f ca="1">IFERROR(__xludf.DUMMYFUNCTION("""COMPUTED_VALUE"""),"")</f>
        <v/>
      </c>
      <c r="V557" t="str">
        <f ca="1">IFERROR(__xludf.DUMMYFUNCTION("""COMPUTED_VALUE"""),"")</f>
        <v/>
      </c>
      <c r="W557" t="str">
        <f ca="1">IFERROR(__xludf.DUMMYFUNCTION("""COMPUTED_VALUE"""),"")</f>
        <v/>
      </c>
      <c r="X557" t="str">
        <f ca="1">IFERROR(__xludf.DUMMYFUNCTION("""COMPUTED_VALUE"""),"")</f>
        <v/>
      </c>
      <c r="Y557" t="str">
        <f ca="1">IFERROR(__xludf.DUMMYFUNCTION("""COMPUTED_VALUE"""),"")</f>
        <v/>
      </c>
      <c r="Z557" t="str">
        <f ca="1">IFERROR(__xludf.DUMMYFUNCTION("""COMPUTED_VALUE"""),"")</f>
        <v/>
      </c>
      <c r="AA557" t="str">
        <f ca="1">IFERROR(__xludf.DUMMYFUNCTION("""COMPUTED_VALUE"""),"Pas de commande")</f>
        <v>Pas de commande</v>
      </c>
      <c r="AB557" s="8" t="str">
        <f ca="1">IFERROR(__xludf.DUMMYFUNCTION("""COMPUTED_VALUE"""),"")</f>
        <v/>
      </c>
      <c r="AC557" s="8" t="str">
        <f ca="1">IFERROR(__xludf.DUMMYFUNCTION("""COMPUTED_VALUE"""),"")</f>
        <v/>
      </c>
      <c r="AD557" s="11" t="str">
        <f ca="1">IFERROR(__xludf.DUMMYFUNCTION("""COMPUTED_VALUE"""),"")</f>
        <v/>
      </c>
      <c r="AE557" t="str">
        <f ca="1">IFERROR(__xludf.DUMMYFUNCTION("""COMPUTED_VALUE"""),"")</f>
        <v/>
      </c>
    </row>
    <row r="558" spans="1:31" ht="12.75" x14ac:dyDescent="0.2">
      <c r="A558">
        <f ca="1">IFERROR(__xludf.DUMMYFUNCTION("""COMPUTED_VALUE"""),66211)</f>
        <v>66211</v>
      </c>
      <c r="B558" t="str">
        <f ca="1">IFERROR(__xludf.DUMMYFUNCTION("""COMPUTED_VALUE"""),"LYON CROIX ROUSSE")</f>
        <v>LYON CROIX ROUSSE</v>
      </c>
      <c r="C558" t="str">
        <f ca="1">IFERROR(__xludf.DUMMYFUNCTION("""COMPUTED_VALUE"""),"U Express")</f>
        <v>U Express</v>
      </c>
      <c r="D558" t="str">
        <f ca="1">IFERROR(__xludf.DUMMYFUNCTION("""COMPUTED_VALUE"""),"Coop U Enseigne Est")</f>
        <v>Coop U Enseigne Est</v>
      </c>
      <c r="E558">
        <f ca="1">IFERROR(__xludf.DUMMYFUNCTION("""COMPUTED_VALUE"""),69004)</f>
        <v>69004</v>
      </c>
      <c r="F558" t="str">
        <f ca="1">IFERROR(__xludf.DUMMYFUNCTION("""COMPUTED_VALUE"""),"17 RUE JACQUARD")</f>
        <v>17 RUE JACQUARD</v>
      </c>
      <c r="G558" t="str">
        <f ca="1">IFERROR(__xludf.DUMMYFUNCTION("""COMPUTED_VALUE"""),"04.78.98.90.74")</f>
        <v>04.78.98.90.74</v>
      </c>
      <c r="H558" t="str">
        <f ca="1">IFERROR(__xludf.DUMMYFUNCTION("""COMPUTED_VALUE"""),"GELPI Aymeric")</f>
        <v>GELPI Aymeric</v>
      </c>
      <c r="I558" t="str">
        <f ca="1">IFERROR(__xludf.DUMMYFUNCTION("""COMPUTED_VALUE"""),"aymeric.gelpi@systeme-u.fr")</f>
        <v>aymeric.gelpi@systeme-u.fr</v>
      </c>
      <c r="J558" t="str">
        <f ca="1">IFERROR(__xludf.DUMMYFUNCTION("""COMPUTED_VALUE"""),"Sandrine")</f>
        <v>Sandrine</v>
      </c>
      <c r="K558" t="str">
        <f ca="1">IFERROR(__xludf.DUMMYFUNCTION("""COMPUTED_VALUE"""),"uexpress.lyoncroixrousse.compta@systeme-u.fr")</f>
        <v>uexpress.lyoncroixrousse.compta@systeme-u.fr</v>
      </c>
      <c r="L558" t="str">
        <f ca="1">IFERROR(__xludf.DUMMYFUNCTION("""COMPUTED_VALUE"""),"")</f>
        <v/>
      </c>
      <c r="M558" t="str">
        <f ca="1">IFERROR(__xludf.DUMMYFUNCTION("""COMPUTED_VALUE"""),"99.Hors Périmetre")</f>
        <v>99.Hors Périmetre</v>
      </c>
      <c r="N558" t="str">
        <f ca="1">IFERROR(__xludf.DUMMYFUNCTION("""COMPUTED_VALUE"""),"")</f>
        <v/>
      </c>
      <c r="O558" t="str">
        <f ca="1">IFERROR(__xludf.DUMMYFUNCTION("""COMPUTED_VALUE"""),"")</f>
        <v/>
      </c>
      <c r="P558" t="str">
        <f ca="1">IFERROR(__xludf.DUMMYFUNCTION("""COMPUTED_VALUE"""),"")</f>
        <v/>
      </c>
      <c r="Q558" s="5" t="str">
        <f ca="1">IFERROR(__xludf.DUMMYFUNCTION("""COMPUTED_VALUE"""),"")</f>
        <v/>
      </c>
      <c r="R558" s="6" t="str">
        <f ca="1">IFERROR(__xludf.DUMMYFUNCTION("""COMPUTED_VALUE"""),"")</f>
        <v/>
      </c>
      <c r="S558" t="str">
        <f ca="1">IFERROR(__xludf.DUMMYFUNCTION("""COMPUTED_VALUE"""),"")</f>
        <v/>
      </c>
      <c r="T558" t="str">
        <f ca="1">IFERROR(__xludf.DUMMYFUNCTION("""COMPUTED_VALUE"""),"")</f>
        <v/>
      </c>
      <c r="U558" t="str">
        <f ca="1">IFERROR(__xludf.DUMMYFUNCTION("""COMPUTED_VALUE"""),"")</f>
        <v/>
      </c>
      <c r="V558" t="str">
        <f ca="1">IFERROR(__xludf.DUMMYFUNCTION("""COMPUTED_VALUE"""),"")</f>
        <v/>
      </c>
      <c r="W558" t="str">
        <f ca="1">IFERROR(__xludf.DUMMYFUNCTION("""COMPUTED_VALUE"""),"")</f>
        <v/>
      </c>
      <c r="X558" t="str">
        <f ca="1">IFERROR(__xludf.DUMMYFUNCTION("""COMPUTED_VALUE"""),"")</f>
        <v/>
      </c>
      <c r="Y558" t="str">
        <f ca="1">IFERROR(__xludf.DUMMYFUNCTION("""COMPUTED_VALUE"""),"")</f>
        <v/>
      </c>
      <c r="Z558" t="str">
        <f ca="1">IFERROR(__xludf.DUMMYFUNCTION("""COMPUTED_VALUE"""),"")</f>
        <v/>
      </c>
      <c r="AA558" t="str">
        <f ca="1">IFERROR(__xludf.DUMMYFUNCTION("""COMPUTED_VALUE"""),"Pas de commande")</f>
        <v>Pas de commande</v>
      </c>
      <c r="AB558" s="8" t="str">
        <f ca="1">IFERROR(__xludf.DUMMYFUNCTION("""COMPUTED_VALUE"""),"")</f>
        <v/>
      </c>
      <c r="AC558" s="8" t="str">
        <f ca="1">IFERROR(__xludf.DUMMYFUNCTION("""COMPUTED_VALUE"""),"")</f>
        <v/>
      </c>
      <c r="AD558" s="11" t="str">
        <f ca="1">IFERROR(__xludf.DUMMYFUNCTION("""COMPUTED_VALUE"""),"")</f>
        <v/>
      </c>
      <c r="AE558" t="str">
        <f ca="1">IFERROR(__xludf.DUMMYFUNCTION("""COMPUTED_VALUE"""),"")</f>
        <v/>
      </c>
    </row>
    <row r="559" spans="1:31" ht="12.75" x14ac:dyDescent="0.2">
      <c r="A559">
        <f ca="1">IFERROR(__xludf.DUMMYFUNCTION("""COMPUTED_VALUE"""),66160)</f>
        <v>66160</v>
      </c>
      <c r="B559" t="str">
        <f ca="1">IFERROR(__xludf.DUMMYFUNCTION("""COMPUTED_VALUE"""),"LYON GERLAND")</f>
        <v>LYON GERLAND</v>
      </c>
      <c r="C559" t="str">
        <f ca="1">IFERROR(__xludf.DUMMYFUNCTION("""COMPUTED_VALUE"""),"Super U")</f>
        <v>Super U</v>
      </c>
      <c r="D559" t="str">
        <f ca="1">IFERROR(__xludf.DUMMYFUNCTION("""COMPUTED_VALUE"""),"Coop U Enseigne Est")</f>
        <v>Coop U Enseigne Est</v>
      </c>
      <c r="E559">
        <f ca="1">IFERROR(__xludf.DUMMYFUNCTION("""COMPUTED_VALUE"""),69007)</f>
        <v>69007</v>
      </c>
      <c r="F559" t="str">
        <f ca="1">IFERROR(__xludf.DUMMYFUNCTION("""COMPUTED_VALUE"""),"113 BLD YVES FARGES")</f>
        <v>113 BLD YVES FARGES</v>
      </c>
      <c r="G559" t="str">
        <f ca="1">IFERROR(__xludf.DUMMYFUNCTION("""COMPUTED_VALUE"""),"04.78.72.25.27")</f>
        <v>04.78.72.25.27</v>
      </c>
      <c r="H559" t="str">
        <f ca="1">IFERROR(__xludf.DUMMYFUNCTION("""COMPUTED_VALUE"""),"LIABEUF Michaël")</f>
        <v>LIABEUF Michaël</v>
      </c>
      <c r="I559" t="str">
        <f ca="1">IFERROR(__xludf.DUMMYFUNCTION("""COMPUTED_VALUE"""),"michael.liabeuf@systeme-u.fr")</f>
        <v>michael.liabeuf@systeme-u.fr</v>
      </c>
      <c r="J559" t="str">
        <f ca="1">IFERROR(__xludf.DUMMYFUNCTION("""COMPUTED_VALUE"""),"Schelach RECKOY")</f>
        <v>Schelach RECKOY</v>
      </c>
      <c r="K559" t="str">
        <f ca="1">IFERROR(__xludf.DUMMYFUNCTION("""COMPUTED_VALUE"""),"superu.lyongerland.direction@systeme-u.fr")</f>
        <v>superu.lyongerland.direction@systeme-u.fr</v>
      </c>
      <c r="L559" t="str">
        <f ca="1">IFERROR(__xludf.DUMMYFUNCTION("""COMPUTED_VALUE"""),"")</f>
        <v/>
      </c>
      <c r="M559" t="str">
        <f ca="1">IFERROR(__xludf.DUMMYFUNCTION("""COMPUTED_VALUE"""),"99.Hors Périmetre")</f>
        <v>99.Hors Périmetre</v>
      </c>
      <c r="N559" t="str">
        <f ca="1">IFERROR(__xludf.DUMMYFUNCTION("""COMPUTED_VALUE"""),"")</f>
        <v/>
      </c>
      <c r="O559" t="str">
        <f ca="1">IFERROR(__xludf.DUMMYFUNCTION("""COMPUTED_VALUE"""),"")</f>
        <v/>
      </c>
      <c r="P559" t="str">
        <f ca="1">IFERROR(__xludf.DUMMYFUNCTION("""COMPUTED_VALUE"""),"")</f>
        <v/>
      </c>
      <c r="Q559" s="5" t="str">
        <f ca="1">IFERROR(__xludf.DUMMYFUNCTION("""COMPUTED_VALUE"""),"")</f>
        <v/>
      </c>
      <c r="R559" s="6" t="str">
        <f ca="1">IFERROR(__xludf.DUMMYFUNCTION("""COMPUTED_VALUE"""),"")</f>
        <v/>
      </c>
      <c r="S559" t="str">
        <f ca="1">IFERROR(__xludf.DUMMYFUNCTION("""COMPUTED_VALUE"""),"")</f>
        <v/>
      </c>
      <c r="T559" t="str">
        <f ca="1">IFERROR(__xludf.DUMMYFUNCTION("""COMPUTED_VALUE"""),"")</f>
        <v/>
      </c>
      <c r="U559" t="str">
        <f ca="1">IFERROR(__xludf.DUMMYFUNCTION("""COMPUTED_VALUE"""),"")</f>
        <v/>
      </c>
      <c r="V559" t="str">
        <f ca="1">IFERROR(__xludf.DUMMYFUNCTION("""COMPUTED_VALUE"""),"")</f>
        <v/>
      </c>
      <c r="W559" t="str">
        <f ca="1">IFERROR(__xludf.DUMMYFUNCTION("""COMPUTED_VALUE"""),"")</f>
        <v/>
      </c>
      <c r="X559" t="str">
        <f ca="1">IFERROR(__xludf.DUMMYFUNCTION("""COMPUTED_VALUE"""),"")</f>
        <v/>
      </c>
      <c r="Y559" t="str">
        <f ca="1">IFERROR(__xludf.DUMMYFUNCTION("""COMPUTED_VALUE"""),"")</f>
        <v/>
      </c>
      <c r="Z559" t="str">
        <f ca="1">IFERROR(__xludf.DUMMYFUNCTION("""COMPUTED_VALUE"""),"")</f>
        <v/>
      </c>
      <c r="AA559" t="str">
        <f ca="1">IFERROR(__xludf.DUMMYFUNCTION("""COMPUTED_VALUE"""),"Pas de commande")</f>
        <v>Pas de commande</v>
      </c>
      <c r="AB559" s="8" t="str">
        <f ca="1">IFERROR(__xludf.DUMMYFUNCTION("""COMPUTED_VALUE"""),"")</f>
        <v/>
      </c>
      <c r="AC559" s="8" t="str">
        <f ca="1">IFERROR(__xludf.DUMMYFUNCTION("""COMPUTED_VALUE"""),"")</f>
        <v/>
      </c>
      <c r="AD559" s="11" t="str">
        <f ca="1">IFERROR(__xludf.DUMMYFUNCTION("""COMPUTED_VALUE"""),"")</f>
        <v/>
      </c>
      <c r="AE559" t="str">
        <f ca="1">IFERROR(__xludf.DUMMYFUNCTION("""COMPUTED_VALUE"""),"")</f>
        <v/>
      </c>
    </row>
    <row r="560" spans="1:31" ht="12.75" x14ac:dyDescent="0.2">
      <c r="A560">
        <f ca="1">IFERROR(__xludf.DUMMYFUNCTION("""COMPUTED_VALUE"""),90685)</f>
        <v>90685</v>
      </c>
      <c r="B560" t="str">
        <f ca="1">IFERROR(__xludf.DUMMYFUNCTION("""COMPUTED_VALUE"""),"LYON LIBERTE")</f>
        <v>LYON LIBERTE</v>
      </c>
      <c r="C560" t="str">
        <f ca="1">IFERROR(__xludf.DUMMYFUNCTION("""COMPUTED_VALUE"""),"U Express")</f>
        <v>U Express</v>
      </c>
      <c r="D560" t="str">
        <f ca="1">IFERROR(__xludf.DUMMYFUNCTION("""COMPUTED_VALUE"""),"Coop MISTRAL")</f>
        <v>Coop MISTRAL</v>
      </c>
      <c r="E560">
        <f ca="1">IFERROR(__xludf.DUMMYFUNCTION("""COMPUTED_VALUE"""),69003)</f>
        <v>69003</v>
      </c>
      <c r="F560" t="str">
        <f ca="1">IFERROR(__xludf.DUMMYFUNCTION("""COMPUTED_VALUE"""),"81 COURS DE LA LIBERTE")</f>
        <v>81 COURS DE LA LIBERTE</v>
      </c>
      <c r="G560" t="str">
        <f ca="1">IFERROR(__xludf.DUMMYFUNCTION("""COMPUTED_VALUE"""),"04.72.60.80.81")</f>
        <v>04.72.60.80.81</v>
      </c>
      <c r="H560" t="str">
        <f ca="1">IFERROR(__xludf.DUMMYFUNCTION("""COMPUTED_VALUE"""),"COSTET Jean Philippe")</f>
        <v>COSTET Jean Philippe</v>
      </c>
      <c r="I560" t="str">
        <f ca="1">IFERROR(__xludf.DUMMYFUNCTION("""COMPUTED_VALUE"""),"")</f>
        <v/>
      </c>
      <c r="J560" t="str">
        <f ca="1">IFERROR(__xludf.DUMMYFUNCTION("""COMPUTED_VALUE"""),"")</f>
        <v/>
      </c>
      <c r="K560" t="str">
        <f ca="1">IFERROR(__xludf.DUMMYFUNCTION("""COMPUTED_VALUE"""),"delphine.damian@lemistral.fr,helene.mina@lemistral.fr")</f>
        <v>delphine.damian@lemistral.fr,helene.mina@lemistral.fr</v>
      </c>
      <c r="L560" t="str">
        <f ca="1">IFERROR(__xludf.DUMMYFUNCTION("""COMPUTED_VALUE"""),"")</f>
        <v/>
      </c>
      <c r="M560" t="str">
        <f ca="1">IFERROR(__xludf.DUMMYFUNCTION("""COMPUTED_VALUE"""),"99.Hors Périmetre")</f>
        <v>99.Hors Périmetre</v>
      </c>
      <c r="N560" t="str">
        <f ca="1">IFERROR(__xludf.DUMMYFUNCTION("""COMPUTED_VALUE"""),"")</f>
        <v/>
      </c>
      <c r="O560" t="str">
        <f ca="1">IFERROR(__xludf.DUMMYFUNCTION("""COMPUTED_VALUE"""),"")</f>
        <v/>
      </c>
      <c r="P560" t="str">
        <f ca="1">IFERROR(__xludf.DUMMYFUNCTION("""COMPUTED_VALUE"""),"")</f>
        <v/>
      </c>
      <c r="Q560" s="5" t="str">
        <f ca="1">IFERROR(__xludf.DUMMYFUNCTION("""COMPUTED_VALUE"""),"")</f>
        <v/>
      </c>
      <c r="R560" s="6" t="str">
        <f ca="1">IFERROR(__xludf.DUMMYFUNCTION("""COMPUTED_VALUE"""),"")</f>
        <v/>
      </c>
      <c r="S560" t="str">
        <f ca="1">IFERROR(__xludf.DUMMYFUNCTION("""COMPUTED_VALUE"""),"")</f>
        <v/>
      </c>
      <c r="T560" t="str">
        <f ca="1">IFERROR(__xludf.DUMMYFUNCTION("""COMPUTED_VALUE"""),"")</f>
        <v/>
      </c>
      <c r="U560" t="str">
        <f ca="1">IFERROR(__xludf.DUMMYFUNCTION("""COMPUTED_VALUE"""),"")</f>
        <v/>
      </c>
      <c r="V560" t="str">
        <f ca="1">IFERROR(__xludf.DUMMYFUNCTION("""COMPUTED_VALUE"""),"")</f>
        <v/>
      </c>
      <c r="W560" t="str">
        <f ca="1">IFERROR(__xludf.DUMMYFUNCTION("""COMPUTED_VALUE"""),"R5")</f>
        <v>R5</v>
      </c>
      <c r="X560" t="str">
        <f ca="1">IFERROR(__xludf.DUMMYFUNCTION("""COMPUTED_VALUE"""),"Pricer")</f>
        <v>Pricer</v>
      </c>
      <c r="Y560" t="str">
        <f ca="1">IFERROR(__xludf.DUMMYFUNCTION("""COMPUTED_VALUE"""),"Primo")</f>
        <v>Primo</v>
      </c>
      <c r="Z560" t="str">
        <f ca="1">IFERROR(__xludf.DUMMYFUNCTION("""COMPUTED_VALUE"""),"")</f>
        <v/>
      </c>
      <c r="AA560" t="str">
        <f ca="1">IFERROR(__xludf.DUMMYFUNCTION("""COMPUTED_VALUE"""),"Commande validée")</f>
        <v>Commande validée</v>
      </c>
      <c r="AB560" s="8" t="str">
        <f ca="1">IFERROR(__xludf.DUMMYFUNCTION("""COMPUTED_VALUE"""),"")</f>
        <v/>
      </c>
      <c r="AC560" s="8" t="str">
        <f ca="1">IFERROR(__xludf.DUMMYFUNCTION("""COMPUTED_VALUE"""),"")</f>
        <v/>
      </c>
      <c r="AD560" s="11" t="str">
        <f ca="1">IFERROR(__xludf.DUMMYFUNCTION("""COMPUTED_VALUE"""),"")</f>
        <v/>
      </c>
      <c r="AE560" t="str">
        <f ca="1">IFERROR(__xludf.DUMMYFUNCTION("""COMPUTED_VALUE"""),"")</f>
        <v/>
      </c>
    </row>
    <row r="561" spans="1:31" ht="12.75" x14ac:dyDescent="0.2">
      <c r="A561">
        <f ca="1">IFERROR(__xludf.DUMMYFUNCTION("""COMPUTED_VALUE"""),66161)</f>
        <v>66161</v>
      </c>
      <c r="B561" t="str">
        <f ca="1">IFERROR(__xludf.DUMMYFUNCTION("""COMPUTED_VALUE"""),"LYON MISTRAL")</f>
        <v>LYON MISTRAL</v>
      </c>
      <c r="C561" t="str">
        <f ca="1">IFERROR(__xludf.DUMMYFUNCTION("""COMPUTED_VALUE"""),"Super U")</f>
        <v>Super U</v>
      </c>
      <c r="D561" t="str">
        <f ca="1">IFERROR(__xludf.DUMMYFUNCTION("""COMPUTED_VALUE"""),"Coop U Enseigne Est")</f>
        <v>Coop U Enseigne Est</v>
      </c>
      <c r="E561">
        <f ca="1">IFERROR(__xludf.DUMMYFUNCTION("""COMPUTED_VALUE"""),69003)</f>
        <v>69003</v>
      </c>
      <c r="F561" t="str">
        <f ca="1">IFERROR(__xludf.DUMMYFUNCTION("""COMPUTED_VALUE"""),"14 rue Frédéric Mistral")</f>
        <v>14 rue Frédéric Mistral</v>
      </c>
      <c r="G561" t="str">
        <f ca="1">IFERROR(__xludf.DUMMYFUNCTION("""COMPUTED_VALUE"""),"04.72.91.80.20")</f>
        <v>04.72.91.80.20</v>
      </c>
      <c r="H561" t="str">
        <f ca="1">IFERROR(__xludf.DUMMYFUNCTION("""COMPUTED_VALUE"""),"GAUTHIER Joseph")</f>
        <v>GAUTHIER Joseph</v>
      </c>
      <c r="I561" t="str">
        <f ca="1">IFERROR(__xludf.DUMMYFUNCTION("""COMPUTED_VALUE"""),"joseph.gauthier@systeme-u.fr")</f>
        <v>joseph.gauthier@systeme-u.fr</v>
      </c>
      <c r="J561" t="str">
        <f ca="1">IFERROR(__xludf.DUMMYFUNCTION("""COMPUTED_VALUE"""),"M. BOUBAKER")</f>
        <v>M. BOUBAKER</v>
      </c>
      <c r="K561" t="str">
        <f ca="1">IFERROR(__xludf.DUMMYFUNCTION("""COMPUTED_VALUE"""),"bachir.boubaker@systeme-u.fr")</f>
        <v>bachir.boubaker@systeme-u.fr</v>
      </c>
      <c r="L561" t="str">
        <f ca="1">IFERROR(__xludf.DUMMYFUNCTION("""COMPUTED_VALUE"""),"")</f>
        <v/>
      </c>
      <c r="M561" t="str">
        <f ca="1">IFERROR(__xludf.DUMMYFUNCTION("""COMPUTED_VALUE"""),"99.Hors Périmetre")</f>
        <v>99.Hors Périmetre</v>
      </c>
      <c r="N561" t="str">
        <f ca="1">IFERROR(__xludf.DUMMYFUNCTION("""COMPUTED_VALUE"""),"")</f>
        <v/>
      </c>
      <c r="O561" t="str">
        <f ca="1">IFERROR(__xludf.DUMMYFUNCTION("""COMPUTED_VALUE"""),"")</f>
        <v/>
      </c>
      <c r="P561" t="str">
        <f ca="1">IFERROR(__xludf.DUMMYFUNCTION("""COMPUTED_VALUE"""),"")</f>
        <v/>
      </c>
      <c r="Q561" s="5" t="str">
        <f ca="1">IFERROR(__xludf.DUMMYFUNCTION("""COMPUTED_VALUE"""),"")</f>
        <v/>
      </c>
      <c r="R561" s="6" t="str">
        <f ca="1">IFERROR(__xludf.DUMMYFUNCTION("""COMPUTED_VALUE"""),"")</f>
        <v/>
      </c>
      <c r="S561" t="str">
        <f ca="1">IFERROR(__xludf.DUMMYFUNCTION("""COMPUTED_VALUE"""),"")</f>
        <v/>
      </c>
      <c r="T561" t="str">
        <f ca="1">IFERROR(__xludf.DUMMYFUNCTION("""COMPUTED_VALUE"""),"")</f>
        <v/>
      </c>
      <c r="U561" t="str">
        <f ca="1">IFERROR(__xludf.DUMMYFUNCTION("""COMPUTED_VALUE"""),"")</f>
        <v/>
      </c>
      <c r="V561" t="str">
        <f ca="1">IFERROR(__xludf.DUMMYFUNCTION("""COMPUTED_VALUE"""),"")</f>
        <v/>
      </c>
      <c r="W561" t="str">
        <f ca="1">IFERROR(__xludf.DUMMYFUNCTION("""COMPUTED_VALUE"""),"")</f>
        <v/>
      </c>
      <c r="X561" t="str">
        <f ca="1">IFERROR(__xludf.DUMMYFUNCTION("""COMPUTED_VALUE"""),"")</f>
        <v/>
      </c>
      <c r="Y561" t="str">
        <f ca="1">IFERROR(__xludf.DUMMYFUNCTION("""COMPUTED_VALUE"""),"")</f>
        <v/>
      </c>
      <c r="Z561" t="str">
        <f ca="1">IFERROR(__xludf.DUMMYFUNCTION("""COMPUTED_VALUE"""),"")</f>
        <v/>
      </c>
      <c r="AA561" t="str">
        <f ca="1">IFERROR(__xludf.DUMMYFUNCTION("""COMPUTED_VALUE"""),"Pas de commande")</f>
        <v>Pas de commande</v>
      </c>
      <c r="AB561" s="8" t="str">
        <f ca="1">IFERROR(__xludf.DUMMYFUNCTION("""COMPUTED_VALUE"""),"")</f>
        <v/>
      </c>
      <c r="AC561" s="8" t="str">
        <f ca="1">IFERROR(__xludf.DUMMYFUNCTION("""COMPUTED_VALUE"""),"")</f>
        <v/>
      </c>
      <c r="AD561" s="11" t="str">
        <f ca="1">IFERROR(__xludf.DUMMYFUNCTION("""COMPUTED_VALUE"""),"")</f>
        <v/>
      </c>
      <c r="AE561" t="str">
        <f ca="1">IFERROR(__xludf.DUMMYFUNCTION("""COMPUTED_VALUE"""),"")</f>
        <v/>
      </c>
    </row>
    <row r="562" spans="1:31" ht="12.75" x14ac:dyDescent="0.2">
      <c r="A562">
        <f ca="1">IFERROR(__xludf.DUMMYFUNCTION("""COMPUTED_VALUE"""),66195)</f>
        <v>66195</v>
      </c>
      <c r="B562" t="str">
        <f ca="1">IFERROR(__xludf.DUMMYFUNCTION("""COMPUTED_VALUE"""),"LYON MONTCHAT")</f>
        <v>LYON MONTCHAT</v>
      </c>
      <c r="C562" t="str">
        <f ca="1">IFERROR(__xludf.DUMMYFUNCTION("""COMPUTED_VALUE"""),"U Express")</f>
        <v>U Express</v>
      </c>
      <c r="D562" t="str">
        <f ca="1">IFERROR(__xludf.DUMMYFUNCTION("""COMPUTED_VALUE"""),"Coop U Enseigne Est")</f>
        <v>Coop U Enseigne Est</v>
      </c>
      <c r="E562">
        <f ca="1">IFERROR(__xludf.DUMMYFUNCTION("""COMPUTED_VALUE"""),69003)</f>
        <v>69003</v>
      </c>
      <c r="F562" t="str">
        <f ca="1">IFERROR(__xludf.DUMMYFUNCTION("""COMPUTED_VALUE"""),"134 ROUTE DE GENAS")</f>
        <v>134 ROUTE DE GENAS</v>
      </c>
      <c r="G562" t="str">
        <f ca="1">IFERROR(__xludf.DUMMYFUNCTION("""COMPUTED_VALUE"""),"04.72.34.99.95")</f>
        <v>04.72.34.99.95</v>
      </c>
      <c r="H562" t="str">
        <f ca="1">IFERROR(__xludf.DUMMYFUNCTION("""COMPUTED_VALUE"""),"GENEVOIS Emmanuel")</f>
        <v>GENEVOIS Emmanuel</v>
      </c>
      <c r="I562" t="str">
        <f ca="1">IFERROR(__xludf.DUMMYFUNCTION("""COMPUTED_VALUE"""),"emmanuel.genevois@systeme-u.fr")</f>
        <v>emmanuel.genevois@systeme-u.fr</v>
      </c>
      <c r="J562" t="str">
        <f ca="1">IFERROR(__xludf.DUMMYFUNCTION("""COMPUTED_VALUE"""),"Mr CHAMBEAU")</f>
        <v>Mr CHAMBEAU</v>
      </c>
      <c r="K562" t="str">
        <f ca="1">IFERROR(__xludf.DUMMYFUNCTION("""COMPUTED_VALUE"""),"uexpress.lyonmontchat.directeur@systeme-u.fr")</f>
        <v>uexpress.lyonmontchat.directeur@systeme-u.fr</v>
      </c>
      <c r="L562" t="str">
        <f ca="1">IFERROR(__xludf.DUMMYFUNCTION("""COMPUTED_VALUE"""),"")</f>
        <v/>
      </c>
      <c r="M562" t="str">
        <f ca="1">IFERROR(__xludf.DUMMYFUNCTION("""COMPUTED_VALUE"""),"99.Hors Périmetre")</f>
        <v>99.Hors Périmetre</v>
      </c>
      <c r="N562" t="str">
        <f ca="1">IFERROR(__xludf.DUMMYFUNCTION("""COMPUTED_VALUE"""),"")</f>
        <v/>
      </c>
      <c r="O562" t="str">
        <f ca="1">IFERROR(__xludf.DUMMYFUNCTION("""COMPUTED_VALUE"""),"")</f>
        <v/>
      </c>
      <c r="P562" t="str">
        <f ca="1">IFERROR(__xludf.DUMMYFUNCTION("""COMPUTED_VALUE"""),"")</f>
        <v/>
      </c>
      <c r="Q562" s="5" t="str">
        <f ca="1">IFERROR(__xludf.DUMMYFUNCTION("""COMPUTED_VALUE"""),"")</f>
        <v/>
      </c>
      <c r="R562" s="6" t="str">
        <f ca="1">IFERROR(__xludf.DUMMYFUNCTION("""COMPUTED_VALUE"""),"")</f>
        <v/>
      </c>
      <c r="S562" t="str">
        <f ca="1">IFERROR(__xludf.DUMMYFUNCTION("""COMPUTED_VALUE"""),"")</f>
        <v/>
      </c>
      <c r="T562" t="str">
        <f ca="1">IFERROR(__xludf.DUMMYFUNCTION("""COMPUTED_VALUE"""),"")</f>
        <v/>
      </c>
      <c r="U562" t="str">
        <f ca="1">IFERROR(__xludf.DUMMYFUNCTION("""COMPUTED_VALUE"""),"")</f>
        <v/>
      </c>
      <c r="V562" t="str">
        <f ca="1">IFERROR(__xludf.DUMMYFUNCTION("""COMPUTED_VALUE"""),"")</f>
        <v/>
      </c>
      <c r="W562" t="str">
        <f ca="1">IFERROR(__xludf.DUMMYFUNCTION("""COMPUTED_VALUE"""),"")</f>
        <v/>
      </c>
      <c r="X562" t="str">
        <f ca="1">IFERROR(__xludf.DUMMYFUNCTION("""COMPUTED_VALUE"""),"")</f>
        <v/>
      </c>
      <c r="Y562" t="str">
        <f ca="1">IFERROR(__xludf.DUMMYFUNCTION("""COMPUTED_VALUE"""),"")</f>
        <v/>
      </c>
      <c r="Z562" t="str">
        <f ca="1">IFERROR(__xludf.DUMMYFUNCTION("""COMPUTED_VALUE"""),"")</f>
        <v/>
      </c>
      <c r="AA562" t="str">
        <f ca="1">IFERROR(__xludf.DUMMYFUNCTION("""COMPUTED_VALUE"""),"Pas de commande")</f>
        <v>Pas de commande</v>
      </c>
      <c r="AB562" s="8" t="str">
        <f ca="1">IFERROR(__xludf.DUMMYFUNCTION("""COMPUTED_VALUE"""),"")</f>
        <v/>
      </c>
      <c r="AC562" s="8" t="str">
        <f ca="1">IFERROR(__xludf.DUMMYFUNCTION("""COMPUTED_VALUE"""),"")</f>
        <v/>
      </c>
      <c r="AD562" s="11" t="str">
        <f ca="1">IFERROR(__xludf.DUMMYFUNCTION("""COMPUTED_VALUE"""),"")</f>
        <v/>
      </c>
      <c r="AE562" t="str">
        <f ca="1">IFERROR(__xludf.DUMMYFUNCTION("""COMPUTED_VALUE"""),"")</f>
        <v/>
      </c>
    </row>
    <row r="563" spans="1:31" ht="12.75" x14ac:dyDescent="0.2">
      <c r="A563">
        <f ca="1">IFERROR(__xludf.DUMMYFUNCTION("""COMPUTED_VALUE"""),66184)</f>
        <v>66184</v>
      </c>
      <c r="B563" t="str">
        <f ca="1">IFERROR(__xludf.DUMMYFUNCTION("""COMPUTED_VALUE"""),"LYON MOULIN A VENT")</f>
        <v>LYON MOULIN A VENT</v>
      </c>
      <c r="C563" t="str">
        <f ca="1">IFERROR(__xludf.DUMMYFUNCTION("""COMPUTED_VALUE"""),"Super U")</f>
        <v>Super U</v>
      </c>
      <c r="D563" t="str">
        <f ca="1">IFERROR(__xludf.DUMMYFUNCTION("""COMPUTED_VALUE"""),"Coop U Enseigne Est")</f>
        <v>Coop U Enseigne Est</v>
      </c>
      <c r="E563">
        <f ca="1">IFERROR(__xludf.DUMMYFUNCTION("""COMPUTED_VALUE"""),69200)</f>
        <v>69200</v>
      </c>
      <c r="F563" t="str">
        <f ca="1">IFERROR(__xludf.DUMMYFUNCTION("""COMPUTED_VALUE"""),"38 RUE DU MOULIN À VENT")</f>
        <v>38 RUE DU MOULIN À VENT</v>
      </c>
      <c r="G563" t="str">
        <f ca="1">IFERROR(__xludf.DUMMYFUNCTION("""COMPUTED_VALUE"""),"04.78.75.09.42")</f>
        <v>04.78.75.09.42</v>
      </c>
      <c r="H563" t="str">
        <f ca="1">IFERROR(__xludf.DUMMYFUNCTION("""COMPUTED_VALUE"""),"MISKDJIAN Ingrid")</f>
        <v>MISKDJIAN Ingrid</v>
      </c>
      <c r="I563" t="str">
        <f ca="1">IFERROR(__xludf.DUMMYFUNCTION("""COMPUTED_VALUE"""),"ingrid.miskdjian@systeme-u.fr")</f>
        <v>ingrid.miskdjian@systeme-u.fr</v>
      </c>
      <c r="J563" t="str">
        <f ca="1">IFERROR(__xludf.DUMMYFUNCTION("""COMPUTED_VALUE"""),"ALBANESE Sandrine")</f>
        <v>ALBANESE Sandrine</v>
      </c>
      <c r="K563" t="str">
        <f ca="1">IFERROR(__xludf.DUMMYFUNCTION("""COMPUTED_VALUE"""),"superu.lyonmoulinavent@systeme-u.fr")</f>
        <v>superu.lyonmoulinavent@systeme-u.fr</v>
      </c>
      <c r="L563" t="str">
        <f ca="1">IFERROR(__xludf.DUMMYFUNCTION("""COMPUTED_VALUE"""),"")</f>
        <v/>
      </c>
      <c r="M563" t="str">
        <f ca="1">IFERROR(__xludf.DUMMYFUNCTION("""COMPUTED_VALUE"""),"99.Hors Périmetre")</f>
        <v>99.Hors Périmetre</v>
      </c>
      <c r="N563" t="str">
        <f ca="1">IFERROR(__xludf.DUMMYFUNCTION("""COMPUTED_VALUE"""),"")</f>
        <v/>
      </c>
      <c r="O563" t="str">
        <f ca="1">IFERROR(__xludf.DUMMYFUNCTION("""COMPUTED_VALUE"""),"")</f>
        <v/>
      </c>
      <c r="P563" t="str">
        <f ca="1">IFERROR(__xludf.DUMMYFUNCTION("""COMPUTED_VALUE"""),"")</f>
        <v/>
      </c>
      <c r="Q563" s="5" t="str">
        <f ca="1">IFERROR(__xludf.DUMMYFUNCTION("""COMPUTED_VALUE"""),"")</f>
        <v/>
      </c>
      <c r="R563" s="6" t="str">
        <f ca="1">IFERROR(__xludf.DUMMYFUNCTION("""COMPUTED_VALUE"""),"")</f>
        <v/>
      </c>
      <c r="S563" t="str">
        <f ca="1">IFERROR(__xludf.DUMMYFUNCTION("""COMPUTED_VALUE"""),"")</f>
        <v/>
      </c>
      <c r="T563" t="str">
        <f ca="1">IFERROR(__xludf.DUMMYFUNCTION("""COMPUTED_VALUE"""),"")</f>
        <v/>
      </c>
      <c r="U563" t="str">
        <f ca="1">IFERROR(__xludf.DUMMYFUNCTION("""COMPUTED_VALUE"""),"")</f>
        <v/>
      </c>
      <c r="V563" t="str">
        <f ca="1">IFERROR(__xludf.DUMMYFUNCTION("""COMPUTED_VALUE"""),"")</f>
        <v/>
      </c>
      <c r="W563" t="str">
        <f ca="1">IFERROR(__xludf.DUMMYFUNCTION("""COMPUTED_VALUE"""),"")</f>
        <v/>
      </c>
      <c r="X563" t="str">
        <f ca="1">IFERROR(__xludf.DUMMYFUNCTION("""COMPUTED_VALUE"""),"")</f>
        <v/>
      </c>
      <c r="Y563" t="str">
        <f ca="1">IFERROR(__xludf.DUMMYFUNCTION("""COMPUTED_VALUE"""),"")</f>
        <v/>
      </c>
      <c r="Z563" t="str">
        <f ca="1">IFERROR(__xludf.DUMMYFUNCTION("""COMPUTED_VALUE"""),"")</f>
        <v/>
      </c>
      <c r="AA563" t="str">
        <f ca="1">IFERROR(__xludf.DUMMYFUNCTION("""COMPUTED_VALUE"""),"Pas de commande")</f>
        <v>Pas de commande</v>
      </c>
      <c r="AB563" s="8" t="str">
        <f ca="1">IFERROR(__xludf.DUMMYFUNCTION("""COMPUTED_VALUE"""),"")</f>
        <v/>
      </c>
      <c r="AC563" s="8" t="str">
        <f ca="1">IFERROR(__xludf.DUMMYFUNCTION("""COMPUTED_VALUE"""),"")</f>
        <v/>
      </c>
      <c r="AD563" s="11" t="str">
        <f ca="1">IFERROR(__xludf.DUMMYFUNCTION("""COMPUTED_VALUE"""),"")</f>
        <v/>
      </c>
      <c r="AE563" t="str">
        <f ca="1">IFERROR(__xludf.DUMMYFUNCTION("""COMPUTED_VALUE"""),"")</f>
        <v/>
      </c>
    </row>
    <row r="564" spans="1:31" ht="12.75" x14ac:dyDescent="0.2">
      <c r="A564">
        <f ca="1">IFERROR(__xludf.DUMMYFUNCTION("""COMPUTED_VALUE"""),66162)</f>
        <v>66162</v>
      </c>
      <c r="B564" t="str">
        <f ca="1">IFERROR(__xludf.DUMMYFUNCTION("""COMPUTED_VALUE"""),"LYON SAINT LOUIS")</f>
        <v>LYON SAINT LOUIS</v>
      </c>
      <c r="C564" t="str">
        <f ca="1">IFERROR(__xludf.DUMMYFUNCTION("""COMPUTED_VALUE"""),"U Express")</f>
        <v>U Express</v>
      </c>
      <c r="D564" t="str">
        <f ca="1">IFERROR(__xludf.DUMMYFUNCTION("""COMPUTED_VALUE"""),"Coop U Enseigne Est")</f>
        <v>Coop U Enseigne Est</v>
      </c>
      <c r="E564">
        <f ca="1">IFERROR(__xludf.DUMMYFUNCTION("""COMPUTED_VALUE"""),69007)</f>
        <v>69007</v>
      </c>
      <c r="F564" t="str">
        <f ca="1">IFERROR(__xludf.DUMMYFUNCTION("""COMPUTED_VALUE"""),"52 RUE DE LA THIBAUDIÈRE")</f>
        <v>52 RUE DE LA THIBAUDIÈRE</v>
      </c>
      <c r="G564" t="str">
        <f ca="1">IFERROR(__xludf.DUMMYFUNCTION("""COMPUTED_VALUE"""),"04.78.69.20.19")</f>
        <v>04.78.69.20.19</v>
      </c>
      <c r="H564" t="str">
        <f ca="1">IFERROR(__xludf.DUMMYFUNCTION("""COMPUTED_VALUE"""),"THEVENIN Gaëtan")</f>
        <v>THEVENIN Gaëtan</v>
      </c>
      <c r="I564" t="str">
        <f ca="1">IFERROR(__xludf.DUMMYFUNCTION("""COMPUTED_VALUE"""),"gaetan.thevenin@systeme-u.fr")</f>
        <v>gaetan.thevenin@systeme-u.fr</v>
      </c>
      <c r="J564" t="str">
        <f ca="1">IFERROR(__xludf.DUMMYFUNCTION("""COMPUTED_VALUE"""),"Nicolas RENEZ")</f>
        <v>Nicolas RENEZ</v>
      </c>
      <c r="K564" t="str">
        <f ca="1">IFERROR(__xludf.DUMMYFUNCTION("""COMPUTED_VALUE"""),"uexpress.lyonsaintlouis.directeur@systeme-u.fr")</f>
        <v>uexpress.lyonsaintlouis.directeur@systeme-u.fr</v>
      </c>
      <c r="L564" t="str">
        <f ca="1">IFERROR(__xludf.DUMMYFUNCTION("""COMPUTED_VALUE"""),"")</f>
        <v/>
      </c>
      <c r="M564" t="str">
        <f ca="1">IFERROR(__xludf.DUMMYFUNCTION("""COMPUTED_VALUE"""),"99.Hors Périmetre")</f>
        <v>99.Hors Périmetre</v>
      </c>
      <c r="N564" t="str">
        <f ca="1">IFERROR(__xludf.DUMMYFUNCTION("""COMPUTED_VALUE"""),"")</f>
        <v/>
      </c>
      <c r="O564" t="str">
        <f ca="1">IFERROR(__xludf.DUMMYFUNCTION("""COMPUTED_VALUE"""),"")</f>
        <v/>
      </c>
      <c r="P564" t="str">
        <f ca="1">IFERROR(__xludf.DUMMYFUNCTION("""COMPUTED_VALUE"""),"")</f>
        <v/>
      </c>
      <c r="Q564" s="5" t="str">
        <f ca="1">IFERROR(__xludf.DUMMYFUNCTION("""COMPUTED_VALUE"""),"")</f>
        <v/>
      </c>
      <c r="R564" s="6" t="str">
        <f ca="1">IFERROR(__xludf.DUMMYFUNCTION("""COMPUTED_VALUE"""),"")</f>
        <v/>
      </c>
      <c r="S564" t="str">
        <f ca="1">IFERROR(__xludf.DUMMYFUNCTION("""COMPUTED_VALUE"""),"")</f>
        <v/>
      </c>
      <c r="T564" t="str">
        <f ca="1">IFERROR(__xludf.DUMMYFUNCTION("""COMPUTED_VALUE"""),"")</f>
        <v/>
      </c>
      <c r="U564" t="str">
        <f ca="1">IFERROR(__xludf.DUMMYFUNCTION("""COMPUTED_VALUE"""),"")</f>
        <v/>
      </c>
      <c r="V564" t="str">
        <f ca="1">IFERROR(__xludf.DUMMYFUNCTION("""COMPUTED_VALUE"""),"")</f>
        <v/>
      </c>
      <c r="W564" t="str">
        <f ca="1">IFERROR(__xludf.DUMMYFUNCTION("""COMPUTED_VALUE"""),"")</f>
        <v/>
      </c>
      <c r="X564" t="str">
        <f ca="1">IFERROR(__xludf.DUMMYFUNCTION("""COMPUTED_VALUE"""),"")</f>
        <v/>
      </c>
      <c r="Y564" t="str">
        <f ca="1">IFERROR(__xludf.DUMMYFUNCTION("""COMPUTED_VALUE"""),"")</f>
        <v/>
      </c>
      <c r="Z564" t="str">
        <f ca="1">IFERROR(__xludf.DUMMYFUNCTION("""COMPUTED_VALUE"""),"")</f>
        <v/>
      </c>
      <c r="AA564" t="str">
        <f ca="1">IFERROR(__xludf.DUMMYFUNCTION("""COMPUTED_VALUE"""),"Pas de commande")</f>
        <v>Pas de commande</v>
      </c>
      <c r="AB564" s="8" t="str">
        <f ca="1">IFERROR(__xludf.DUMMYFUNCTION("""COMPUTED_VALUE"""),"")</f>
        <v/>
      </c>
      <c r="AC564" s="8" t="str">
        <f ca="1">IFERROR(__xludf.DUMMYFUNCTION("""COMPUTED_VALUE"""),"")</f>
        <v/>
      </c>
      <c r="AD564" s="11" t="str">
        <f ca="1">IFERROR(__xludf.DUMMYFUNCTION("""COMPUTED_VALUE"""),"")</f>
        <v/>
      </c>
      <c r="AE564" t="str">
        <f ca="1">IFERROR(__xludf.DUMMYFUNCTION("""COMPUTED_VALUE"""),"")</f>
        <v/>
      </c>
    </row>
    <row r="565" spans="1:31" ht="12.75" x14ac:dyDescent="0.2">
      <c r="A565">
        <f ca="1">IFERROR(__xludf.DUMMYFUNCTION("""COMPUTED_VALUE"""),66597)</f>
        <v>66597</v>
      </c>
      <c r="B565" t="str">
        <f ca="1">IFERROR(__xludf.DUMMYFUNCTION("""COMPUTED_VALUE"""),"LYON VENDOME")</f>
        <v>LYON VENDOME</v>
      </c>
      <c r="C565" t="str">
        <f ca="1">IFERROR(__xludf.DUMMYFUNCTION("""COMPUTED_VALUE"""),"U Express")</f>
        <v>U Express</v>
      </c>
      <c r="D565" t="str">
        <f ca="1">IFERROR(__xludf.DUMMYFUNCTION("""COMPUTED_VALUE"""),"Coop U Enseigne Est")</f>
        <v>Coop U Enseigne Est</v>
      </c>
      <c r="E565">
        <f ca="1">IFERROR(__xludf.DUMMYFUNCTION("""COMPUTED_VALUE"""),69003)</f>
        <v>69003</v>
      </c>
      <c r="F565" t="str">
        <f ca="1">IFERROR(__xludf.DUMMYFUNCTION("""COMPUTED_VALUE"""),"272 RUE VENDOME")</f>
        <v>272 RUE VENDOME</v>
      </c>
      <c r="G565" t="str">
        <f ca="1">IFERROR(__xludf.DUMMYFUNCTION("""COMPUTED_VALUE"""),"04.37.45.45.35")</f>
        <v>04.37.45.45.35</v>
      </c>
      <c r="H565" t="str">
        <f ca="1">IFERROR(__xludf.DUMMYFUNCTION("""COMPUTED_VALUE"""),"INACIO RPT SAS INACIO DEVELOP Rui")</f>
        <v>INACIO RPT SAS INACIO DEVELOP Rui</v>
      </c>
      <c r="I565" t="str">
        <f ca="1">IFERROR(__xludf.DUMMYFUNCTION("""COMPUTED_VALUE"""),"rui.inacio@systeme-u.fr")</f>
        <v>rui.inacio@systeme-u.fr</v>
      </c>
      <c r="J565" t="str">
        <f ca="1">IFERROR(__xludf.DUMMYFUNCTION("""COMPUTED_VALUE"""),"Mr DELJARRY")</f>
        <v>Mr DELJARRY</v>
      </c>
      <c r="K565" t="str">
        <f ca="1">IFERROR(__xludf.DUMMYFUNCTION("""COMPUTED_VALUE"""),"uexpress.lyonvendome.direction@systeme-u.fr")</f>
        <v>uexpress.lyonvendome.direction@systeme-u.fr</v>
      </c>
      <c r="L565" t="str">
        <f ca="1">IFERROR(__xludf.DUMMYFUNCTION("""COMPUTED_VALUE"""),"")</f>
        <v/>
      </c>
      <c r="M565" t="str">
        <f ca="1">IFERROR(__xludf.DUMMYFUNCTION("""COMPUTED_VALUE"""),"99.Hors Périmetre")</f>
        <v>99.Hors Périmetre</v>
      </c>
      <c r="N565" t="str">
        <f ca="1">IFERROR(__xludf.DUMMYFUNCTION("""COMPUTED_VALUE"""),"")</f>
        <v/>
      </c>
      <c r="O565" t="str">
        <f ca="1">IFERROR(__xludf.DUMMYFUNCTION("""COMPUTED_VALUE"""),"")</f>
        <v/>
      </c>
      <c r="P565" t="str">
        <f ca="1">IFERROR(__xludf.DUMMYFUNCTION("""COMPUTED_VALUE"""),"")</f>
        <v/>
      </c>
      <c r="Q565" s="5" t="str">
        <f ca="1">IFERROR(__xludf.DUMMYFUNCTION("""COMPUTED_VALUE"""),"")</f>
        <v/>
      </c>
      <c r="R565" s="6" t="str">
        <f ca="1">IFERROR(__xludf.DUMMYFUNCTION("""COMPUTED_VALUE"""),"")</f>
        <v/>
      </c>
      <c r="S565" t="str">
        <f ca="1">IFERROR(__xludf.DUMMYFUNCTION("""COMPUTED_VALUE"""),"")</f>
        <v/>
      </c>
      <c r="T565" t="str">
        <f ca="1">IFERROR(__xludf.DUMMYFUNCTION("""COMPUTED_VALUE"""),"")</f>
        <v/>
      </c>
      <c r="U565" t="str">
        <f ca="1">IFERROR(__xludf.DUMMYFUNCTION("""COMPUTED_VALUE"""),"")</f>
        <v/>
      </c>
      <c r="V565" t="str">
        <f ca="1">IFERROR(__xludf.DUMMYFUNCTION("""COMPUTED_VALUE"""),"")</f>
        <v/>
      </c>
      <c r="W565" t="str">
        <f ca="1">IFERROR(__xludf.DUMMYFUNCTION("""COMPUTED_VALUE"""),"")</f>
        <v/>
      </c>
      <c r="X565" t="str">
        <f ca="1">IFERROR(__xludf.DUMMYFUNCTION("""COMPUTED_VALUE"""),"")</f>
        <v/>
      </c>
      <c r="Y565" t="str">
        <f ca="1">IFERROR(__xludf.DUMMYFUNCTION("""COMPUTED_VALUE"""),"")</f>
        <v/>
      </c>
      <c r="Z565" t="str">
        <f ca="1">IFERROR(__xludf.DUMMYFUNCTION("""COMPUTED_VALUE"""),"")</f>
        <v/>
      </c>
      <c r="AA565" t="str">
        <f ca="1">IFERROR(__xludf.DUMMYFUNCTION("""COMPUTED_VALUE"""),"Pas de commande")</f>
        <v>Pas de commande</v>
      </c>
      <c r="AB565" s="8" t="str">
        <f ca="1">IFERROR(__xludf.DUMMYFUNCTION("""COMPUTED_VALUE"""),"")</f>
        <v/>
      </c>
      <c r="AC565" s="8" t="str">
        <f ca="1">IFERROR(__xludf.DUMMYFUNCTION("""COMPUTED_VALUE"""),"")</f>
        <v/>
      </c>
      <c r="AD565" s="11" t="str">
        <f ca="1">IFERROR(__xludf.DUMMYFUNCTION("""COMPUTED_VALUE"""),"")</f>
        <v/>
      </c>
      <c r="AE565" t="str">
        <f ca="1">IFERROR(__xludf.DUMMYFUNCTION("""COMPUTED_VALUE"""),"")</f>
        <v/>
      </c>
    </row>
    <row r="566" spans="1:31" ht="12.75" x14ac:dyDescent="0.2">
      <c r="A566">
        <f ca="1">IFERROR(__xludf.DUMMYFUNCTION("""COMPUTED_VALUE"""),33042)</f>
        <v>33042</v>
      </c>
      <c r="B566" t="str">
        <f ca="1">IFERROR(__xludf.DUMMYFUNCTION("""COMPUTED_VALUE"""),"MACHECOUL")</f>
        <v>MACHECOUL</v>
      </c>
      <c r="C566" t="str">
        <f ca="1">IFERROR(__xludf.DUMMYFUNCTION("""COMPUTED_VALUE"""),"Super U")</f>
        <v>Super U</v>
      </c>
      <c r="D566" t="str">
        <f ca="1">IFERROR(__xludf.DUMMYFUNCTION("""COMPUTED_VALUE"""),"Coop U Enseigne Ouest")</f>
        <v>Coop U Enseigne Ouest</v>
      </c>
      <c r="E566">
        <f ca="1">IFERROR(__xludf.DUMMYFUNCTION("""COMPUTED_VALUE"""),44270)</f>
        <v>44270</v>
      </c>
      <c r="F566" t="str">
        <f ca="1">IFERROR(__xludf.DUMMYFUNCTION("""COMPUTED_VALUE"""),"ESPACE CIAL DES PRISES")</f>
        <v>ESPACE CIAL DES PRISES</v>
      </c>
      <c r="G566" t="str">
        <f ca="1">IFERROR(__xludf.DUMMYFUNCTION("""COMPUTED_VALUE"""),"02.40.02.28.33")</f>
        <v>02.40.02.28.33</v>
      </c>
      <c r="H566" t="str">
        <f ca="1">IFERROR(__xludf.DUMMYFUNCTION("""COMPUTED_VALUE"""),"YVERNOGEAU RPT SARL NOMADIS Yvan")</f>
        <v>YVERNOGEAU RPT SARL NOMADIS Yvan</v>
      </c>
      <c r="I566" t="str">
        <f ca="1">IFERROR(__xludf.DUMMYFUNCTION("""COMPUTED_VALUE"""),"yvan.yvernogeau@systeme-u.fr")</f>
        <v>yvan.yvernogeau@systeme-u.fr</v>
      </c>
      <c r="J566" t="str">
        <f ca="1">IFERROR(__xludf.DUMMYFUNCTION("""COMPUTED_VALUE"""),"Madame Guibert")</f>
        <v>Madame Guibert</v>
      </c>
      <c r="K566" t="str">
        <f ca="1">IFERROR(__xludf.DUMMYFUNCTION("""COMPUTED_VALUE"""),"superu.machecoul@systeme-u.fr")</f>
        <v>superu.machecoul@systeme-u.fr</v>
      </c>
      <c r="L566" t="str">
        <f ca="1">IFERROR(__xludf.DUMMYFUNCTION("""COMPUTED_VALUE"""),"")</f>
        <v/>
      </c>
      <c r="M566" t="str">
        <f ca="1">IFERROR(__xludf.DUMMYFUNCTION("""COMPUTED_VALUE"""),"99.Hors Périmetre")</f>
        <v>99.Hors Périmetre</v>
      </c>
      <c r="N566" t="str">
        <f ca="1">IFERROR(__xludf.DUMMYFUNCTION("""COMPUTED_VALUE"""),"")</f>
        <v/>
      </c>
      <c r="O566" t="str">
        <f ca="1">IFERROR(__xludf.DUMMYFUNCTION("""COMPUTED_VALUE"""),"")</f>
        <v/>
      </c>
      <c r="P566" t="str">
        <f ca="1">IFERROR(__xludf.DUMMYFUNCTION("""COMPUTED_VALUE"""),"")</f>
        <v/>
      </c>
      <c r="Q566" s="5" t="str">
        <f ca="1">IFERROR(__xludf.DUMMYFUNCTION("""COMPUTED_VALUE"""),"")</f>
        <v/>
      </c>
      <c r="R566" s="6" t="str">
        <f ca="1">IFERROR(__xludf.DUMMYFUNCTION("""COMPUTED_VALUE"""),"")</f>
        <v/>
      </c>
      <c r="S566" t="str">
        <f ca="1">IFERROR(__xludf.DUMMYFUNCTION("""COMPUTED_VALUE"""),"")</f>
        <v/>
      </c>
      <c r="T566" t="str">
        <f ca="1">IFERROR(__xludf.DUMMYFUNCTION("""COMPUTED_VALUE"""),"")</f>
        <v/>
      </c>
      <c r="U566" t="str">
        <f ca="1">IFERROR(__xludf.DUMMYFUNCTION("""COMPUTED_VALUE"""),"")</f>
        <v/>
      </c>
      <c r="V566" t="str">
        <f ca="1">IFERROR(__xludf.DUMMYFUNCTION("""COMPUTED_VALUE"""),"")</f>
        <v/>
      </c>
      <c r="W566" t="str">
        <f ca="1">IFERROR(__xludf.DUMMYFUNCTION("""COMPUTED_VALUE"""),"")</f>
        <v/>
      </c>
      <c r="X566" t="str">
        <f ca="1">IFERROR(__xludf.DUMMYFUNCTION("""COMPUTED_VALUE"""),"")</f>
        <v/>
      </c>
      <c r="Y566" t="str">
        <f ca="1">IFERROR(__xludf.DUMMYFUNCTION("""COMPUTED_VALUE"""),"")</f>
        <v/>
      </c>
      <c r="Z566" t="str">
        <f ca="1">IFERROR(__xludf.DUMMYFUNCTION("""COMPUTED_VALUE"""),"")</f>
        <v/>
      </c>
      <c r="AA566" t="str">
        <f ca="1">IFERROR(__xludf.DUMMYFUNCTION("""COMPUTED_VALUE"""),"Pas de commande")</f>
        <v>Pas de commande</v>
      </c>
      <c r="AB566" s="8" t="str">
        <f ca="1">IFERROR(__xludf.DUMMYFUNCTION("""COMPUTED_VALUE"""),"")</f>
        <v/>
      </c>
      <c r="AC566" s="8" t="str">
        <f ca="1">IFERROR(__xludf.DUMMYFUNCTION("""COMPUTED_VALUE"""),"")</f>
        <v/>
      </c>
      <c r="AD566" s="11" t="str">
        <f ca="1">IFERROR(__xludf.DUMMYFUNCTION("""COMPUTED_VALUE"""),"")</f>
        <v/>
      </c>
      <c r="AE566" t="str">
        <f ca="1">IFERROR(__xludf.DUMMYFUNCTION("""COMPUTED_VALUE"""),"")</f>
        <v/>
      </c>
    </row>
    <row r="567" spans="1:31" ht="12.75" x14ac:dyDescent="0.2">
      <c r="A567">
        <f ca="1">IFERROR(__xludf.DUMMYFUNCTION("""COMPUTED_VALUE"""),38134)</f>
        <v>38134</v>
      </c>
      <c r="B567" t="str">
        <f ca="1">IFERROR(__xludf.DUMMYFUNCTION("""COMPUTED_VALUE"""),"MACOURIA")</f>
        <v>MACOURIA</v>
      </c>
      <c r="C567" t="str">
        <f ca="1">IFERROR(__xludf.DUMMYFUNCTION("""COMPUTED_VALUE"""),"U Express")</f>
        <v>U Express</v>
      </c>
      <c r="D567" t="str">
        <f ca="1">IFERROR(__xludf.DUMMYFUNCTION("""COMPUTED_VALUE"""),"Coop U Enseigne Ouest")</f>
        <v>Coop U Enseigne Ouest</v>
      </c>
      <c r="E567">
        <f ca="1">IFERROR(__xludf.DUMMYFUNCTION("""COMPUTED_VALUE"""),97355)</f>
        <v>97355</v>
      </c>
      <c r="F567" t="str">
        <f ca="1">IFERROR(__xludf.DUMMYFUNCTION("""COMPUTED_VALUE"""),"ZAC DE SOULA")</f>
        <v>ZAC DE SOULA</v>
      </c>
      <c r="G567" t="str">
        <f ca="1">IFERROR(__xludf.DUMMYFUNCTION("""COMPUTED_VALUE"""),"05.94.25.03.10")</f>
        <v>05.94.25.03.10</v>
      </c>
      <c r="H567" t="str">
        <f ca="1">IFERROR(__xludf.DUMMYFUNCTION("""COMPUTED_VALUE"""),"DU Jan")</f>
        <v>DU Jan</v>
      </c>
      <c r="I567" t="str">
        <f ca="1">IFERROR(__xludf.DUMMYFUNCTION("""COMPUTED_VALUE"""),"jan.du@systeme-u.fr")</f>
        <v>jan.du@systeme-u.fr</v>
      </c>
      <c r="J567" t="str">
        <f ca="1">IFERROR(__xludf.DUMMYFUNCTION("""COMPUTED_VALUE"""),"Aboubacar DOUMBIA")</f>
        <v>Aboubacar DOUMBIA</v>
      </c>
      <c r="K567" t="str">
        <f ca="1">IFERROR(__xludf.DUMMYFUNCTION("""COMPUTED_VALUE"""),"superu.macouria.direction@systeme-u.fr")</f>
        <v>superu.macouria.direction@systeme-u.fr</v>
      </c>
      <c r="L567" t="str">
        <f ca="1">IFERROR(__xludf.DUMMYFUNCTION("""COMPUTED_VALUE"""),"")</f>
        <v/>
      </c>
      <c r="M567" t="str">
        <f ca="1">IFERROR(__xludf.DUMMYFUNCTION("""COMPUTED_VALUE"""),"99.Hors Périmetre")</f>
        <v>99.Hors Périmetre</v>
      </c>
      <c r="N567" t="str">
        <f ca="1">IFERROR(__xludf.DUMMYFUNCTION("""COMPUTED_VALUE"""),"")</f>
        <v/>
      </c>
      <c r="O567" t="str">
        <f ca="1">IFERROR(__xludf.DUMMYFUNCTION("""COMPUTED_VALUE"""),"")</f>
        <v/>
      </c>
      <c r="P567" t="str">
        <f ca="1">IFERROR(__xludf.DUMMYFUNCTION("""COMPUTED_VALUE"""),"")</f>
        <v/>
      </c>
      <c r="Q567" s="5" t="str">
        <f ca="1">IFERROR(__xludf.DUMMYFUNCTION("""COMPUTED_VALUE"""),"")</f>
        <v/>
      </c>
      <c r="R567" s="6" t="str">
        <f ca="1">IFERROR(__xludf.DUMMYFUNCTION("""COMPUTED_VALUE"""),"")</f>
        <v/>
      </c>
      <c r="S567" t="str">
        <f ca="1">IFERROR(__xludf.DUMMYFUNCTION("""COMPUTED_VALUE"""),"")</f>
        <v/>
      </c>
      <c r="T567" t="str">
        <f ca="1">IFERROR(__xludf.DUMMYFUNCTION("""COMPUTED_VALUE"""),"")</f>
        <v/>
      </c>
      <c r="U567" t="str">
        <f ca="1">IFERROR(__xludf.DUMMYFUNCTION("""COMPUTED_VALUE"""),"")</f>
        <v/>
      </c>
      <c r="V567" t="str">
        <f ca="1">IFERROR(__xludf.DUMMYFUNCTION("""COMPUTED_VALUE"""),"")</f>
        <v/>
      </c>
      <c r="W567" t="str">
        <f ca="1">IFERROR(__xludf.DUMMYFUNCTION("""COMPUTED_VALUE"""),"")</f>
        <v/>
      </c>
      <c r="X567" t="str">
        <f ca="1">IFERROR(__xludf.DUMMYFUNCTION("""COMPUTED_VALUE"""),"")</f>
        <v/>
      </c>
      <c r="Y567" t="str">
        <f ca="1">IFERROR(__xludf.DUMMYFUNCTION("""COMPUTED_VALUE"""),"")</f>
        <v/>
      </c>
      <c r="Z567" t="str">
        <f ca="1">IFERROR(__xludf.DUMMYFUNCTION("""COMPUTED_VALUE"""),"")</f>
        <v/>
      </c>
      <c r="AA567" t="str">
        <f ca="1">IFERROR(__xludf.DUMMYFUNCTION("""COMPUTED_VALUE"""),"Pas de commande")</f>
        <v>Pas de commande</v>
      </c>
      <c r="AB567" s="8" t="str">
        <f ca="1">IFERROR(__xludf.DUMMYFUNCTION("""COMPUTED_VALUE"""),"")</f>
        <v/>
      </c>
      <c r="AC567" s="8" t="str">
        <f ca="1">IFERROR(__xludf.DUMMYFUNCTION("""COMPUTED_VALUE"""),"")</f>
        <v/>
      </c>
      <c r="AD567" s="11" t="str">
        <f ca="1">IFERROR(__xludf.DUMMYFUNCTION("""COMPUTED_VALUE"""),"")</f>
        <v/>
      </c>
      <c r="AE567" t="str">
        <f ca="1">IFERROR(__xludf.DUMMYFUNCTION("""COMPUTED_VALUE"""),"")</f>
        <v/>
      </c>
    </row>
    <row r="568" spans="1:31" ht="12.75" x14ac:dyDescent="0.2">
      <c r="A568">
        <f ca="1">IFERROR(__xludf.DUMMYFUNCTION("""COMPUTED_VALUE"""),66141)</f>
        <v>66141</v>
      </c>
      <c r="B568" t="str">
        <f ca="1">IFERROR(__xludf.DUMMYFUNCTION("""COMPUTED_VALUE"""),"MAGLAND")</f>
        <v>MAGLAND</v>
      </c>
      <c r="C568" t="str">
        <f ca="1">IFERROR(__xludf.DUMMYFUNCTION("""COMPUTED_VALUE"""),"Super U")</f>
        <v>Super U</v>
      </c>
      <c r="D568" t="str">
        <f ca="1">IFERROR(__xludf.DUMMYFUNCTION("""COMPUTED_VALUE"""),"Coop U Enseigne Est")</f>
        <v>Coop U Enseigne Est</v>
      </c>
      <c r="E568">
        <f ca="1">IFERROR(__xludf.DUMMYFUNCTION("""COMPUTED_VALUE"""),74300)</f>
        <v>74300</v>
      </c>
      <c r="F568" t="str">
        <f ca="1">IFERROR(__xludf.DUMMYFUNCTION("""COMPUTED_VALUE"""),"180 ALLEE DES NOYERES")</f>
        <v>180 ALLEE DES NOYERES</v>
      </c>
      <c r="G568" t="str">
        <f ca="1">IFERROR(__xludf.DUMMYFUNCTION("""COMPUTED_VALUE"""),"04.50.18.31.58")</f>
        <v>04.50.18.31.58</v>
      </c>
      <c r="H568" t="str">
        <f ca="1">IFERROR(__xludf.DUMMYFUNCTION("""COMPUTED_VALUE"""),"SAS BALME RP GERALD ARNAUD ")</f>
        <v xml:space="preserve">SAS BALME RP GERALD ARNAUD </v>
      </c>
      <c r="I568" t="str">
        <f ca="1">IFERROR(__xludf.DUMMYFUNCTION("""COMPUTED_VALUE"""),"gerald.arnaud@systeme-u.fr")</f>
        <v>gerald.arnaud@systeme-u.fr</v>
      </c>
      <c r="J568" t="str">
        <f ca="1">IFERROR(__xludf.DUMMYFUNCTION("""COMPUTED_VALUE"""),"")</f>
        <v/>
      </c>
      <c r="K568" t="str">
        <f ca="1">IFERROR(__xludf.DUMMYFUNCTION("""COMPUTED_VALUE"""),"")</f>
        <v/>
      </c>
      <c r="L568" t="str">
        <f ca="1">IFERROR(__xludf.DUMMYFUNCTION("""COMPUTED_VALUE"""),"Standard")</f>
        <v>Standard</v>
      </c>
      <c r="M568" t="str">
        <f ca="1">IFERROR(__xludf.DUMMYFUNCTION("""COMPUTED_VALUE"""),"0. Non démarré")</f>
        <v>0. Non démarré</v>
      </c>
      <c r="N568" t="str">
        <f ca="1">IFERROR(__xludf.DUMMYFUNCTION("""COMPUTED_VALUE"""),"")</f>
        <v/>
      </c>
      <c r="O568" t="str">
        <f ca="1">IFERROR(__xludf.DUMMYFUNCTION("""COMPUTED_VALUE"""),"")</f>
        <v/>
      </c>
      <c r="P568" t="str">
        <f ca="1">IFERROR(__xludf.DUMMYFUNCTION("""COMPUTED_VALUE"""),"")</f>
        <v/>
      </c>
      <c r="Q568" s="5" t="str">
        <f ca="1">IFERROR(__xludf.DUMMYFUNCTION("""COMPUTED_VALUE"""),"")</f>
        <v/>
      </c>
      <c r="R568" s="6" t="str">
        <f ca="1">IFERROR(__xludf.DUMMYFUNCTION("""COMPUTED_VALUE"""),"")</f>
        <v/>
      </c>
      <c r="S568" t="str">
        <f ca="1">IFERROR(__xludf.DUMMYFUNCTION("""COMPUTED_VALUE"""),"")</f>
        <v/>
      </c>
      <c r="T568" t="str">
        <f ca="1">IFERROR(__xludf.DUMMYFUNCTION("""COMPUTED_VALUE"""),"")</f>
        <v/>
      </c>
      <c r="U568" t="str">
        <f ca="1">IFERROR(__xludf.DUMMYFUNCTION("""COMPUTED_VALUE"""),"")</f>
        <v/>
      </c>
      <c r="V568" t="str">
        <f ca="1">IFERROR(__xludf.DUMMYFUNCTION("""COMPUTED_VALUE"""),"")</f>
        <v/>
      </c>
      <c r="W568" t="str">
        <f ca="1">IFERROR(__xludf.DUMMYFUNCTION("""COMPUTED_VALUE"""),"R5")</f>
        <v>R5</v>
      </c>
      <c r="X568" t="str">
        <f ca="1">IFERROR(__xludf.DUMMYFUNCTION("""COMPUTED_VALUE"""),"Pricer")</f>
        <v>Pricer</v>
      </c>
      <c r="Y568" t="str">
        <f ca="1">IFERROR(__xludf.DUMMYFUNCTION("""COMPUTED_VALUE"""),"")</f>
        <v/>
      </c>
      <c r="Z568" t="str">
        <f ca="1">IFERROR(__xludf.DUMMYFUNCTION("""COMPUTED_VALUE"""),"")</f>
        <v/>
      </c>
      <c r="AA568" t="str">
        <f ca="1">IFERROR(__xludf.DUMMYFUNCTION("""COMPUTED_VALUE"""),"Pas de commande")</f>
        <v>Pas de commande</v>
      </c>
      <c r="AB568" s="8" t="str">
        <f ca="1">IFERROR(__xludf.DUMMYFUNCTION("""COMPUTED_VALUE"""),"")</f>
        <v/>
      </c>
      <c r="AC568" s="8" t="str">
        <f ca="1">IFERROR(__xludf.DUMMYFUNCTION("""COMPUTED_VALUE"""),"")</f>
        <v/>
      </c>
      <c r="AD568" s="11" t="str">
        <f ca="1">IFERROR(__xludf.DUMMYFUNCTION("""COMPUTED_VALUE"""),"")</f>
        <v/>
      </c>
      <c r="AE568" t="str">
        <f ca="1">IFERROR(__xludf.DUMMYFUNCTION("""COMPUTED_VALUE"""),"")</f>
        <v/>
      </c>
    </row>
    <row r="569" spans="1:31" ht="12.75" x14ac:dyDescent="0.2">
      <c r="A569">
        <f ca="1">IFERROR(__xludf.DUMMYFUNCTION("""COMPUTED_VALUE"""),35401)</f>
        <v>35401</v>
      </c>
      <c r="B569" t="str">
        <f ca="1">IFERROR(__xludf.DUMMYFUNCTION("""COMPUTED_VALUE"""),"MAGNE")</f>
        <v>MAGNE</v>
      </c>
      <c r="C569" t="str">
        <f ca="1">IFERROR(__xludf.DUMMYFUNCTION("""COMPUTED_VALUE"""),"Super U")</f>
        <v>Super U</v>
      </c>
      <c r="D569" t="str">
        <f ca="1">IFERROR(__xludf.DUMMYFUNCTION("""COMPUTED_VALUE"""),"Coop U Enseigne Ouest")</f>
        <v>Coop U Enseigne Ouest</v>
      </c>
      <c r="E569">
        <f ca="1">IFERROR(__xludf.DUMMYFUNCTION("""COMPUTED_VALUE"""),79460)</f>
        <v>79460</v>
      </c>
      <c r="F569" t="str">
        <f ca="1">IFERROR(__xludf.DUMMYFUNCTION("""COMPUTED_VALUE"""),"AVENUE DU MARAIS POITEVIN")</f>
        <v>AVENUE DU MARAIS POITEVIN</v>
      </c>
      <c r="G569" t="str">
        <f ca="1">IFERROR(__xludf.DUMMYFUNCTION("""COMPUTED_VALUE"""),"05.49.35.75.12")</f>
        <v>05.49.35.75.12</v>
      </c>
      <c r="H569" t="str">
        <f ca="1">IFERROR(__xludf.DUMMYFUNCTION("""COMPUTED_VALUE"""),"BRION Alain")</f>
        <v>BRION Alain</v>
      </c>
      <c r="I569" t="str">
        <f ca="1">IFERROR(__xludf.DUMMYFUNCTION("""COMPUTED_VALUE"""),"alain.brion@systeme-u.fr")</f>
        <v>alain.brion@systeme-u.fr</v>
      </c>
      <c r="J569" t="str">
        <f ca="1">IFERROR(__xludf.DUMMYFUNCTION("""COMPUTED_VALUE"""),"DUTIN Emmanuelle")</f>
        <v>DUTIN Emmanuelle</v>
      </c>
      <c r="K569" t="str">
        <f ca="1">IFERROR(__xludf.DUMMYFUNCTION("""COMPUTED_VALUE"""),"superu.magne@systeme-u.fr")</f>
        <v>superu.magne@systeme-u.fr</v>
      </c>
      <c r="L569" t="str">
        <f ca="1">IFERROR(__xludf.DUMMYFUNCTION("""COMPUTED_VALUE"""),"")</f>
        <v/>
      </c>
      <c r="M569" t="str">
        <f ca="1">IFERROR(__xludf.DUMMYFUNCTION("""COMPUTED_VALUE"""),"99.Hors Périmetre")</f>
        <v>99.Hors Périmetre</v>
      </c>
      <c r="N569" t="str">
        <f ca="1">IFERROR(__xludf.DUMMYFUNCTION("""COMPUTED_VALUE"""),"")</f>
        <v/>
      </c>
      <c r="O569" t="str">
        <f ca="1">IFERROR(__xludf.DUMMYFUNCTION("""COMPUTED_VALUE"""),"")</f>
        <v/>
      </c>
      <c r="P569" t="str">
        <f ca="1">IFERROR(__xludf.DUMMYFUNCTION("""COMPUTED_VALUE"""),"")</f>
        <v/>
      </c>
      <c r="Q569" s="5" t="str">
        <f ca="1">IFERROR(__xludf.DUMMYFUNCTION("""COMPUTED_VALUE"""),"")</f>
        <v/>
      </c>
      <c r="R569" s="6" t="str">
        <f ca="1">IFERROR(__xludf.DUMMYFUNCTION("""COMPUTED_VALUE"""),"")</f>
        <v/>
      </c>
      <c r="S569" t="str">
        <f ca="1">IFERROR(__xludf.DUMMYFUNCTION("""COMPUTED_VALUE"""),"")</f>
        <v/>
      </c>
      <c r="T569" t="str">
        <f ca="1">IFERROR(__xludf.DUMMYFUNCTION("""COMPUTED_VALUE"""),"")</f>
        <v/>
      </c>
      <c r="U569" t="str">
        <f ca="1">IFERROR(__xludf.DUMMYFUNCTION("""COMPUTED_VALUE"""),"")</f>
        <v/>
      </c>
      <c r="V569" t="str">
        <f ca="1">IFERROR(__xludf.DUMMYFUNCTION("""COMPUTED_VALUE"""),"")</f>
        <v/>
      </c>
      <c r="W569" t="str">
        <f ca="1">IFERROR(__xludf.DUMMYFUNCTION("""COMPUTED_VALUE"""),"")</f>
        <v/>
      </c>
      <c r="X569" t="str">
        <f ca="1">IFERROR(__xludf.DUMMYFUNCTION("""COMPUTED_VALUE"""),"")</f>
        <v/>
      </c>
      <c r="Y569" t="str">
        <f ca="1">IFERROR(__xludf.DUMMYFUNCTION("""COMPUTED_VALUE"""),"")</f>
        <v/>
      </c>
      <c r="Z569" t="str">
        <f ca="1">IFERROR(__xludf.DUMMYFUNCTION("""COMPUTED_VALUE"""),"")</f>
        <v/>
      </c>
      <c r="AA569" t="str">
        <f ca="1">IFERROR(__xludf.DUMMYFUNCTION("""COMPUTED_VALUE"""),"Pas de commande")</f>
        <v>Pas de commande</v>
      </c>
      <c r="AB569" s="8" t="str">
        <f ca="1">IFERROR(__xludf.DUMMYFUNCTION("""COMPUTED_VALUE"""),"")</f>
        <v/>
      </c>
      <c r="AC569" s="8" t="str">
        <f ca="1">IFERROR(__xludf.DUMMYFUNCTION("""COMPUTED_VALUE"""),"")</f>
        <v/>
      </c>
      <c r="AD569" s="11" t="str">
        <f ca="1">IFERROR(__xludf.DUMMYFUNCTION("""COMPUTED_VALUE"""),"")</f>
        <v/>
      </c>
      <c r="AE569" t="str">
        <f ca="1">IFERROR(__xludf.DUMMYFUNCTION("""COMPUTED_VALUE"""),"")</f>
        <v/>
      </c>
    </row>
    <row r="570" spans="1:31" ht="12.75" x14ac:dyDescent="0.2">
      <c r="A570">
        <f ca="1">IFERROR(__xludf.DUMMYFUNCTION("""COMPUTED_VALUE"""),35185)</f>
        <v>35185</v>
      </c>
      <c r="B570" t="str">
        <f ca="1">IFERROR(__xludf.DUMMYFUNCTION("""COMPUTED_VALUE"""),"MALANSAC")</f>
        <v>MALANSAC</v>
      </c>
      <c r="C570" t="str">
        <f ca="1">IFERROR(__xludf.DUMMYFUNCTION("""COMPUTED_VALUE"""),"Super U")</f>
        <v>Super U</v>
      </c>
      <c r="D570" t="str">
        <f ca="1">IFERROR(__xludf.DUMMYFUNCTION("""COMPUTED_VALUE"""),"Coop U Enseigne Ouest")</f>
        <v>Coop U Enseigne Ouest</v>
      </c>
      <c r="E570">
        <f ca="1">IFERROR(__xludf.DUMMYFUNCTION("""COMPUTED_VALUE"""),56220)</f>
        <v>56220</v>
      </c>
      <c r="F570" t="str">
        <f ca="1">IFERROR(__xludf.DUMMYFUNCTION("""COMPUTED_VALUE"""),"PARC ACTIVITÉS DE LA CHAUSSÉE")</f>
        <v>PARC ACTIVITÉS DE LA CHAUSSÉE</v>
      </c>
      <c r="G570" t="str">
        <f ca="1">IFERROR(__xludf.DUMMYFUNCTION("""COMPUTED_VALUE"""),"02.97.66.28.87")</f>
        <v>02.97.66.28.87</v>
      </c>
      <c r="H570" t="str">
        <f ca="1">IFERROR(__xludf.DUMMYFUNCTION("""COMPUTED_VALUE"""),"GAYARD RPT SARL GIZET HOLD Pierre")</f>
        <v>GAYARD RPT SARL GIZET HOLD Pierre</v>
      </c>
      <c r="I570" t="str">
        <f ca="1">IFERROR(__xludf.DUMMYFUNCTION("""COMPUTED_VALUE"""),"pierre.gayard@systeme-u.fr")</f>
        <v>pierre.gayard@systeme-u.fr</v>
      </c>
      <c r="J570" t="str">
        <f ca="1">IFERROR(__xludf.DUMMYFUNCTION("""COMPUTED_VALUE"""),"Mme BOULO Marie-Christine")</f>
        <v>Mme BOULO Marie-Christine</v>
      </c>
      <c r="K570" t="str">
        <f ca="1">IFERROR(__xludf.DUMMYFUNCTION("""COMPUTED_VALUE"""),"superu.malansac@systeme-u.fr")</f>
        <v>superu.malansac@systeme-u.fr</v>
      </c>
      <c r="L570" t="str">
        <f ca="1">IFERROR(__xludf.DUMMYFUNCTION("""COMPUTED_VALUE"""),"")</f>
        <v/>
      </c>
      <c r="M570" t="str">
        <f ca="1">IFERROR(__xludf.DUMMYFUNCTION("""COMPUTED_VALUE"""),"99.Hors Périmetre")</f>
        <v>99.Hors Périmetre</v>
      </c>
      <c r="N570" t="str">
        <f ca="1">IFERROR(__xludf.DUMMYFUNCTION("""COMPUTED_VALUE"""),"")</f>
        <v/>
      </c>
      <c r="O570" t="str">
        <f ca="1">IFERROR(__xludf.DUMMYFUNCTION("""COMPUTED_VALUE"""),"")</f>
        <v/>
      </c>
      <c r="P570" t="str">
        <f ca="1">IFERROR(__xludf.DUMMYFUNCTION("""COMPUTED_VALUE"""),"")</f>
        <v/>
      </c>
      <c r="Q570" s="5" t="str">
        <f ca="1">IFERROR(__xludf.DUMMYFUNCTION("""COMPUTED_VALUE"""),"")</f>
        <v/>
      </c>
      <c r="R570" s="6" t="str">
        <f ca="1">IFERROR(__xludf.DUMMYFUNCTION("""COMPUTED_VALUE"""),"")</f>
        <v/>
      </c>
      <c r="S570" t="str">
        <f ca="1">IFERROR(__xludf.DUMMYFUNCTION("""COMPUTED_VALUE"""),"")</f>
        <v/>
      </c>
      <c r="T570" t="str">
        <f ca="1">IFERROR(__xludf.DUMMYFUNCTION("""COMPUTED_VALUE"""),"")</f>
        <v/>
      </c>
      <c r="U570" t="str">
        <f ca="1">IFERROR(__xludf.DUMMYFUNCTION("""COMPUTED_VALUE"""),"")</f>
        <v/>
      </c>
      <c r="V570" t="str">
        <f ca="1">IFERROR(__xludf.DUMMYFUNCTION("""COMPUTED_VALUE"""),"")</f>
        <v/>
      </c>
      <c r="W570" t="str">
        <f ca="1">IFERROR(__xludf.DUMMYFUNCTION("""COMPUTED_VALUE"""),"")</f>
        <v/>
      </c>
      <c r="X570" t="str">
        <f ca="1">IFERROR(__xludf.DUMMYFUNCTION("""COMPUTED_VALUE"""),"")</f>
        <v/>
      </c>
      <c r="Y570" t="str">
        <f ca="1">IFERROR(__xludf.DUMMYFUNCTION("""COMPUTED_VALUE"""),"")</f>
        <v/>
      </c>
      <c r="Z570" t="str">
        <f ca="1">IFERROR(__xludf.DUMMYFUNCTION("""COMPUTED_VALUE"""),"")</f>
        <v/>
      </c>
      <c r="AA570" t="str">
        <f ca="1">IFERROR(__xludf.DUMMYFUNCTION("""COMPUTED_VALUE"""),"Pas de commande")</f>
        <v>Pas de commande</v>
      </c>
      <c r="AB570" s="8" t="str">
        <f ca="1">IFERROR(__xludf.DUMMYFUNCTION("""COMPUTED_VALUE"""),"")</f>
        <v/>
      </c>
      <c r="AC570" s="8" t="str">
        <f ca="1">IFERROR(__xludf.DUMMYFUNCTION("""COMPUTED_VALUE"""),"")</f>
        <v/>
      </c>
      <c r="AD570" s="11" t="str">
        <f ca="1">IFERROR(__xludf.DUMMYFUNCTION("""COMPUTED_VALUE"""),"")</f>
        <v/>
      </c>
      <c r="AE570" t="str">
        <f ca="1">IFERROR(__xludf.DUMMYFUNCTION("""COMPUTED_VALUE"""),"")</f>
        <v/>
      </c>
    </row>
    <row r="571" spans="1:31" ht="12.75" x14ac:dyDescent="0.2">
      <c r="A571">
        <f ca="1">IFERROR(__xludf.DUMMYFUNCTION("""COMPUTED_VALUE"""),90012)</f>
        <v>90012</v>
      </c>
      <c r="B571" t="str">
        <f ca="1">IFERROR(__xludf.DUMMYFUNCTION("""COMPUTED_VALUE"""),"MALAUCENE")</f>
        <v>MALAUCENE</v>
      </c>
      <c r="C571" t="str">
        <f ca="1">IFERROR(__xludf.DUMMYFUNCTION("""COMPUTED_VALUE"""),"U Express")</f>
        <v>U Express</v>
      </c>
      <c r="D571" t="str">
        <f ca="1">IFERROR(__xludf.DUMMYFUNCTION("""COMPUTED_VALUE"""),"Coop U Enseigne Sud")</f>
        <v>Coop U Enseigne Sud</v>
      </c>
      <c r="E571">
        <f ca="1">IFERROR(__xludf.DUMMYFUNCTION("""COMPUTED_VALUE"""),84340)</f>
        <v>84340</v>
      </c>
      <c r="F571" t="str">
        <f ca="1">IFERROR(__xludf.DUMMYFUNCTION("""COMPUTED_VALUE"""),"COURS DES ISNARDS")</f>
        <v>COURS DES ISNARDS</v>
      </c>
      <c r="G571" t="str">
        <f ca="1">IFERROR(__xludf.DUMMYFUNCTION("""COMPUTED_VALUE"""),"04.90.65.22.42")</f>
        <v>04.90.65.22.42</v>
      </c>
      <c r="H571" t="str">
        <f ca="1">IFERROR(__xludf.DUMMYFUNCTION("""COMPUTED_VALUE"""),"PEALAT Sebastien")</f>
        <v>PEALAT Sebastien</v>
      </c>
      <c r="I571" t="str">
        <f ca="1">IFERROR(__xludf.DUMMYFUNCTION("""COMPUTED_VALUE"""),"sebastien.pealat@systeme-u.fr")</f>
        <v>sebastien.pealat@systeme-u.fr</v>
      </c>
      <c r="J571" t="str">
        <f ca="1">IFERROR(__xludf.DUMMYFUNCTION("""COMPUTED_VALUE"""),"")</f>
        <v/>
      </c>
      <c r="K571" t="str">
        <f ca="1">IFERROR(__xludf.DUMMYFUNCTION("""COMPUTED_VALUE"""),"")</f>
        <v/>
      </c>
      <c r="L571" t="str">
        <f ca="1">IFERROR(__xludf.DUMMYFUNCTION("""COMPUTED_VALUE"""),"")</f>
        <v/>
      </c>
      <c r="M571" t="str">
        <f ca="1">IFERROR(__xludf.DUMMYFUNCTION("""COMPUTED_VALUE"""),"99.Hors Périmetre")</f>
        <v>99.Hors Périmetre</v>
      </c>
      <c r="N571" t="str">
        <f ca="1">IFERROR(__xludf.DUMMYFUNCTION("""COMPUTED_VALUE"""),"")</f>
        <v/>
      </c>
      <c r="O571" t="str">
        <f ca="1">IFERROR(__xludf.DUMMYFUNCTION("""COMPUTED_VALUE"""),"")</f>
        <v/>
      </c>
      <c r="P571" t="str">
        <f ca="1">IFERROR(__xludf.DUMMYFUNCTION("""COMPUTED_VALUE"""),"")</f>
        <v/>
      </c>
      <c r="Q571" s="5" t="str">
        <f ca="1">IFERROR(__xludf.DUMMYFUNCTION("""COMPUTED_VALUE"""),"")</f>
        <v/>
      </c>
      <c r="R571" s="6" t="str">
        <f ca="1">IFERROR(__xludf.DUMMYFUNCTION("""COMPUTED_VALUE"""),"")</f>
        <v/>
      </c>
      <c r="S571" t="str">
        <f ca="1">IFERROR(__xludf.DUMMYFUNCTION("""COMPUTED_VALUE"""),"")</f>
        <v/>
      </c>
      <c r="T571" t="str">
        <f ca="1">IFERROR(__xludf.DUMMYFUNCTION("""COMPUTED_VALUE"""),"")</f>
        <v/>
      </c>
      <c r="U571" t="str">
        <f ca="1">IFERROR(__xludf.DUMMYFUNCTION("""COMPUTED_VALUE"""),"")</f>
        <v/>
      </c>
      <c r="V571" t="str">
        <f ca="1">IFERROR(__xludf.DUMMYFUNCTION("""COMPUTED_VALUE"""),"")</f>
        <v/>
      </c>
      <c r="W571" t="str">
        <f ca="1">IFERROR(__xludf.DUMMYFUNCTION("""COMPUTED_VALUE"""),"")</f>
        <v/>
      </c>
      <c r="X571" t="str">
        <f ca="1">IFERROR(__xludf.DUMMYFUNCTION("""COMPUTED_VALUE"""),"")</f>
        <v/>
      </c>
      <c r="Y571" t="str">
        <f ca="1">IFERROR(__xludf.DUMMYFUNCTION("""COMPUTED_VALUE"""),"")</f>
        <v/>
      </c>
      <c r="Z571" t="str">
        <f ca="1">IFERROR(__xludf.DUMMYFUNCTION("""COMPUTED_VALUE"""),"")</f>
        <v/>
      </c>
      <c r="AA571" t="str">
        <f ca="1">IFERROR(__xludf.DUMMYFUNCTION("""COMPUTED_VALUE"""),"Pas de commande")</f>
        <v>Pas de commande</v>
      </c>
      <c r="AB571" s="8" t="str">
        <f ca="1">IFERROR(__xludf.DUMMYFUNCTION("""COMPUTED_VALUE"""),"")</f>
        <v/>
      </c>
      <c r="AC571" s="8" t="str">
        <f ca="1">IFERROR(__xludf.DUMMYFUNCTION("""COMPUTED_VALUE"""),"")</f>
        <v/>
      </c>
      <c r="AD571" s="11" t="str">
        <f ca="1">IFERROR(__xludf.DUMMYFUNCTION("""COMPUTED_VALUE"""),"")</f>
        <v/>
      </c>
      <c r="AE571" t="str">
        <f ca="1">IFERROR(__xludf.DUMMYFUNCTION("""COMPUTED_VALUE"""),"")</f>
        <v/>
      </c>
    </row>
    <row r="572" spans="1:31" ht="12.75" x14ac:dyDescent="0.2">
      <c r="A572">
        <f ca="1">IFERROR(__xludf.DUMMYFUNCTION("""COMPUTED_VALUE"""),38150)</f>
        <v>38150</v>
      </c>
      <c r="B572" t="str">
        <f ca="1">IFERROR(__xludf.DUMMYFUNCTION("""COMPUTED_VALUE"""),"MALESTROIT")</f>
        <v>MALESTROIT</v>
      </c>
      <c r="C572" t="str">
        <f ca="1">IFERROR(__xludf.DUMMYFUNCTION("""COMPUTED_VALUE"""),"Super U")</f>
        <v>Super U</v>
      </c>
      <c r="D572" t="str">
        <f ca="1">IFERROR(__xludf.DUMMYFUNCTION("""COMPUTED_VALUE"""),"Coop U Enseigne Ouest")</f>
        <v>Coop U Enseigne Ouest</v>
      </c>
      <c r="E572">
        <f ca="1">IFERROR(__xludf.DUMMYFUNCTION("""COMPUTED_VALUE"""),56140)</f>
        <v>56140</v>
      </c>
      <c r="F572" t="str">
        <f ca="1">IFERROR(__xludf.DUMMYFUNCTION("""COMPUTED_VALUE"""),"Z.A. PAVIOTAIE")</f>
        <v>Z.A. PAVIOTAIE</v>
      </c>
      <c r="G572" t="str">
        <f ca="1">IFERROR(__xludf.DUMMYFUNCTION("""COMPUTED_VALUE"""),"02.97.72.22.12")</f>
        <v>02.97.72.22.12</v>
      </c>
      <c r="H572" t="str">
        <f ca="1">IFERROR(__xludf.DUMMYFUNCTION("""COMPUTED_VALUE"""),"GOUAULT Yohann")</f>
        <v>GOUAULT Yohann</v>
      </c>
      <c r="I572" t="str">
        <f ca="1">IFERROR(__xludf.DUMMYFUNCTION("""COMPUTED_VALUE"""),"yohann.gouault@systeme-u.fr")</f>
        <v>yohann.gouault@systeme-u.fr</v>
      </c>
      <c r="J572" t="str">
        <f ca="1">IFERROR(__xludf.DUMMYFUNCTION("""COMPUTED_VALUE"""),"Mme BARRAT")</f>
        <v>Mme BARRAT</v>
      </c>
      <c r="K572" t="str">
        <f ca="1">IFERROR(__xludf.DUMMYFUNCTION("""COMPUTED_VALUE"""),"superu.malestroit@systeme-u.fr")</f>
        <v>superu.malestroit@systeme-u.fr</v>
      </c>
      <c r="L572" t="str">
        <f ca="1">IFERROR(__xludf.DUMMYFUNCTION("""COMPUTED_VALUE"""),"")</f>
        <v/>
      </c>
      <c r="M572" t="str">
        <f ca="1">IFERROR(__xludf.DUMMYFUNCTION("""COMPUTED_VALUE"""),"99.Hors Périmetre")</f>
        <v>99.Hors Périmetre</v>
      </c>
      <c r="N572" t="str">
        <f ca="1">IFERROR(__xludf.DUMMYFUNCTION("""COMPUTED_VALUE"""),"")</f>
        <v/>
      </c>
      <c r="O572" t="str">
        <f ca="1">IFERROR(__xludf.DUMMYFUNCTION("""COMPUTED_VALUE"""),"")</f>
        <v/>
      </c>
      <c r="P572" t="str">
        <f ca="1">IFERROR(__xludf.DUMMYFUNCTION("""COMPUTED_VALUE"""),"")</f>
        <v/>
      </c>
      <c r="Q572" s="5" t="str">
        <f ca="1">IFERROR(__xludf.DUMMYFUNCTION("""COMPUTED_VALUE"""),"")</f>
        <v/>
      </c>
      <c r="R572" s="6" t="str">
        <f ca="1">IFERROR(__xludf.DUMMYFUNCTION("""COMPUTED_VALUE"""),"")</f>
        <v/>
      </c>
      <c r="S572" t="str">
        <f ca="1">IFERROR(__xludf.DUMMYFUNCTION("""COMPUTED_VALUE"""),"")</f>
        <v/>
      </c>
      <c r="T572" t="str">
        <f ca="1">IFERROR(__xludf.DUMMYFUNCTION("""COMPUTED_VALUE"""),"")</f>
        <v/>
      </c>
      <c r="U572" t="str">
        <f ca="1">IFERROR(__xludf.DUMMYFUNCTION("""COMPUTED_VALUE"""),"")</f>
        <v/>
      </c>
      <c r="V572" t="str">
        <f ca="1">IFERROR(__xludf.DUMMYFUNCTION("""COMPUTED_VALUE"""),"")</f>
        <v/>
      </c>
      <c r="W572" t="str">
        <f ca="1">IFERROR(__xludf.DUMMYFUNCTION("""COMPUTED_VALUE"""),"")</f>
        <v/>
      </c>
      <c r="X572" t="str">
        <f ca="1">IFERROR(__xludf.DUMMYFUNCTION("""COMPUTED_VALUE"""),"")</f>
        <v/>
      </c>
      <c r="Y572" t="str">
        <f ca="1">IFERROR(__xludf.DUMMYFUNCTION("""COMPUTED_VALUE"""),"")</f>
        <v/>
      </c>
      <c r="Z572" t="str">
        <f ca="1">IFERROR(__xludf.DUMMYFUNCTION("""COMPUTED_VALUE"""),"")</f>
        <v/>
      </c>
      <c r="AA572" t="str">
        <f ca="1">IFERROR(__xludf.DUMMYFUNCTION("""COMPUTED_VALUE"""),"Pas de commande")</f>
        <v>Pas de commande</v>
      </c>
      <c r="AB572" s="8" t="str">
        <f ca="1">IFERROR(__xludf.DUMMYFUNCTION("""COMPUTED_VALUE"""),"")</f>
        <v/>
      </c>
      <c r="AC572" s="8" t="str">
        <f ca="1">IFERROR(__xludf.DUMMYFUNCTION("""COMPUTED_VALUE"""),"")</f>
        <v/>
      </c>
      <c r="AD572" s="11" t="str">
        <f ca="1">IFERROR(__xludf.DUMMYFUNCTION("""COMPUTED_VALUE"""),"")</f>
        <v/>
      </c>
      <c r="AE572" t="str">
        <f ca="1">IFERROR(__xludf.DUMMYFUNCTION("""COMPUTED_VALUE"""),"")</f>
        <v/>
      </c>
    </row>
    <row r="573" spans="1:31" ht="12.75" x14ac:dyDescent="0.2">
      <c r="A573">
        <f ca="1">IFERROR(__xludf.DUMMYFUNCTION("""COMPUTED_VALUE"""),32070)</f>
        <v>32070</v>
      </c>
      <c r="B573" t="str">
        <f ca="1">IFERROR(__xludf.DUMMYFUNCTION("""COMPUTED_VALUE"""),"MAMERS")</f>
        <v>MAMERS</v>
      </c>
      <c r="C573" t="str">
        <f ca="1">IFERROR(__xludf.DUMMYFUNCTION("""COMPUTED_VALUE"""),"Super U")</f>
        <v>Super U</v>
      </c>
      <c r="D573" t="str">
        <f ca="1">IFERROR(__xludf.DUMMYFUNCTION("""COMPUTED_VALUE"""),"Coop U Enseigne Ouest")</f>
        <v>Coop U Enseigne Ouest</v>
      </c>
      <c r="E573">
        <f ca="1">IFERROR(__xludf.DUMMYFUNCTION("""COMPUTED_VALUE"""),72600)</f>
        <v>72600</v>
      </c>
      <c r="F573" t="str">
        <f ca="1">IFERROR(__xludf.DUMMYFUNCTION("""COMPUTED_VALUE"""),"ROUTE BELLEME")</f>
        <v>ROUTE BELLEME</v>
      </c>
      <c r="G573" t="str">
        <f ca="1">IFERROR(__xludf.DUMMYFUNCTION("""COMPUTED_VALUE"""),"02.43.31.11.40")</f>
        <v>02.43.31.11.40</v>
      </c>
      <c r="H573" t="str">
        <f ca="1">IFERROR(__xludf.DUMMYFUNCTION("""COMPUTED_VALUE"""),"GUERIN RPT SARL FAGPA Patrice")</f>
        <v>GUERIN RPT SARL FAGPA Patrice</v>
      </c>
      <c r="I573" t="str">
        <f ca="1">IFERROR(__xludf.DUMMYFUNCTION("""COMPUTED_VALUE"""),"patrice.guerin@systeme-u.fr")</f>
        <v>patrice.guerin@systeme-u.fr</v>
      </c>
      <c r="J573" t="str">
        <f ca="1">IFERROR(__xludf.DUMMYFUNCTION("""COMPUTED_VALUE"""),"M. CHOPLIN")</f>
        <v>M. CHOPLIN</v>
      </c>
      <c r="K573" t="str">
        <f ca="1">IFERROR(__xludf.DUMMYFUNCTION("""COMPUTED_VALUE"""),"superu.mamers.compta@systeme-u.fr")</f>
        <v>superu.mamers.compta@systeme-u.fr</v>
      </c>
      <c r="L573" t="str">
        <f ca="1">IFERROR(__xludf.DUMMYFUNCTION("""COMPUTED_VALUE"""),"")</f>
        <v/>
      </c>
      <c r="M573" t="str">
        <f ca="1">IFERROR(__xludf.DUMMYFUNCTION("""COMPUTED_VALUE"""),"99.Hors Périmetre")</f>
        <v>99.Hors Périmetre</v>
      </c>
      <c r="N573" t="str">
        <f ca="1">IFERROR(__xludf.DUMMYFUNCTION("""COMPUTED_VALUE"""),"")</f>
        <v/>
      </c>
      <c r="O573" t="str">
        <f ca="1">IFERROR(__xludf.DUMMYFUNCTION("""COMPUTED_VALUE"""),"")</f>
        <v/>
      </c>
      <c r="P573" t="str">
        <f ca="1">IFERROR(__xludf.DUMMYFUNCTION("""COMPUTED_VALUE"""),"")</f>
        <v/>
      </c>
      <c r="Q573" s="5" t="str">
        <f ca="1">IFERROR(__xludf.DUMMYFUNCTION("""COMPUTED_VALUE"""),"")</f>
        <v/>
      </c>
      <c r="R573" s="6" t="str">
        <f ca="1">IFERROR(__xludf.DUMMYFUNCTION("""COMPUTED_VALUE"""),"")</f>
        <v/>
      </c>
      <c r="S573" t="str">
        <f ca="1">IFERROR(__xludf.DUMMYFUNCTION("""COMPUTED_VALUE"""),"")</f>
        <v/>
      </c>
      <c r="T573" t="str">
        <f ca="1">IFERROR(__xludf.DUMMYFUNCTION("""COMPUTED_VALUE"""),"")</f>
        <v/>
      </c>
      <c r="U573" t="str">
        <f ca="1">IFERROR(__xludf.DUMMYFUNCTION("""COMPUTED_VALUE"""),"")</f>
        <v/>
      </c>
      <c r="V573" t="str">
        <f ca="1">IFERROR(__xludf.DUMMYFUNCTION("""COMPUTED_VALUE"""),"")</f>
        <v/>
      </c>
      <c r="W573" t="str">
        <f ca="1">IFERROR(__xludf.DUMMYFUNCTION("""COMPUTED_VALUE"""),"")</f>
        <v/>
      </c>
      <c r="X573" t="str">
        <f ca="1">IFERROR(__xludf.DUMMYFUNCTION("""COMPUTED_VALUE"""),"")</f>
        <v/>
      </c>
      <c r="Y573" t="str">
        <f ca="1">IFERROR(__xludf.DUMMYFUNCTION("""COMPUTED_VALUE"""),"")</f>
        <v/>
      </c>
      <c r="Z573" t="str">
        <f ca="1">IFERROR(__xludf.DUMMYFUNCTION("""COMPUTED_VALUE"""),"")</f>
        <v/>
      </c>
      <c r="AA573" t="str">
        <f ca="1">IFERROR(__xludf.DUMMYFUNCTION("""COMPUTED_VALUE"""),"Pas de commande")</f>
        <v>Pas de commande</v>
      </c>
      <c r="AB573" s="8" t="str">
        <f ca="1">IFERROR(__xludf.DUMMYFUNCTION("""COMPUTED_VALUE"""),"")</f>
        <v/>
      </c>
      <c r="AC573" s="8" t="str">
        <f ca="1">IFERROR(__xludf.DUMMYFUNCTION("""COMPUTED_VALUE"""),"")</f>
        <v/>
      </c>
      <c r="AD573" s="11" t="str">
        <f ca="1">IFERROR(__xludf.DUMMYFUNCTION("""COMPUTED_VALUE"""),"")</f>
        <v/>
      </c>
      <c r="AE573" t="str">
        <f ca="1">IFERROR(__xludf.DUMMYFUNCTION("""COMPUTED_VALUE"""),"")</f>
        <v/>
      </c>
    </row>
    <row r="574" spans="1:31" ht="12.75" x14ac:dyDescent="0.2">
      <c r="A574">
        <f ca="1">IFERROR(__xludf.DUMMYFUNCTION("""COMPUTED_VALUE"""),62077)</f>
        <v>62077</v>
      </c>
      <c r="B574" t="str">
        <f ca="1">IFERROR(__xludf.DUMMYFUNCTION("""COMPUTED_VALUE"""),"MANDEURE")</f>
        <v>MANDEURE</v>
      </c>
      <c r="C574" t="str">
        <f ca="1">IFERROR(__xludf.DUMMYFUNCTION("""COMPUTED_VALUE"""),"Super U")</f>
        <v>Super U</v>
      </c>
      <c r="D574" t="str">
        <f ca="1">IFERROR(__xludf.DUMMYFUNCTION("""COMPUTED_VALUE"""),"Coop U Enseigne Est")</f>
        <v>Coop U Enseigne Est</v>
      </c>
      <c r="E574">
        <f ca="1">IFERROR(__xludf.DUMMYFUNCTION("""COMPUTED_VALUE"""),25350)</f>
        <v>25350</v>
      </c>
      <c r="F574" t="str">
        <f ca="1">IFERROR(__xludf.DUMMYFUNCTION("""COMPUTED_VALUE"""),"15 rue de Beaulieu")</f>
        <v>15 rue de Beaulieu</v>
      </c>
      <c r="G574" t="str">
        <f ca="1">IFERROR(__xludf.DUMMYFUNCTION("""COMPUTED_VALUE"""),"03.81.36.34.65")</f>
        <v>03.81.36.34.65</v>
      </c>
      <c r="H574" t="str">
        <f ca="1">IFERROR(__xludf.DUMMYFUNCTION("""COMPUTED_VALUE"""),"BARBARISI Bruno")</f>
        <v>BARBARISI Bruno</v>
      </c>
      <c r="I574" t="str">
        <f ca="1">IFERROR(__xludf.DUMMYFUNCTION("""COMPUTED_VALUE"""),"superu.mandeure.filiale@systeme-u.fr")</f>
        <v>superu.mandeure.filiale@systeme-u.fr</v>
      </c>
      <c r="J574" t="str">
        <f ca="1">IFERROR(__xludf.DUMMYFUNCTION("""COMPUTED_VALUE"""),"Sabrina HAOUAL")</f>
        <v>Sabrina HAOUAL</v>
      </c>
      <c r="K574" t="str">
        <f ca="1">IFERROR(__xludf.DUMMYFUNCTION("""COMPUTED_VALUE"""),"superu.mandeure.compta@systeme-u.fr")</f>
        <v>superu.mandeure.compta@systeme-u.fr</v>
      </c>
      <c r="L574" t="str">
        <f ca="1">IFERROR(__xludf.DUMMYFUNCTION("""COMPUTED_VALUE"""),"")</f>
        <v/>
      </c>
      <c r="M574" t="str">
        <f ca="1">IFERROR(__xludf.DUMMYFUNCTION("""COMPUTED_VALUE"""),"99.Hors Périmetre")</f>
        <v>99.Hors Périmetre</v>
      </c>
      <c r="N574" t="str">
        <f ca="1">IFERROR(__xludf.DUMMYFUNCTION("""COMPUTED_VALUE"""),"")</f>
        <v/>
      </c>
      <c r="O574" t="str">
        <f ca="1">IFERROR(__xludf.DUMMYFUNCTION("""COMPUTED_VALUE"""),"")</f>
        <v/>
      </c>
      <c r="P574" t="str">
        <f ca="1">IFERROR(__xludf.DUMMYFUNCTION("""COMPUTED_VALUE"""),"")</f>
        <v/>
      </c>
      <c r="Q574" s="5" t="str">
        <f ca="1">IFERROR(__xludf.DUMMYFUNCTION("""COMPUTED_VALUE"""),"")</f>
        <v/>
      </c>
      <c r="R574" s="6" t="str">
        <f ca="1">IFERROR(__xludf.DUMMYFUNCTION("""COMPUTED_VALUE"""),"")</f>
        <v/>
      </c>
      <c r="S574" t="str">
        <f ca="1">IFERROR(__xludf.DUMMYFUNCTION("""COMPUTED_VALUE"""),"")</f>
        <v/>
      </c>
      <c r="T574" t="str">
        <f ca="1">IFERROR(__xludf.DUMMYFUNCTION("""COMPUTED_VALUE"""),"")</f>
        <v/>
      </c>
      <c r="U574" t="str">
        <f ca="1">IFERROR(__xludf.DUMMYFUNCTION("""COMPUTED_VALUE"""),"")</f>
        <v/>
      </c>
      <c r="V574" t="str">
        <f ca="1">IFERROR(__xludf.DUMMYFUNCTION("""COMPUTED_VALUE"""),"")</f>
        <v/>
      </c>
      <c r="W574" t="str">
        <f ca="1">IFERROR(__xludf.DUMMYFUNCTION("""COMPUTED_VALUE"""),"")</f>
        <v/>
      </c>
      <c r="X574" t="str">
        <f ca="1">IFERROR(__xludf.DUMMYFUNCTION("""COMPUTED_VALUE"""),"")</f>
        <v/>
      </c>
      <c r="Y574" t="str">
        <f ca="1">IFERROR(__xludf.DUMMYFUNCTION("""COMPUTED_VALUE"""),"")</f>
        <v/>
      </c>
      <c r="Z574" t="str">
        <f ca="1">IFERROR(__xludf.DUMMYFUNCTION("""COMPUTED_VALUE"""),"")</f>
        <v/>
      </c>
      <c r="AA574" t="str">
        <f ca="1">IFERROR(__xludf.DUMMYFUNCTION("""COMPUTED_VALUE"""),"Pas de commande")</f>
        <v>Pas de commande</v>
      </c>
      <c r="AB574" s="8" t="str">
        <f ca="1">IFERROR(__xludf.DUMMYFUNCTION("""COMPUTED_VALUE"""),"")</f>
        <v/>
      </c>
      <c r="AC574" s="8" t="str">
        <f ca="1">IFERROR(__xludf.DUMMYFUNCTION("""COMPUTED_VALUE"""),"")</f>
        <v/>
      </c>
      <c r="AD574" s="11" t="str">
        <f ca="1">IFERROR(__xludf.DUMMYFUNCTION("""COMPUTED_VALUE"""),"")</f>
        <v/>
      </c>
      <c r="AE574" t="str">
        <f ca="1">IFERROR(__xludf.DUMMYFUNCTION("""COMPUTED_VALUE"""),"")</f>
        <v/>
      </c>
    </row>
    <row r="575" spans="1:31" ht="12.75" x14ac:dyDescent="0.2">
      <c r="A575">
        <f ca="1">IFERROR(__xludf.DUMMYFUNCTION("""COMPUTED_VALUE"""),90440)</f>
        <v>90440</v>
      </c>
      <c r="B575" t="str">
        <f ca="1">IFERROR(__xludf.DUMMYFUNCTION("""COMPUTED_VALUE"""),"MANOSQUE")</f>
        <v>MANOSQUE</v>
      </c>
      <c r="C575" t="str">
        <f ca="1">IFERROR(__xludf.DUMMYFUNCTION("""COMPUTED_VALUE"""),"Hyper U")</f>
        <v>Hyper U</v>
      </c>
      <c r="D575" t="str">
        <f ca="1">IFERROR(__xludf.DUMMYFUNCTION("""COMPUTED_VALUE"""),"Coop U Enseigne Sud")</f>
        <v>Coop U Enseigne Sud</v>
      </c>
      <c r="E575">
        <f ca="1">IFERROR(__xludf.DUMMYFUNCTION("""COMPUTED_VALUE"""),4107)</f>
        <v>4107</v>
      </c>
      <c r="F575" t="str">
        <f ca="1">IFERROR(__xludf.DUMMYFUNCTION("""COMPUTED_VALUE"""),"ZI ST JOSEPH CS 60021")</f>
        <v>ZI ST JOSEPH CS 60021</v>
      </c>
      <c r="G575" t="str">
        <f ca="1">IFERROR(__xludf.DUMMYFUNCTION("""COMPUTED_VALUE"""),"04.92.70.70.30")</f>
        <v>04.92.70.70.30</v>
      </c>
      <c r="H575" t="str">
        <f ca="1">IFERROR(__xludf.DUMMYFUNCTION("""COMPUTED_VALUE"""),"CAVAGNA Thierry")</f>
        <v>CAVAGNA Thierry</v>
      </c>
      <c r="I575" t="str">
        <f ca="1">IFERROR(__xludf.DUMMYFUNCTION("""COMPUTED_VALUE"""),"thierry.cavagna@systeme-u.fr")</f>
        <v>thierry.cavagna@systeme-u.fr</v>
      </c>
      <c r="J575" t="str">
        <f ca="1">IFERROR(__xludf.DUMMYFUNCTION("""COMPUTED_VALUE"""),"CAVAGNA Alix")</f>
        <v>CAVAGNA Alix</v>
      </c>
      <c r="K575" t="str">
        <f ca="1">IFERROR(__xludf.DUMMYFUNCTION("""COMPUTED_VALUE"""),"hyperu.manosque.direction@systeme-u.fr")</f>
        <v>hyperu.manosque.direction@systeme-u.fr</v>
      </c>
      <c r="L575" t="str">
        <f ca="1">IFERROR(__xludf.DUMMYFUNCTION("""COMPUTED_VALUE"""),"")</f>
        <v/>
      </c>
      <c r="M575" t="str">
        <f ca="1">IFERROR(__xludf.DUMMYFUNCTION("""COMPUTED_VALUE"""),"99.Hors Périmetre")</f>
        <v>99.Hors Périmetre</v>
      </c>
      <c r="N575" t="str">
        <f ca="1">IFERROR(__xludf.DUMMYFUNCTION("""COMPUTED_VALUE"""),"")</f>
        <v/>
      </c>
      <c r="O575" t="str">
        <f ca="1">IFERROR(__xludf.DUMMYFUNCTION("""COMPUTED_VALUE"""),"")</f>
        <v/>
      </c>
      <c r="P575" t="str">
        <f ca="1">IFERROR(__xludf.DUMMYFUNCTION("""COMPUTED_VALUE"""),"")</f>
        <v/>
      </c>
      <c r="Q575" s="5" t="str">
        <f ca="1">IFERROR(__xludf.DUMMYFUNCTION("""COMPUTED_VALUE"""),"")</f>
        <v/>
      </c>
      <c r="R575" s="6" t="str">
        <f ca="1">IFERROR(__xludf.DUMMYFUNCTION("""COMPUTED_VALUE"""),"")</f>
        <v/>
      </c>
      <c r="S575" t="str">
        <f ca="1">IFERROR(__xludf.DUMMYFUNCTION("""COMPUTED_VALUE"""),"")</f>
        <v/>
      </c>
      <c r="T575" t="str">
        <f ca="1">IFERROR(__xludf.DUMMYFUNCTION("""COMPUTED_VALUE"""),"")</f>
        <v/>
      </c>
      <c r="U575" t="str">
        <f ca="1">IFERROR(__xludf.DUMMYFUNCTION("""COMPUTED_VALUE"""),"")</f>
        <v/>
      </c>
      <c r="V575" t="str">
        <f ca="1">IFERROR(__xludf.DUMMYFUNCTION("""COMPUTED_VALUE"""),"")</f>
        <v/>
      </c>
      <c r="W575" t="str">
        <f ca="1">IFERROR(__xludf.DUMMYFUNCTION("""COMPUTED_VALUE"""),"")</f>
        <v/>
      </c>
      <c r="X575" t="str">
        <f ca="1">IFERROR(__xludf.DUMMYFUNCTION("""COMPUTED_VALUE"""),"")</f>
        <v/>
      </c>
      <c r="Y575" t="str">
        <f ca="1">IFERROR(__xludf.DUMMYFUNCTION("""COMPUTED_VALUE"""),"")</f>
        <v/>
      </c>
      <c r="Z575" t="str">
        <f ca="1">IFERROR(__xludf.DUMMYFUNCTION("""COMPUTED_VALUE"""),"")</f>
        <v/>
      </c>
      <c r="AA575" t="str">
        <f ca="1">IFERROR(__xludf.DUMMYFUNCTION("""COMPUTED_VALUE"""),"Pas de commande")</f>
        <v>Pas de commande</v>
      </c>
      <c r="AB575" s="8" t="str">
        <f ca="1">IFERROR(__xludf.DUMMYFUNCTION("""COMPUTED_VALUE"""),"")</f>
        <v/>
      </c>
      <c r="AC575" s="8" t="str">
        <f ca="1">IFERROR(__xludf.DUMMYFUNCTION("""COMPUTED_VALUE"""),"")</f>
        <v/>
      </c>
      <c r="AD575" s="11" t="str">
        <f ca="1">IFERROR(__xludf.DUMMYFUNCTION("""COMPUTED_VALUE"""),"")</f>
        <v/>
      </c>
      <c r="AE575" t="str">
        <f ca="1">IFERROR(__xludf.DUMMYFUNCTION("""COMPUTED_VALUE"""),"")</f>
        <v/>
      </c>
    </row>
    <row r="576" spans="1:31" ht="12.75" x14ac:dyDescent="0.2">
      <c r="A576">
        <f ca="1">IFERROR(__xludf.DUMMYFUNCTION("""COMPUTED_VALUE"""),32076)</f>
        <v>32076</v>
      </c>
      <c r="B576" t="str">
        <f ca="1">IFERROR(__xludf.DUMMYFUNCTION("""COMPUTED_VALUE"""),"MANSLE")</f>
        <v>MANSLE</v>
      </c>
      <c r="C576" t="str">
        <f ca="1">IFERROR(__xludf.DUMMYFUNCTION("""COMPUTED_VALUE"""),"Super U")</f>
        <v>Super U</v>
      </c>
      <c r="D576" t="str">
        <f ca="1">IFERROR(__xludf.DUMMYFUNCTION("""COMPUTED_VALUE"""),"Coop Atlantique")</f>
        <v>Coop Atlantique</v>
      </c>
      <c r="E576">
        <f ca="1">IFERROR(__xludf.DUMMYFUNCTION("""COMPUTED_VALUE"""),16230)</f>
        <v>16230</v>
      </c>
      <c r="F576" t="str">
        <f ca="1">IFERROR(__xludf.DUMMYFUNCTION("""COMPUTED_VALUE"""),"RUE GRANGE DU CHAPÎTRE")</f>
        <v>RUE GRANGE DU CHAPÎTRE</v>
      </c>
      <c r="G576" t="str">
        <f ca="1">IFERROR(__xludf.DUMMYFUNCTION("""COMPUTED_VALUE"""),"05.45.20.31.30")</f>
        <v>05.45.20.31.30</v>
      </c>
      <c r="H576" t="str">
        <f ca="1">IFERROR(__xludf.DUMMYFUNCTION("""COMPUTED_VALUE"""),"FLAMBARD Hervé")</f>
        <v>FLAMBARD Hervé</v>
      </c>
      <c r="I576" t="str">
        <f ca="1">IFERROR(__xludf.DUMMYFUNCTION("""COMPUTED_VALUE"""),"bertrand.defontaine_coop_su_uex@systeme-u.fr")</f>
        <v>bertrand.defontaine_coop_su_uex@systeme-u.fr</v>
      </c>
      <c r="J576" t="str">
        <f ca="1">IFERROR(__xludf.DUMMYFUNCTION("""COMPUTED_VALUE"""),"Bouquinet Didier")</f>
        <v>Bouquinet Didier</v>
      </c>
      <c r="K576" t="str">
        <f ca="1">IFERROR(__xludf.DUMMYFUNCTION("""COMPUTED_VALUE"""),"dbouquinet@coop-atlantique.fr,superu.mansle.direction@systeme-u.fr,nbrigant@coop-atlantique.fr,sjaud@coop-atlantique.fr")</f>
        <v>dbouquinet@coop-atlantique.fr,superu.mansle.direction@systeme-u.fr,nbrigant@coop-atlantique.fr,sjaud@coop-atlantique.fr</v>
      </c>
      <c r="L576" t="str">
        <f ca="1">IFERROR(__xludf.DUMMYFUNCTION("""COMPUTED_VALUE"""),"Standard")</f>
        <v>Standard</v>
      </c>
      <c r="M576" t="str">
        <f ca="1">IFERROR(__xludf.DUMMYFUNCTION("""COMPUTED_VALUE"""),"0. Non démarré")</f>
        <v>0. Non démarré</v>
      </c>
      <c r="N576" t="str">
        <f ca="1">IFERROR(__xludf.DUMMYFUNCTION("""COMPUTED_VALUE"""),"")</f>
        <v/>
      </c>
      <c r="O576" t="str">
        <f ca="1">IFERROR(__xludf.DUMMYFUNCTION("""COMPUTED_VALUE"""),"")</f>
        <v/>
      </c>
      <c r="P576" t="str">
        <f ca="1">IFERROR(__xludf.DUMMYFUNCTION("""COMPUTED_VALUE"""),"")</f>
        <v/>
      </c>
      <c r="Q576" s="5" t="str">
        <f ca="1">IFERROR(__xludf.DUMMYFUNCTION("""COMPUTED_VALUE"""),"")</f>
        <v/>
      </c>
      <c r="R576" s="6" t="str">
        <f ca="1">IFERROR(__xludf.DUMMYFUNCTION("""COMPUTED_VALUE"""),"")</f>
        <v/>
      </c>
      <c r="S576" t="str">
        <f ca="1">IFERROR(__xludf.DUMMYFUNCTION("""COMPUTED_VALUE"""),"")</f>
        <v/>
      </c>
      <c r="T576" t="str">
        <f ca="1">IFERROR(__xludf.DUMMYFUNCTION("""COMPUTED_VALUE"""),"")</f>
        <v/>
      </c>
      <c r="U576" t="str">
        <f ca="1">IFERROR(__xludf.DUMMYFUNCTION("""COMPUTED_VALUE"""),"")</f>
        <v/>
      </c>
      <c r="V576" t="str">
        <f ca="1">IFERROR(__xludf.DUMMYFUNCTION("""COMPUTED_VALUE"""),"")</f>
        <v/>
      </c>
      <c r="W576" t="str">
        <f ca="1">IFERROR(__xludf.DUMMYFUNCTION("""COMPUTED_VALUE"""),"R5")</f>
        <v>R5</v>
      </c>
      <c r="X576" t="str">
        <f ca="1">IFERROR(__xludf.DUMMYFUNCTION("""COMPUTED_VALUE"""),"PC mag &lt;8Go")</f>
        <v>PC mag &lt;8Go</v>
      </c>
      <c r="Y576" t="str">
        <f ca="1">IFERROR(__xludf.DUMMYFUNCTION("""COMPUTED_VALUE"""),"")</f>
        <v/>
      </c>
      <c r="Z576" t="str">
        <f ca="1">IFERROR(__xludf.DUMMYFUNCTION("""COMPUTED_VALUE"""),"")</f>
        <v/>
      </c>
      <c r="AA576" t="str">
        <f ca="1">IFERROR(__xludf.DUMMYFUNCTION("""COMPUTED_VALUE"""),"Pas de commande")</f>
        <v>Pas de commande</v>
      </c>
      <c r="AB576" s="8" t="str">
        <f ca="1">IFERROR(__xludf.DUMMYFUNCTION("""COMPUTED_VALUE"""),"")</f>
        <v/>
      </c>
      <c r="AC576" s="8" t="str">
        <f ca="1">IFERROR(__xludf.DUMMYFUNCTION("""COMPUTED_VALUE"""),"")</f>
        <v/>
      </c>
      <c r="AD576" s="11" t="str">
        <f ca="1">IFERROR(__xludf.DUMMYFUNCTION("""COMPUTED_VALUE"""),"")</f>
        <v/>
      </c>
      <c r="AE576" t="str">
        <f ca="1">IFERROR(__xludf.DUMMYFUNCTION("""COMPUTED_VALUE"""),"")</f>
        <v/>
      </c>
    </row>
    <row r="577" spans="1:31" ht="12.75" x14ac:dyDescent="0.2">
      <c r="A577">
        <f ca="1">IFERROR(__xludf.DUMMYFUNCTION("""COMPUTED_VALUE"""),37528)</f>
        <v>37528</v>
      </c>
      <c r="B577" t="str">
        <f ca="1">IFERROR(__xludf.DUMMYFUNCTION("""COMPUTED_VALUE"""),"MARANS")</f>
        <v>MARANS</v>
      </c>
      <c r="C577" t="str">
        <f ca="1">IFERROR(__xludf.DUMMYFUNCTION("""COMPUTED_VALUE"""),"Super U")</f>
        <v>Super U</v>
      </c>
      <c r="D577" t="str">
        <f ca="1">IFERROR(__xludf.DUMMYFUNCTION("""COMPUTED_VALUE"""),"Coop U Enseigne Ouest")</f>
        <v>Coop U Enseigne Ouest</v>
      </c>
      <c r="E577">
        <f ca="1">IFERROR(__xludf.DUMMYFUNCTION("""COMPUTED_VALUE"""),17230)</f>
        <v>17230</v>
      </c>
      <c r="F577" t="str">
        <f ca="1">IFERROR(__xludf.DUMMYFUNCTION("""COMPUTED_VALUE"""),"1 BIS RUE D'ALIGRE")</f>
        <v>1 BIS RUE D'ALIGRE</v>
      </c>
      <c r="G577" t="str">
        <f ca="1">IFERROR(__xludf.DUMMYFUNCTION("""COMPUTED_VALUE"""),"05.46.01.12.65")</f>
        <v>05.46.01.12.65</v>
      </c>
      <c r="H577" t="str">
        <f ca="1">IFERROR(__xludf.DUMMYFUNCTION("""COMPUTED_VALUE"""),"BUISSON RPT SARL DES CARMES Ludovic")</f>
        <v>BUISSON RPT SARL DES CARMES Ludovic</v>
      </c>
      <c r="I577" t="str">
        <f ca="1">IFERROR(__xludf.DUMMYFUNCTION("""COMPUTED_VALUE"""),"ludovic.buisson@systeme-u.fr")</f>
        <v>ludovic.buisson@systeme-u.fr</v>
      </c>
      <c r="J577" t="str">
        <f ca="1">IFERROR(__xludf.DUMMYFUNCTION("""COMPUTED_VALUE"""),"BAH Valérie")</f>
        <v>BAH Valérie</v>
      </c>
      <c r="K577" t="str">
        <f ca="1">IFERROR(__xludf.DUMMYFUNCTION("""COMPUTED_VALUE"""),"superu.marans@systeme-u.fr")</f>
        <v>superu.marans@systeme-u.fr</v>
      </c>
      <c r="L577" t="str">
        <f ca="1">IFERROR(__xludf.DUMMYFUNCTION("""COMPUTED_VALUE"""),"")</f>
        <v/>
      </c>
      <c r="M577" t="str">
        <f ca="1">IFERROR(__xludf.DUMMYFUNCTION("""COMPUTED_VALUE"""),"99.Hors Périmetre")</f>
        <v>99.Hors Périmetre</v>
      </c>
      <c r="N577" t="str">
        <f ca="1">IFERROR(__xludf.DUMMYFUNCTION("""COMPUTED_VALUE"""),"")</f>
        <v/>
      </c>
      <c r="O577" t="str">
        <f ca="1">IFERROR(__xludf.DUMMYFUNCTION("""COMPUTED_VALUE"""),"")</f>
        <v/>
      </c>
      <c r="P577" t="str">
        <f ca="1">IFERROR(__xludf.DUMMYFUNCTION("""COMPUTED_VALUE"""),"")</f>
        <v/>
      </c>
      <c r="Q577" s="5" t="str">
        <f ca="1">IFERROR(__xludf.DUMMYFUNCTION("""COMPUTED_VALUE"""),"")</f>
        <v/>
      </c>
      <c r="R577" s="6" t="str">
        <f ca="1">IFERROR(__xludf.DUMMYFUNCTION("""COMPUTED_VALUE"""),"")</f>
        <v/>
      </c>
      <c r="S577" t="str">
        <f ca="1">IFERROR(__xludf.DUMMYFUNCTION("""COMPUTED_VALUE"""),"")</f>
        <v/>
      </c>
      <c r="T577" t="str">
        <f ca="1">IFERROR(__xludf.DUMMYFUNCTION("""COMPUTED_VALUE"""),"")</f>
        <v/>
      </c>
      <c r="U577" t="str">
        <f ca="1">IFERROR(__xludf.DUMMYFUNCTION("""COMPUTED_VALUE"""),"")</f>
        <v/>
      </c>
      <c r="V577" t="str">
        <f ca="1">IFERROR(__xludf.DUMMYFUNCTION("""COMPUTED_VALUE"""),"")</f>
        <v/>
      </c>
      <c r="W577" t="str">
        <f ca="1">IFERROR(__xludf.DUMMYFUNCTION("""COMPUTED_VALUE"""),"")</f>
        <v/>
      </c>
      <c r="X577" t="str">
        <f ca="1">IFERROR(__xludf.DUMMYFUNCTION("""COMPUTED_VALUE"""),"")</f>
        <v/>
      </c>
      <c r="Y577" t="str">
        <f ca="1">IFERROR(__xludf.DUMMYFUNCTION("""COMPUTED_VALUE"""),"")</f>
        <v/>
      </c>
      <c r="Z577" t="str">
        <f ca="1">IFERROR(__xludf.DUMMYFUNCTION("""COMPUTED_VALUE"""),"")</f>
        <v/>
      </c>
      <c r="AA577" t="str">
        <f ca="1">IFERROR(__xludf.DUMMYFUNCTION("""COMPUTED_VALUE"""),"Pas de commande")</f>
        <v>Pas de commande</v>
      </c>
      <c r="AB577" s="8" t="str">
        <f ca="1">IFERROR(__xludf.DUMMYFUNCTION("""COMPUTED_VALUE"""),"")</f>
        <v/>
      </c>
      <c r="AC577" s="8" t="str">
        <f ca="1">IFERROR(__xludf.DUMMYFUNCTION("""COMPUTED_VALUE"""),"")</f>
        <v/>
      </c>
      <c r="AD577" s="11" t="str">
        <f ca="1">IFERROR(__xludf.DUMMYFUNCTION("""COMPUTED_VALUE"""),"")</f>
        <v/>
      </c>
      <c r="AE577" t="str">
        <f ca="1">IFERROR(__xludf.DUMMYFUNCTION("""COMPUTED_VALUE"""),"")</f>
        <v/>
      </c>
    </row>
    <row r="578" spans="1:31" ht="12.75" x14ac:dyDescent="0.2">
      <c r="A578">
        <f ca="1">IFERROR(__xludf.DUMMYFUNCTION("""COMPUTED_VALUE"""),95160)</f>
        <v>95160</v>
      </c>
      <c r="B578" t="str">
        <f ca="1">IFERROR(__xludf.DUMMYFUNCTION("""COMPUTED_VALUE"""),"MARCIAC")</f>
        <v>MARCIAC</v>
      </c>
      <c r="C578" t="str">
        <f ca="1">IFERROR(__xludf.DUMMYFUNCTION("""COMPUTED_VALUE"""),"U Express")</f>
        <v>U Express</v>
      </c>
      <c r="D578" t="str">
        <f ca="1">IFERROR(__xludf.DUMMYFUNCTION("""COMPUTED_VALUE"""),"Coop U Enseigne Sud")</f>
        <v>Coop U Enseigne Sud</v>
      </c>
      <c r="E578">
        <f ca="1">IFERROR(__xludf.DUMMYFUNCTION("""COMPUTED_VALUE"""),32230)</f>
        <v>32230</v>
      </c>
      <c r="F578" t="str">
        <f ca="1">IFERROR(__xludf.DUMMYFUNCTION("""COMPUTED_VALUE"""),"RTE DE MIRANDE RD LE CAGNAN")</f>
        <v>RTE DE MIRANDE RD LE CAGNAN</v>
      </c>
      <c r="G578" t="str">
        <f ca="1">IFERROR(__xludf.DUMMYFUNCTION("""COMPUTED_VALUE"""),"05.62.08.39.30")</f>
        <v>05.62.08.39.30</v>
      </c>
      <c r="H578" t="str">
        <f ca="1">IFERROR(__xludf.DUMMYFUNCTION("""COMPUTED_VALUE"""),"NAMY Eric")</f>
        <v>NAMY Eric</v>
      </c>
      <c r="I578" t="str">
        <f ca="1">IFERROR(__xludf.DUMMYFUNCTION("""COMPUTED_VALUE"""),"eric.namy@systeme-u.fr")</f>
        <v>eric.namy@systeme-u.fr</v>
      </c>
      <c r="J578" t="str">
        <f ca="1">IFERROR(__xludf.DUMMYFUNCTION("""COMPUTED_VALUE"""),"")</f>
        <v/>
      </c>
      <c r="K578" t="str">
        <f ca="1">IFERROR(__xludf.DUMMYFUNCTION("""COMPUTED_VALUE"""),"uexpress.marciac@systeme-u.fr")</f>
        <v>uexpress.marciac@systeme-u.fr</v>
      </c>
      <c r="L578" t="str">
        <f ca="1">IFERROR(__xludf.DUMMYFUNCTION("""COMPUTED_VALUE"""),"")</f>
        <v/>
      </c>
      <c r="M578" t="str">
        <f ca="1">IFERROR(__xludf.DUMMYFUNCTION("""COMPUTED_VALUE"""),"99.Hors Périmetre")</f>
        <v>99.Hors Périmetre</v>
      </c>
      <c r="N578" t="str">
        <f ca="1">IFERROR(__xludf.DUMMYFUNCTION("""COMPUTED_VALUE"""),"")</f>
        <v/>
      </c>
      <c r="O578" t="str">
        <f ca="1">IFERROR(__xludf.DUMMYFUNCTION("""COMPUTED_VALUE"""),"")</f>
        <v/>
      </c>
      <c r="P578" t="str">
        <f ca="1">IFERROR(__xludf.DUMMYFUNCTION("""COMPUTED_VALUE"""),"")</f>
        <v/>
      </c>
      <c r="Q578" s="5" t="str">
        <f ca="1">IFERROR(__xludf.DUMMYFUNCTION("""COMPUTED_VALUE"""),"")</f>
        <v/>
      </c>
      <c r="R578" s="6" t="str">
        <f ca="1">IFERROR(__xludf.DUMMYFUNCTION("""COMPUTED_VALUE"""),"")</f>
        <v/>
      </c>
      <c r="S578" t="str">
        <f ca="1">IFERROR(__xludf.DUMMYFUNCTION("""COMPUTED_VALUE"""),"")</f>
        <v/>
      </c>
      <c r="T578" t="str">
        <f ca="1">IFERROR(__xludf.DUMMYFUNCTION("""COMPUTED_VALUE"""),"")</f>
        <v/>
      </c>
      <c r="U578" t="str">
        <f ca="1">IFERROR(__xludf.DUMMYFUNCTION("""COMPUTED_VALUE"""),"")</f>
        <v/>
      </c>
      <c r="V578" t="str">
        <f ca="1">IFERROR(__xludf.DUMMYFUNCTION("""COMPUTED_VALUE"""),"")</f>
        <v/>
      </c>
      <c r="W578" t="str">
        <f ca="1">IFERROR(__xludf.DUMMYFUNCTION("""COMPUTED_VALUE"""),"")</f>
        <v/>
      </c>
      <c r="X578" t="str">
        <f ca="1">IFERROR(__xludf.DUMMYFUNCTION("""COMPUTED_VALUE"""),"")</f>
        <v/>
      </c>
      <c r="Y578" t="str">
        <f ca="1">IFERROR(__xludf.DUMMYFUNCTION("""COMPUTED_VALUE"""),"")</f>
        <v/>
      </c>
      <c r="Z578" t="str">
        <f ca="1">IFERROR(__xludf.DUMMYFUNCTION("""COMPUTED_VALUE"""),"")</f>
        <v/>
      </c>
      <c r="AA578" t="str">
        <f ca="1">IFERROR(__xludf.DUMMYFUNCTION("""COMPUTED_VALUE"""),"Pas de commande")</f>
        <v>Pas de commande</v>
      </c>
      <c r="AB578" s="8" t="str">
        <f ca="1">IFERROR(__xludf.DUMMYFUNCTION("""COMPUTED_VALUE"""),"")</f>
        <v/>
      </c>
      <c r="AC578" s="8" t="str">
        <f ca="1">IFERROR(__xludf.DUMMYFUNCTION("""COMPUTED_VALUE"""),"")</f>
        <v/>
      </c>
      <c r="AD578" s="11" t="str">
        <f ca="1">IFERROR(__xludf.DUMMYFUNCTION("""COMPUTED_VALUE"""),"")</f>
        <v/>
      </c>
      <c r="AE578" t="str">
        <f ca="1">IFERROR(__xludf.DUMMYFUNCTION("""COMPUTED_VALUE"""),"")</f>
        <v/>
      </c>
    </row>
    <row r="579" spans="1:31" ht="12.75" x14ac:dyDescent="0.2">
      <c r="A579">
        <f ca="1">IFERROR(__xludf.DUMMYFUNCTION("""COMPUTED_VALUE"""),60716)</f>
        <v>60716</v>
      </c>
      <c r="B579" t="str">
        <f ca="1">IFERROR(__xludf.DUMMYFUNCTION("""COMPUTED_VALUE"""),"MARCKOLSHEIM")</f>
        <v>MARCKOLSHEIM</v>
      </c>
      <c r="C579" t="str">
        <f ca="1">IFERROR(__xludf.DUMMYFUNCTION("""COMPUTED_VALUE"""),"Super U")</f>
        <v>Super U</v>
      </c>
      <c r="D579" t="str">
        <f ca="1">IFERROR(__xludf.DUMMYFUNCTION("""COMPUTED_VALUE"""),"Coop U Enseigne Est")</f>
        <v>Coop U Enseigne Est</v>
      </c>
      <c r="E579">
        <f ca="1">IFERROR(__xludf.DUMMYFUNCTION("""COMPUTED_VALUE"""),67390)</f>
        <v>67390</v>
      </c>
      <c r="F579" t="str">
        <f ca="1">IFERROR(__xludf.DUMMYFUNCTION("""COMPUTED_VALUE"""),"14 avenue de l'Europe")</f>
        <v>14 avenue de l'Europe</v>
      </c>
      <c r="G579" t="str">
        <f ca="1">IFERROR(__xludf.DUMMYFUNCTION("""COMPUTED_VALUE"""),"03.88.58.62.30")</f>
        <v>03.88.58.62.30</v>
      </c>
      <c r="H579" t="str">
        <f ca="1">IFERROR(__xludf.DUMMYFUNCTION("""COMPUTED_VALUE"""),"SPOR Yvan")</f>
        <v>SPOR Yvan</v>
      </c>
      <c r="I579" t="str">
        <f ca="1">IFERROR(__xludf.DUMMYFUNCTION("""COMPUTED_VALUE"""),"yvan.spor@systeme-u.fr")</f>
        <v>yvan.spor@systeme-u.fr</v>
      </c>
      <c r="J579" t="str">
        <f ca="1">IFERROR(__xludf.DUMMYFUNCTION("""COMPUTED_VALUE"""),"M. AUBRINGER")</f>
        <v>M. AUBRINGER</v>
      </c>
      <c r="K579" t="str">
        <f ca="1">IFERROR(__xludf.DUMMYFUNCTION("""COMPUTED_VALUE"""),"superu.marckolsheim.direction@systeme-u.fr")</f>
        <v>superu.marckolsheim.direction@systeme-u.fr</v>
      </c>
      <c r="L579" t="str">
        <f ca="1">IFERROR(__xludf.DUMMYFUNCTION("""COMPUTED_VALUE"""),"")</f>
        <v/>
      </c>
      <c r="M579" t="str">
        <f ca="1">IFERROR(__xludf.DUMMYFUNCTION("""COMPUTED_VALUE"""),"99.Hors Périmetre")</f>
        <v>99.Hors Périmetre</v>
      </c>
      <c r="N579" t="str">
        <f ca="1">IFERROR(__xludf.DUMMYFUNCTION("""COMPUTED_VALUE"""),"")</f>
        <v/>
      </c>
      <c r="O579" t="str">
        <f ca="1">IFERROR(__xludf.DUMMYFUNCTION("""COMPUTED_VALUE"""),"")</f>
        <v/>
      </c>
      <c r="P579" t="str">
        <f ca="1">IFERROR(__xludf.DUMMYFUNCTION("""COMPUTED_VALUE"""),"")</f>
        <v/>
      </c>
      <c r="Q579" s="5" t="str">
        <f ca="1">IFERROR(__xludf.DUMMYFUNCTION("""COMPUTED_VALUE"""),"")</f>
        <v/>
      </c>
      <c r="R579" s="6" t="str">
        <f ca="1">IFERROR(__xludf.DUMMYFUNCTION("""COMPUTED_VALUE"""),"")</f>
        <v/>
      </c>
      <c r="S579" t="str">
        <f ca="1">IFERROR(__xludf.DUMMYFUNCTION("""COMPUTED_VALUE"""),"")</f>
        <v/>
      </c>
      <c r="T579" t="str">
        <f ca="1">IFERROR(__xludf.DUMMYFUNCTION("""COMPUTED_VALUE"""),"")</f>
        <v/>
      </c>
      <c r="U579" t="str">
        <f ca="1">IFERROR(__xludf.DUMMYFUNCTION("""COMPUTED_VALUE"""),"")</f>
        <v/>
      </c>
      <c r="V579" t="str">
        <f ca="1">IFERROR(__xludf.DUMMYFUNCTION("""COMPUTED_VALUE"""),"")</f>
        <v/>
      </c>
      <c r="W579" t="str">
        <f ca="1">IFERROR(__xludf.DUMMYFUNCTION("""COMPUTED_VALUE"""),"")</f>
        <v/>
      </c>
      <c r="X579" t="str">
        <f ca="1">IFERROR(__xludf.DUMMYFUNCTION("""COMPUTED_VALUE"""),"")</f>
        <v/>
      </c>
      <c r="Y579" t="str">
        <f ca="1">IFERROR(__xludf.DUMMYFUNCTION("""COMPUTED_VALUE"""),"")</f>
        <v/>
      </c>
      <c r="Z579" t="str">
        <f ca="1">IFERROR(__xludf.DUMMYFUNCTION("""COMPUTED_VALUE"""),"")</f>
        <v/>
      </c>
      <c r="AA579" t="str">
        <f ca="1">IFERROR(__xludf.DUMMYFUNCTION("""COMPUTED_VALUE"""),"Pas de commande")</f>
        <v>Pas de commande</v>
      </c>
      <c r="AB579" s="8" t="str">
        <f ca="1">IFERROR(__xludf.DUMMYFUNCTION("""COMPUTED_VALUE"""),"")</f>
        <v/>
      </c>
      <c r="AC579" s="8" t="str">
        <f ca="1">IFERROR(__xludf.DUMMYFUNCTION("""COMPUTED_VALUE"""),"")</f>
        <v/>
      </c>
      <c r="AD579" s="11" t="str">
        <f ca="1">IFERROR(__xludf.DUMMYFUNCTION("""COMPUTED_VALUE"""),"")</f>
        <v/>
      </c>
      <c r="AE579" t="str">
        <f ca="1">IFERROR(__xludf.DUMMYFUNCTION("""COMPUTED_VALUE"""),"")</f>
        <v/>
      </c>
    </row>
    <row r="580" spans="1:31" ht="12.75" x14ac:dyDescent="0.2">
      <c r="A580">
        <f ca="1">IFERROR(__xludf.DUMMYFUNCTION("""COMPUTED_VALUE"""),38508)</f>
        <v>38508</v>
      </c>
      <c r="B580" t="str">
        <f ca="1">IFERROR(__xludf.DUMMYFUNCTION("""COMPUTED_VALUE"""),"MAREIL-EN-CHAMPAGNE")</f>
        <v>MAREIL-EN-CHAMPAGNE</v>
      </c>
      <c r="C580" t="str">
        <f ca="1">IFERROR(__xludf.DUMMYFUNCTION("""COMPUTED_VALUE"""),"Super U")</f>
        <v>Super U</v>
      </c>
      <c r="D580" t="str">
        <f ca="1">IFERROR(__xludf.DUMMYFUNCTION("""COMPUTED_VALUE"""),"Coop U Enseigne Ouest")</f>
        <v>Coop U Enseigne Ouest</v>
      </c>
      <c r="E580">
        <f ca="1">IFERROR(__xludf.DUMMYFUNCTION("""COMPUTED_VALUE"""),72540)</f>
        <v>72540</v>
      </c>
      <c r="F580" t="str">
        <f ca="1">IFERROR(__xludf.DUMMYFUNCTION("""COMPUTED_VALUE"""),"LA GRANGE")</f>
        <v>LA GRANGE</v>
      </c>
      <c r="G580" t="str">
        <f ca="1">IFERROR(__xludf.DUMMYFUNCTION("""COMPUTED_VALUE"""),"02.43.88.63.42")</f>
        <v>02.43.88.63.42</v>
      </c>
      <c r="H580" t="str">
        <f ca="1">IFERROR(__xludf.DUMMYFUNCTION("""COMPUTED_VALUE"""),"ANDRE RPT SARL JPA INVEST Jean-Philippe")</f>
        <v>ANDRE RPT SARL JPA INVEST Jean-Philippe</v>
      </c>
      <c r="I580" t="str">
        <f ca="1">IFERROR(__xludf.DUMMYFUNCTION("""COMPUTED_VALUE"""),"jean-philippe.andre@systeme-u.fr")</f>
        <v>jean-philippe.andre@systeme-u.fr</v>
      </c>
      <c r="J580" t="str">
        <f ca="1">IFERROR(__xludf.DUMMYFUNCTION("""COMPUTED_VALUE"""),"")</f>
        <v/>
      </c>
      <c r="K580" t="str">
        <f ca="1">IFERROR(__xludf.DUMMYFUNCTION("""COMPUTED_VALUE"""),"")</f>
        <v/>
      </c>
      <c r="L580" t="str">
        <f ca="1">IFERROR(__xludf.DUMMYFUNCTION("""COMPUTED_VALUE"""),"")</f>
        <v/>
      </c>
      <c r="M580" t="str">
        <f ca="1">IFERROR(__xludf.DUMMYFUNCTION("""COMPUTED_VALUE"""),"99.Hors Périmetre")</f>
        <v>99.Hors Périmetre</v>
      </c>
      <c r="N580" t="str">
        <f ca="1">IFERROR(__xludf.DUMMYFUNCTION("""COMPUTED_VALUE"""),"")</f>
        <v/>
      </c>
      <c r="O580" t="str">
        <f ca="1">IFERROR(__xludf.DUMMYFUNCTION("""COMPUTED_VALUE"""),"")</f>
        <v/>
      </c>
      <c r="P580" t="str">
        <f ca="1">IFERROR(__xludf.DUMMYFUNCTION("""COMPUTED_VALUE"""),"")</f>
        <v/>
      </c>
      <c r="Q580" s="5" t="str">
        <f ca="1">IFERROR(__xludf.DUMMYFUNCTION("""COMPUTED_VALUE"""),"")</f>
        <v/>
      </c>
      <c r="R580" s="6" t="str">
        <f ca="1">IFERROR(__xludf.DUMMYFUNCTION("""COMPUTED_VALUE"""),"")</f>
        <v/>
      </c>
      <c r="S580" t="str">
        <f ca="1">IFERROR(__xludf.DUMMYFUNCTION("""COMPUTED_VALUE"""),"")</f>
        <v/>
      </c>
      <c r="T580" t="str">
        <f ca="1">IFERROR(__xludf.DUMMYFUNCTION("""COMPUTED_VALUE"""),"")</f>
        <v/>
      </c>
      <c r="U580" t="str">
        <f ca="1">IFERROR(__xludf.DUMMYFUNCTION("""COMPUTED_VALUE"""),"")</f>
        <v/>
      </c>
      <c r="V580" t="str">
        <f ca="1">IFERROR(__xludf.DUMMYFUNCTION("""COMPUTED_VALUE"""),"")</f>
        <v/>
      </c>
      <c r="W580" t="str">
        <f ca="1">IFERROR(__xludf.DUMMYFUNCTION("""COMPUTED_VALUE"""),"")</f>
        <v/>
      </c>
      <c r="X580" t="str">
        <f ca="1">IFERROR(__xludf.DUMMYFUNCTION("""COMPUTED_VALUE"""),"")</f>
        <v/>
      </c>
      <c r="Y580" t="str">
        <f ca="1">IFERROR(__xludf.DUMMYFUNCTION("""COMPUTED_VALUE"""),"")</f>
        <v/>
      </c>
      <c r="Z580" t="str">
        <f ca="1">IFERROR(__xludf.DUMMYFUNCTION("""COMPUTED_VALUE"""),"")</f>
        <v/>
      </c>
      <c r="AA580" t="str">
        <f ca="1">IFERROR(__xludf.DUMMYFUNCTION("""COMPUTED_VALUE"""),"Pas de commande")</f>
        <v>Pas de commande</v>
      </c>
      <c r="AB580" s="8" t="str">
        <f ca="1">IFERROR(__xludf.DUMMYFUNCTION("""COMPUTED_VALUE"""),"")</f>
        <v/>
      </c>
      <c r="AC580" s="8" t="str">
        <f ca="1">IFERROR(__xludf.DUMMYFUNCTION("""COMPUTED_VALUE"""),"")</f>
        <v/>
      </c>
      <c r="AD580" s="11" t="str">
        <f ca="1">IFERROR(__xludf.DUMMYFUNCTION("""COMPUTED_VALUE"""),"")</f>
        <v/>
      </c>
      <c r="AE580" t="str">
        <f ca="1">IFERROR(__xludf.DUMMYFUNCTION("""COMPUTED_VALUE"""),"")</f>
        <v/>
      </c>
    </row>
    <row r="581" spans="1:31" ht="12.75" x14ac:dyDescent="0.2">
      <c r="A581">
        <f ca="1">IFERROR(__xludf.DUMMYFUNCTION("""COMPUTED_VALUE"""),90472)</f>
        <v>90472</v>
      </c>
      <c r="B581" t="str">
        <f ca="1">IFERROR(__xludf.DUMMYFUNCTION("""COMPUTED_VALUE"""),"MARGUERITTES")</f>
        <v>MARGUERITTES</v>
      </c>
      <c r="C581" t="str">
        <f ca="1">IFERROR(__xludf.DUMMYFUNCTION("""COMPUTED_VALUE"""),"Super U")</f>
        <v>Super U</v>
      </c>
      <c r="D581" t="str">
        <f ca="1">IFERROR(__xludf.DUMMYFUNCTION("""COMPUTED_VALUE"""),"Coop U Enseigne Sud")</f>
        <v>Coop U Enseigne Sud</v>
      </c>
      <c r="E581">
        <f ca="1">IFERROR(__xludf.DUMMYFUNCTION("""COMPUTED_VALUE"""),30320)</f>
        <v>30320</v>
      </c>
      <c r="F581" t="str">
        <f ca="1">IFERROR(__xludf.DUMMYFUNCTION("""COMPUTED_VALUE"""),"58 AVENUE CLEMENT ADER")</f>
        <v>58 AVENUE CLEMENT ADER</v>
      </c>
      <c r="G581" t="str">
        <f ca="1">IFERROR(__xludf.DUMMYFUNCTION("""COMPUTED_VALUE"""),"04.66.75.68.68")</f>
        <v>04.66.75.68.68</v>
      </c>
      <c r="H581" t="str">
        <f ca="1">IFERROR(__xludf.DUMMYFUNCTION("""COMPUTED_VALUE"""),"BONNEMORT Alain")</f>
        <v>BONNEMORT Alain</v>
      </c>
      <c r="I581" t="str">
        <f ca="1">IFERROR(__xludf.DUMMYFUNCTION("""COMPUTED_VALUE"""),"alain.bonnemort@systeme-u.fr")</f>
        <v>alain.bonnemort@systeme-u.fr</v>
      </c>
      <c r="J581" t="str">
        <f ca="1">IFERROR(__xludf.DUMMYFUNCTION("""COMPUTED_VALUE"""),"BONNEMORT Corentin")</f>
        <v>BONNEMORT Corentin</v>
      </c>
      <c r="K581" t="str">
        <f ca="1">IFERROR(__xludf.DUMMYFUNCTION("""COMPUTED_VALUE"""),"corentin.bonnemort@systeme-u.fr")</f>
        <v>corentin.bonnemort@systeme-u.fr</v>
      </c>
      <c r="L581" t="str">
        <f ca="1">IFERROR(__xludf.DUMMYFUNCTION("""COMPUTED_VALUE"""),"")</f>
        <v/>
      </c>
      <c r="M581" t="str">
        <f ca="1">IFERROR(__xludf.DUMMYFUNCTION("""COMPUTED_VALUE"""),"99.Hors Périmetre")</f>
        <v>99.Hors Périmetre</v>
      </c>
      <c r="N581" t="str">
        <f ca="1">IFERROR(__xludf.DUMMYFUNCTION("""COMPUTED_VALUE"""),"")</f>
        <v/>
      </c>
      <c r="O581" t="str">
        <f ca="1">IFERROR(__xludf.DUMMYFUNCTION("""COMPUTED_VALUE"""),"")</f>
        <v/>
      </c>
      <c r="P581" t="str">
        <f ca="1">IFERROR(__xludf.DUMMYFUNCTION("""COMPUTED_VALUE"""),"")</f>
        <v/>
      </c>
      <c r="Q581" s="5" t="str">
        <f ca="1">IFERROR(__xludf.DUMMYFUNCTION("""COMPUTED_VALUE"""),"")</f>
        <v/>
      </c>
      <c r="R581" s="6" t="str">
        <f ca="1">IFERROR(__xludf.DUMMYFUNCTION("""COMPUTED_VALUE"""),"")</f>
        <v/>
      </c>
      <c r="S581" t="str">
        <f ca="1">IFERROR(__xludf.DUMMYFUNCTION("""COMPUTED_VALUE"""),"")</f>
        <v/>
      </c>
      <c r="T581" t="str">
        <f ca="1">IFERROR(__xludf.DUMMYFUNCTION("""COMPUTED_VALUE"""),"")</f>
        <v/>
      </c>
      <c r="U581" t="str">
        <f ca="1">IFERROR(__xludf.DUMMYFUNCTION("""COMPUTED_VALUE"""),"")</f>
        <v/>
      </c>
      <c r="V581" t="str">
        <f ca="1">IFERROR(__xludf.DUMMYFUNCTION("""COMPUTED_VALUE"""),"")</f>
        <v/>
      </c>
      <c r="W581" t="str">
        <f ca="1">IFERROR(__xludf.DUMMYFUNCTION("""COMPUTED_VALUE"""),"")</f>
        <v/>
      </c>
      <c r="X581" t="str">
        <f ca="1">IFERROR(__xludf.DUMMYFUNCTION("""COMPUTED_VALUE"""),"")</f>
        <v/>
      </c>
      <c r="Y581" t="str">
        <f ca="1">IFERROR(__xludf.DUMMYFUNCTION("""COMPUTED_VALUE"""),"")</f>
        <v/>
      </c>
      <c r="Z581" t="str">
        <f ca="1">IFERROR(__xludf.DUMMYFUNCTION("""COMPUTED_VALUE"""),"")</f>
        <v/>
      </c>
      <c r="AA581" t="str">
        <f ca="1">IFERROR(__xludf.DUMMYFUNCTION("""COMPUTED_VALUE"""),"Pas de commande")</f>
        <v>Pas de commande</v>
      </c>
      <c r="AB581" s="8" t="str">
        <f ca="1">IFERROR(__xludf.DUMMYFUNCTION("""COMPUTED_VALUE"""),"")</f>
        <v/>
      </c>
      <c r="AC581" s="8" t="str">
        <f ca="1">IFERROR(__xludf.DUMMYFUNCTION("""COMPUTED_VALUE"""),"")</f>
        <v/>
      </c>
      <c r="AD581" s="11" t="str">
        <f ca="1">IFERROR(__xludf.DUMMYFUNCTION("""COMPUTED_VALUE"""),"")</f>
        <v/>
      </c>
      <c r="AE581" t="str">
        <f ca="1">IFERROR(__xludf.DUMMYFUNCTION("""COMPUTED_VALUE"""),"")</f>
        <v/>
      </c>
    </row>
    <row r="582" spans="1:31" ht="12.75" x14ac:dyDescent="0.2">
      <c r="A582">
        <f ca="1">IFERROR(__xludf.DUMMYFUNCTION("""COMPUTED_VALUE"""),90728)</f>
        <v>90728</v>
      </c>
      <c r="B582" t="str">
        <f ca="1">IFERROR(__xludf.DUMMYFUNCTION("""COMPUTED_VALUE"""),"MARIGNANE")</f>
        <v>MARIGNANE</v>
      </c>
      <c r="C582" t="str">
        <f ca="1">IFERROR(__xludf.DUMMYFUNCTION("""COMPUTED_VALUE"""),"Utile")</f>
        <v>Utile</v>
      </c>
      <c r="D582" t="str">
        <f ca="1">IFERROR(__xludf.DUMMYFUNCTION("""COMPUTED_VALUE"""),"Coop MISTRAL")</f>
        <v>Coop MISTRAL</v>
      </c>
      <c r="E582">
        <f ca="1">IFERROR(__xludf.DUMMYFUNCTION("""COMPUTED_VALUE"""),13700)</f>
        <v>13700</v>
      </c>
      <c r="F582" t="str">
        <f ca="1">IFERROR(__xludf.DUMMYFUNCTION("""COMPUTED_VALUE"""),"6 AVENUE JEAN JAURES")</f>
        <v>6 AVENUE JEAN JAURES</v>
      </c>
      <c r="G582" t="str">
        <f ca="1">IFERROR(__xludf.DUMMYFUNCTION("""COMPUTED_VALUE"""),"04.42.07.57.45")</f>
        <v>04.42.07.57.45</v>
      </c>
      <c r="H582" t="str">
        <f ca="1">IFERROR(__xludf.DUMMYFUNCTION("""COMPUTED_VALUE"""),"CATALA Jean-Paul")</f>
        <v>CATALA Jean-Paul</v>
      </c>
      <c r="I582" t="str">
        <f ca="1">IFERROR(__xludf.DUMMYFUNCTION("""COMPUTED_VALUE"""),"")</f>
        <v/>
      </c>
      <c r="J582" t="str">
        <f ca="1">IFERROR(__xludf.DUMMYFUNCTION("""COMPUTED_VALUE"""),"#N/A")</f>
        <v>#N/A</v>
      </c>
      <c r="K582" t="str">
        <f ca="1">IFERROR(__xludf.DUMMYFUNCTION("""COMPUTED_VALUE"""),"#N/A")</f>
        <v>#N/A</v>
      </c>
      <c r="L582" t="str">
        <f ca="1">IFERROR(__xludf.DUMMYFUNCTION("""COMPUTED_VALUE"""),"")</f>
        <v/>
      </c>
      <c r="M582" t="str">
        <f ca="1">IFERROR(__xludf.DUMMYFUNCTION("""COMPUTED_VALUE"""),"99.Hors Périmetre")</f>
        <v>99.Hors Périmetre</v>
      </c>
      <c r="N582" t="str">
        <f ca="1">IFERROR(__xludf.DUMMYFUNCTION("""COMPUTED_VALUE"""),"")</f>
        <v/>
      </c>
      <c r="O582" t="str">
        <f ca="1">IFERROR(__xludf.DUMMYFUNCTION("""COMPUTED_VALUE"""),"")</f>
        <v/>
      </c>
      <c r="P582" t="str">
        <f ca="1">IFERROR(__xludf.DUMMYFUNCTION("""COMPUTED_VALUE"""),"")</f>
        <v/>
      </c>
      <c r="Q582" s="5" t="str">
        <f ca="1">IFERROR(__xludf.DUMMYFUNCTION("""COMPUTED_VALUE"""),"")</f>
        <v/>
      </c>
      <c r="R582" s="6" t="str">
        <f ca="1">IFERROR(__xludf.DUMMYFUNCTION("""COMPUTED_VALUE"""),"")</f>
        <v/>
      </c>
      <c r="S582" t="str">
        <f ca="1">IFERROR(__xludf.DUMMYFUNCTION("""COMPUTED_VALUE"""),"")</f>
        <v/>
      </c>
      <c r="T582" t="str">
        <f ca="1">IFERROR(__xludf.DUMMYFUNCTION("""COMPUTED_VALUE"""),"")</f>
        <v/>
      </c>
      <c r="U582" t="str">
        <f ca="1">IFERROR(__xludf.DUMMYFUNCTION("""COMPUTED_VALUE"""),"")</f>
        <v/>
      </c>
      <c r="V582" t="str">
        <f ca="1">IFERROR(__xludf.DUMMYFUNCTION("""COMPUTED_VALUE"""),"")</f>
        <v/>
      </c>
      <c r="W582" t="str">
        <f ca="1">IFERROR(__xludf.DUMMYFUNCTION("""COMPUTED_VALUE"""),"")</f>
        <v/>
      </c>
      <c r="X582" t="str">
        <f ca="1">IFERROR(__xludf.DUMMYFUNCTION("""COMPUTED_VALUE"""),"")</f>
        <v/>
      </c>
      <c r="Y582" t="str">
        <f ca="1">IFERROR(__xludf.DUMMYFUNCTION("""COMPUTED_VALUE"""),"")</f>
        <v/>
      </c>
      <c r="Z582" t="str">
        <f ca="1">IFERROR(__xludf.DUMMYFUNCTION("""COMPUTED_VALUE"""),"")</f>
        <v/>
      </c>
      <c r="AA582" t="str">
        <f ca="1">IFERROR(__xludf.DUMMYFUNCTION("""COMPUTED_VALUE"""),"Pas de commande")</f>
        <v>Pas de commande</v>
      </c>
      <c r="AB582" s="8" t="str">
        <f ca="1">IFERROR(__xludf.DUMMYFUNCTION("""COMPUTED_VALUE"""),"")</f>
        <v/>
      </c>
      <c r="AC582" s="8" t="str">
        <f ca="1">IFERROR(__xludf.DUMMYFUNCTION("""COMPUTED_VALUE"""),"")</f>
        <v/>
      </c>
      <c r="AD582" s="11" t="str">
        <f ca="1">IFERROR(__xludf.DUMMYFUNCTION("""COMPUTED_VALUE"""),"")</f>
        <v/>
      </c>
      <c r="AE582" t="str">
        <f ca="1">IFERROR(__xludf.DUMMYFUNCTION("""COMPUTED_VALUE"""),"")</f>
        <v/>
      </c>
    </row>
    <row r="583" spans="1:31" ht="12.75" x14ac:dyDescent="0.2">
      <c r="A583">
        <f ca="1">IFERROR(__xludf.DUMMYFUNCTION("""COMPUTED_VALUE"""),66096)</f>
        <v>66096</v>
      </c>
      <c r="B583" t="str">
        <f ca="1">IFERROR(__xludf.DUMMYFUNCTION("""COMPUTED_VALUE"""),"MARIGNIER")</f>
        <v>MARIGNIER</v>
      </c>
      <c r="C583" t="str">
        <f ca="1">IFERROR(__xludf.DUMMYFUNCTION("""COMPUTED_VALUE"""),"Super U")</f>
        <v>Super U</v>
      </c>
      <c r="D583" t="str">
        <f ca="1">IFERROR(__xludf.DUMMYFUNCTION("""COMPUTED_VALUE"""),"Coop U Enseigne Est")</f>
        <v>Coop U Enseigne Est</v>
      </c>
      <c r="E583">
        <f ca="1">IFERROR(__xludf.DUMMYFUNCTION("""COMPUTED_VALUE"""),74970)</f>
        <v>74970</v>
      </c>
      <c r="F583" t="str">
        <f ca="1">IFERROR(__xludf.DUMMYFUNCTION("""COMPUTED_VALUE"""),"40 RUE LES CLUS")</f>
        <v>40 RUE LES CLUS</v>
      </c>
      <c r="G583" t="str">
        <f ca="1">IFERROR(__xludf.DUMMYFUNCTION("""COMPUTED_VALUE"""),"04.50.34.59.70")</f>
        <v>04.50.34.59.70</v>
      </c>
      <c r="H583" t="str">
        <f ca="1">IFERROR(__xludf.DUMMYFUNCTION("""COMPUTED_VALUE"""),"GONNACHON Boris")</f>
        <v>GONNACHON Boris</v>
      </c>
      <c r="I583" t="str">
        <f ca="1">IFERROR(__xludf.DUMMYFUNCTION("""COMPUTED_VALUE"""),"boris.gonnachon@systeme-u.fr")</f>
        <v>boris.gonnachon@systeme-u.fr</v>
      </c>
      <c r="J583" t="str">
        <f ca="1">IFERROR(__xludf.DUMMYFUNCTION("""COMPUTED_VALUE"""),"M LEGAY")</f>
        <v>M LEGAY</v>
      </c>
      <c r="K583" t="str">
        <f ca="1">IFERROR(__xludf.DUMMYFUNCTION("""COMPUTED_VALUE"""),"superu.marignier.directeur@systeme-u.fr")</f>
        <v>superu.marignier.directeur@systeme-u.fr</v>
      </c>
      <c r="L583" t="str">
        <f ca="1">IFERROR(__xludf.DUMMYFUNCTION("""COMPUTED_VALUE"""),"")</f>
        <v/>
      </c>
      <c r="M583" t="str">
        <f ca="1">IFERROR(__xludf.DUMMYFUNCTION("""COMPUTED_VALUE"""),"99.Hors Périmetre")</f>
        <v>99.Hors Périmetre</v>
      </c>
      <c r="N583" t="str">
        <f ca="1">IFERROR(__xludf.DUMMYFUNCTION("""COMPUTED_VALUE"""),"")</f>
        <v/>
      </c>
      <c r="O583" t="str">
        <f ca="1">IFERROR(__xludf.DUMMYFUNCTION("""COMPUTED_VALUE"""),"")</f>
        <v/>
      </c>
      <c r="P583" t="str">
        <f ca="1">IFERROR(__xludf.DUMMYFUNCTION("""COMPUTED_VALUE"""),"")</f>
        <v/>
      </c>
      <c r="Q583" s="5" t="str">
        <f ca="1">IFERROR(__xludf.DUMMYFUNCTION("""COMPUTED_VALUE"""),"")</f>
        <v/>
      </c>
      <c r="R583" s="6" t="str">
        <f ca="1">IFERROR(__xludf.DUMMYFUNCTION("""COMPUTED_VALUE"""),"")</f>
        <v/>
      </c>
      <c r="S583" t="str">
        <f ca="1">IFERROR(__xludf.DUMMYFUNCTION("""COMPUTED_VALUE"""),"")</f>
        <v/>
      </c>
      <c r="T583" t="str">
        <f ca="1">IFERROR(__xludf.DUMMYFUNCTION("""COMPUTED_VALUE"""),"")</f>
        <v/>
      </c>
      <c r="U583" t="str">
        <f ca="1">IFERROR(__xludf.DUMMYFUNCTION("""COMPUTED_VALUE"""),"")</f>
        <v/>
      </c>
      <c r="V583" t="str">
        <f ca="1">IFERROR(__xludf.DUMMYFUNCTION("""COMPUTED_VALUE"""),"")</f>
        <v/>
      </c>
      <c r="W583" t="str">
        <f ca="1">IFERROR(__xludf.DUMMYFUNCTION("""COMPUTED_VALUE"""),"")</f>
        <v/>
      </c>
      <c r="X583" t="str">
        <f ca="1">IFERROR(__xludf.DUMMYFUNCTION("""COMPUTED_VALUE"""),"")</f>
        <v/>
      </c>
      <c r="Y583" t="str">
        <f ca="1">IFERROR(__xludf.DUMMYFUNCTION("""COMPUTED_VALUE"""),"")</f>
        <v/>
      </c>
      <c r="Z583" t="str">
        <f ca="1">IFERROR(__xludf.DUMMYFUNCTION("""COMPUTED_VALUE"""),"")</f>
        <v/>
      </c>
      <c r="AA583" t="str">
        <f ca="1">IFERROR(__xludf.DUMMYFUNCTION("""COMPUTED_VALUE"""),"Pas de commande")</f>
        <v>Pas de commande</v>
      </c>
      <c r="AB583" s="8" t="str">
        <f ca="1">IFERROR(__xludf.DUMMYFUNCTION("""COMPUTED_VALUE"""),"")</f>
        <v/>
      </c>
      <c r="AC583" s="8" t="str">
        <f ca="1">IFERROR(__xludf.DUMMYFUNCTION("""COMPUTED_VALUE"""),"")</f>
        <v/>
      </c>
      <c r="AD583" s="11" t="str">
        <f ca="1">IFERROR(__xludf.DUMMYFUNCTION("""COMPUTED_VALUE"""),"")</f>
        <v/>
      </c>
      <c r="AE583" t="str">
        <f ca="1">IFERROR(__xludf.DUMMYFUNCTION("""COMPUTED_VALUE"""),"")</f>
        <v/>
      </c>
    </row>
    <row r="584" spans="1:31" ht="12.75" x14ac:dyDescent="0.2">
      <c r="A584">
        <f ca="1">IFERROR(__xludf.DUMMYFUNCTION("""COMPUTED_VALUE"""),36327)</f>
        <v>36327</v>
      </c>
      <c r="B584" t="str">
        <f ca="1">IFERROR(__xludf.DUMMYFUNCTION("""COMPUTED_VALUE"""),"MAROLLES-LES-BRAULTS")</f>
        <v>MAROLLES-LES-BRAULTS</v>
      </c>
      <c r="C584" t="str">
        <f ca="1">IFERROR(__xludf.DUMMYFUNCTION("""COMPUTED_VALUE"""),"U Express")</f>
        <v>U Express</v>
      </c>
      <c r="D584" t="str">
        <f ca="1">IFERROR(__xludf.DUMMYFUNCTION("""COMPUTED_VALUE"""),"Coop U Enseigne Ouest")</f>
        <v>Coop U Enseigne Ouest</v>
      </c>
      <c r="E584">
        <f ca="1">IFERROR(__xludf.DUMMYFUNCTION("""COMPUTED_VALUE"""),72260)</f>
        <v>72260</v>
      </c>
      <c r="F584" t="str">
        <f ca="1">IFERROR(__xludf.DUMMYFUNCTION("""COMPUTED_VALUE"""),"15 À 17 RUE MOHAIN")</f>
        <v>15 À 17 RUE MOHAIN</v>
      </c>
      <c r="G584" t="str">
        <f ca="1">IFERROR(__xludf.DUMMYFUNCTION("""COMPUTED_VALUE"""),"02.43.31.15.00")</f>
        <v>02.43.31.15.00</v>
      </c>
      <c r="H584" t="str">
        <f ca="1">IFERROR(__xludf.DUMMYFUNCTION("""COMPUTED_VALUE"""),"GUERANGER Patrick")</f>
        <v>GUERANGER Patrick</v>
      </c>
      <c r="I584" t="str">
        <f ca="1">IFERROR(__xludf.DUMMYFUNCTION("""COMPUTED_VALUE"""),"patrick.gueranger@systeme-u.fr")</f>
        <v>patrick.gueranger@systeme-u.fr</v>
      </c>
      <c r="J584" t="str">
        <f ca="1">IFERROR(__xludf.DUMMYFUNCTION("""COMPUTED_VALUE"""),"Edith Launay")</f>
        <v>Edith Launay</v>
      </c>
      <c r="K584" t="str">
        <f ca="1">IFERROR(__xludf.DUMMYFUNCTION("""COMPUTED_VALUE"""),"uexpress.marolleslesbraults.compta@systeme-u.fr")</f>
        <v>uexpress.marolleslesbraults.compta@systeme-u.fr</v>
      </c>
      <c r="L584" t="str">
        <f ca="1">IFERROR(__xludf.DUMMYFUNCTION("""COMPUTED_VALUE"""),"")</f>
        <v/>
      </c>
      <c r="M584" t="str">
        <f ca="1">IFERROR(__xludf.DUMMYFUNCTION("""COMPUTED_VALUE"""),"99.Hors Périmetre")</f>
        <v>99.Hors Périmetre</v>
      </c>
      <c r="N584" t="str">
        <f ca="1">IFERROR(__xludf.DUMMYFUNCTION("""COMPUTED_VALUE"""),"")</f>
        <v/>
      </c>
      <c r="O584" t="str">
        <f ca="1">IFERROR(__xludf.DUMMYFUNCTION("""COMPUTED_VALUE"""),"")</f>
        <v/>
      </c>
      <c r="P584" t="str">
        <f ca="1">IFERROR(__xludf.DUMMYFUNCTION("""COMPUTED_VALUE"""),"")</f>
        <v/>
      </c>
      <c r="Q584" s="5" t="str">
        <f ca="1">IFERROR(__xludf.DUMMYFUNCTION("""COMPUTED_VALUE"""),"")</f>
        <v/>
      </c>
      <c r="R584" s="6" t="str">
        <f ca="1">IFERROR(__xludf.DUMMYFUNCTION("""COMPUTED_VALUE"""),"")</f>
        <v/>
      </c>
      <c r="S584" t="str">
        <f ca="1">IFERROR(__xludf.DUMMYFUNCTION("""COMPUTED_VALUE"""),"")</f>
        <v/>
      </c>
      <c r="T584" t="str">
        <f ca="1">IFERROR(__xludf.DUMMYFUNCTION("""COMPUTED_VALUE"""),"")</f>
        <v/>
      </c>
      <c r="U584" t="str">
        <f ca="1">IFERROR(__xludf.DUMMYFUNCTION("""COMPUTED_VALUE"""),"")</f>
        <v/>
      </c>
      <c r="V584" t="str">
        <f ca="1">IFERROR(__xludf.DUMMYFUNCTION("""COMPUTED_VALUE"""),"")</f>
        <v/>
      </c>
      <c r="W584" t="str">
        <f ca="1">IFERROR(__xludf.DUMMYFUNCTION("""COMPUTED_VALUE"""),"")</f>
        <v/>
      </c>
      <c r="X584" t="str">
        <f ca="1">IFERROR(__xludf.DUMMYFUNCTION("""COMPUTED_VALUE"""),"")</f>
        <v/>
      </c>
      <c r="Y584" t="str">
        <f ca="1">IFERROR(__xludf.DUMMYFUNCTION("""COMPUTED_VALUE"""),"")</f>
        <v/>
      </c>
      <c r="Z584" t="str">
        <f ca="1">IFERROR(__xludf.DUMMYFUNCTION("""COMPUTED_VALUE"""),"")</f>
        <v/>
      </c>
      <c r="AA584" t="str">
        <f ca="1">IFERROR(__xludf.DUMMYFUNCTION("""COMPUTED_VALUE"""),"Pas de commande")</f>
        <v>Pas de commande</v>
      </c>
      <c r="AB584" s="8" t="str">
        <f ca="1">IFERROR(__xludf.DUMMYFUNCTION("""COMPUTED_VALUE"""),"")</f>
        <v/>
      </c>
      <c r="AC584" s="8" t="str">
        <f ca="1">IFERROR(__xludf.DUMMYFUNCTION("""COMPUTED_VALUE"""),"")</f>
        <v/>
      </c>
      <c r="AD584" s="11" t="str">
        <f ca="1">IFERROR(__xludf.DUMMYFUNCTION("""COMPUTED_VALUE"""),"")</f>
        <v/>
      </c>
      <c r="AE584" t="str">
        <f ca="1">IFERROR(__xludf.DUMMYFUNCTION("""COMPUTED_VALUE"""),"")</f>
        <v/>
      </c>
    </row>
    <row r="585" spans="1:31" ht="12.75" x14ac:dyDescent="0.2">
      <c r="A585">
        <f ca="1">IFERROR(__xludf.DUMMYFUNCTION("""COMPUTED_VALUE"""),22216)</f>
        <v>22216</v>
      </c>
      <c r="B585" t="str">
        <f ca="1">IFERROR(__xludf.DUMMYFUNCTION("""COMPUTED_VALUE"""),"MAROMME")</f>
        <v>MAROMME</v>
      </c>
      <c r="C585" t="str">
        <f ca="1">IFERROR(__xludf.DUMMYFUNCTION("""COMPUTED_VALUE"""),"Super U")</f>
        <v>Super U</v>
      </c>
      <c r="D585" t="str">
        <f ca="1">IFERROR(__xludf.DUMMYFUNCTION("""COMPUTED_VALUE"""),"Coop U Enseigne NordOuest")</f>
        <v>Coop U Enseigne NordOuest</v>
      </c>
      <c r="E585">
        <f ca="1">IFERROR(__xludf.DUMMYFUNCTION("""COMPUTED_VALUE"""),76150)</f>
        <v>76150</v>
      </c>
      <c r="F585" t="str">
        <f ca="1">IFERROR(__xludf.DUMMYFUNCTION("""COMPUTED_VALUE"""),"RUE DES MARTYRS DE LA RÉSISTANCE")</f>
        <v>RUE DES MARTYRS DE LA RÉSISTANCE</v>
      </c>
      <c r="G585" t="str">
        <f ca="1">IFERROR(__xludf.DUMMYFUNCTION("""COMPUTED_VALUE"""),"02.32.82.88.50")</f>
        <v>02.32.82.88.50</v>
      </c>
      <c r="H585" t="str">
        <f ca="1">IFERROR(__xludf.DUMMYFUNCTION("""COMPUTED_VALUE"""),"DIERICK (SUNO) Sébastien")</f>
        <v>DIERICK (SUNO) Sébastien</v>
      </c>
      <c r="I585" t="str">
        <f ca="1">IFERROR(__xludf.DUMMYFUNCTION("""COMPUTED_VALUE"""),"vincent.renaud@systeme-u.fr")</f>
        <v>vincent.renaud@systeme-u.fr</v>
      </c>
      <c r="J585" t="str">
        <f ca="1">IFERROR(__xludf.DUMMYFUNCTION("""COMPUTED_VALUE"""),"M. Vincent Renaud")</f>
        <v>M. Vincent Renaud</v>
      </c>
      <c r="K585" t="str">
        <f ca="1">IFERROR(__xludf.DUMMYFUNCTION("""COMPUTED_VALUE"""),"vincent.renaud@systeme-u.fr")</f>
        <v>vincent.renaud@systeme-u.fr</v>
      </c>
      <c r="L585" t="str">
        <f ca="1">IFERROR(__xludf.DUMMYFUNCTION("""COMPUTED_VALUE"""),"")</f>
        <v/>
      </c>
      <c r="M585" t="str">
        <f ca="1">IFERROR(__xludf.DUMMYFUNCTION("""COMPUTED_VALUE"""),"99.Hors Périmetre")</f>
        <v>99.Hors Périmetre</v>
      </c>
      <c r="N585" t="str">
        <f ca="1">IFERROR(__xludf.DUMMYFUNCTION("""COMPUTED_VALUE"""),"")</f>
        <v/>
      </c>
      <c r="O585" t="str">
        <f ca="1">IFERROR(__xludf.DUMMYFUNCTION("""COMPUTED_VALUE"""),"")</f>
        <v/>
      </c>
      <c r="P585" t="str">
        <f ca="1">IFERROR(__xludf.DUMMYFUNCTION("""COMPUTED_VALUE"""),"")</f>
        <v/>
      </c>
      <c r="Q585" s="5" t="str">
        <f ca="1">IFERROR(__xludf.DUMMYFUNCTION("""COMPUTED_VALUE"""),"")</f>
        <v/>
      </c>
      <c r="R585" s="6" t="str">
        <f ca="1">IFERROR(__xludf.DUMMYFUNCTION("""COMPUTED_VALUE"""),"")</f>
        <v/>
      </c>
      <c r="S585" t="str">
        <f ca="1">IFERROR(__xludf.DUMMYFUNCTION("""COMPUTED_VALUE"""),"")</f>
        <v/>
      </c>
      <c r="T585" t="str">
        <f ca="1">IFERROR(__xludf.DUMMYFUNCTION("""COMPUTED_VALUE"""),"")</f>
        <v/>
      </c>
      <c r="U585" t="str">
        <f ca="1">IFERROR(__xludf.DUMMYFUNCTION("""COMPUTED_VALUE"""),"")</f>
        <v/>
      </c>
      <c r="V585" t="str">
        <f ca="1">IFERROR(__xludf.DUMMYFUNCTION("""COMPUTED_VALUE"""),"")</f>
        <v/>
      </c>
      <c r="W585" t="str">
        <f ca="1">IFERROR(__xludf.DUMMYFUNCTION("""COMPUTED_VALUE"""),"")</f>
        <v/>
      </c>
      <c r="X585" t="str">
        <f ca="1">IFERROR(__xludf.DUMMYFUNCTION("""COMPUTED_VALUE"""),"")</f>
        <v/>
      </c>
      <c r="Y585" t="str">
        <f ca="1">IFERROR(__xludf.DUMMYFUNCTION("""COMPUTED_VALUE"""),"")</f>
        <v/>
      </c>
      <c r="Z585" t="str">
        <f ca="1">IFERROR(__xludf.DUMMYFUNCTION("""COMPUTED_VALUE"""),"")</f>
        <v/>
      </c>
      <c r="AA585" t="str">
        <f ca="1">IFERROR(__xludf.DUMMYFUNCTION("""COMPUTED_VALUE"""),"Pas de commande")</f>
        <v>Pas de commande</v>
      </c>
      <c r="AB585" s="8" t="str">
        <f ca="1">IFERROR(__xludf.DUMMYFUNCTION("""COMPUTED_VALUE"""),"")</f>
        <v/>
      </c>
      <c r="AC585" s="8" t="str">
        <f ca="1">IFERROR(__xludf.DUMMYFUNCTION("""COMPUTED_VALUE"""),"")</f>
        <v/>
      </c>
      <c r="AD585" s="11" t="str">
        <f ca="1">IFERROR(__xludf.DUMMYFUNCTION("""COMPUTED_VALUE"""),"")</f>
        <v/>
      </c>
      <c r="AE585" t="str">
        <f ca="1">IFERROR(__xludf.DUMMYFUNCTION("""COMPUTED_VALUE"""),"")</f>
        <v/>
      </c>
    </row>
    <row r="586" spans="1:31" ht="12.75" x14ac:dyDescent="0.2">
      <c r="A586">
        <f ca="1">IFERROR(__xludf.DUMMYFUNCTION("""COMPUTED_VALUE"""),90617)</f>
        <v>90617</v>
      </c>
      <c r="B586" t="str">
        <f ca="1">IFERROR(__xludf.DUMMYFUNCTION("""COMPUTED_VALUE"""),"MARSEILLE CHUTES LAVIE")</f>
        <v>MARSEILLE CHUTES LAVIE</v>
      </c>
      <c r="C586" t="str">
        <f ca="1">IFERROR(__xludf.DUMMYFUNCTION("""COMPUTED_VALUE"""),"U Express")</f>
        <v>U Express</v>
      </c>
      <c r="D586" t="str">
        <f ca="1">IFERROR(__xludf.DUMMYFUNCTION("""COMPUTED_VALUE"""),"Coop MISTRAL")</f>
        <v>Coop MISTRAL</v>
      </c>
      <c r="E586">
        <f ca="1">IFERROR(__xludf.DUMMYFUNCTION("""COMPUTED_VALUE"""),13004)</f>
        <v>13004</v>
      </c>
      <c r="F586" t="str">
        <f ca="1">IFERROR(__xludf.DUMMYFUNCTION("""COMPUTED_VALUE"""),"25 AVENUE CHUTES LAVIE")</f>
        <v>25 AVENUE CHUTES LAVIE</v>
      </c>
      <c r="G586" t="str">
        <f ca="1">IFERROR(__xludf.DUMMYFUNCTION("""COMPUTED_VALUE"""),"04.91.50.86.40")</f>
        <v>04.91.50.86.40</v>
      </c>
      <c r="H586" t="str">
        <f ca="1">IFERROR(__xludf.DUMMYFUNCTION("""COMPUTED_VALUE"""),"MARCAINI Luc")</f>
        <v>MARCAINI Luc</v>
      </c>
      <c r="I586" t="str">
        <f ca="1">IFERROR(__xludf.DUMMYFUNCTION("""COMPUTED_VALUE"""),"luc.marcaini@wanadoo.fr")</f>
        <v>luc.marcaini@wanadoo.fr</v>
      </c>
      <c r="J586" t="str">
        <f ca="1">IFERROR(__xludf.DUMMYFUNCTION("""COMPUTED_VALUE"""),"")</f>
        <v/>
      </c>
      <c r="K586" t="str">
        <f ca="1">IFERROR(__xludf.DUMMYFUNCTION("""COMPUTED_VALUE"""),"delphine.damian@lemistral.fr,helene.mina@lemistral.fr")</f>
        <v>delphine.damian@lemistral.fr,helene.mina@lemistral.fr</v>
      </c>
      <c r="L586" t="str">
        <f ca="1">IFERROR(__xludf.DUMMYFUNCTION("""COMPUTED_VALUE"""),"")</f>
        <v/>
      </c>
      <c r="M586" t="str">
        <f ca="1">IFERROR(__xludf.DUMMYFUNCTION("""COMPUTED_VALUE"""),"99.Hors Périmetre")</f>
        <v>99.Hors Périmetre</v>
      </c>
      <c r="N586" t="str">
        <f ca="1">IFERROR(__xludf.DUMMYFUNCTION("""COMPUTED_VALUE"""),"")</f>
        <v/>
      </c>
      <c r="O586" t="str">
        <f ca="1">IFERROR(__xludf.DUMMYFUNCTION("""COMPUTED_VALUE"""),"")</f>
        <v/>
      </c>
      <c r="P586" t="str">
        <f ca="1">IFERROR(__xludf.DUMMYFUNCTION("""COMPUTED_VALUE"""),"")</f>
        <v/>
      </c>
      <c r="Q586" s="5" t="str">
        <f ca="1">IFERROR(__xludf.DUMMYFUNCTION("""COMPUTED_VALUE"""),"")</f>
        <v/>
      </c>
      <c r="R586" s="6" t="str">
        <f ca="1">IFERROR(__xludf.DUMMYFUNCTION("""COMPUTED_VALUE"""),"")</f>
        <v/>
      </c>
      <c r="S586" t="str">
        <f ca="1">IFERROR(__xludf.DUMMYFUNCTION("""COMPUTED_VALUE"""),"")</f>
        <v/>
      </c>
      <c r="T586" t="str">
        <f ca="1">IFERROR(__xludf.DUMMYFUNCTION("""COMPUTED_VALUE"""),"")</f>
        <v/>
      </c>
      <c r="U586" t="str">
        <f ca="1">IFERROR(__xludf.DUMMYFUNCTION("""COMPUTED_VALUE"""),"")</f>
        <v/>
      </c>
      <c r="V586" t="str">
        <f ca="1">IFERROR(__xludf.DUMMYFUNCTION("""COMPUTED_VALUE"""),"")</f>
        <v/>
      </c>
      <c r="W586" t="str">
        <f ca="1">IFERROR(__xludf.DUMMYFUNCTION("""COMPUTED_VALUE"""),"")</f>
        <v/>
      </c>
      <c r="X586" t="str">
        <f ca="1">IFERROR(__xludf.DUMMYFUNCTION("""COMPUTED_VALUE"""),"")</f>
        <v/>
      </c>
      <c r="Y586" t="str">
        <f ca="1">IFERROR(__xludf.DUMMYFUNCTION("""COMPUTED_VALUE"""),"")</f>
        <v/>
      </c>
      <c r="Z586" t="str">
        <f ca="1">IFERROR(__xludf.DUMMYFUNCTION("""COMPUTED_VALUE"""),"")</f>
        <v/>
      </c>
      <c r="AA586" t="str">
        <f ca="1">IFERROR(__xludf.DUMMYFUNCTION("""COMPUTED_VALUE"""),"Pas de commande")</f>
        <v>Pas de commande</v>
      </c>
      <c r="AB586" s="8" t="str">
        <f ca="1">IFERROR(__xludf.DUMMYFUNCTION("""COMPUTED_VALUE"""),"")</f>
        <v/>
      </c>
      <c r="AC586" s="8" t="str">
        <f ca="1">IFERROR(__xludf.DUMMYFUNCTION("""COMPUTED_VALUE"""),"")</f>
        <v/>
      </c>
      <c r="AD586" s="11" t="str">
        <f ca="1">IFERROR(__xludf.DUMMYFUNCTION("""COMPUTED_VALUE"""),"")</f>
        <v/>
      </c>
      <c r="AE586" t="str">
        <f ca="1">IFERROR(__xludf.DUMMYFUNCTION("""COMPUTED_VALUE"""),"")</f>
        <v/>
      </c>
    </row>
    <row r="587" spans="1:31" ht="12.75" x14ac:dyDescent="0.2">
      <c r="A587">
        <f ca="1">IFERROR(__xludf.DUMMYFUNCTION("""COMPUTED_VALUE"""),90174)</f>
        <v>90174</v>
      </c>
      <c r="B587" t="str">
        <f ca="1">IFERROR(__xludf.DUMMYFUNCTION("""COMPUTED_VALUE"""),"MARSEILLE E.PIERRE")</f>
        <v>MARSEILLE E.PIERRE</v>
      </c>
      <c r="C587" t="str">
        <f ca="1">IFERROR(__xludf.DUMMYFUNCTION("""COMPUTED_VALUE"""),"U Express")</f>
        <v>U Express</v>
      </c>
      <c r="D587" t="str">
        <f ca="1">IFERROR(__xludf.DUMMYFUNCTION("""COMPUTED_VALUE"""),"Coop U Enseigne Sud")</f>
        <v>Coop U Enseigne Sud</v>
      </c>
      <c r="E587">
        <f ca="1">IFERROR(__xludf.DUMMYFUNCTION("""COMPUTED_VALUE"""),13005)</f>
        <v>13005</v>
      </c>
      <c r="F587" t="str">
        <f ca="1">IFERROR(__xludf.DUMMYFUNCTION("""COMPUTED_VALUE"""),"77 BOULEVARD EUGENE PIERRE")</f>
        <v>77 BOULEVARD EUGENE PIERRE</v>
      </c>
      <c r="G587" t="str">
        <f ca="1">IFERROR(__xludf.DUMMYFUNCTION("""COMPUTED_VALUE"""),"04.96.12.12.30")</f>
        <v>04.96.12.12.30</v>
      </c>
      <c r="H587" t="str">
        <f ca="1">IFERROR(__xludf.DUMMYFUNCTION("""COMPUTED_VALUE"""),"GUENOUN Michel")</f>
        <v>GUENOUN Michel</v>
      </c>
      <c r="I587" t="str">
        <f ca="1">IFERROR(__xludf.DUMMYFUNCTION("""COMPUTED_VALUE"""),"michel.guenoun@systeme-u.fr")</f>
        <v>michel.guenoun@systeme-u.fr</v>
      </c>
      <c r="J587" t="str">
        <f ca="1">IFERROR(__xludf.DUMMYFUNCTION("""COMPUTED_VALUE"""),"Mme HERNANDEZ 
Mme ALONZO")</f>
        <v>Mme HERNANDEZ 
Mme ALONZO</v>
      </c>
      <c r="K587" t="str">
        <f ca="1">IFERROR(__xludf.DUMMYFUNCTION("""COMPUTED_VALUE"""),"groupe.guenoun.gestion@systeme-u.fr,groupe.guenoun.direction@systeme-u.fr")</f>
        <v>groupe.guenoun.gestion@systeme-u.fr,groupe.guenoun.direction@systeme-u.fr</v>
      </c>
      <c r="L587" t="str">
        <f ca="1">IFERROR(__xludf.DUMMYFUNCTION("""COMPUTED_VALUE"""),"")</f>
        <v/>
      </c>
      <c r="M587" t="str">
        <f ca="1">IFERROR(__xludf.DUMMYFUNCTION("""COMPUTED_VALUE"""),"99.Hors Périmetre")</f>
        <v>99.Hors Périmetre</v>
      </c>
      <c r="N587" t="str">
        <f ca="1">IFERROR(__xludf.DUMMYFUNCTION("""COMPUTED_VALUE"""),"")</f>
        <v/>
      </c>
      <c r="O587" t="str">
        <f ca="1">IFERROR(__xludf.DUMMYFUNCTION("""COMPUTED_VALUE"""),"")</f>
        <v/>
      </c>
      <c r="P587" t="str">
        <f ca="1">IFERROR(__xludf.DUMMYFUNCTION("""COMPUTED_VALUE"""),"")</f>
        <v/>
      </c>
      <c r="Q587" s="5" t="str">
        <f ca="1">IFERROR(__xludf.DUMMYFUNCTION("""COMPUTED_VALUE"""),"")</f>
        <v/>
      </c>
      <c r="R587" s="6" t="str">
        <f ca="1">IFERROR(__xludf.DUMMYFUNCTION("""COMPUTED_VALUE"""),"")</f>
        <v/>
      </c>
      <c r="S587" t="str">
        <f ca="1">IFERROR(__xludf.DUMMYFUNCTION("""COMPUTED_VALUE"""),"")</f>
        <v/>
      </c>
      <c r="T587" t="str">
        <f ca="1">IFERROR(__xludf.DUMMYFUNCTION("""COMPUTED_VALUE"""),"")</f>
        <v/>
      </c>
      <c r="U587" t="str">
        <f ca="1">IFERROR(__xludf.DUMMYFUNCTION("""COMPUTED_VALUE"""),"")</f>
        <v/>
      </c>
      <c r="V587" t="str">
        <f ca="1">IFERROR(__xludf.DUMMYFUNCTION("""COMPUTED_VALUE"""),"")</f>
        <v/>
      </c>
      <c r="W587" t="str">
        <f ca="1">IFERROR(__xludf.DUMMYFUNCTION("""COMPUTED_VALUE"""),"")</f>
        <v/>
      </c>
      <c r="X587" t="str">
        <f ca="1">IFERROR(__xludf.DUMMYFUNCTION("""COMPUTED_VALUE"""),"")</f>
        <v/>
      </c>
      <c r="Y587" t="str">
        <f ca="1">IFERROR(__xludf.DUMMYFUNCTION("""COMPUTED_VALUE"""),"")</f>
        <v/>
      </c>
      <c r="Z587" t="str">
        <f ca="1">IFERROR(__xludf.DUMMYFUNCTION("""COMPUTED_VALUE"""),"")</f>
        <v/>
      </c>
      <c r="AA587" t="str">
        <f ca="1">IFERROR(__xludf.DUMMYFUNCTION("""COMPUTED_VALUE"""),"Pas de commande")</f>
        <v>Pas de commande</v>
      </c>
      <c r="AB587" s="8" t="str">
        <f ca="1">IFERROR(__xludf.DUMMYFUNCTION("""COMPUTED_VALUE"""),"")</f>
        <v/>
      </c>
      <c r="AC587" s="8" t="str">
        <f ca="1">IFERROR(__xludf.DUMMYFUNCTION("""COMPUTED_VALUE"""),"")</f>
        <v/>
      </c>
      <c r="AD587" s="11" t="str">
        <f ca="1">IFERROR(__xludf.DUMMYFUNCTION("""COMPUTED_VALUE"""),"")</f>
        <v/>
      </c>
      <c r="AE587" t="str">
        <f ca="1">IFERROR(__xludf.DUMMYFUNCTION("""COMPUTED_VALUE"""),"")</f>
        <v/>
      </c>
    </row>
    <row r="588" spans="1:31" ht="12.75" x14ac:dyDescent="0.2">
      <c r="A588">
        <f ca="1">IFERROR(__xludf.DUMMYFUNCTION("""COMPUTED_VALUE"""),90639)</f>
        <v>90639</v>
      </c>
      <c r="B588" t="str">
        <f ca="1">IFERROR(__xludf.DUMMYFUNCTION("""COMPUTED_VALUE"""),"MARSEILLE GRAND RUE")</f>
        <v>MARSEILLE GRAND RUE</v>
      </c>
      <c r="C588" t="str">
        <f ca="1">IFERROR(__xludf.DUMMYFUNCTION("""COMPUTED_VALUE"""),"U Express")</f>
        <v>U Express</v>
      </c>
      <c r="D588" t="str">
        <f ca="1">IFERROR(__xludf.DUMMYFUNCTION("""COMPUTED_VALUE"""),"Coop MISTRAL")</f>
        <v>Coop MISTRAL</v>
      </c>
      <c r="E588">
        <f ca="1">IFERROR(__xludf.DUMMYFUNCTION("""COMPUTED_VALUE"""),13002)</f>
        <v>13002</v>
      </c>
      <c r="F588" t="str">
        <f ca="1">IFERROR(__xludf.DUMMYFUNCTION("""COMPUTED_VALUE"""),"8 10 GRAND RUE")</f>
        <v>8 10 GRAND RUE</v>
      </c>
      <c r="G588" t="str">
        <f ca="1">IFERROR(__xludf.DUMMYFUNCTION("""COMPUTED_VALUE"""),"04.91.90.34.26")</f>
        <v>04.91.90.34.26</v>
      </c>
      <c r="H588" t="str">
        <f ca="1">IFERROR(__xludf.DUMMYFUNCTION("""COMPUTED_VALUE"""),"KASKASSIAN Alain")</f>
        <v>KASKASSIAN Alain</v>
      </c>
      <c r="I588" t="str">
        <f ca="1">IFERROR(__xludf.DUMMYFUNCTION("""COMPUTED_VALUE"""),"")</f>
        <v/>
      </c>
      <c r="J588" t="str">
        <f ca="1">IFERROR(__xludf.DUMMYFUNCTION("""COMPUTED_VALUE"""),"")</f>
        <v/>
      </c>
      <c r="K588" t="str">
        <f ca="1">IFERROR(__xludf.DUMMYFUNCTION("""COMPUTED_VALUE"""),"delphine.damian@lemistral.fr,helene.mina@lemistral.fr,thierryferrafiat@free.fr  ")</f>
        <v xml:space="preserve">delphine.damian@lemistral.fr,helene.mina@lemistral.fr,thierryferrafiat@free.fr  </v>
      </c>
      <c r="L588" t="str">
        <f ca="1">IFERROR(__xludf.DUMMYFUNCTION("""COMPUTED_VALUE"""),"")</f>
        <v/>
      </c>
      <c r="M588" t="str">
        <f ca="1">IFERROR(__xludf.DUMMYFUNCTION("""COMPUTED_VALUE"""),"99.Hors Périmetre")</f>
        <v>99.Hors Périmetre</v>
      </c>
      <c r="N588" t="str">
        <f ca="1">IFERROR(__xludf.DUMMYFUNCTION("""COMPUTED_VALUE"""),"")</f>
        <v/>
      </c>
      <c r="O588" t="str">
        <f ca="1">IFERROR(__xludf.DUMMYFUNCTION("""COMPUTED_VALUE"""),"")</f>
        <v/>
      </c>
      <c r="P588" t="str">
        <f ca="1">IFERROR(__xludf.DUMMYFUNCTION("""COMPUTED_VALUE"""),"")</f>
        <v/>
      </c>
      <c r="Q588" s="5" t="str">
        <f ca="1">IFERROR(__xludf.DUMMYFUNCTION("""COMPUTED_VALUE"""),"")</f>
        <v/>
      </c>
      <c r="R588" s="6" t="str">
        <f ca="1">IFERROR(__xludf.DUMMYFUNCTION("""COMPUTED_VALUE"""),"")</f>
        <v/>
      </c>
      <c r="S588" t="str">
        <f ca="1">IFERROR(__xludf.DUMMYFUNCTION("""COMPUTED_VALUE"""),"")</f>
        <v/>
      </c>
      <c r="T588" t="str">
        <f ca="1">IFERROR(__xludf.DUMMYFUNCTION("""COMPUTED_VALUE"""),"")</f>
        <v/>
      </c>
      <c r="U588" t="str">
        <f ca="1">IFERROR(__xludf.DUMMYFUNCTION("""COMPUTED_VALUE"""),"")</f>
        <v/>
      </c>
      <c r="V588" t="str">
        <f ca="1">IFERROR(__xludf.DUMMYFUNCTION("""COMPUTED_VALUE"""),"")</f>
        <v/>
      </c>
      <c r="W588" t="str">
        <f ca="1">IFERROR(__xludf.DUMMYFUNCTION("""COMPUTED_VALUE"""),"")</f>
        <v/>
      </c>
      <c r="X588" t="str">
        <f ca="1">IFERROR(__xludf.DUMMYFUNCTION("""COMPUTED_VALUE"""),"")</f>
        <v/>
      </c>
      <c r="Y588" t="str">
        <f ca="1">IFERROR(__xludf.DUMMYFUNCTION("""COMPUTED_VALUE"""),"")</f>
        <v/>
      </c>
      <c r="Z588" t="str">
        <f ca="1">IFERROR(__xludf.DUMMYFUNCTION("""COMPUTED_VALUE"""),"")</f>
        <v/>
      </c>
      <c r="AA588" t="str">
        <f ca="1">IFERROR(__xludf.DUMMYFUNCTION("""COMPUTED_VALUE"""),"Pas de commande")</f>
        <v>Pas de commande</v>
      </c>
      <c r="AB588" s="8" t="str">
        <f ca="1">IFERROR(__xludf.DUMMYFUNCTION("""COMPUTED_VALUE"""),"")</f>
        <v/>
      </c>
      <c r="AC588" s="8" t="str">
        <f ca="1">IFERROR(__xludf.DUMMYFUNCTION("""COMPUTED_VALUE"""),"")</f>
        <v/>
      </c>
      <c r="AD588" s="11" t="str">
        <f ca="1">IFERROR(__xludf.DUMMYFUNCTION("""COMPUTED_VALUE"""),"")</f>
        <v/>
      </c>
      <c r="AE588" t="str">
        <f ca="1">IFERROR(__xludf.DUMMYFUNCTION("""COMPUTED_VALUE"""),"")</f>
        <v/>
      </c>
    </row>
    <row r="589" spans="1:31" ht="12.75" x14ac:dyDescent="0.2">
      <c r="A589">
        <f ca="1">IFERROR(__xludf.DUMMYFUNCTION("""COMPUTED_VALUE"""),90451)</f>
        <v>90451</v>
      </c>
      <c r="B589" t="str">
        <f ca="1">IFERROR(__xludf.DUMMYFUNCTION("""COMPUTED_VALUE"""),"MARSEILLE SAKAKINI")</f>
        <v>MARSEILLE SAKAKINI</v>
      </c>
      <c r="C589" t="str">
        <f ca="1">IFERROR(__xludf.DUMMYFUNCTION("""COMPUTED_VALUE"""),"Super U")</f>
        <v>Super U</v>
      </c>
      <c r="D589" t="str">
        <f ca="1">IFERROR(__xludf.DUMMYFUNCTION("""COMPUTED_VALUE"""),"Coop U Enseigne Sud")</f>
        <v>Coop U Enseigne Sud</v>
      </c>
      <c r="E589">
        <f ca="1">IFERROR(__xludf.DUMMYFUNCTION("""COMPUTED_VALUE"""),13005)</f>
        <v>13005</v>
      </c>
      <c r="F589" t="str">
        <f ca="1">IFERROR(__xludf.DUMMYFUNCTION("""COMPUTED_VALUE"""),"95 BD SAKAKINI")</f>
        <v>95 BD SAKAKINI</v>
      </c>
      <c r="G589" t="str">
        <f ca="1">IFERROR(__xludf.DUMMYFUNCTION("""COMPUTED_VALUE"""),"04.96.12.13.00")</f>
        <v>04.96.12.13.00</v>
      </c>
      <c r="H589" t="str">
        <f ca="1">IFERROR(__xludf.DUMMYFUNCTION("""COMPUTED_VALUE"""),"GUENOUN Michel")</f>
        <v>GUENOUN Michel</v>
      </c>
      <c r="I589" t="str">
        <f ca="1">IFERROR(__xludf.DUMMYFUNCTION("""COMPUTED_VALUE"""),"michel.guenoun@systeme-u.fr")</f>
        <v>michel.guenoun@systeme-u.fr</v>
      </c>
      <c r="J589" t="str">
        <f ca="1">IFERROR(__xludf.DUMMYFUNCTION("""COMPUTED_VALUE"""),"M. MARDIROSSIAN")</f>
        <v>M. MARDIROSSIAN</v>
      </c>
      <c r="K589" t="str">
        <f ca="1">IFERROR(__xludf.DUMMYFUNCTION("""COMPUTED_VALUE"""),"superu.marseillesakakini.direction@systeme-u.fr")</f>
        <v>superu.marseillesakakini.direction@systeme-u.fr</v>
      </c>
      <c r="L589" t="str">
        <f ca="1">IFERROR(__xludf.DUMMYFUNCTION("""COMPUTED_VALUE"""),"")</f>
        <v/>
      </c>
      <c r="M589" t="str">
        <f ca="1">IFERROR(__xludf.DUMMYFUNCTION("""COMPUTED_VALUE"""),"99.Hors Périmetre")</f>
        <v>99.Hors Périmetre</v>
      </c>
      <c r="N589" t="str">
        <f ca="1">IFERROR(__xludf.DUMMYFUNCTION("""COMPUTED_VALUE"""),"")</f>
        <v/>
      </c>
      <c r="O589" t="str">
        <f ca="1">IFERROR(__xludf.DUMMYFUNCTION("""COMPUTED_VALUE"""),"")</f>
        <v/>
      </c>
      <c r="P589" t="str">
        <f ca="1">IFERROR(__xludf.DUMMYFUNCTION("""COMPUTED_VALUE"""),"")</f>
        <v/>
      </c>
      <c r="Q589" s="5" t="str">
        <f ca="1">IFERROR(__xludf.DUMMYFUNCTION("""COMPUTED_VALUE"""),"")</f>
        <v/>
      </c>
      <c r="R589" s="6" t="str">
        <f ca="1">IFERROR(__xludf.DUMMYFUNCTION("""COMPUTED_VALUE"""),"")</f>
        <v/>
      </c>
      <c r="S589" t="str">
        <f ca="1">IFERROR(__xludf.DUMMYFUNCTION("""COMPUTED_VALUE"""),"")</f>
        <v/>
      </c>
      <c r="T589" t="str">
        <f ca="1">IFERROR(__xludf.DUMMYFUNCTION("""COMPUTED_VALUE"""),"")</f>
        <v/>
      </c>
      <c r="U589" t="str">
        <f ca="1">IFERROR(__xludf.DUMMYFUNCTION("""COMPUTED_VALUE"""),"")</f>
        <v/>
      </c>
      <c r="V589" t="str">
        <f ca="1">IFERROR(__xludf.DUMMYFUNCTION("""COMPUTED_VALUE"""),"")</f>
        <v/>
      </c>
      <c r="W589" t="str">
        <f ca="1">IFERROR(__xludf.DUMMYFUNCTION("""COMPUTED_VALUE"""),"")</f>
        <v/>
      </c>
      <c r="X589" t="str">
        <f ca="1">IFERROR(__xludf.DUMMYFUNCTION("""COMPUTED_VALUE"""),"")</f>
        <v/>
      </c>
      <c r="Y589" t="str">
        <f ca="1">IFERROR(__xludf.DUMMYFUNCTION("""COMPUTED_VALUE"""),"")</f>
        <v/>
      </c>
      <c r="Z589" t="str">
        <f ca="1">IFERROR(__xludf.DUMMYFUNCTION("""COMPUTED_VALUE"""),"")</f>
        <v/>
      </c>
      <c r="AA589" t="str">
        <f ca="1">IFERROR(__xludf.DUMMYFUNCTION("""COMPUTED_VALUE"""),"Pas de commande")</f>
        <v>Pas de commande</v>
      </c>
      <c r="AB589" s="8" t="str">
        <f ca="1">IFERROR(__xludf.DUMMYFUNCTION("""COMPUTED_VALUE"""),"")</f>
        <v/>
      </c>
      <c r="AC589" s="8" t="str">
        <f ca="1">IFERROR(__xludf.DUMMYFUNCTION("""COMPUTED_VALUE"""),"")</f>
        <v/>
      </c>
      <c r="AD589" s="11" t="str">
        <f ca="1">IFERROR(__xludf.DUMMYFUNCTION("""COMPUTED_VALUE"""),"")</f>
        <v/>
      </c>
      <c r="AE589" t="str">
        <f ca="1">IFERROR(__xludf.DUMMYFUNCTION("""COMPUTED_VALUE"""),"")</f>
        <v/>
      </c>
    </row>
    <row r="590" spans="1:31" ht="12.75" x14ac:dyDescent="0.2">
      <c r="A590">
        <f ca="1">IFERROR(__xludf.DUMMYFUNCTION("""COMPUTED_VALUE"""),90249)</f>
        <v>90249</v>
      </c>
      <c r="B590" t="str">
        <f ca="1">IFERROR(__xludf.DUMMYFUNCTION("""COMPUTED_VALUE"""),"MARSEILLE ST PIERRE")</f>
        <v>MARSEILLE ST PIERRE</v>
      </c>
      <c r="C590" t="str">
        <f ca="1">IFERROR(__xludf.DUMMYFUNCTION("""COMPUTED_VALUE"""),"Super U")</f>
        <v>Super U</v>
      </c>
      <c r="D590" t="str">
        <f ca="1">IFERROR(__xludf.DUMMYFUNCTION("""COMPUTED_VALUE"""),"Coop U Enseigne Sud")</f>
        <v>Coop U Enseigne Sud</v>
      </c>
      <c r="E590">
        <f ca="1">IFERROR(__xludf.DUMMYFUNCTION("""COMPUTED_VALUE"""),13005)</f>
        <v>13005</v>
      </c>
      <c r="F590" t="str">
        <f ca="1">IFERROR(__xludf.DUMMYFUNCTION("""COMPUTED_VALUE"""),"135 RUE ST PIERRE")</f>
        <v>135 RUE ST PIERRE</v>
      </c>
      <c r="G590" t="str">
        <f ca="1">IFERROR(__xludf.DUMMYFUNCTION("""COMPUTED_VALUE"""),"04.96.12.13.30")</f>
        <v>04.96.12.13.30</v>
      </c>
      <c r="H590" t="str">
        <f ca="1">IFERROR(__xludf.DUMMYFUNCTION("""COMPUTED_VALUE"""),"GUENOUN Michel")</f>
        <v>GUENOUN Michel</v>
      </c>
      <c r="I590" t="str">
        <f ca="1">IFERROR(__xludf.DUMMYFUNCTION("""COMPUTED_VALUE"""),"michel.guenoun@systeme-u.fr")</f>
        <v>michel.guenoun@systeme-u.fr</v>
      </c>
      <c r="J590" t="str">
        <f ca="1">IFERROR(__xludf.DUMMYFUNCTION("""COMPUTED_VALUE"""),"Mme Sophie MARCEL")</f>
        <v>Mme Sophie MARCEL</v>
      </c>
      <c r="K590" t="str">
        <f ca="1">IFERROR(__xludf.DUMMYFUNCTION("""COMPUTED_VALUE"""),"superu.marseillesaintpierre@systeme-u.fr")</f>
        <v>superu.marseillesaintpierre@systeme-u.fr</v>
      </c>
      <c r="L590" t="str">
        <f ca="1">IFERROR(__xludf.DUMMYFUNCTION("""COMPUTED_VALUE"""),"")</f>
        <v/>
      </c>
      <c r="M590" t="str">
        <f ca="1">IFERROR(__xludf.DUMMYFUNCTION("""COMPUTED_VALUE"""),"99.Hors Périmetre")</f>
        <v>99.Hors Périmetre</v>
      </c>
      <c r="N590" t="str">
        <f ca="1">IFERROR(__xludf.DUMMYFUNCTION("""COMPUTED_VALUE"""),"")</f>
        <v/>
      </c>
      <c r="O590" t="str">
        <f ca="1">IFERROR(__xludf.DUMMYFUNCTION("""COMPUTED_VALUE"""),"")</f>
        <v/>
      </c>
      <c r="P590" t="str">
        <f ca="1">IFERROR(__xludf.DUMMYFUNCTION("""COMPUTED_VALUE"""),"")</f>
        <v/>
      </c>
      <c r="Q590" s="5" t="str">
        <f ca="1">IFERROR(__xludf.DUMMYFUNCTION("""COMPUTED_VALUE"""),"")</f>
        <v/>
      </c>
      <c r="R590" s="6" t="str">
        <f ca="1">IFERROR(__xludf.DUMMYFUNCTION("""COMPUTED_VALUE"""),"")</f>
        <v/>
      </c>
      <c r="S590" t="str">
        <f ca="1">IFERROR(__xludf.DUMMYFUNCTION("""COMPUTED_VALUE"""),"")</f>
        <v/>
      </c>
      <c r="T590" t="str">
        <f ca="1">IFERROR(__xludf.DUMMYFUNCTION("""COMPUTED_VALUE"""),"")</f>
        <v/>
      </c>
      <c r="U590" t="str">
        <f ca="1">IFERROR(__xludf.DUMMYFUNCTION("""COMPUTED_VALUE"""),"")</f>
        <v/>
      </c>
      <c r="V590" t="str">
        <f ca="1">IFERROR(__xludf.DUMMYFUNCTION("""COMPUTED_VALUE"""),"")</f>
        <v/>
      </c>
      <c r="W590" t="str">
        <f ca="1">IFERROR(__xludf.DUMMYFUNCTION("""COMPUTED_VALUE"""),"")</f>
        <v/>
      </c>
      <c r="X590" t="str">
        <f ca="1">IFERROR(__xludf.DUMMYFUNCTION("""COMPUTED_VALUE"""),"")</f>
        <v/>
      </c>
      <c r="Y590" t="str">
        <f ca="1">IFERROR(__xludf.DUMMYFUNCTION("""COMPUTED_VALUE"""),"")</f>
        <v/>
      </c>
      <c r="Z590" t="str">
        <f ca="1">IFERROR(__xludf.DUMMYFUNCTION("""COMPUTED_VALUE"""),"")</f>
        <v/>
      </c>
      <c r="AA590" t="str">
        <f ca="1">IFERROR(__xludf.DUMMYFUNCTION("""COMPUTED_VALUE"""),"Pas de commande")</f>
        <v>Pas de commande</v>
      </c>
      <c r="AB590" s="8" t="str">
        <f ca="1">IFERROR(__xludf.DUMMYFUNCTION("""COMPUTED_VALUE"""),"")</f>
        <v/>
      </c>
      <c r="AC590" s="8" t="str">
        <f ca="1">IFERROR(__xludf.DUMMYFUNCTION("""COMPUTED_VALUE"""),"")</f>
        <v/>
      </c>
      <c r="AD590" s="11" t="str">
        <f ca="1">IFERROR(__xludf.DUMMYFUNCTION("""COMPUTED_VALUE"""),"")</f>
        <v/>
      </c>
      <c r="AE590" t="str">
        <f ca="1">IFERROR(__xludf.DUMMYFUNCTION("""COMPUTED_VALUE"""),"")</f>
        <v/>
      </c>
    </row>
    <row r="591" spans="1:31" ht="12.75" x14ac:dyDescent="0.2">
      <c r="A591">
        <f ca="1">IFERROR(__xludf.DUMMYFUNCTION("""COMPUTED_VALUE"""),90177)</f>
        <v>90177</v>
      </c>
      <c r="B591" t="str">
        <f ca="1">IFERROR(__xludf.DUMMYFUNCTION("""COMPUTED_VALUE"""),"MARSEILLE TADDEI")</f>
        <v>MARSEILLE TADDEI</v>
      </c>
      <c r="C591" t="str">
        <f ca="1">IFERROR(__xludf.DUMMYFUNCTION("""COMPUTED_VALUE"""),"Super U")</f>
        <v>Super U</v>
      </c>
      <c r="D591" t="str">
        <f ca="1">IFERROR(__xludf.DUMMYFUNCTION("""COMPUTED_VALUE"""),"Coop U Enseigne Sud")</f>
        <v>Coop U Enseigne Sud</v>
      </c>
      <c r="E591">
        <f ca="1">IFERROR(__xludf.DUMMYFUNCTION("""COMPUTED_VALUE"""),13007)</f>
        <v>13007</v>
      </c>
      <c r="F591" t="str">
        <f ca="1">IFERROR(__xludf.DUMMYFUNCTION("""COMPUTED_VALUE"""),"6 RUE FRANCOIS TADDEI")</f>
        <v>6 RUE FRANCOIS TADDEI</v>
      </c>
      <c r="G591" t="str">
        <f ca="1">IFERROR(__xludf.DUMMYFUNCTION("""COMPUTED_VALUE"""),"04.91.13.50.80")</f>
        <v>04.91.13.50.80</v>
      </c>
      <c r="H591" t="str">
        <f ca="1">IFERROR(__xludf.DUMMYFUNCTION("""COMPUTED_VALUE"""),"BAUDE Philippe")</f>
        <v>BAUDE Philippe</v>
      </c>
      <c r="I591" t="str">
        <f ca="1">IFERROR(__xludf.DUMMYFUNCTION("""COMPUTED_VALUE"""),"philippe.baude@systeme-u.fr")</f>
        <v>philippe.baude@systeme-u.fr</v>
      </c>
      <c r="J591" t="str">
        <f ca="1">IFERROR(__xludf.DUMMYFUNCTION("""COMPUTED_VALUE"""),"Ludovic Mérieux")</f>
        <v>Ludovic Mérieux</v>
      </c>
      <c r="K591" t="str">
        <f ca="1">IFERROR(__xludf.DUMMYFUNCTION("""COMPUTED_VALUE"""),"superu.marseilletaddei.fl@systeme-u.fr")</f>
        <v>superu.marseilletaddei.fl@systeme-u.fr</v>
      </c>
      <c r="L591" t="str">
        <f ca="1">IFERROR(__xludf.DUMMYFUNCTION("""COMPUTED_VALUE"""),"")</f>
        <v/>
      </c>
      <c r="M591" t="str">
        <f ca="1">IFERROR(__xludf.DUMMYFUNCTION("""COMPUTED_VALUE"""),"99.Hors Périmetre")</f>
        <v>99.Hors Périmetre</v>
      </c>
      <c r="N591" t="str">
        <f ca="1">IFERROR(__xludf.DUMMYFUNCTION("""COMPUTED_VALUE"""),"")</f>
        <v/>
      </c>
      <c r="O591" t="str">
        <f ca="1">IFERROR(__xludf.DUMMYFUNCTION("""COMPUTED_VALUE"""),"")</f>
        <v/>
      </c>
      <c r="P591" t="str">
        <f ca="1">IFERROR(__xludf.DUMMYFUNCTION("""COMPUTED_VALUE"""),"")</f>
        <v/>
      </c>
      <c r="Q591" s="5" t="str">
        <f ca="1">IFERROR(__xludf.DUMMYFUNCTION("""COMPUTED_VALUE"""),"")</f>
        <v/>
      </c>
      <c r="R591" s="6" t="str">
        <f ca="1">IFERROR(__xludf.DUMMYFUNCTION("""COMPUTED_VALUE"""),"")</f>
        <v/>
      </c>
      <c r="S591" t="str">
        <f ca="1">IFERROR(__xludf.DUMMYFUNCTION("""COMPUTED_VALUE"""),"")</f>
        <v/>
      </c>
      <c r="T591" t="str">
        <f ca="1">IFERROR(__xludf.DUMMYFUNCTION("""COMPUTED_VALUE"""),"")</f>
        <v/>
      </c>
      <c r="U591" t="str">
        <f ca="1">IFERROR(__xludf.DUMMYFUNCTION("""COMPUTED_VALUE"""),"")</f>
        <v/>
      </c>
      <c r="V591" t="str">
        <f ca="1">IFERROR(__xludf.DUMMYFUNCTION("""COMPUTED_VALUE"""),"")</f>
        <v/>
      </c>
      <c r="W591" t="str">
        <f ca="1">IFERROR(__xludf.DUMMYFUNCTION("""COMPUTED_VALUE"""),"")</f>
        <v/>
      </c>
      <c r="X591" t="str">
        <f ca="1">IFERROR(__xludf.DUMMYFUNCTION("""COMPUTED_VALUE"""),"")</f>
        <v/>
      </c>
      <c r="Y591" t="str">
        <f ca="1">IFERROR(__xludf.DUMMYFUNCTION("""COMPUTED_VALUE"""),"")</f>
        <v/>
      </c>
      <c r="Z591" t="str">
        <f ca="1">IFERROR(__xludf.DUMMYFUNCTION("""COMPUTED_VALUE"""),"")</f>
        <v/>
      </c>
      <c r="AA591" t="str">
        <f ca="1">IFERROR(__xludf.DUMMYFUNCTION("""COMPUTED_VALUE"""),"Pas de commande")</f>
        <v>Pas de commande</v>
      </c>
      <c r="AB591" s="8" t="str">
        <f ca="1">IFERROR(__xludf.DUMMYFUNCTION("""COMPUTED_VALUE"""),"")</f>
        <v/>
      </c>
      <c r="AC591" s="8" t="str">
        <f ca="1">IFERROR(__xludf.DUMMYFUNCTION("""COMPUTED_VALUE"""),"")</f>
        <v/>
      </c>
      <c r="AD591" s="11" t="str">
        <f ca="1">IFERROR(__xludf.DUMMYFUNCTION("""COMPUTED_VALUE"""),"")</f>
        <v/>
      </c>
      <c r="AE591" t="str">
        <f ca="1">IFERROR(__xludf.DUMMYFUNCTION("""COMPUTED_VALUE"""),"")</f>
        <v/>
      </c>
    </row>
    <row r="592" spans="1:31" ht="12.75" x14ac:dyDescent="0.2">
      <c r="A592">
        <f ca="1">IFERROR(__xludf.DUMMYFUNCTION("""COMPUTED_VALUE"""),90367)</f>
        <v>90367</v>
      </c>
      <c r="B592" t="str">
        <f ca="1">IFERROR(__xludf.DUMMYFUNCTION("""COMPUTED_VALUE"""),"MARSILLARGUES")</f>
        <v>MARSILLARGUES</v>
      </c>
      <c r="C592" t="str">
        <f ca="1">IFERROR(__xludf.DUMMYFUNCTION("""COMPUTED_VALUE"""),"U Express")</f>
        <v>U Express</v>
      </c>
      <c r="D592" t="str">
        <f ca="1">IFERROR(__xludf.DUMMYFUNCTION("""COMPUTED_VALUE"""),"Coop U Enseigne Sud")</f>
        <v>Coop U Enseigne Sud</v>
      </c>
      <c r="E592">
        <f ca="1">IFERROR(__xludf.DUMMYFUNCTION("""COMPUTED_VALUE"""),34590)</f>
        <v>34590</v>
      </c>
      <c r="F592" t="str">
        <f ca="1">IFERROR(__xludf.DUMMYFUNCTION("""COMPUTED_VALUE"""),"10 RUE ALPHONSE DAUDET")</f>
        <v>10 RUE ALPHONSE DAUDET</v>
      </c>
      <c r="G592" t="str">
        <f ca="1">IFERROR(__xludf.DUMMYFUNCTION("""COMPUTED_VALUE"""),"04.67.71.23.54")</f>
        <v>04.67.71.23.54</v>
      </c>
      <c r="H592" t="str">
        <f ca="1">IFERROR(__xludf.DUMMYFUNCTION("""COMPUTED_VALUE"""),"LEIENDECKERS Karine")</f>
        <v>LEIENDECKERS Karine</v>
      </c>
      <c r="I592" t="str">
        <f ca="1">IFERROR(__xludf.DUMMYFUNCTION("""COMPUTED_VALUE"""),"karine.leiendeckers@systeme-u.fr")</f>
        <v>karine.leiendeckers@systeme-u.fr</v>
      </c>
      <c r="J592" t="str">
        <f ca="1">IFERROR(__xludf.DUMMYFUNCTION("""COMPUTED_VALUE"""),"Eric Leiendeckers")</f>
        <v>Eric Leiendeckers</v>
      </c>
      <c r="K592" t="str">
        <f ca="1">IFERROR(__xludf.DUMMYFUNCTION("""COMPUTED_VALUE"""),"karine.leiendeckers@systeme-u.fr")</f>
        <v>karine.leiendeckers@systeme-u.fr</v>
      </c>
      <c r="L592" t="str">
        <f ca="1">IFERROR(__xludf.DUMMYFUNCTION("""COMPUTED_VALUE"""),"")</f>
        <v/>
      </c>
      <c r="M592" t="str">
        <f ca="1">IFERROR(__xludf.DUMMYFUNCTION("""COMPUTED_VALUE"""),"99.Hors Périmetre")</f>
        <v>99.Hors Périmetre</v>
      </c>
      <c r="N592" t="str">
        <f ca="1">IFERROR(__xludf.DUMMYFUNCTION("""COMPUTED_VALUE"""),"")</f>
        <v/>
      </c>
      <c r="O592" t="str">
        <f ca="1">IFERROR(__xludf.DUMMYFUNCTION("""COMPUTED_VALUE"""),"")</f>
        <v/>
      </c>
      <c r="P592" t="str">
        <f ca="1">IFERROR(__xludf.DUMMYFUNCTION("""COMPUTED_VALUE"""),"")</f>
        <v/>
      </c>
      <c r="Q592" s="5" t="str">
        <f ca="1">IFERROR(__xludf.DUMMYFUNCTION("""COMPUTED_VALUE"""),"")</f>
        <v/>
      </c>
      <c r="R592" s="6" t="str">
        <f ca="1">IFERROR(__xludf.DUMMYFUNCTION("""COMPUTED_VALUE"""),"")</f>
        <v/>
      </c>
      <c r="S592" t="str">
        <f ca="1">IFERROR(__xludf.DUMMYFUNCTION("""COMPUTED_VALUE"""),"")</f>
        <v/>
      </c>
      <c r="T592" t="str">
        <f ca="1">IFERROR(__xludf.DUMMYFUNCTION("""COMPUTED_VALUE"""),"")</f>
        <v/>
      </c>
      <c r="U592" t="str">
        <f ca="1">IFERROR(__xludf.DUMMYFUNCTION("""COMPUTED_VALUE"""),"")</f>
        <v/>
      </c>
      <c r="V592" t="str">
        <f ca="1">IFERROR(__xludf.DUMMYFUNCTION("""COMPUTED_VALUE"""),"")</f>
        <v/>
      </c>
      <c r="W592" t="str">
        <f ca="1">IFERROR(__xludf.DUMMYFUNCTION("""COMPUTED_VALUE"""),"")</f>
        <v/>
      </c>
      <c r="X592" t="str">
        <f ca="1">IFERROR(__xludf.DUMMYFUNCTION("""COMPUTED_VALUE"""),"")</f>
        <v/>
      </c>
      <c r="Y592" t="str">
        <f ca="1">IFERROR(__xludf.DUMMYFUNCTION("""COMPUTED_VALUE"""),"")</f>
        <v/>
      </c>
      <c r="Z592" t="str">
        <f ca="1">IFERROR(__xludf.DUMMYFUNCTION("""COMPUTED_VALUE"""),"")</f>
        <v/>
      </c>
      <c r="AA592" t="str">
        <f ca="1">IFERROR(__xludf.DUMMYFUNCTION("""COMPUTED_VALUE"""),"Pas de commande")</f>
        <v>Pas de commande</v>
      </c>
      <c r="AB592" s="8" t="str">
        <f ca="1">IFERROR(__xludf.DUMMYFUNCTION("""COMPUTED_VALUE"""),"")</f>
        <v/>
      </c>
      <c r="AC592" s="8" t="str">
        <f ca="1">IFERROR(__xludf.DUMMYFUNCTION("""COMPUTED_VALUE"""),"")</f>
        <v/>
      </c>
      <c r="AD592" s="11" t="str">
        <f ca="1">IFERROR(__xludf.DUMMYFUNCTION("""COMPUTED_VALUE"""),"")</f>
        <v/>
      </c>
      <c r="AE592" t="str">
        <f ca="1">IFERROR(__xludf.DUMMYFUNCTION("""COMPUTED_VALUE"""),"")</f>
        <v/>
      </c>
    </row>
    <row r="593" spans="1:31" ht="12.75" x14ac:dyDescent="0.2">
      <c r="A593">
        <f ca="1">IFERROR(__xludf.DUMMYFUNCTION("""COMPUTED_VALUE"""),34210)</f>
        <v>34210</v>
      </c>
      <c r="B593" t="str">
        <f ca="1">IFERROR(__xludf.DUMMYFUNCTION("""COMPUTED_VALUE"""),"MARSILLY")</f>
        <v>MARSILLY</v>
      </c>
      <c r="C593" t="str">
        <f ca="1">IFERROR(__xludf.DUMMYFUNCTION("""COMPUTED_VALUE"""),"U Express")</f>
        <v>U Express</v>
      </c>
      <c r="D593" t="str">
        <f ca="1">IFERROR(__xludf.DUMMYFUNCTION("""COMPUTED_VALUE"""),"Coop Atlantique")</f>
        <v>Coop Atlantique</v>
      </c>
      <c r="E593">
        <f ca="1">IFERROR(__xludf.DUMMYFUNCTION("""COMPUTED_VALUE"""),17137)</f>
        <v>17137</v>
      </c>
      <c r="F593" t="str">
        <f ca="1">IFERROR(__xludf.DUMMYFUNCTION("""COMPUTED_VALUE"""),"CENTRE COMMERCIAL LES CARRELETS")</f>
        <v>CENTRE COMMERCIAL LES CARRELETS</v>
      </c>
      <c r="G593" t="str">
        <f ca="1">IFERROR(__xludf.DUMMYFUNCTION("""COMPUTED_VALUE"""),"05.46.35.72.43")</f>
        <v>05.46.35.72.43</v>
      </c>
      <c r="H593" t="str">
        <f ca="1">IFERROR(__xludf.DUMMYFUNCTION("""COMPUTED_VALUE"""),"FLAMBARD Hervé")</f>
        <v>FLAMBARD Hervé</v>
      </c>
      <c r="I593" t="str">
        <f ca="1">IFERROR(__xludf.DUMMYFUNCTION("""COMPUTED_VALUE"""),"bertrand.defontaine_coop_su_uex@systeme-u.fr")</f>
        <v>bertrand.defontaine_coop_su_uex@systeme-u.fr</v>
      </c>
      <c r="J593" t="str">
        <f ca="1">IFERROR(__xludf.DUMMYFUNCTION("""COMPUTED_VALUE"""),"Ferreira LUIS  Stroobants Coralie Rittie Sarah")</f>
        <v>Ferreira LUIS  Stroobants Coralie Rittie Sarah</v>
      </c>
      <c r="K593" t="str">
        <f ca="1">IFERROR(__xludf.DUMMYFUNCTION("""COMPUTED_VALUE"""),"uexpress.marsilly.direction@systeme-u.fr,nbrigant@coop-atlantique.fr,sjaud@coop-atlantique.fr,mag527@coop-atlantique.fr")</f>
        <v>uexpress.marsilly.direction@systeme-u.fr,nbrigant@coop-atlantique.fr,sjaud@coop-atlantique.fr,mag527@coop-atlantique.fr</v>
      </c>
      <c r="L593" t="str">
        <f ca="1">IFERROR(__xludf.DUMMYFUNCTION("""COMPUTED_VALUE"""),"")</f>
        <v/>
      </c>
      <c r="M593" t="str">
        <f ca="1">IFERROR(__xludf.DUMMYFUNCTION("""COMPUTED_VALUE"""),"99.Hors Périmetre")</f>
        <v>99.Hors Périmetre</v>
      </c>
      <c r="N593" t="str">
        <f ca="1">IFERROR(__xludf.DUMMYFUNCTION("""COMPUTED_VALUE"""),"")</f>
        <v/>
      </c>
      <c r="O593" t="str">
        <f ca="1">IFERROR(__xludf.DUMMYFUNCTION("""COMPUTED_VALUE"""),"")</f>
        <v/>
      </c>
      <c r="P593" t="str">
        <f ca="1">IFERROR(__xludf.DUMMYFUNCTION("""COMPUTED_VALUE"""),"")</f>
        <v/>
      </c>
      <c r="Q593" s="5" t="str">
        <f ca="1">IFERROR(__xludf.DUMMYFUNCTION("""COMPUTED_VALUE"""),"")</f>
        <v/>
      </c>
      <c r="R593" s="6" t="str">
        <f ca="1">IFERROR(__xludf.DUMMYFUNCTION("""COMPUTED_VALUE"""),"")</f>
        <v/>
      </c>
      <c r="S593" t="str">
        <f ca="1">IFERROR(__xludf.DUMMYFUNCTION("""COMPUTED_VALUE"""),"")</f>
        <v/>
      </c>
      <c r="T593" t="str">
        <f ca="1">IFERROR(__xludf.DUMMYFUNCTION("""COMPUTED_VALUE"""),"")</f>
        <v/>
      </c>
      <c r="U593" t="str">
        <f ca="1">IFERROR(__xludf.DUMMYFUNCTION("""COMPUTED_VALUE"""),"")</f>
        <v/>
      </c>
      <c r="V593" t="str">
        <f ca="1">IFERROR(__xludf.DUMMYFUNCTION("""COMPUTED_VALUE"""),"")</f>
        <v/>
      </c>
      <c r="W593" t="str">
        <f ca="1">IFERROR(__xludf.DUMMYFUNCTION("""COMPUTED_VALUE"""),"")</f>
        <v/>
      </c>
      <c r="X593" t="str">
        <f ca="1">IFERROR(__xludf.DUMMYFUNCTION("""COMPUTED_VALUE"""),"")</f>
        <v/>
      </c>
      <c r="Y593" t="str">
        <f ca="1">IFERROR(__xludf.DUMMYFUNCTION("""COMPUTED_VALUE"""),"")</f>
        <v/>
      </c>
      <c r="Z593" t="str">
        <f ca="1">IFERROR(__xludf.DUMMYFUNCTION("""COMPUTED_VALUE"""),"")</f>
        <v/>
      </c>
      <c r="AA593" t="str">
        <f ca="1">IFERROR(__xludf.DUMMYFUNCTION("""COMPUTED_VALUE"""),"Pas de commande")</f>
        <v>Pas de commande</v>
      </c>
      <c r="AB593" s="8" t="str">
        <f ca="1">IFERROR(__xludf.DUMMYFUNCTION("""COMPUTED_VALUE"""),"")</f>
        <v/>
      </c>
      <c r="AC593" s="8" t="str">
        <f ca="1">IFERROR(__xludf.DUMMYFUNCTION("""COMPUTED_VALUE"""),"")</f>
        <v/>
      </c>
      <c r="AD593" s="11" t="str">
        <f ca="1">IFERROR(__xludf.DUMMYFUNCTION("""COMPUTED_VALUE"""),"")</f>
        <v/>
      </c>
      <c r="AE593" t="str">
        <f ca="1">IFERROR(__xludf.DUMMYFUNCTION("""COMPUTED_VALUE"""),"")</f>
        <v/>
      </c>
    </row>
    <row r="594" spans="1:31" ht="12.75" x14ac:dyDescent="0.2">
      <c r="A594">
        <f ca="1">IFERROR(__xludf.DUMMYFUNCTION("""COMPUTED_VALUE"""),95148)</f>
        <v>95148</v>
      </c>
      <c r="B594" t="str">
        <f ca="1">IFERROR(__xludf.DUMMYFUNCTION("""COMPUTED_VALUE"""),"MARTRES TOLOSANE")</f>
        <v>MARTRES TOLOSANE</v>
      </c>
      <c r="C594" t="str">
        <f ca="1">IFERROR(__xludf.DUMMYFUNCTION("""COMPUTED_VALUE"""),"Super U")</f>
        <v>Super U</v>
      </c>
      <c r="D594" t="str">
        <f ca="1">IFERROR(__xludf.DUMMYFUNCTION("""COMPUTED_VALUE"""),"Coop U Enseigne Sud")</f>
        <v>Coop U Enseigne Sud</v>
      </c>
      <c r="E594">
        <f ca="1">IFERROR(__xludf.DUMMYFUNCTION("""COMPUTED_VALUE"""),31220)</f>
        <v>31220</v>
      </c>
      <c r="F594" t="str">
        <f ca="1">IFERROR(__xludf.DUMMYFUNCTION("""COMPUTED_VALUE"""),"AVENUE DES PYRENEES")</f>
        <v>AVENUE DES PYRENEES</v>
      </c>
      <c r="G594" t="str">
        <f ca="1">IFERROR(__xludf.DUMMYFUNCTION("""COMPUTED_VALUE"""),"05.61.87.71.71")</f>
        <v>05.61.87.71.71</v>
      </c>
      <c r="H594" t="str">
        <f ca="1">IFERROR(__xludf.DUMMYFUNCTION("""COMPUTED_VALUE"""),"LEGAL Franck")</f>
        <v>LEGAL Franck</v>
      </c>
      <c r="I594" t="str">
        <f ca="1">IFERROR(__xludf.DUMMYFUNCTION("""COMPUTED_VALUE"""),"franck.legal@systeme-u.fr")</f>
        <v>franck.legal@systeme-u.fr</v>
      </c>
      <c r="J594" t="str">
        <f ca="1">IFERROR(__xludf.DUMMYFUNCTION("""COMPUTED_VALUE"""),"Mme Vouters ")</f>
        <v xml:space="preserve">Mme Vouters </v>
      </c>
      <c r="K594" t="str">
        <f ca="1">IFERROR(__xludf.DUMMYFUNCTION("""COMPUTED_VALUE"""),"Carole.VOUTERS@systeme-u.fr")</f>
        <v>Carole.VOUTERS@systeme-u.fr</v>
      </c>
      <c r="L594" t="str">
        <f ca="1">IFERROR(__xludf.DUMMYFUNCTION("""COMPUTED_VALUE"""),"")</f>
        <v/>
      </c>
      <c r="M594" t="str">
        <f ca="1">IFERROR(__xludf.DUMMYFUNCTION("""COMPUTED_VALUE"""),"99.Hors Périmetre")</f>
        <v>99.Hors Périmetre</v>
      </c>
      <c r="N594" t="str">
        <f ca="1">IFERROR(__xludf.DUMMYFUNCTION("""COMPUTED_VALUE"""),"")</f>
        <v/>
      </c>
      <c r="O594" t="str">
        <f ca="1">IFERROR(__xludf.DUMMYFUNCTION("""COMPUTED_VALUE"""),"")</f>
        <v/>
      </c>
      <c r="P594" t="str">
        <f ca="1">IFERROR(__xludf.DUMMYFUNCTION("""COMPUTED_VALUE"""),"")</f>
        <v/>
      </c>
      <c r="Q594" s="5" t="str">
        <f ca="1">IFERROR(__xludf.DUMMYFUNCTION("""COMPUTED_VALUE"""),"")</f>
        <v/>
      </c>
      <c r="R594" s="6" t="str">
        <f ca="1">IFERROR(__xludf.DUMMYFUNCTION("""COMPUTED_VALUE"""),"")</f>
        <v/>
      </c>
      <c r="S594" t="str">
        <f ca="1">IFERROR(__xludf.DUMMYFUNCTION("""COMPUTED_VALUE"""),"")</f>
        <v/>
      </c>
      <c r="T594" t="str">
        <f ca="1">IFERROR(__xludf.DUMMYFUNCTION("""COMPUTED_VALUE"""),"")</f>
        <v/>
      </c>
      <c r="U594" t="str">
        <f ca="1">IFERROR(__xludf.DUMMYFUNCTION("""COMPUTED_VALUE"""),"")</f>
        <v/>
      </c>
      <c r="V594" t="str">
        <f ca="1">IFERROR(__xludf.DUMMYFUNCTION("""COMPUTED_VALUE"""),"")</f>
        <v/>
      </c>
      <c r="W594" t="str">
        <f ca="1">IFERROR(__xludf.DUMMYFUNCTION("""COMPUTED_VALUE"""),"")</f>
        <v/>
      </c>
      <c r="X594" t="str">
        <f ca="1">IFERROR(__xludf.DUMMYFUNCTION("""COMPUTED_VALUE"""),"")</f>
        <v/>
      </c>
      <c r="Y594" t="str">
        <f ca="1">IFERROR(__xludf.DUMMYFUNCTION("""COMPUTED_VALUE"""),"")</f>
        <v/>
      </c>
      <c r="Z594" t="str">
        <f ca="1">IFERROR(__xludf.DUMMYFUNCTION("""COMPUTED_VALUE"""),"")</f>
        <v/>
      </c>
      <c r="AA594" t="str">
        <f ca="1">IFERROR(__xludf.DUMMYFUNCTION("""COMPUTED_VALUE"""),"Pas de commande")</f>
        <v>Pas de commande</v>
      </c>
      <c r="AB594" s="8" t="str">
        <f ca="1">IFERROR(__xludf.DUMMYFUNCTION("""COMPUTED_VALUE"""),"")</f>
        <v/>
      </c>
      <c r="AC594" s="8" t="str">
        <f ca="1">IFERROR(__xludf.DUMMYFUNCTION("""COMPUTED_VALUE"""),"")</f>
        <v/>
      </c>
      <c r="AD594" s="11" t="str">
        <f ca="1">IFERROR(__xludf.DUMMYFUNCTION("""COMPUTED_VALUE"""),"")</f>
        <v/>
      </c>
      <c r="AE594" t="str">
        <f ca="1">IFERROR(__xludf.DUMMYFUNCTION("""COMPUTED_VALUE"""),"")</f>
        <v/>
      </c>
    </row>
    <row r="595" spans="1:31" ht="12.75" x14ac:dyDescent="0.2">
      <c r="A595">
        <f ca="1">IFERROR(__xludf.DUMMYFUNCTION("""COMPUTED_VALUE"""),60074)</f>
        <v>60074</v>
      </c>
      <c r="B595" t="str">
        <f ca="1">IFERROR(__xludf.DUMMYFUNCTION("""COMPUTED_VALUE"""),"MASEVAUX")</f>
        <v>MASEVAUX</v>
      </c>
      <c r="C595" t="str">
        <f ca="1">IFERROR(__xludf.DUMMYFUNCTION("""COMPUTED_VALUE"""),"Super U")</f>
        <v>Super U</v>
      </c>
      <c r="D595" t="str">
        <f ca="1">IFERROR(__xludf.DUMMYFUNCTION("""COMPUTED_VALUE"""),"Coop U Enseigne Est")</f>
        <v>Coop U Enseigne Est</v>
      </c>
      <c r="E595">
        <f ca="1">IFERROR(__xludf.DUMMYFUNCTION("""COMPUTED_VALUE"""),68290)</f>
        <v>68290</v>
      </c>
      <c r="F595" t="str">
        <f ca="1">IFERROR(__xludf.DUMMYFUNCTION("""COMPUTED_VALUE"""),"rue du Fossé des Veaux")</f>
        <v>rue du Fossé des Veaux</v>
      </c>
      <c r="G595" t="str">
        <f ca="1">IFERROR(__xludf.DUMMYFUNCTION("""COMPUTED_VALUE"""),"03.89.82.47.00")</f>
        <v>03.89.82.47.00</v>
      </c>
      <c r="H595" t="str">
        <f ca="1">IFERROR(__xludf.DUMMYFUNCTION("""COMPUTED_VALUE"""),"BEY Arnaud")</f>
        <v>BEY Arnaud</v>
      </c>
      <c r="I595" t="str">
        <f ca="1">IFERROR(__xludf.DUMMYFUNCTION("""COMPUTED_VALUE"""),"arnaud.bey@systeme-u.fr")</f>
        <v>arnaud.bey@systeme-u.fr</v>
      </c>
      <c r="J595" t="str">
        <f ca="1">IFERROR(__xludf.DUMMYFUNCTION("""COMPUTED_VALUE"""),"BEGUE Pascale
Sébastien (UPLV)")</f>
        <v>BEGUE Pascale
Sébastien (UPLV)</v>
      </c>
      <c r="K595" t="str">
        <f ca="1">IFERROR(__xludf.DUMMYFUNCTION("""COMPUTED_VALUE"""),"superu.masevaux@systeme-u.fr, superu.masevaux.pf@systeme-u.fr")</f>
        <v>superu.masevaux@systeme-u.fr, superu.masevaux.pf@systeme-u.fr</v>
      </c>
      <c r="L595" t="str">
        <f ca="1">IFERROR(__xludf.DUMMYFUNCTION("""COMPUTED_VALUE"""),"")</f>
        <v/>
      </c>
      <c r="M595" t="str">
        <f ca="1">IFERROR(__xludf.DUMMYFUNCTION("""COMPUTED_VALUE"""),"99.Hors Périmetre")</f>
        <v>99.Hors Périmetre</v>
      </c>
      <c r="N595" t="str">
        <f ca="1">IFERROR(__xludf.DUMMYFUNCTION("""COMPUTED_VALUE"""),"")</f>
        <v/>
      </c>
      <c r="O595" t="str">
        <f ca="1">IFERROR(__xludf.DUMMYFUNCTION("""COMPUTED_VALUE"""),"")</f>
        <v/>
      </c>
      <c r="P595" t="str">
        <f ca="1">IFERROR(__xludf.DUMMYFUNCTION("""COMPUTED_VALUE"""),"")</f>
        <v/>
      </c>
      <c r="Q595" s="5" t="str">
        <f ca="1">IFERROR(__xludf.DUMMYFUNCTION("""COMPUTED_VALUE"""),"")</f>
        <v/>
      </c>
      <c r="R595" s="6" t="str">
        <f ca="1">IFERROR(__xludf.DUMMYFUNCTION("""COMPUTED_VALUE"""),"")</f>
        <v/>
      </c>
      <c r="S595" t="str">
        <f ca="1">IFERROR(__xludf.DUMMYFUNCTION("""COMPUTED_VALUE"""),"")</f>
        <v/>
      </c>
      <c r="T595" t="str">
        <f ca="1">IFERROR(__xludf.DUMMYFUNCTION("""COMPUTED_VALUE"""),"")</f>
        <v/>
      </c>
      <c r="U595" t="str">
        <f ca="1">IFERROR(__xludf.DUMMYFUNCTION("""COMPUTED_VALUE"""),"")</f>
        <v/>
      </c>
      <c r="V595" t="str">
        <f ca="1">IFERROR(__xludf.DUMMYFUNCTION("""COMPUTED_VALUE"""),"")</f>
        <v/>
      </c>
      <c r="W595" t="str">
        <f ca="1">IFERROR(__xludf.DUMMYFUNCTION("""COMPUTED_VALUE"""),"")</f>
        <v/>
      </c>
      <c r="X595" t="str">
        <f ca="1">IFERROR(__xludf.DUMMYFUNCTION("""COMPUTED_VALUE"""),"")</f>
        <v/>
      </c>
      <c r="Y595" t="str">
        <f ca="1">IFERROR(__xludf.DUMMYFUNCTION("""COMPUTED_VALUE"""),"")</f>
        <v/>
      </c>
      <c r="Z595" t="str">
        <f ca="1">IFERROR(__xludf.DUMMYFUNCTION("""COMPUTED_VALUE"""),"")</f>
        <v/>
      </c>
      <c r="AA595" t="str">
        <f ca="1">IFERROR(__xludf.DUMMYFUNCTION("""COMPUTED_VALUE"""),"Pas de commande")</f>
        <v>Pas de commande</v>
      </c>
      <c r="AB595" s="8" t="str">
        <f ca="1">IFERROR(__xludf.DUMMYFUNCTION("""COMPUTED_VALUE"""),"")</f>
        <v/>
      </c>
      <c r="AC595" s="8" t="str">
        <f ca="1">IFERROR(__xludf.DUMMYFUNCTION("""COMPUTED_VALUE"""),"")</f>
        <v/>
      </c>
      <c r="AD595" s="11" t="str">
        <f ca="1">IFERROR(__xludf.DUMMYFUNCTION("""COMPUTED_VALUE"""),"")</f>
        <v/>
      </c>
      <c r="AE595" t="str">
        <f ca="1">IFERROR(__xludf.DUMMYFUNCTION("""COMPUTED_VALUE"""),"")</f>
        <v/>
      </c>
    </row>
    <row r="596" spans="1:31" ht="12.75" x14ac:dyDescent="0.2">
      <c r="A596">
        <f ca="1">IFERROR(__xludf.DUMMYFUNCTION("""COMPUTED_VALUE"""),95136)</f>
        <v>95136</v>
      </c>
      <c r="B596" t="str">
        <f ca="1">IFERROR(__xludf.DUMMYFUNCTION("""COMPUTED_VALUE"""),"MASSEUBE")</f>
        <v>MASSEUBE</v>
      </c>
      <c r="C596" t="str">
        <f ca="1">IFERROR(__xludf.DUMMYFUNCTION("""COMPUTED_VALUE"""),"Super U")</f>
        <v>Super U</v>
      </c>
      <c r="D596" t="str">
        <f ca="1">IFERROR(__xludf.DUMMYFUNCTION("""COMPUTED_VALUE"""),"Coop U Enseigne Sud")</f>
        <v>Coop U Enseigne Sud</v>
      </c>
      <c r="E596">
        <f ca="1">IFERROR(__xludf.DUMMYFUNCTION("""COMPUTED_VALUE"""),32140)</f>
        <v>32140</v>
      </c>
      <c r="F596" t="str">
        <f ca="1">IFERROR(__xludf.DUMMYFUNCTION("""COMPUTED_VALUE"""),"ROUTE D AUCH")</f>
        <v>ROUTE D AUCH</v>
      </c>
      <c r="G596" t="str">
        <f ca="1">IFERROR(__xludf.DUMMYFUNCTION("""COMPUTED_VALUE"""),"05.62.66.16.15")</f>
        <v>05.62.66.16.15</v>
      </c>
      <c r="H596" t="str">
        <f ca="1">IFERROR(__xludf.DUMMYFUNCTION("""COMPUTED_VALUE"""),"TOHA Bernard")</f>
        <v>TOHA Bernard</v>
      </c>
      <c r="I596" t="str">
        <f ca="1">IFERROR(__xludf.DUMMYFUNCTION("""COMPUTED_VALUE"""),"bernard.toha@systeme-u.fr")</f>
        <v>bernard.toha@systeme-u.fr</v>
      </c>
      <c r="J596" t="str">
        <f ca="1">IFERROR(__xludf.DUMMYFUNCTION("""COMPUTED_VALUE"""),"")</f>
        <v/>
      </c>
      <c r="K596" t="str">
        <f ca="1">IFERROR(__xludf.DUMMYFUNCTION("""COMPUTED_VALUE"""),"superu.masseube@systeme-u.fr")</f>
        <v>superu.masseube@systeme-u.fr</v>
      </c>
      <c r="L596" t="str">
        <f ca="1">IFERROR(__xludf.DUMMYFUNCTION("""COMPUTED_VALUE"""),"")</f>
        <v/>
      </c>
      <c r="M596" t="str">
        <f ca="1">IFERROR(__xludf.DUMMYFUNCTION("""COMPUTED_VALUE"""),"")</f>
        <v/>
      </c>
      <c r="N596" t="str">
        <f ca="1">IFERROR(__xludf.DUMMYFUNCTION("""COMPUTED_VALUE"""),"")</f>
        <v/>
      </c>
      <c r="O596" t="str">
        <f ca="1">IFERROR(__xludf.DUMMYFUNCTION("""COMPUTED_VALUE"""),"")</f>
        <v/>
      </c>
      <c r="P596" t="str">
        <f ca="1">IFERROR(__xludf.DUMMYFUNCTION("""COMPUTED_VALUE"""),"")</f>
        <v/>
      </c>
      <c r="Q596" s="5" t="str">
        <f ca="1">IFERROR(__xludf.DUMMYFUNCTION("""COMPUTED_VALUE"""),"")</f>
        <v/>
      </c>
      <c r="R596" s="6" t="str">
        <f ca="1">IFERROR(__xludf.DUMMYFUNCTION("""COMPUTED_VALUE"""),"")</f>
        <v/>
      </c>
      <c r="S596" t="str">
        <f ca="1">IFERROR(__xludf.DUMMYFUNCTION("""COMPUTED_VALUE"""),"")</f>
        <v/>
      </c>
      <c r="T596" t="str">
        <f ca="1">IFERROR(__xludf.DUMMYFUNCTION("""COMPUTED_VALUE"""),"")</f>
        <v/>
      </c>
      <c r="U596" t="str">
        <f ca="1">IFERROR(__xludf.DUMMYFUNCTION("""COMPUTED_VALUE"""),"")</f>
        <v/>
      </c>
      <c r="V596" t="str">
        <f ca="1">IFERROR(__xludf.DUMMYFUNCTION("""COMPUTED_VALUE"""),"")</f>
        <v/>
      </c>
      <c r="W596" t="str">
        <f ca="1">IFERROR(__xludf.DUMMYFUNCTION("""COMPUTED_VALUE"""),"")</f>
        <v/>
      </c>
      <c r="X596" t="str">
        <f ca="1">IFERROR(__xludf.DUMMYFUNCTION("""COMPUTED_VALUE"""),"")</f>
        <v/>
      </c>
      <c r="Y596" t="str">
        <f ca="1">IFERROR(__xludf.DUMMYFUNCTION("""COMPUTED_VALUE"""),"")</f>
        <v/>
      </c>
      <c r="Z596" t="str">
        <f ca="1">IFERROR(__xludf.DUMMYFUNCTION("""COMPUTED_VALUE"""),"")</f>
        <v/>
      </c>
      <c r="AA596" t="str">
        <f ca="1">IFERROR(__xludf.DUMMYFUNCTION("""COMPUTED_VALUE"""),"Pas de commande")</f>
        <v>Pas de commande</v>
      </c>
      <c r="AB596" s="8" t="str">
        <f ca="1">IFERROR(__xludf.DUMMYFUNCTION("""COMPUTED_VALUE"""),"")</f>
        <v/>
      </c>
      <c r="AC596" s="8" t="str">
        <f ca="1">IFERROR(__xludf.DUMMYFUNCTION("""COMPUTED_VALUE"""),"")</f>
        <v/>
      </c>
      <c r="AD596" s="11" t="str">
        <f ca="1">IFERROR(__xludf.DUMMYFUNCTION("""COMPUTED_VALUE"""),"")</f>
        <v/>
      </c>
      <c r="AE596" t="str">
        <f ca="1">IFERROR(__xludf.DUMMYFUNCTION("""COMPUTED_VALUE"""),"")</f>
        <v/>
      </c>
    </row>
    <row r="597" spans="1:31" ht="12.75" x14ac:dyDescent="0.2">
      <c r="A597">
        <f ca="1">IFERROR(__xludf.DUMMYFUNCTION("""COMPUTED_VALUE"""),30243)</f>
        <v>30243</v>
      </c>
      <c r="B597" t="str">
        <f ca="1">IFERROR(__xludf.DUMMYFUNCTION("""COMPUTED_VALUE"""),"MATHA")</f>
        <v>MATHA</v>
      </c>
      <c r="C597" t="str">
        <f ca="1">IFERROR(__xludf.DUMMYFUNCTION("""COMPUTED_VALUE"""),"U Express")</f>
        <v>U Express</v>
      </c>
      <c r="D597" t="str">
        <f ca="1">IFERROR(__xludf.DUMMYFUNCTION("""COMPUTED_VALUE"""),"Coop Atlantique")</f>
        <v>Coop Atlantique</v>
      </c>
      <c r="E597">
        <f ca="1">IFERROR(__xludf.DUMMYFUNCTION("""COMPUTED_VALUE"""),17160)</f>
        <v>17160</v>
      </c>
      <c r="F597" t="str">
        <f ca="1">IFERROR(__xludf.DUMMYFUNCTION("""COMPUTED_VALUE"""),"41,RUE MAXIME BOURDEAU")</f>
        <v>41,RUE MAXIME BOURDEAU</v>
      </c>
      <c r="G597" t="str">
        <f ca="1">IFERROR(__xludf.DUMMYFUNCTION("""COMPUTED_VALUE"""),"05.46.26.78.56")</f>
        <v>05.46.26.78.56</v>
      </c>
      <c r="H597" t="str">
        <f ca="1">IFERROR(__xludf.DUMMYFUNCTION("""COMPUTED_VALUE"""),"FLAMBARD Hervé")</f>
        <v>FLAMBARD Hervé</v>
      </c>
      <c r="I597" t="str">
        <f ca="1">IFERROR(__xludf.DUMMYFUNCTION("""COMPUTED_VALUE"""),"bertrand.defontaine_coop_su_uex@systeme-u.fr")</f>
        <v>bertrand.defontaine_coop_su_uex@systeme-u.fr</v>
      </c>
      <c r="J597" t="str">
        <f ca="1">IFERROR(__xludf.DUMMYFUNCTION("""COMPUTED_VALUE"""),"Benoit BARTHELEMY")</f>
        <v>Benoit BARTHELEMY</v>
      </c>
      <c r="K597" t="str">
        <f ca="1">IFERROR(__xludf.DUMMYFUNCTION("""COMPUTED_VALUE"""),"uexpress.matha.direction@systeme-u.fr,nbrigant@coop-atlantique.fr,sjaud@coop-atlantique.fr")</f>
        <v>uexpress.matha.direction@systeme-u.fr,nbrigant@coop-atlantique.fr,sjaud@coop-atlantique.fr</v>
      </c>
      <c r="L597" t="str">
        <f ca="1">IFERROR(__xludf.DUMMYFUNCTION("""COMPUTED_VALUE"""),"")</f>
        <v/>
      </c>
      <c r="M597" t="str">
        <f ca="1">IFERROR(__xludf.DUMMYFUNCTION("""COMPUTED_VALUE"""),"99.Hors Périmetre")</f>
        <v>99.Hors Périmetre</v>
      </c>
      <c r="N597" t="str">
        <f ca="1">IFERROR(__xludf.DUMMYFUNCTION("""COMPUTED_VALUE"""),"")</f>
        <v/>
      </c>
      <c r="O597" t="str">
        <f ca="1">IFERROR(__xludf.DUMMYFUNCTION("""COMPUTED_VALUE"""),"")</f>
        <v/>
      </c>
      <c r="P597" t="str">
        <f ca="1">IFERROR(__xludf.DUMMYFUNCTION("""COMPUTED_VALUE"""),"")</f>
        <v/>
      </c>
      <c r="Q597" s="5" t="str">
        <f ca="1">IFERROR(__xludf.DUMMYFUNCTION("""COMPUTED_VALUE"""),"")</f>
        <v/>
      </c>
      <c r="R597" s="6" t="str">
        <f ca="1">IFERROR(__xludf.DUMMYFUNCTION("""COMPUTED_VALUE"""),"")</f>
        <v/>
      </c>
      <c r="S597" t="str">
        <f ca="1">IFERROR(__xludf.DUMMYFUNCTION("""COMPUTED_VALUE"""),"")</f>
        <v/>
      </c>
      <c r="T597" t="str">
        <f ca="1">IFERROR(__xludf.DUMMYFUNCTION("""COMPUTED_VALUE"""),"")</f>
        <v/>
      </c>
      <c r="U597" t="str">
        <f ca="1">IFERROR(__xludf.DUMMYFUNCTION("""COMPUTED_VALUE"""),"")</f>
        <v/>
      </c>
      <c r="V597" t="str">
        <f ca="1">IFERROR(__xludf.DUMMYFUNCTION("""COMPUTED_VALUE"""),"")</f>
        <v/>
      </c>
      <c r="W597" t="str">
        <f ca="1">IFERROR(__xludf.DUMMYFUNCTION("""COMPUTED_VALUE"""),"")</f>
        <v/>
      </c>
      <c r="X597" t="str">
        <f ca="1">IFERROR(__xludf.DUMMYFUNCTION("""COMPUTED_VALUE"""),"")</f>
        <v/>
      </c>
      <c r="Y597" t="str">
        <f ca="1">IFERROR(__xludf.DUMMYFUNCTION("""COMPUTED_VALUE"""),"")</f>
        <v/>
      </c>
      <c r="Z597" t="str">
        <f ca="1">IFERROR(__xludf.DUMMYFUNCTION("""COMPUTED_VALUE"""),"")</f>
        <v/>
      </c>
      <c r="AA597" t="str">
        <f ca="1">IFERROR(__xludf.DUMMYFUNCTION("""COMPUTED_VALUE"""),"Pas de commande")</f>
        <v>Pas de commande</v>
      </c>
      <c r="AB597" s="8" t="str">
        <f ca="1">IFERROR(__xludf.DUMMYFUNCTION("""COMPUTED_VALUE"""),"")</f>
        <v/>
      </c>
      <c r="AC597" s="8" t="str">
        <f ca="1">IFERROR(__xludf.DUMMYFUNCTION("""COMPUTED_VALUE"""),"")</f>
        <v/>
      </c>
      <c r="AD597" s="11" t="str">
        <f ca="1">IFERROR(__xludf.DUMMYFUNCTION("""COMPUTED_VALUE"""),"")</f>
        <v/>
      </c>
      <c r="AE597" t="str">
        <f ca="1">IFERROR(__xludf.DUMMYFUNCTION("""COMPUTED_VALUE"""),"")</f>
        <v/>
      </c>
    </row>
    <row r="598" spans="1:31" ht="12.75" x14ac:dyDescent="0.2">
      <c r="A598">
        <f ca="1">IFERROR(__xludf.DUMMYFUNCTION("""COMPUTED_VALUE"""),39695)</f>
        <v>39695</v>
      </c>
      <c r="B598" t="str">
        <f ca="1">IFERROR(__xludf.DUMMYFUNCTION("""COMPUTED_VALUE"""),"MATIGNON")</f>
        <v>MATIGNON</v>
      </c>
      <c r="C598" t="str">
        <f ca="1">IFERROR(__xludf.DUMMYFUNCTION("""COMPUTED_VALUE"""),"Super U")</f>
        <v>Super U</v>
      </c>
      <c r="D598" t="str">
        <f ca="1">IFERROR(__xludf.DUMMYFUNCTION("""COMPUTED_VALUE"""),"Coop U Enseigne Ouest")</f>
        <v>Coop U Enseigne Ouest</v>
      </c>
      <c r="E598">
        <f ca="1">IFERROR(__xludf.DUMMYFUNCTION("""COMPUTED_VALUE"""),22550)</f>
        <v>22550</v>
      </c>
      <c r="F598" t="str">
        <f ca="1">IFERROR(__xludf.DUMMYFUNCTION("""COMPUTED_VALUE"""),"CENTRE COMMERCIAL DES PROMENADES")</f>
        <v>CENTRE COMMERCIAL DES PROMENADES</v>
      </c>
      <c r="G598" t="str">
        <f ca="1">IFERROR(__xludf.DUMMYFUNCTION("""COMPUTED_VALUE"""),"02.96.41.26.26")</f>
        <v>02.96.41.26.26</v>
      </c>
      <c r="H598" t="str">
        <f ca="1">IFERROR(__xludf.DUMMYFUNCTION("""COMPUTED_VALUE"""),"LAIGO Florence")</f>
        <v>LAIGO Florence</v>
      </c>
      <c r="I598" t="str">
        <f ca="1">IFERROR(__xludf.DUMMYFUNCTION("""COMPUTED_VALUE"""),"florence.laigo@systeme-u.fr")</f>
        <v>florence.laigo@systeme-u.fr</v>
      </c>
      <c r="J598" t="str">
        <f ca="1">IFERROR(__xludf.DUMMYFUNCTION("""COMPUTED_VALUE"""),"CHERDEL Myriam")</f>
        <v>CHERDEL Myriam</v>
      </c>
      <c r="K598" t="str">
        <f ca="1">IFERROR(__xludf.DUMMYFUNCTION("""COMPUTED_VALUE"""),"superu.matignon@systeme-u.fr")</f>
        <v>superu.matignon@systeme-u.fr</v>
      </c>
      <c r="L598" t="str">
        <f ca="1">IFERROR(__xludf.DUMMYFUNCTION("""COMPUTED_VALUE"""),"")</f>
        <v/>
      </c>
      <c r="M598" t="str">
        <f ca="1">IFERROR(__xludf.DUMMYFUNCTION("""COMPUTED_VALUE"""),"99.Hors Périmetre")</f>
        <v>99.Hors Périmetre</v>
      </c>
      <c r="N598" t="str">
        <f ca="1">IFERROR(__xludf.DUMMYFUNCTION("""COMPUTED_VALUE"""),"")</f>
        <v/>
      </c>
      <c r="O598" t="str">
        <f ca="1">IFERROR(__xludf.DUMMYFUNCTION("""COMPUTED_VALUE"""),"")</f>
        <v/>
      </c>
      <c r="P598" t="str">
        <f ca="1">IFERROR(__xludf.DUMMYFUNCTION("""COMPUTED_VALUE"""),"")</f>
        <v/>
      </c>
      <c r="Q598" s="5" t="str">
        <f ca="1">IFERROR(__xludf.DUMMYFUNCTION("""COMPUTED_VALUE"""),"")</f>
        <v/>
      </c>
      <c r="R598" s="6" t="str">
        <f ca="1">IFERROR(__xludf.DUMMYFUNCTION("""COMPUTED_VALUE"""),"")</f>
        <v/>
      </c>
      <c r="S598" t="str">
        <f ca="1">IFERROR(__xludf.DUMMYFUNCTION("""COMPUTED_VALUE"""),"")</f>
        <v/>
      </c>
      <c r="T598" t="str">
        <f ca="1">IFERROR(__xludf.DUMMYFUNCTION("""COMPUTED_VALUE"""),"")</f>
        <v/>
      </c>
      <c r="U598" t="str">
        <f ca="1">IFERROR(__xludf.DUMMYFUNCTION("""COMPUTED_VALUE"""),"")</f>
        <v/>
      </c>
      <c r="V598" t="str">
        <f ca="1">IFERROR(__xludf.DUMMYFUNCTION("""COMPUTED_VALUE"""),"")</f>
        <v/>
      </c>
      <c r="W598" t="str">
        <f ca="1">IFERROR(__xludf.DUMMYFUNCTION("""COMPUTED_VALUE"""),"")</f>
        <v/>
      </c>
      <c r="X598" t="str">
        <f ca="1">IFERROR(__xludf.DUMMYFUNCTION("""COMPUTED_VALUE"""),"")</f>
        <v/>
      </c>
      <c r="Y598" t="str">
        <f ca="1">IFERROR(__xludf.DUMMYFUNCTION("""COMPUTED_VALUE"""),"")</f>
        <v/>
      </c>
      <c r="Z598" t="str">
        <f ca="1">IFERROR(__xludf.DUMMYFUNCTION("""COMPUTED_VALUE"""),"")</f>
        <v/>
      </c>
      <c r="AA598" t="str">
        <f ca="1">IFERROR(__xludf.DUMMYFUNCTION("""COMPUTED_VALUE"""),"Pas de commande")</f>
        <v>Pas de commande</v>
      </c>
      <c r="AB598" s="8" t="str">
        <f ca="1">IFERROR(__xludf.DUMMYFUNCTION("""COMPUTED_VALUE"""),"")</f>
        <v/>
      </c>
      <c r="AC598" s="8" t="str">
        <f ca="1">IFERROR(__xludf.DUMMYFUNCTION("""COMPUTED_VALUE"""),"")</f>
        <v/>
      </c>
      <c r="AD598" s="11" t="str">
        <f ca="1">IFERROR(__xludf.DUMMYFUNCTION("""COMPUTED_VALUE"""),"")</f>
        <v/>
      </c>
      <c r="AE598" t="str">
        <f ca="1">IFERROR(__xludf.DUMMYFUNCTION("""COMPUTED_VALUE"""),"")</f>
        <v/>
      </c>
    </row>
    <row r="599" spans="1:31" ht="12.75" x14ac:dyDescent="0.2">
      <c r="A599">
        <f ca="1">IFERROR(__xludf.DUMMYFUNCTION("""COMPUTED_VALUE"""),90524)</f>
        <v>90524</v>
      </c>
      <c r="B599" t="str">
        <f ca="1">IFERROR(__xludf.DUMMYFUNCTION("""COMPUTED_VALUE"""),"MAUBEC")</f>
        <v>MAUBEC</v>
      </c>
      <c r="C599" t="str">
        <f ca="1">IFERROR(__xludf.DUMMYFUNCTION("""COMPUTED_VALUE"""),"Super U")</f>
        <v>Super U</v>
      </c>
      <c r="D599" t="str">
        <f ca="1">IFERROR(__xludf.DUMMYFUNCTION("""COMPUTED_VALUE"""),"Coop U Enseigne Sud")</f>
        <v>Coop U Enseigne Sud</v>
      </c>
      <c r="E599">
        <f ca="1">IFERROR(__xludf.DUMMYFUNCTION("""COMPUTED_VALUE"""),84660)</f>
        <v>84660</v>
      </c>
      <c r="F599" t="str">
        <f ca="1">IFERROR(__xludf.DUMMYFUNCTION("""COMPUTED_VALUE"""),"157 AVENUE DU TOURAIL")</f>
        <v>157 AVENUE DU TOURAIL</v>
      </c>
      <c r="G599" t="str">
        <f ca="1">IFERROR(__xludf.DUMMYFUNCTION("""COMPUTED_VALUE"""),"04.90.04.42.60")</f>
        <v>04.90.04.42.60</v>
      </c>
      <c r="H599" t="str">
        <f ca="1">IFERROR(__xludf.DUMMYFUNCTION("""COMPUTED_VALUE"""),"VALL Alain")</f>
        <v>VALL Alain</v>
      </c>
      <c r="I599" t="str">
        <f ca="1">IFERROR(__xludf.DUMMYFUNCTION("""COMPUTED_VALUE"""),"alain.vall@systeme-u.fr")</f>
        <v>alain.vall@systeme-u.fr</v>
      </c>
      <c r="J599" t="str">
        <f ca="1">IFERROR(__xludf.DUMMYFUNCTION("""COMPUTED_VALUE"""),"CORINNE PERROT / 
M. Romain NOEL ")</f>
        <v xml:space="preserve">CORINNE PERROT / 
M. Romain NOEL </v>
      </c>
      <c r="K599" t="str">
        <f ca="1">IFERROR(__xludf.DUMMYFUNCTION("""COMPUTED_VALUE"""),"superu.islesursorgue@systeme-u.fr,superu.maubec.frais@systeme-u.fr")</f>
        <v>superu.islesursorgue@systeme-u.fr,superu.maubec.frais@systeme-u.fr</v>
      </c>
      <c r="L599" t="str">
        <f ca="1">IFERROR(__xludf.DUMMYFUNCTION("""COMPUTED_VALUE"""),"Standard")</f>
        <v>Standard</v>
      </c>
      <c r="M599" t="str">
        <f ca="1">IFERROR(__xludf.DUMMYFUNCTION("""COMPUTED_VALUE"""),"0. Non démarré")</f>
        <v>0. Non démarré</v>
      </c>
      <c r="N599" t="str">
        <f ca="1">IFERROR(__xludf.DUMMYFUNCTION("""COMPUTED_VALUE"""),"")</f>
        <v/>
      </c>
      <c r="O599" t="str">
        <f ca="1">IFERROR(__xludf.DUMMYFUNCTION("""COMPUTED_VALUE"""),"")</f>
        <v/>
      </c>
      <c r="P599" t="str">
        <f ca="1">IFERROR(__xludf.DUMMYFUNCTION("""COMPUTED_VALUE"""),"")</f>
        <v/>
      </c>
      <c r="Q599" s="5" t="str">
        <f ca="1">IFERROR(__xludf.DUMMYFUNCTION("""COMPUTED_VALUE"""),"")</f>
        <v/>
      </c>
      <c r="R599" s="6" t="str">
        <f ca="1">IFERROR(__xludf.DUMMYFUNCTION("""COMPUTED_VALUE"""),"")</f>
        <v/>
      </c>
      <c r="S599" t="str">
        <f ca="1">IFERROR(__xludf.DUMMYFUNCTION("""COMPUTED_VALUE"""),"")</f>
        <v/>
      </c>
      <c r="T599" t="str">
        <f ca="1">IFERROR(__xludf.DUMMYFUNCTION("""COMPUTED_VALUE"""),"")</f>
        <v/>
      </c>
      <c r="U599" t="str">
        <f ca="1">IFERROR(__xludf.DUMMYFUNCTION("""COMPUTED_VALUE"""),"")</f>
        <v/>
      </c>
      <c r="V599" t="str">
        <f ca="1">IFERROR(__xludf.DUMMYFUNCTION("""COMPUTED_VALUE"""),"")</f>
        <v/>
      </c>
      <c r="W599" t="str">
        <f ca="1">IFERROR(__xludf.DUMMYFUNCTION("""COMPUTED_VALUE"""),"R5")</f>
        <v>R5</v>
      </c>
      <c r="X599" t="str">
        <f ca="1">IFERROR(__xludf.DUMMYFUNCTION("""COMPUTED_VALUE"""),"Pricer")</f>
        <v>Pricer</v>
      </c>
      <c r="Y599" t="str">
        <f ca="1">IFERROR(__xludf.DUMMYFUNCTION("""COMPUTED_VALUE"""),"")</f>
        <v/>
      </c>
      <c r="Z599" t="str">
        <f ca="1">IFERROR(__xludf.DUMMYFUNCTION("""COMPUTED_VALUE"""),"")</f>
        <v/>
      </c>
      <c r="AA599" t="str">
        <f ca="1">IFERROR(__xludf.DUMMYFUNCTION("""COMPUTED_VALUE"""),"Pas de commande")</f>
        <v>Pas de commande</v>
      </c>
      <c r="AB599" s="8" t="str">
        <f ca="1">IFERROR(__xludf.DUMMYFUNCTION("""COMPUTED_VALUE"""),"")</f>
        <v/>
      </c>
      <c r="AC599" s="8" t="str">
        <f ca="1">IFERROR(__xludf.DUMMYFUNCTION("""COMPUTED_VALUE"""),"")</f>
        <v/>
      </c>
      <c r="AD599" s="11" t="str">
        <f ca="1">IFERROR(__xludf.DUMMYFUNCTION("""COMPUTED_VALUE"""),"")</f>
        <v/>
      </c>
      <c r="AE599" t="str">
        <f ca="1">IFERROR(__xludf.DUMMYFUNCTION("""COMPUTED_VALUE"""),"")</f>
        <v/>
      </c>
    </row>
    <row r="600" spans="1:31" ht="12.75" x14ac:dyDescent="0.2">
      <c r="A600">
        <f ca="1">IFERROR(__xludf.DUMMYFUNCTION("""COMPUTED_VALUE"""),96102)</f>
        <v>96102</v>
      </c>
      <c r="B600" t="str">
        <f ca="1">IFERROR(__xludf.DUMMYFUNCTION("""COMPUTED_VALUE"""),"MAUBOURGUET")</f>
        <v>MAUBOURGUET</v>
      </c>
      <c r="C600" t="str">
        <f ca="1">IFERROR(__xludf.DUMMYFUNCTION("""COMPUTED_VALUE"""),"Super U")</f>
        <v>Super U</v>
      </c>
      <c r="D600" t="str">
        <f ca="1">IFERROR(__xludf.DUMMYFUNCTION("""COMPUTED_VALUE"""),"Coop U Enseigne Sud")</f>
        <v>Coop U Enseigne Sud</v>
      </c>
      <c r="E600">
        <f ca="1">IFERROR(__xludf.DUMMYFUNCTION("""COMPUTED_VALUE"""),65700)</f>
        <v>65700</v>
      </c>
      <c r="F600" t="str">
        <f ca="1">IFERROR(__xludf.DUMMYFUNCTION("""COMPUTED_VALUE"""),"CC DU VAL D ADOUR RD 907")</f>
        <v>CC DU VAL D ADOUR RD 907</v>
      </c>
      <c r="G600" t="str">
        <f ca="1">IFERROR(__xludf.DUMMYFUNCTION("""COMPUTED_VALUE"""),"05.62.96.98.58")</f>
        <v>05.62.96.98.58</v>
      </c>
      <c r="H600" t="str">
        <f ca="1">IFERROR(__xludf.DUMMYFUNCTION("""COMPUTED_VALUE"""),"KERFANTO Christophe")</f>
        <v>KERFANTO Christophe</v>
      </c>
      <c r="I600" t="str">
        <f ca="1">IFERROR(__xludf.DUMMYFUNCTION("""COMPUTED_VALUE"""),"christophe.kerfanto@systeme-u.fr")</f>
        <v>christophe.kerfanto@systeme-u.fr</v>
      </c>
      <c r="J600" t="str">
        <f ca="1">IFERROR(__xludf.DUMMYFUNCTION("""COMPUTED_VALUE"""),"Mme CHAUSSEPIED                                                                                                                                                        
                                                                                       "&amp;"                                                                 
")</f>
        <v xml:space="preserve">Mme CHAUSSEPIED                                                                                                                                                        
</v>
      </c>
      <c r="K600" t="str">
        <f ca="1">IFERROR(__xludf.DUMMYFUNCTION("""COMPUTED_VALUE"""),"superu.maubourguet.secretariat@systeme-u.fr																				
")</f>
        <v xml:space="preserve">superu.maubourguet.secretariat@systeme-u.fr																				
</v>
      </c>
      <c r="L600" t="str">
        <f ca="1">IFERROR(__xludf.DUMMYFUNCTION("""COMPUTED_VALUE"""),"")</f>
        <v/>
      </c>
      <c r="M600" t="str">
        <f ca="1">IFERROR(__xludf.DUMMYFUNCTION("""COMPUTED_VALUE"""),"99.Hors Périmetre")</f>
        <v>99.Hors Périmetre</v>
      </c>
      <c r="N600" t="str">
        <f ca="1">IFERROR(__xludf.DUMMYFUNCTION("""COMPUTED_VALUE"""),"")</f>
        <v/>
      </c>
      <c r="O600" t="str">
        <f ca="1">IFERROR(__xludf.DUMMYFUNCTION("""COMPUTED_VALUE"""),"")</f>
        <v/>
      </c>
      <c r="P600" t="str">
        <f ca="1">IFERROR(__xludf.DUMMYFUNCTION("""COMPUTED_VALUE"""),"")</f>
        <v/>
      </c>
      <c r="Q600" s="5" t="str">
        <f ca="1">IFERROR(__xludf.DUMMYFUNCTION("""COMPUTED_VALUE"""),"")</f>
        <v/>
      </c>
      <c r="R600" s="6" t="str">
        <f ca="1">IFERROR(__xludf.DUMMYFUNCTION("""COMPUTED_VALUE"""),"")</f>
        <v/>
      </c>
      <c r="S600" t="str">
        <f ca="1">IFERROR(__xludf.DUMMYFUNCTION("""COMPUTED_VALUE"""),"")</f>
        <v/>
      </c>
      <c r="T600" t="str">
        <f ca="1">IFERROR(__xludf.DUMMYFUNCTION("""COMPUTED_VALUE"""),"")</f>
        <v/>
      </c>
      <c r="U600" t="str">
        <f ca="1">IFERROR(__xludf.DUMMYFUNCTION("""COMPUTED_VALUE"""),"")</f>
        <v/>
      </c>
      <c r="V600" t="str">
        <f ca="1">IFERROR(__xludf.DUMMYFUNCTION("""COMPUTED_VALUE"""),"")</f>
        <v/>
      </c>
      <c r="W600" t="str">
        <f ca="1">IFERROR(__xludf.DUMMYFUNCTION("""COMPUTED_VALUE"""),"")</f>
        <v/>
      </c>
      <c r="X600" t="str">
        <f ca="1">IFERROR(__xludf.DUMMYFUNCTION("""COMPUTED_VALUE"""),"")</f>
        <v/>
      </c>
      <c r="Y600" t="str">
        <f ca="1">IFERROR(__xludf.DUMMYFUNCTION("""COMPUTED_VALUE"""),"")</f>
        <v/>
      </c>
      <c r="Z600" t="str">
        <f ca="1">IFERROR(__xludf.DUMMYFUNCTION("""COMPUTED_VALUE"""),"")</f>
        <v/>
      </c>
      <c r="AA600" t="str">
        <f ca="1">IFERROR(__xludf.DUMMYFUNCTION("""COMPUTED_VALUE"""),"Pas de commande")</f>
        <v>Pas de commande</v>
      </c>
      <c r="AB600" s="8" t="str">
        <f ca="1">IFERROR(__xludf.DUMMYFUNCTION("""COMPUTED_VALUE"""),"")</f>
        <v/>
      </c>
      <c r="AC600" s="8" t="str">
        <f ca="1">IFERROR(__xludf.DUMMYFUNCTION("""COMPUTED_VALUE"""),"")</f>
        <v/>
      </c>
      <c r="AD600" s="11" t="str">
        <f ca="1">IFERROR(__xludf.DUMMYFUNCTION("""COMPUTED_VALUE"""),"")</f>
        <v/>
      </c>
      <c r="AE600" t="str">
        <f ca="1">IFERROR(__xludf.DUMMYFUNCTION("""COMPUTED_VALUE"""),"")</f>
        <v/>
      </c>
    </row>
    <row r="601" spans="1:31" ht="12.75" x14ac:dyDescent="0.2">
      <c r="A601">
        <f ca="1">IFERROR(__xludf.DUMMYFUNCTION("""COMPUTED_VALUE"""),32631)</f>
        <v>32631</v>
      </c>
      <c r="B601" t="str">
        <f ca="1">IFERROR(__xludf.DUMMYFUNCTION("""COMPUTED_VALUE"""),"MAULEON")</f>
        <v>MAULEON</v>
      </c>
      <c r="C601" t="str">
        <f ca="1">IFERROR(__xludf.DUMMYFUNCTION("""COMPUTED_VALUE"""),"Super U")</f>
        <v>Super U</v>
      </c>
      <c r="D601" t="str">
        <f ca="1">IFERROR(__xludf.DUMMYFUNCTION("""COMPUTED_VALUE"""),"Coop U Enseigne Ouest")</f>
        <v>Coop U Enseigne Ouest</v>
      </c>
      <c r="E601">
        <f ca="1">IFERROR(__xludf.DUMMYFUNCTION("""COMPUTED_VALUE"""),79700)</f>
        <v>79700</v>
      </c>
      <c r="F601" t="str">
        <f ca="1">IFERROR(__xludf.DUMMYFUNCTION("""COMPUTED_VALUE"""),"ROUTE DE POITIERS")</f>
        <v>ROUTE DE POITIERS</v>
      </c>
      <c r="G601" t="str">
        <f ca="1">IFERROR(__xludf.DUMMYFUNCTION("""COMPUTED_VALUE"""),"05.49.81.43.01")</f>
        <v>05.49.81.43.01</v>
      </c>
      <c r="H601" t="str">
        <f ca="1">IFERROR(__xludf.DUMMYFUNCTION("""COMPUTED_VALUE"""),"COUPRIE RPT SAS SEVRE INVEST. Franck")</f>
        <v>COUPRIE RPT SAS SEVRE INVEST. Franck</v>
      </c>
      <c r="I601" t="str">
        <f ca="1">IFERROR(__xludf.DUMMYFUNCTION("""COMPUTED_VALUE"""),"franck.couprie@systeme-u.fr")</f>
        <v>franck.couprie@systeme-u.fr</v>
      </c>
      <c r="J601" t="str">
        <f ca="1">IFERROR(__xludf.DUMMYFUNCTION("""COMPUTED_VALUE"""),"Madame Borit")</f>
        <v>Madame Borit</v>
      </c>
      <c r="K601" t="str">
        <f ca="1">IFERROR(__xludf.DUMMYFUNCTION("""COMPUTED_VALUE"""),"")</f>
        <v/>
      </c>
      <c r="L601" t="str">
        <f ca="1">IFERROR(__xludf.DUMMYFUNCTION("""COMPUTED_VALUE"""),"")</f>
        <v/>
      </c>
      <c r="M601" t="str">
        <f ca="1">IFERROR(__xludf.DUMMYFUNCTION("""COMPUTED_VALUE"""),"99.Hors Périmetre")</f>
        <v>99.Hors Périmetre</v>
      </c>
      <c r="N601" t="str">
        <f ca="1">IFERROR(__xludf.DUMMYFUNCTION("""COMPUTED_VALUE"""),"")</f>
        <v/>
      </c>
      <c r="O601" t="str">
        <f ca="1">IFERROR(__xludf.DUMMYFUNCTION("""COMPUTED_VALUE"""),"")</f>
        <v/>
      </c>
      <c r="P601" t="str">
        <f ca="1">IFERROR(__xludf.DUMMYFUNCTION("""COMPUTED_VALUE"""),"")</f>
        <v/>
      </c>
      <c r="Q601" s="5" t="str">
        <f ca="1">IFERROR(__xludf.DUMMYFUNCTION("""COMPUTED_VALUE"""),"")</f>
        <v/>
      </c>
      <c r="R601" s="6" t="str">
        <f ca="1">IFERROR(__xludf.DUMMYFUNCTION("""COMPUTED_VALUE"""),"")</f>
        <v/>
      </c>
      <c r="S601" t="str">
        <f ca="1">IFERROR(__xludf.DUMMYFUNCTION("""COMPUTED_VALUE"""),"")</f>
        <v/>
      </c>
      <c r="T601" t="str">
        <f ca="1">IFERROR(__xludf.DUMMYFUNCTION("""COMPUTED_VALUE"""),"")</f>
        <v/>
      </c>
      <c r="U601" t="str">
        <f ca="1">IFERROR(__xludf.DUMMYFUNCTION("""COMPUTED_VALUE"""),"")</f>
        <v/>
      </c>
      <c r="V601" t="str">
        <f ca="1">IFERROR(__xludf.DUMMYFUNCTION("""COMPUTED_VALUE"""),"")</f>
        <v/>
      </c>
      <c r="W601" t="str">
        <f ca="1">IFERROR(__xludf.DUMMYFUNCTION("""COMPUTED_VALUE"""),"")</f>
        <v/>
      </c>
      <c r="X601" t="str">
        <f ca="1">IFERROR(__xludf.DUMMYFUNCTION("""COMPUTED_VALUE"""),"")</f>
        <v/>
      </c>
      <c r="Y601" t="str">
        <f ca="1">IFERROR(__xludf.DUMMYFUNCTION("""COMPUTED_VALUE"""),"")</f>
        <v/>
      </c>
      <c r="Z601" t="str">
        <f ca="1">IFERROR(__xludf.DUMMYFUNCTION("""COMPUTED_VALUE"""),"")</f>
        <v/>
      </c>
      <c r="AA601" t="str">
        <f ca="1">IFERROR(__xludf.DUMMYFUNCTION("""COMPUTED_VALUE"""),"Pas de commande")</f>
        <v>Pas de commande</v>
      </c>
      <c r="AB601" s="8" t="str">
        <f ca="1">IFERROR(__xludf.DUMMYFUNCTION("""COMPUTED_VALUE"""),"")</f>
        <v/>
      </c>
      <c r="AC601" s="8" t="str">
        <f ca="1">IFERROR(__xludf.DUMMYFUNCTION("""COMPUTED_VALUE"""),"")</f>
        <v/>
      </c>
      <c r="AD601" s="11" t="str">
        <f ca="1">IFERROR(__xludf.DUMMYFUNCTION("""COMPUTED_VALUE"""),"")</f>
        <v/>
      </c>
      <c r="AE601" t="str">
        <f ca="1">IFERROR(__xludf.DUMMYFUNCTION("""COMPUTED_VALUE"""),"")</f>
        <v/>
      </c>
    </row>
    <row r="602" spans="1:31" ht="12.75" x14ac:dyDescent="0.2">
      <c r="A602">
        <f ca="1">IFERROR(__xludf.DUMMYFUNCTION("""COMPUTED_VALUE"""),38109)</f>
        <v>38109</v>
      </c>
      <c r="B602" t="str">
        <f ca="1">IFERROR(__xludf.DUMMYFUNCTION("""COMPUTED_VALUE"""),"MAULEVRIER")</f>
        <v>MAULEVRIER</v>
      </c>
      <c r="C602" t="str">
        <f ca="1">IFERROR(__xludf.DUMMYFUNCTION("""COMPUTED_VALUE"""),"Super U")</f>
        <v>Super U</v>
      </c>
      <c r="D602" t="str">
        <f ca="1">IFERROR(__xludf.DUMMYFUNCTION("""COMPUTED_VALUE"""),"Coop U Enseigne Ouest")</f>
        <v>Coop U Enseigne Ouest</v>
      </c>
      <c r="E602">
        <f ca="1">IFERROR(__xludf.DUMMYFUNCTION("""COMPUTED_VALUE"""),49360)</f>
        <v>49360</v>
      </c>
      <c r="F602" t="str">
        <f ca="1">IFERROR(__xludf.DUMMYFUNCTION("""COMPUTED_VALUE"""),"BOULEVARD EDOUARD COLBERT")</f>
        <v>BOULEVARD EDOUARD COLBERT</v>
      </c>
      <c r="G602" t="str">
        <f ca="1">IFERROR(__xludf.DUMMYFUNCTION("""COMPUTED_VALUE"""),"02.41.55.04.18")</f>
        <v>02.41.55.04.18</v>
      </c>
      <c r="H602" t="str">
        <f ca="1">IFERROR(__xludf.DUMMYFUNCTION("""COMPUTED_VALUE"""),"GABORIAU RPT SARL HOLDING FIG Richard")</f>
        <v>GABORIAU RPT SARL HOLDING FIG Richard</v>
      </c>
      <c r="I602" t="str">
        <f ca="1">IFERROR(__xludf.DUMMYFUNCTION("""COMPUTED_VALUE"""),"richard.gaboriau@systeme-u.fr")</f>
        <v>richard.gaboriau@systeme-u.fr</v>
      </c>
      <c r="J602" t="str">
        <f ca="1">IFERROR(__xludf.DUMMYFUNCTION("""COMPUTED_VALUE"""),"Mme OUVRARD")</f>
        <v>Mme OUVRARD</v>
      </c>
      <c r="K602" t="str">
        <f ca="1">IFERROR(__xludf.DUMMYFUNCTION("""COMPUTED_VALUE"""),"superu.maulevrier.gescom@systeme-u.fr")</f>
        <v>superu.maulevrier.gescom@systeme-u.fr</v>
      </c>
      <c r="L602" t="str">
        <f ca="1">IFERROR(__xludf.DUMMYFUNCTION("""COMPUTED_VALUE"""),"")</f>
        <v/>
      </c>
      <c r="M602" t="str">
        <f ca="1">IFERROR(__xludf.DUMMYFUNCTION("""COMPUTED_VALUE"""),"99.Hors Périmetre")</f>
        <v>99.Hors Périmetre</v>
      </c>
      <c r="N602" t="str">
        <f ca="1">IFERROR(__xludf.DUMMYFUNCTION("""COMPUTED_VALUE"""),"")</f>
        <v/>
      </c>
      <c r="O602" t="str">
        <f ca="1">IFERROR(__xludf.DUMMYFUNCTION("""COMPUTED_VALUE"""),"")</f>
        <v/>
      </c>
      <c r="P602" t="str">
        <f ca="1">IFERROR(__xludf.DUMMYFUNCTION("""COMPUTED_VALUE"""),"")</f>
        <v/>
      </c>
      <c r="Q602" s="5" t="str">
        <f ca="1">IFERROR(__xludf.DUMMYFUNCTION("""COMPUTED_VALUE"""),"")</f>
        <v/>
      </c>
      <c r="R602" s="6" t="str">
        <f ca="1">IFERROR(__xludf.DUMMYFUNCTION("""COMPUTED_VALUE"""),"")</f>
        <v/>
      </c>
      <c r="S602" t="str">
        <f ca="1">IFERROR(__xludf.DUMMYFUNCTION("""COMPUTED_VALUE"""),"")</f>
        <v/>
      </c>
      <c r="T602" t="str">
        <f ca="1">IFERROR(__xludf.DUMMYFUNCTION("""COMPUTED_VALUE"""),"")</f>
        <v/>
      </c>
      <c r="U602" t="str">
        <f ca="1">IFERROR(__xludf.DUMMYFUNCTION("""COMPUTED_VALUE"""),"")</f>
        <v/>
      </c>
      <c r="V602" t="str">
        <f ca="1">IFERROR(__xludf.DUMMYFUNCTION("""COMPUTED_VALUE"""),"")</f>
        <v/>
      </c>
      <c r="W602" t="str">
        <f ca="1">IFERROR(__xludf.DUMMYFUNCTION("""COMPUTED_VALUE"""),"")</f>
        <v/>
      </c>
      <c r="X602" t="str">
        <f ca="1">IFERROR(__xludf.DUMMYFUNCTION("""COMPUTED_VALUE"""),"")</f>
        <v/>
      </c>
      <c r="Y602" t="str">
        <f ca="1">IFERROR(__xludf.DUMMYFUNCTION("""COMPUTED_VALUE"""),"")</f>
        <v/>
      </c>
      <c r="Z602" t="str">
        <f ca="1">IFERROR(__xludf.DUMMYFUNCTION("""COMPUTED_VALUE"""),"")</f>
        <v/>
      </c>
      <c r="AA602" t="str">
        <f ca="1">IFERROR(__xludf.DUMMYFUNCTION("""COMPUTED_VALUE"""),"Pas de commande")</f>
        <v>Pas de commande</v>
      </c>
      <c r="AB602" s="8" t="str">
        <f ca="1">IFERROR(__xludf.DUMMYFUNCTION("""COMPUTED_VALUE"""),"")</f>
        <v/>
      </c>
      <c r="AC602" s="8" t="str">
        <f ca="1">IFERROR(__xludf.DUMMYFUNCTION("""COMPUTED_VALUE"""),"")</f>
        <v/>
      </c>
      <c r="AD602" s="11" t="str">
        <f ca="1">IFERROR(__xludf.DUMMYFUNCTION("""COMPUTED_VALUE"""),"")</f>
        <v/>
      </c>
      <c r="AE602" t="str">
        <f ca="1">IFERROR(__xludf.DUMMYFUNCTION("""COMPUTED_VALUE"""),"")</f>
        <v/>
      </c>
    </row>
    <row r="603" spans="1:31" ht="12.75" x14ac:dyDescent="0.2">
      <c r="A603">
        <f ca="1">IFERROR(__xludf.DUMMYFUNCTION("""COMPUTED_VALUE"""),36408)</f>
        <v>36408</v>
      </c>
      <c r="B603" t="str">
        <f ca="1">IFERROR(__xludf.DUMMYFUNCTION("""COMPUTED_VALUE"""),"MAURON")</f>
        <v>MAURON</v>
      </c>
      <c r="C603" t="str">
        <f ca="1">IFERROR(__xludf.DUMMYFUNCTION("""COMPUTED_VALUE"""),"Super U")</f>
        <v>Super U</v>
      </c>
      <c r="D603" t="str">
        <f ca="1">IFERROR(__xludf.DUMMYFUNCTION("""COMPUTED_VALUE"""),"Coop U Enseigne Ouest")</f>
        <v>Coop U Enseigne Ouest</v>
      </c>
      <c r="E603">
        <f ca="1">IFERROR(__xludf.DUMMYFUNCTION("""COMPUTED_VALUE"""),56430)</f>
        <v>56430</v>
      </c>
      <c r="F603" t="str">
        <f ca="1">IFERROR(__xludf.DUMMYFUNCTION("""COMPUTED_VALUE"""),"RUE MADAME DE SÉVIGNÉ")</f>
        <v>RUE MADAME DE SÉVIGNÉ</v>
      </c>
      <c r="G603" t="str">
        <f ca="1">IFERROR(__xludf.DUMMYFUNCTION("""COMPUTED_VALUE"""),"02.97.22.74.22")</f>
        <v>02.97.22.74.22</v>
      </c>
      <c r="H603" t="str">
        <f ca="1">IFERROR(__xludf.DUMMYFUNCTION("""COMPUTED_VALUE"""),"JUGAN RPT SARL CTJPG Cecile")</f>
        <v>JUGAN RPT SARL CTJPG Cecile</v>
      </c>
      <c r="I603" t="str">
        <f ca="1">IFERROR(__xludf.DUMMYFUNCTION("""COMPUTED_VALUE"""),"cecile.jugan@systeme-u.fr")</f>
        <v>cecile.jugan@systeme-u.fr</v>
      </c>
      <c r="J603" t="str">
        <f ca="1">IFERROR(__xludf.DUMMYFUNCTION("""COMPUTED_VALUE"""),"JUGAN Thomas")</f>
        <v>JUGAN Thomas</v>
      </c>
      <c r="K603" t="str">
        <f ca="1">IFERROR(__xludf.DUMMYFUNCTION("""COMPUTED_VALUE"""),"thomas.jugan@systeme-u.fr")</f>
        <v>thomas.jugan@systeme-u.fr</v>
      </c>
      <c r="L603" t="str">
        <f ca="1">IFERROR(__xludf.DUMMYFUNCTION("""COMPUTED_VALUE"""),"")</f>
        <v/>
      </c>
      <c r="M603" t="str">
        <f ca="1">IFERROR(__xludf.DUMMYFUNCTION("""COMPUTED_VALUE"""),"99.Hors Périmetre")</f>
        <v>99.Hors Périmetre</v>
      </c>
      <c r="N603" t="str">
        <f ca="1">IFERROR(__xludf.DUMMYFUNCTION("""COMPUTED_VALUE"""),"")</f>
        <v/>
      </c>
      <c r="O603" t="str">
        <f ca="1">IFERROR(__xludf.DUMMYFUNCTION("""COMPUTED_VALUE"""),"")</f>
        <v/>
      </c>
      <c r="P603" t="str">
        <f ca="1">IFERROR(__xludf.DUMMYFUNCTION("""COMPUTED_VALUE"""),"")</f>
        <v/>
      </c>
      <c r="Q603" s="5" t="str">
        <f ca="1">IFERROR(__xludf.DUMMYFUNCTION("""COMPUTED_VALUE"""),"")</f>
        <v/>
      </c>
      <c r="R603" s="6" t="str">
        <f ca="1">IFERROR(__xludf.DUMMYFUNCTION("""COMPUTED_VALUE"""),"")</f>
        <v/>
      </c>
      <c r="S603" t="str">
        <f ca="1">IFERROR(__xludf.DUMMYFUNCTION("""COMPUTED_VALUE"""),"")</f>
        <v/>
      </c>
      <c r="T603" t="str">
        <f ca="1">IFERROR(__xludf.DUMMYFUNCTION("""COMPUTED_VALUE"""),"")</f>
        <v/>
      </c>
      <c r="U603" t="str">
        <f ca="1">IFERROR(__xludf.DUMMYFUNCTION("""COMPUTED_VALUE"""),"")</f>
        <v/>
      </c>
      <c r="V603" t="str">
        <f ca="1">IFERROR(__xludf.DUMMYFUNCTION("""COMPUTED_VALUE"""),"")</f>
        <v/>
      </c>
      <c r="W603" t="str">
        <f ca="1">IFERROR(__xludf.DUMMYFUNCTION("""COMPUTED_VALUE"""),"")</f>
        <v/>
      </c>
      <c r="X603" t="str">
        <f ca="1">IFERROR(__xludf.DUMMYFUNCTION("""COMPUTED_VALUE"""),"")</f>
        <v/>
      </c>
      <c r="Y603" t="str">
        <f ca="1">IFERROR(__xludf.DUMMYFUNCTION("""COMPUTED_VALUE"""),"")</f>
        <v/>
      </c>
      <c r="Z603" t="str">
        <f ca="1">IFERROR(__xludf.DUMMYFUNCTION("""COMPUTED_VALUE"""),"")</f>
        <v/>
      </c>
      <c r="AA603" t="str">
        <f ca="1">IFERROR(__xludf.DUMMYFUNCTION("""COMPUTED_VALUE"""),"Pas de commande")</f>
        <v>Pas de commande</v>
      </c>
      <c r="AB603" s="8" t="str">
        <f ca="1">IFERROR(__xludf.DUMMYFUNCTION("""COMPUTED_VALUE"""),"")</f>
        <v/>
      </c>
      <c r="AC603" s="8" t="str">
        <f ca="1">IFERROR(__xludf.DUMMYFUNCTION("""COMPUTED_VALUE"""),"")</f>
        <v/>
      </c>
      <c r="AD603" s="11" t="str">
        <f ca="1">IFERROR(__xludf.DUMMYFUNCTION("""COMPUTED_VALUE"""),"")</f>
        <v/>
      </c>
      <c r="AE603" t="str">
        <f ca="1">IFERROR(__xludf.DUMMYFUNCTION("""COMPUTED_VALUE"""),"")</f>
        <v/>
      </c>
    </row>
    <row r="604" spans="1:31" ht="12.75" x14ac:dyDescent="0.2">
      <c r="A604">
        <f ca="1">IFERROR(__xludf.DUMMYFUNCTION("""COMPUTED_VALUE"""),95769)</f>
        <v>95769</v>
      </c>
      <c r="B604" t="str">
        <f ca="1">IFERROR(__xludf.DUMMYFUNCTION("""COMPUTED_VALUE"""),"MAUVEZIN")</f>
        <v>MAUVEZIN</v>
      </c>
      <c r="C604" t="str">
        <f ca="1">IFERROR(__xludf.DUMMYFUNCTION("""COMPUTED_VALUE"""),"Super U")</f>
        <v>Super U</v>
      </c>
      <c r="D604" t="str">
        <f ca="1">IFERROR(__xludf.DUMMYFUNCTION("""COMPUTED_VALUE"""),"Coop U Enseigne Sud")</f>
        <v>Coop U Enseigne Sud</v>
      </c>
      <c r="E604">
        <f ca="1">IFERROR(__xludf.DUMMYFUNCTION("""COMPUTED_VALUE"""),32120)</f>
        <v>32120</v>
      </c>
      <c r="F604" t="str">
        <f ca="1">IFERROR(__xludf.DUMMYFUNCTION("""COMPUTED_VALUE"""),"ROUTE D'AUCH")</f>
        <v>ROUTE D'AUCH</v>
      </c>
      <c r="G604" t="str">
        <f ca="1">IFERROR(__xludf.DUMMYFUNCTION("""COMPUTED_VALUE"""),"05.62.06.77.10")</f>
        <v>05.62.06.77.10</v>
      </c>
      <c r="H604" t="str">
        <f ca="1">IFERROR(__xludf.DUMMYFUNCTION("""COMPUTED_VALUE"""),"BERGE Alain")</f>
        <v>BERGE Alain</v>
      </c>
      <c r="I604" t="str">
        <f ca="1">IFERROR(__xludf.DUMMYFUNCTION("""COMPUTED_VALUE"""),"alain.berge@systeme-u.fr")</f>
        <v>alain.berge@systeme-u.fr</v>
      </c>
      <c r="J604" t="str">
        <f ca="1">IFERROR(__xludf.DUMMYFUNCTION("""COMPUTED_VALUE"""),"Frédéric BERGE")</f>
        <v>Frédéric BERGE</v>
      </c>
      <c r="K604" t="str">
        <f ca="1">IFERROR(__xludf.DUMMYFUNCTION("""COMPUTED_VALUE"""),"superu.mauvezin@systeme-u.fr")</f>
        <v>superu.mauvezin@systeme-u.fr</v>
      </c>
      <c r="L604" t="str">
        <f ca="1">IFERROR(__xludf.DUMMYFUNCTION("""COMPUTED_VALUE"""),"Standard")</f>
        <v>Standard</v>
      </c>
      <c r="M604" t="str">
        <f ca="1">IFERROR(__xludf.DUMMYFUNCTION("""COMPUTED_VALUE"""),"0. Non démarré")</f>
        <v>0. Non démarré</v>
      </c>
      <c r="N604" t="str">
        <f ca="1">IFERROR(__xludf.DUMMYFUNCTION("""COMPUTED_VALUE"""),"")</f>
        <v/>
      </c>
      <c r="O604" t="str">
        <f ca="1">IFERROR(__xludf.DUMMYFUNCTION("""COMPUTED_VALUE"""),"")</f>
        <v/>
      </c>
      <c r="P604" t="str">
        <f ca="1">IFERROR(__xludf.DUMMYFUNCTION("""COMPUTED_VALUE"""),"")</f>
        <v/>
      </c>
      <c r="Q604" s="5" t="str">
        <f ca="1">IFERROR(__xludf.DUMMYFUNCTION("""COMPUTED_VALUE"""),"")</f>
        <v/>
      </c>
      <c r="R604" s="6" t="str">
        <f ca="1">IFERROR(__xludf.DUMMYFUNCTION("""COMPUTED_VALUE"""),"")</f>
        <v/>
      </c>
      <c r="S604" t="str">
        <f ca="1">IFERROR(__xludf.DUMMYFUNCTION("""COMPUTED_VALUE"""),"")</f>
        <v/>
      </c>
      <c r="T604" t="str">
        <f ca="1">IFERROR(__xludf.DUMMYFUNCTION("""COMPUTED_VALUE"""),"")</f>
        <v/>
      </c>
      <c r="U604" t="str">
        <f ca="1">IFERROR(__xludf.DUMMYFUNCTION("""COMPUTED_VALUE"""),"")</f>
        <v/>
      </c>
      <c r="V604" t="str">
        <f ca="1">IFERROR(__xludf.DUMMYFUNCTION("""COMPUTED_VALUE"""),"")</f>
        <v/>
      </c>
      <c r="W604" t="str">
        <f ca="1">IFERROR(__xludf.DUMMYFUNCTION("""COMPUTED_VALUE"""),"R5")</f>
        <v>R5</v>
      </c>
      <c r="X604" t="str">
        <f ca="1">IFERROR(__xludf.DUMMYFUNCTION("""COMPUTED_VALUE"""),"Pricer")</f>
        <v>Pricer</v>
      </c>
      <c r="Y604" t="str">
        <f ca="1">IFERROR(__xludf.DUMMYFUNCTION("""COMPUTED_VALUE"""),"")</f>
        <v/>
      </c>
      <c r="Z604" t="str">
        <f ca="1">IFERROR(__xludf.DUMMYFUNCTION("""COMPUTED_VALUE"""),"")</f>
        <v/>
      </c>
      <c r="AA604" t="str">
        <f ca="1">IFERROR(__xludf.DUMMYFUNCTION("""COMPUTED_VALUE"""),"Pas de commande")</f>
        <v>Pas de commande</v>
      </c>
      <c r="AB604" s="8" t="str">
        <f ca="1">IFERROR(__xludf.DUMMYFUNCTION("""COMPUTED_VALUE"""),"")</f>
        <v/>
      </c>
      <c r="AC604" s="8" t="str">
        <f ca="1">IFERROR(__xludf.DUMMYFUNCTION("""COMPUTED_VALUE"""),"")</f>
        <v/>
      </c>
      <c r="AD604" s="11" t="str">
        <f ca="1">IFERROR(__xludf.DUMMYFUNCTION("""COMPUTED_VALUE"""),"")</f>
        <v/>
      </c>
      <c r="AE604" t="str">
        <f ca="1">IFERROR(__xludf.DUMMYFUNCTION("""COMPUTED_VALUE"""),"")</f>
        <v/>
      </c>
    </row>
    <row r="605" spans="1:31" ht="12.75" x14ac:dyDescent="0.2">
      <c r="A605">
        <f ca="1">IFERROR(__xludf.DUMMYFUNCTION("""COMPUTED_VALUE"""),65439)</f>
        <v>65439</v>
      </c>
      <c r="B605" t="str">
        <f ca="1">IFERROR(__xludf.DUMMYFUNCTION("""COMPUTED_VALUE"""),"MAXEVILLE")</f>
        <v>MAXEVILLE</v>
      </c>
      <c r="C605" t="str">
        <f ca="1">IFERROR(__xludf.DUMMYFUNCTION("""COMPUTED_VALUE"""),"Super U")</f>
        <v>Super U</v>
      </c>
      <c r="D605" t="str">
        <f ca="1">IFERROR(__xludf.DUMMYFUNCTION("""COMPUTED_VALUE"""),"Coop U Enseigne Est")</f>
        <v>Coop U Enseigne Est</v>
      </c>
      <c r="E605">
        <f ca="1">IFERROR(__xludf.DUMMYFUNCTION("""COMPUTED_VALUE"""),54320)</f>
        <v>54320</v>
      </c>
      <c r="F605" t="str">
        <f ca="1">IFERROR(__xludf.DUMMYFUNCTION("""COMPUTED_VALUE"""),"AVENUE DE LA MEURTHE")</f>
        <v>AVENUE DE LA MEURTHE</v>
      </c>
      <c r="G605" t="str">
        <f ca="1">IFERROR(__xludf.DUMMYFUNCTION("""COMPUTED_VALUE"""),"03.83.36.66.80")</f>
        <v>03.83.36.66.80</v>
      </c>
      <c r="H605" t="str">
        <f ca="1">IFERROR(__xludf.DUMMYFUNCTION("""COMPUTED_VALUE"""),"ZIMMERMANN YOHAN")</f>
        <v>ZIMMERMANN YOHAN</v>
      </c>
      <c r="I605" t="str">
        <f ca="1">IFERROR(__xludf.DUMMYFUNCTION("""COMPUTED_VALUE"""),"yohan.zimmermann@systeme-u.fr")</f>
        <v>yohan.zimmermann@systeme-u.fr</v>
      </c>
      <c r="J605" t="str">
        <f ca="1">IFERROR(__xludf.DUMMYFUNCTION("""COMPUTED_VALUE"""),"Stéphane LU")</f>
        <v>Stéphane LU</v>
      </c>
      <c r="K605" t="str">
        <f ca="1">IFERROR(__xludf.DUMMYFUNCTION("""COMPUTED_VALUE"""),"superu.maxeville.direction@systeme-u.fr")</f>
        <v>superu.maxeville.direction@systeme-u.fr</v>
      </c>
      <c r="L605" t="str">
        <f ca="1">IFERROR(__xludf.DUMMYFUNCTION("""COMPUTED_VALUE"""),"")</f>
        <v/>
      </c>
      <c r="M605" t="str">
        <f ca="1">IFERROR(__xludf.DUMMYFUNCTION("""COMPUTED_VALUE"""),"99.Hors Périmetre")</f>
        <v>99.Hors Périmetre</v>
      </c>
      <c r="N605" t="str">
        <f ca="1">IFERROR(__xludf.DUMMYFUNCTION("""COMPUTED_VALUE"""),"")</f>
        <v/>
      </c>
      <c r="O605" t="str">
        <f ca="1">IFERROR(__xludf.DUMMYFUNCTION("""COMPUTED_VALUE"""),"")</f>
        <v/>
      </c>
      <c r="P605" t="str">
        <f ca="1">IFERROR(__xludf.DUMMYFUNCTION("""COMPUTED_VALUE"""),"")</f>
        <v/>
      </c>
      <c r="Q605" s="5" t="str">
        <f ca="1">IFERROR(__xludf.DUMMYFUNCTION("""COMPUTED_VALUE"""),"")</f>
        <v/>
      </c>
      <c r="R605" s="6" t="str">
        <f ca="1">IFERROR(__xludf.DUMMYFUNCTION("""COMPUTED_VALUE"""),"")</f>
        <v/>
      </c>
      <c r="S605" t="str">
        <f ca="1">IFERROR(__xludf.DUMMYFUNCTION("""COMPUTED_VALUE"""),"")</f>
        <v/>
      </c>
      <c r="T605" t="str">
        <f ca="1">IFERROR(__xludf.DUMMYFUNCTION("""COMPUTED_VALUE"""),"")</f>
        <v/>
      </c>
      <c r="U605" t="str">
        <f ca="1">IFERROR(__xludf.DUMMYFUNCTION("""COMPUTED_VALUE"""),"")</f>
        <v/>
      </c>
      <c r="V605" t="str">
        <f ca="1">IFERROR(__xludf.DUMMYFUNCTION("""COMPUTED_VALUE"""),"")</f>
        <v/>
      </c>
      <c r="W605" t="str">
        <f ca="1">IFERROR(__xludf.DUMMYFUNCTION("""COMPUTED_VALUE"""),"")</f>
        <v/>
      </c>
      <c r="X605" t="str">
        <f ca="1">IFERROR(__xludf.DUMMYFUNCTION("""COMPUTED_VALUE"""),"")</f>
        <v/>
      </c>
      <c r="Y605" t="str">
        <f ca="1">IFERROR(__xludf.DUMMYFUNCTION("""COMPUTED_VALUE"""),"")</f>
        <v/>
      </c>
      <c r="Z605" t="str">
        <f ca="1">IFERROR(__xludf.DUMMYFUNCTION("""COMPUTED_VALUE"""),"")</f>
        <v/>
      </c>
      <c r="AA605" t="str">
        <f ca="1">IFERROR(__xludf.DUMMYFUNCTION("""COMPUTED_VALUE"""),"Pas de commande")</f>
        <v>Pas de commande</v>
      </c>
      <c r="AB605" s="8" t="str">
        <f ca="1">IFERROR(__xludf.DUMMYFUNCTION("""COMPUTED_VALUE"""),"")</f>
        <v/>
      </c>
      <c r="AC605" s="8" t="str">
        <f ca="1">IFERROR(__xludf.DUMMYFUNCTION("""COMPUTED_VALUE"""),"")</f>
        <v/>
      </c>
      <c r="AD605" s="11" t="str">
        <f ca="1">IFERROR(__xludf.DUMMYFUNCTION("""COMPUTED_VALUE"""),"")</f>
        <v/>
      </c>
      <c r="AE605" t="str">
        <f ca="1">IFERROR(__xludf.DUMMYFUNCTION("""COMPUTED_VALUE"""),"")</f>
        <v/>
      </c>
    </row>
    <row r="606" spans="1:31" ht="12.75" x14ac:dyDescent="0.2">
      <c r="A606">
        <f ca="1">IFERROR(__xludf.DUMMYFUNCTION("""COMPUTED_VALUE"""),36580)</f>
        <v>36580</v>
      </c>
      <c r="B606" t="str">
        <f ca="1">IFERROR(__xludf.DUMMYFUNCTION("""COMPUTED_VALUE"""),"MAYENNE")</f>
        <v>MAYENNE</v>
      </c>
      <c r="C606" t="str">
        <f ca="1">IFERROR(__xludf.DUMMYFUNCTION("""COMPUTED_VALUE"""),"Hyper U")</f>
        <v>Hyper U</v>
      </c>
      <c r="D606" t="str">
        <f ca="1">IFERROR(__xludf.DUMMYFUNCTION("""COMPUTED_VALUE"""),"Coop U Enseigne Ouest")</f>
        <v>Coop U Enseigne Ouest</v>
      </c>
      <c r="E606">
        <f ca="1">IFERROR(__xludf.DUMMYFUNCTION("""COMPUTED_VALUE"""),53102)</f>
        <v>53102</v>
      </c>
      <c r="F606" t="str">
        <f ca="1">IFERROR(__xludf.DUMMYFUNCTION("""COMPUTED_VALUE"""),"550 BD JEAN MONNET")</f>
        <v>550 BD JEAN MONNET</v>
      </c>
      <c r="G606" t="str">
        <f ca="1">IFERROR(__xludf.DUMMYFUNCTION("""COMPUTED_VALUE"""),"02.43.30.16.16")</f>
        <v>02.43.30.16.16</v>
      </c>
      <c r="H606" t="str">
        <f ca="1">IFERROR(__xludf.DUMMYFUNCTION("""COMPUTED_VALUE"""),"MOUSSET Nicolas")</f>
        <v>MOUSSET Nicolas</v>
      </c>
      <c r="I606" t="str">
        <f ca="1">IFERROR(__xludf.DUMMYFUNCTION("""COMPUTED_VALUE"""),"nicolas.mousset@systeme-u.fr")</f>
        <v>nicolas.mousset@systeme-u.fr</v>
      </c>
      <c r="J606" t="str">
        <f ca="1">IFERROR(__xludf.DUMMYFUNCTION("""COMPUTED_VALUE"""),"Halouze Stéphanie")</f>
        <v>Halouze Stéphanie</v>
      </c>
      <c r="K606" t="str">
        <f ca="1">IFERROR(__xludf.DUMMYFUNCTION("""COMPUTED_VALUE"""),"hyperu.mayenne.administratif@systeme-u.fr,
hyperu.mayenne.direction@systeme-u.fr")</f>
        <v>hyperu.mayenne.administratif@systeme-u.fr,
hyperu.mayenne.direction@systeme-u.fr</v>
      </c>
      <c r="L606" t="str">
        <f ca="1">IFERROR(__xludf.DUMMYFUNCTION("""COMPUTED_VALUE"""),"")</f>
        <v/>
      </c>
      <c r="M606" t="str">
        <f ca="1">IFERROR(__xludf.DUMMYFUNCTION("""COMPUTED_VALUE"""),"99.Hors Périmetre")</f>
        <v>99.Hors Périmetre</v>
      </c>
      <c r="N606" t="str">
        <f ca="1">IFERROR(__xludf.DUMMYFUNCTION("""COMPUTED_VALUE"""),"")</f>
        <v/>
      </c>
      <c r="O606" t="str">
        <f ca="1">IFERROR(__xludf.DUMMYFUNCTION("""COMPUTED_VALUE"""),"")</f>
        <v/>
      </c>
      <c r="P606" t="str">
        <f ca="1">IFERROR(__xludf.DUMMYFUNCTION("""COMPUTED_VALUE"""),"")</f>
        <v/>
      </c>
      <c r="Q606" s="5" t="str">
        <f ca="1">IFERROR(__xludf.DUMMYFUNCTION("""COMPUTED_VALUE"""),"")</f>
        <v/>
      </c>
      <c r="R606" s="6" t="str">
        <f ca="1">IFERROR(__xludf.DUMMYFUNCTION("""COMPUTED_VALUE"""),"")</f>
        <v/>
      </c>
      <c r="S606" t="str">
        <f ca="1">IFERROR(__xludf.DUMMYFUNCTION("""COMPUTED_VALUE"""),"")</f>
        <v/>
      </c>
      <c r="T606" t="str">
        <f ca="1">IFERROR(__xludf.DUMMYFUNCTION("""COMPUTED_VALUE"""),"")</f>
        <v/>
      </c>
      <c r="U606" t="str">
        <f ca="1">IFERROR(__xludf.DUMMYFUNCTION("""COMPUTED_VALUE"""),"")</f>
        <v/>
      </c>
      <c r="V606" t="str">
        <f ca="1">IFERROR(__xludf.DUMMYFUNCTION("""COMPUTED_VALUE"""),"")</f>
        <v/>
      </c>
      <c r="W606" t="str">
        <f ca="1">IFERROR(__xludf.DUMMYFUNCTION("""COMPUTED_VALUE"""),"")</f>
        <v/>
      </c>
      <c r="X606" t="str">
        <f ca="1">IFERROR(__xludf.DUMMYFUNCTION("""COMPUTED_VALUE"""),"")</f>
        <v/>
      </c>
      <c r="Y606" t="str">
        <f ca="1">IFERROR(__xludf.DUMMYFUNCTION("""COMPUTED_VALUE"""),"")</f>
        <v/>
      </c>
      <c r="Z606" t="str">
        <f ca="1">IFERROR(__xludf.DUMMYFUNCTION("""COMPUTED_VALUE"""),"")</f>
        <v/>
      </c>
      <c r="AA606" t="str">
        <f ca="1">IFERROR(__xludf.DUMMYFUNCTION("""COMPUTED_VALUE"""),"Pas de commande")</f>
        <v>Pas de commande</v>
      </c>
      <c r="AB606" s="8" t="str">
        <f ca="1">IFERROR(__xludf.DUMMYFUNCTION("""COMPUTED_VALUE"""),"")</f>
        <v/>
      </c>
      <c r="AC606" s="8" t="str">
        <f ca="1">IFERROR(__xludf.DUMMYFUNCTION("""COMPUTED_VALUE"""),"")</f>
        <v/>
      </c>
      <c r="AD606" s="11" t="str">
        <f ca="1">IFERROR(__xludf.DUMMYFUNCTION("""COMPUTED_VALUE"""),"")</f>
        <v/>
      </c>
      <c r="AE606" t="str">
        <f ca="1">IFERROR(__xludf.DUMMYFUNCTION("""COMPUTED_VALUE"""),"")</f>
        <v/>
      </c>
    </row>
    <row r="607" spans="1:31" ht="12.75" x14ac:dyDescent="0.2">
      <c r="A607">
        <f ca="1">IFERROR(__xludf.DUMMYFUNCTION("""COMPUTED_VALUE"""),90614)</f>
        <v>90614</v>
      </c>
      <c r="B607" t="str">
        <f ca="1">IFERROR(__xludf.DUMMYFUNCTION("""COMPUTED_VALUE"""),"MAZAN")</f>
        <v>MAZAN</v>
      </c>
      <c r="C607" t="str">
        <f ca="1">IFERROR(__xludf.DUMMYFUNCTION("""COMPUTED_VALUE"""),"U Express")</f>
        <v>U Express</v>
      </c>
      <c r="D607" t="str">
        <f ca="1">IFERROR(__xludf.DUMMYFUNCTION("""COMPUTED_VALUE"""),"Coop MISTRAL")</f>
        <v>Coop MISTRAL</v>
      </c>
      <c r="E607">
        <f ca="1">IFERROR(__xludf.DUMMYFUNCTION("""COMPUTED_VALUE"""),84380)</f>
        <v>84380</v>
      </c>
      <c r="F607" t="str">
        <f ca="1">IFERROR(__xludf.DUMMYFUNCTION("""COMPUTED_VALUE"""),"ROUTE DE PERNES")</f>
        <v>ROUTE DE PERNES</v>
      </c>
      <c r="G607" t="str">
        <f ca="1">IFERROR(__xludf.DUMMYFUNCTION("""COMPUTED_VALUE"""),"04.90.69.74.07")</f>
        <v>04.90.69.74.07</v>
      </c>
      <c r="H607" t="str">
        <f ca="1">IFERROR(__xludf.DUMMYFUNCTION("""COMPUTED_VALUE"""),"RHAILANE Youssef")</f>
        <v>RHAILANE Youssef</v>
      </c>
      <c r="I607" t="str">
        <f ca="1">IFERROR(__xludf.DUMMYFUNCTION("""COMPUTED_VALUE"""),"uexpress.mazan@mistral-u.fr")</f>
        <v>uexpress.mazan@mistral-u.fr</v>
      </c>
      <c r="J607" t="str">
        <f ca="1">IFERROR(__xludf.DUMMYFUNCTION("""COMPUTED_VALUE"""),"")</f>
        <v/>
      </c>
      <c r="K607" t="str">
        <f ca="1">IFERROR(__xludf.DUMMYFUNCTION("""COMPUTED_VALUE"""),"delphine.damian@lemistral.fr,helene.mina@lemistral.fr")</f>
        <v>delphine.damian@lemistral.fr,helene.mina@lemistral.fr</v>
      </c>
      <c r="L607" t="str">
        <f ca="1">IFERROR(__xludf.DUMMYFUNCTION("""COMPUTED_VALUE"""),"")</f>
        <v/>
      </c>
      <c r="M607" t="str">
        <f ca="1">IFERROR(__xludf.DUMMYFUNCTION("""COMPUTED_VALUE"""),"99.Hors Périmetre")</f>
        <v>99.Hors Périmetre</v>
      </c>
      <c r="N607" t="str">
        <f ca="1">IFERROR(__xludf.DUMMYFUNCTION("""COMPUTED_VALUE"""),"")</f>
        <v/>
      </c>
      <c r="O607" t="str">
        <f ca="1">IFERROR(__xludf.DUMMYFUNCTION("""COMPUTED_VALUE"""),"")</f>
        <v/>
      </c>
      <c r="P607" t="str">
        <f ca="1">IFERROR(__xludf.DUMMYFUNCTION("""COMPUTED_VALUE"""),"")</f>
        <v/>
      </c>
      <c r="Q607" s="5" t="str">
        <f ca="1">IFERROR(__xludf.DUMMYFUNCTION("""COMPUTED_VALUE"""),"")</f>
        <v/>
      </c>
      <c r="R607" s="6" t="str">
        <f ca="1">IFERROR(__xludf.DUMMYFUNCTION("""COMPUTED_VALUE"""),"")</f>
        <v/>
      </c>
      <c r="S607" t="str">
        <f ca="1">IFERROR(__xludf.DUMMYFUNCTION("""COMPUTED_VALUE"""),"")</f>
        <v/>
      </c>
      <c r="T607" t="str">
        <f ca="1">IFERROR(__xludf.DUMMYFUNCTION("""COMPUTED_VALUE"""),"")</f>
        <v/>
      </c>
      <c r="U607" t="str">
        <f ca="1">IFERROR(__xludf.DUMMYFUNCTION("""COMPUTED_VALUE"""),"")</f>
        <v/>
      </c>
      <c r="V607" t="str">
        <f ca="1">IFERROR(__xludf.DUMMYFUNCTION("""COMPUTED_VALUE"""),"")</f>
        <v/>
      </c>
      <c r="W607" t="str">
        <f ca="1">IFERROR(__xludf.DUMMYFUNCTION("""COMPUTED_VALUE"""),"")</f>
        <v/>
      </c>
      <c r="X607" t="str">
        <f ca="1">IFERROR(__xludf.DUMMYFUNCTION("""COMPUTED_VALUE"""),"")</f>
        <v/>
      </c>
      <c r="Y607" t="str">
        <f ca="1">IFERROR(__xludf.DUMMYFUNCTION("""COMPUTED_VALUE"""),"")</f>
        <v/>
      </c>
      <c r="Z607" t="str">
        <f ca="1">IFERROR(__xludf.DUMMYFUNCTION("""COMPUTED_VALUE"""),"")</f>
        <v/>
      </c>
      <c r="AA607" t="str">
        <f ca="1">IFERROR(__xludf.DUMMYFUNCTION("""COMPUTED_VALUE"""),"Pas de commande")</f>
        <v>Pas de commande</v>
      </c>
      <c r="AB607" s="8" t="str">
        <f ca="1">IFERROR(__xludf.DUMMYFUNCTION("""COMPUTED_VALUE"""),"")</f>
        <v/>
      </c>
      <c r="AC607" s="8" t="str">
        <f ca="1">IFERROR(__xludf.DUMMYFUNCTION("""COMPUTED_VALUE"""),"")</f>
        <v/>
      </c>
      <c r="AD607" s="11" t="str">
        <f ca="1">IFERROR(__xludf.DUMMYFUNCTION("""COMPUTED_VALUE"""),"")</f>
        <v/>
      </c>
      <c r="AE607" t="str">
        <f ca="1">IFERROR(__xludf.DUMMYFUNCTION("""COMPUTED_VALUE"""),"")</f>
        <v/>
      </c>
    </row>
    <row r="608" spans="1:31" ht="12.75" x14ac:dyDescent="0.2">
      <c r="A608">
        <f ca="1">IFERROR(__xludf.DUMMYFUNCTION("""COMPUTED_VALUE"""),35355)</f>
        <v>35355</v>
      </c>
      <c r="B608" t="str">
        <f ca="1">IFERROR(__xludf.DUMMYFUNCTION("""COMPUTED_VALUE"""),"MELESSE")</f>
        <v>MELESSE</v>
      </c>
      <c r="C608" t="str">
        <f ca="1">IFERROR(__xludf.DUMMYFUNCTION("""COMPUTED_VALUE"""),"Super U")</f>
        <v>Super U</v>
      </c>
      <c r="D608" t="str">
        <f ca="1">IFERROR(__xludf.DUMMYFUNCTION("""COMPUTED_VALUE"""),"Coop U Enseigne Ouest")</f>
        <v>Coop U Enseigne Ouest</v>
      </c>
      <c r="E608">
        <f ca="1">IFERROR(__xludf.DUMMYFUNCTION("""COMPUTED_VALUE"""),35520)</f>
        <v>35520</v>
      </c>
      <c r="F608" t="str">
        <f ca="1">IFERROR(__xludf.DUMMYFUNCTION("""COMPUTED_VALUE"""),"ZA DE LA MÉTAIRIE QUARTIER LIBRE")</f>
        <v>ZA DE LA MÉTAIRIE QUARTIER LIBRE</v>
      </c>
      <c r="G608" t="str">
        <f ca="1">IFERROR(__xludf.DUMMYFUNCTION("""COMPUTED_VALUE"""),"02.99.66.11.58")</f>
        <v>02.99.66.11.58</v>
      </c>
      <c r="H608" t="str">
        <f ca="1">IFERROR(__xludf.DUMMYFUNCTION("""COMPUTED_VALUE"""),"GUILLEMOT RPT SA NOGINVEST Rémi")</f>
        <v>GUILLEMOT RPT SA NOGINVEST Rémi</v>
      </c>
      <c r="I608" t="str">
        <f ca="1">IFERROR(__xludf.DUMMYFUNCTION("""COMPUTED_VALUE"""),"remi.guillemot@systeme-u.fr")</f>
        <v>remi.guillemot@systeme-u.fr</v>
      </c>
      <c r="J608" t="str">
        <f ca="1">IFERROR(__xludf.DUMMYFUNCTION("""COMPUTED_VALUE"""),"Rabin Thierry")</f>
        <v>Rabin Thierry</v>
      </c>
      <c r="K608" t="str">
        <f ca="1">IFERROR(__xludf.DUMMYFUNCTION("""COMPUTED_VALUE"""),"thierry.rabin@systeme-u.fr")</f>
        <v>thierry.rabin@systeme-u.fr</v>
      </c>
      <c r="L608" t="str">
        <f ca="1">IFERROR(__xludf.DUMMYFUNCTION("""COMPUTED_VALUE"""),"")</f>
        <v/>
      </c>
      <c r="M608" t="str">
        <f ca="1">IFERROR(__xludf.DUMMYFUNCTION("""COMPUTED_VALUE"""),"99.Hors Périmetre")</f>
        <v>99.Hors Périmetre</v>
      </c>
      <c r="N608" t="str">
        <f ca="1">IFERROR(__xludf.DUMMYFUNCTION("""COMPUTED_VALUE"""),"")</f>
        <v/>
      </c>
      <c r="O608" t="str">
        <f ca="1">IFERROR(__xludf.DUMMYFUNCTION("""COMPUTED_VALUE"""),"")</f>
        <v/>
      </c>
      <c r="P608" t="str">
        <f ca="1">IFERROR(__xludf.DUMMYFUNCTION("""COMPUTED_VALUE"""),"")</f>
        <v/>
      </c>
      <c r="Q608" s="5" t="str">
        <f ca="1">IFERROR(__xludf.DUMMYFUNCTION("""COMPUTED_VALUE"""),"")</f>
        <v/>
      </c>
      <c r="R608" s="6" t="str">
        <f ca="1">IFERROR(__xludf.DUMMYFUNCTION("""COMPUTED_VALUE"""),"")</f>
        <v/>
      </c>
      <c r="S608" t="str">
        <f ca="1">IFERROR(__xludf.DUMMYFUNCTION("""COMPUTED_VALUE"""),"")</f>
        <v/>
      </c>
      <c r="T608" t="str">
        <f ca="1">IFERROR(__xludf.DUMMYFUNCTION("""COMPUTED_VALUE"""),"")</f>
        <v/>
      </c>
      <c r="U608" t="str">
        <f ca="1">IFERROR(__xludf.DUMMYFUNCTION("""COMPUTED_VALUE"""),"")</f>
        <v/>
      </c>
      <c r="V608" t="str">
        <f ca="1">IFERROR(__xludf.DUMMYFUNCTION("""COMPUTED_VALUE"""),"")</f>
        <v/>
      </c>
      <c r="W608" t="str">
        <f ca="1">IFERROR(__xludf.DUMMYFUNCTION("""COMPUTED_VALUE"""),"")</f>
        <v/>
      </c>
      <c r="X608" t="str">
        <f ca="1">IFERROR(__xludf.DUMMYFUNCTION("""COMPUTED_VALUE"""),"")</f>
        <v/>
      </c>
      <c r="Y608" t="str">
        <f ca="1">IFERROR(__xludf.DUMMYFUNCTION("""COMPUTED_VALUE"""),"")</f>
        <v/>
      </c>
      <c r="Z608" t="str">
        <f ca="1">IFERROR(__xludf.DUMMYFUNCTION("""COMPUTED_VALUE"""),"")</f>
        <v/>
      </c>
      <c r="AA608" t="str">
        <f ca="1">IFERROR(__xludf.DUMMYFUNCTION("""COMPUTED_VALUE"""),"Pas de commande")</f>
        <v>Pas de commande</v>
      </c>
      <c r="AB608" s="8" t="str">
        <f ca="1">IFERROR(__xludf.DUMMYFUNCTION("""COMPUTED_VALUE"""),"")</f>
        <v/>
      </c>
      <c r="AC608" s="8" t="str">
        <f ca="1">IFERROR(__xludf.DUMMYFUNCTION("""COMPUTED_VALUE"""),"")</f>
        <v/>
      </c>
      <c r="AD608" s="11" t="str">
        <f ca="1">IFERROR(__xludf.DUMMYFUNCTION("""COMPUTED_VALUE"""),"")</f>
        <v/>
      </c>
      <c r="AE608" t="str">
        <f ca="1">IFERROR(__xludf.DUMMYFUNCTION("""COMPUTED_VALUE"""),"")</f>
        <v/>
      </c>
    </row>
    <row r="609" spans="1:31" ht="12.75" x14ac:dyDescent="0.2">
      <c r="A609">
        <f ca="1">IFERROR(__xludf.DUMMYFUNCTION("""COMPUTED_VALUE"""),90424)</f>
        <v>90424</v>
      </c>
      <c r="B609" t="str">
        <f ca="1">IFERROR(__xludf.DUMMYFUNCTION("""COMPUTED_VALUE"""),"MENDE")</f>
        <v>MENDE</v>
      </c>
      <c r="C609" t="str">
        <f ca="1">IFERROR(__xludf.DUMMYFUNCTION("""COMPUTED_VALUE"""),"Hyper U")</f>
        <v>Hyper U</v>
      </c>
      <c r="D609" t="str">
        <f ca="1">IFERROR(__xludf.DUMMYFUNCTION("""COMPUTED_VALUE"""),"Coop U Enseigne Sud")</f>
        <v>Coop U Enseigne Sud</v>
      </c>
      <c r="E609">
        <f ca="1">IFERROR(__xludf.DUMMYFUNCTION("""COMPUTED_VALUE"""),48000)</f>
        <v>48000</v>
      </c>
      <c r="F609" t="str">
        <f ca="1">IFERROR(__xludf.DUMMYFUNCTION("""COMPUTED_VALUE"""),"CC COEUR LOZERE ZAC DE RAMILLES")</f>
        <v>CC COEUR LOZERE ZAC DE RAMILLES</v>
      </c>
      <c r="G609" t="str">
        <f ca="1">IFERROR(__xludf.DUMMYFUNCTION("""COMPUTED_VALUE"""),"04.66.65.06.50")</f>
        <v>04.66.65.06.50</v>
      </c>
      <c r="H609" t="str">
        <f ca="1">IFERROR(__xludf.DUMMYFUNCTION("""COMPUTED_VALUE"""),"BRINGER Nicolas")</f>
        <v>BRINGER Nicolas</v>
      </c>
      <c r="I609" t="str">
        <f ca="1">IFERROR(__xludf.DUMMYFUNCTION("""COMPUTED_VALUE"""),"hyperu.mende.associe@systeme-u.fr")</f>
        <v>hyperu.mende.associe@systeme-u.fr</v>
      </c>
      <c r="J609" t="str">
        <f ca="1">IFERROR(__xludf.DUMMYFUNCTION("""COMPUTED_VALUE"""),"BRUN Jean Michel ")</f>
        <v xml:space="preserve">BRUN Jean Michel </v>
      </c>
      <c r="K609" t="str">
        <f ca="1">IFERROR(__xludf.DUMMYFUNCTION("""COMPUTED_VALUE"""),"hyperu.mende.direction@systeme-u.fr")</f>
        <v>hyperu.mende.direction@systeme-u.fr</v>
      </c>
      <c r="L609" t="str">
        <f ca="1">IFERROR(__xludf.DUMMYFUNCTION("""COMPUTED_VALUE"""),"")</f>
        <v/>
      </c>
      <c r="M609" t="str">
        <f ca="1">IFERROR(__xludf.DUMMYFUNCTION("""COMPUTED_VALUE"""),"99.Hors Périmetre")</f>
        <v>99.Hors Périmetre</v>
      </c>
      <c r="N609" t="str">
        <f ca="1">IFERROR(__xludf.DUMMYFUNCTION("""COMPUTED_VALUE"""),"")</f>
        <v/>
      </c>
      <c r="O609" t="str">
        <f ca="1">IFERROR(__xludf.DUMMYFUNCTION("""COMPUTED_VALUE"""),"")</f>
        <v/>
      </c>
      <c r="P609" t="str">
        <f ca="1">IFERROR(__xludf.DUMMYFUNCTION("""COMPUTED_VALUE"""),"")</f>
        <v/>
      </c>
      <c r="Q609" s="5" t="str">
        <f ca="1">IFERROR(__xludf.DUMMYFUNCTION("""COMPUTED_VALUE"""),"")</f>
        <v/>
      </c>
      <c r="R609" s="6" t="str">
        <f ca="1">IFERROR(__xludf.DUMMYFUNCTION("""COMPUTED_VALUE"""),"")</f>
        <v/>
      </c>
      <c r="S609" t="str">
        <f ca="1">IFERROR(__xludf.DUMMYFUNCTION("""COMPUTED_VALUE"""),"")</f>
        <v/>
      </c>
      <c r="T609" t="str">
        <f ca="1">IFERROR(__xludf.DUMMYFUNCTION("""COMPUTED_VALUE"""),"")</f>
        <v/>
      </c>
      <c r="U609" t="str">
        <f ca="1">IFERROR(__xludf.DUMMYFUNCTION("""COMPUTED_VALUE"""),"")</f>
        <v/>
      </c>
      <c r="V609" t="str">
        <f ca="1">IFERROR(__xludf.DUMMYFUNCTION("""COMPUTED_VALUE"""),"")</f>
        <v/>
      </c>
      <c r="W609" t="str">
        <f ca="1">IFERROR(__xludf.DUMMYFUNCTION("""COMPUTED_VALUE"""),"")</f>
        <v/>
      </c>
      <c r="X609" t="str">
        <f ca="1">IFERROR(__xludf.DUMMYFUNCTION("""COMPUTED_VALUE"""),"")</f>
        <v/>
      </c>
      <c r="Y609" t="str">
        <f ca="1">IFERROR(__xludf.DUMMYFUNCTION("""COMPUTED_VALUE"""),"")</f>
        <v/>
      </c>
      <c r="Z609" t="str">
        <f ca="1">IFERROR(__xludf.DUMMYFUNCTION("""COMPUTED_VALUE"""),"")</f>
        <v/>
      </c>
      <c r="AA609" t="str">
        <f ca="1">IFERROR(__xludf.DUMMYFUNCTION("""COMPUTED_VALUE"""),"Pas de commande")</f>
        <v>Pas de commande</v>
      </c>
      <c r="AB609" s="8" t="str">
        <f ca="1">IFERROR(__xludf.DUMMYFUNCTION("""COMPUTED_VALUE"""),"")</f>
        <v/>
      </c>
      <c r="AC609" s="8" t="str">
        <f ca="1">IFERROR(__xludf.DUMMYFUNCTION("""COMPUTED_VALUE"""),"")</f>
        <v/>
      </c>
      <c r="AD609" s="11" t="str">
        <f ca="1">IFERROR(__xludf.DUMMYFUNCTION("""COMPUTED_VALUE"""),"")</f>
        <v/>
      </c>
      <c r="AE609" t="str">
        <f ca="1">IFERROR(__xludf.DUMMYFUNCTION("""COMPUTED_VALUE"""),"")</f>
        <v/>
      </c>
    </row>
    <row r="610" spans="1:31" ht="12.75" x14ac:dyDescent="0.2">
      <c r="A610">
        <f ca="1">IFERROR(__xludf.DUMMYFUNCTION("""COMPUTED_VALUE"""),90460)</f>
        <v>90460</v>
      </c>
      <c r="B610" t="str">
        <f ca="1">IFERROR(__xludf.DUMMYFUNCTION("""COMPUTED_VALUE"""),"MENTON CENTRE")</f>
        <v>MENTON CENTRE</v>
      </c>
      <c r="C610" t="str">
        <f ca="1">IFERROR(__xludf.DUMMYFUNCTION("""COMPUTED_VALUE"""),"U Express")</f>
        <v>U Express</v>
      </c>
      <c r="D610" t="str">
        <f ca="1">IFERROR(__xludf.DUMMYFUNCTION("""COMPUTED_VALUE"""),"Coop U Enseigne Sud")</f>
        <v>Coop U Enseigne Sud</v>
      </c>
      <c r="E610">
        <f ca="1">IFERROR(__xludf.DUMMYFUNCTION("""COMPUTED_VALUE"""),6500)</f>
        <v>6500</v>
      </c>
      <c r="F610" t="str">
        <f ca="1">IFERROR(__xludf.DUMMYFUNCTION("""COMPUTED_VALUE"""),"38 RUE PARTOUNEAUX")</f>
        <v>38 RUE PARTOUNEAUX</v>
      </c>
      <c r="G610" t="str">
        <f ca="1">IFERROR(__xludf.DUMMYFUNCTION("""COMPUTED_VALUE"""),"04.93.35.78.17")</f>
        <v>04.93.35.78.17</v>
      </c>
      <c r="H610" t="str">
        <f ca="1">IFERROR(__xludf.DUMMYFUNCTION("""COMPUTED_VALUE"""),"CHAMBELLANT Jean-Claude")</f>
        <v>CHAMBELLANT Jean-Claude</v>
      </c>
      <c r="I610" t="str">
        <f ca="1">IFERROR(__xludf.DUMMYFUNCTION("""COMPUTED_VALUE"""),"jean-claude.chambellant@systeme-u.fr")</f>
        <v>jean-claude.chambellant@systeme-u.fr</v>
      </c>
      <c r="J610" t="str">
        <f ca="1">IFERROR(__xludf.DUMMYFUNCTION("""COMPUTED_VALUE"""),"M Chambellant Alexandre")</f>
        <v>M Chambellant Alexandre</v>
      </c>
      <c r="K610" t="str">
        <f ca="1">IFERROR(__xludf.DUMMYFUNCTION("""COMPUTED_VALUE"""),"uexpress.mentoncentre.compta@systeme-u.fr")</f>
        <v>uexpress.mentoncentre.compta@systeme-u.fr</v>
      </c>
      <c r="L610" t="str">
        <f ca="1">IFERROR(__xludf.DUMMYFUNCTION("""COMPUTED_VALUE"""),"")</f>
        <v/>
      </c>
      <c r="M610" t="str">
        <f ca="1">IFERROR(__xludf.DUMMYFUNCTION("""COMPUTED_VALUE"""),"99.Hors Périmetre")</f>
        <v>99.Hors Périmetre</v>
      </c>
      <c r="N610" t="str">
        <f ca="1">IFERROR(__xludf.DUMMYFUNCTION("""COMPUTED_VALUE"""),"")</f>
        <v/>
      </c>
      <c r="O610" t="str">
        <f ca="1">IFERROR(__xludf.DUMMYFUNCTION("""COMPUTED_VALUE"""),"")</f>
        <v/>
      </c>
      <c r="P610" t="str">
        <f ca="1">IFERROR(__xludf.DUMMYFUNCTION("""COMPUTED_VALUE"""),"")</f>
        <v/>
      </c>
      <c r="Q610" s="5" t="str">
        <f ca="1">IFERROR(__xludf.DUMMYFUNCTION("""COMPUTED_VALUE"""),"")</f>
        <v/>
      </c>
      <c r="R610" s="6" t="str">
        <f ca="1">IFERROR(__xludf.DUMMYFUNCTION("""COMPUTED_VALUE"""),"")</f>
        <v/>
      </c>
      <c r="S610" t="str">
        <f ca="1">IFERROR(__xludf.DUMMYFUNCTION("""COMPUTED_VALUE"""),"")</f>
        <v/>
      </c>
      <c r="T610" t="str">
        <f ca="1">IFERROR(__xludf.DUMMYFUNCTION("""COMPUTED_VALUE"""),"")</f>
        <v/>
      </c>
      <c r="U610" t="str">
        <f ca="1">IFERROR(__xludf.DUMMYFUNCTION("""COMPUTED_VALUE"""),"")</f>
        <v/>
      </c>
      <c r="V610" t="str">
        <f ca="1">IFERROR(__xludf.DUMMYFUNCTION("""COMPUTED_VALUE"""),"")</f>
        <v/>
      </c>
      <c r="W610" t="str">
        <f ca="1">IFERROR(__xludf.DUMMYFUNCTION("""COMPUTED_VALUE"""),"")</f>
        <v/>
      </c>
      <c r="X610" t="str">
        <f ca="1">IFERROR(__xludf.DUMMYFUNCTION("""COMPUTED_VALUE"""),"")</f>
        <v/>
      </c>
      <c r="Y610" t="str">
        <f ca="1">IFERROR(__xludf.DUMMYFUNCTION("""COMPUTED_VALUE"""),"")</f>
        <v/>
      </c>
      <c r="Z610" t="str">
        <f ca="1">IFERROR(__xludf.DUMMYFUNCTION("""COMPUTED_VALUE"""),"")</f>
        <v/>
      </c>
      <c r="AA610" t="str">
        <f ca="1">IFERROR(__xludf.DUMMYFUNCTION("""COMPUTED_VALUE"""),"Pas de commande")</f>
        <v>Pas de commande</v>
      </c>
      <c r="AB610" s="8" t="str">
        <f ca="1">IFERROR(__xludf.DUMMYFUNCTION("""COMPUTED_VALUE"""),"")</f>
        <v/>
      </c>
      <c r="AC610" s="8" t="str">
        <f ca="1">IFERROR(__xludf.DUMMYFUNCTION("""COMPUTED_VALUE"""),"")</f>
        <v/>
      </c>
      <c r="AD610" s="11" t="str">
        <f ca="1">IFERROR(__xludf.DUMMYFUNCTION("""COMPUTED_VALUE"""),"")</f>
        <v/>
      </c>
      <c r="AE610" t="str">
        <f ca="1">IFERROR(__xludf.DUMMYFUNCTION("""COMPUTED_VALUE"""),"")</f>
        <v/>
      </c>
    </row>
    <row r="611" spans="1:31" ht="12.75" x14ac:dyDescent="0.2">
      <c r="A611">
        <f ca="1">IFERROR(__xludf.DUMMYFUNCTION("""COMPUTED_VALUE"""),90467)</f>
        <v>90467</v>
      </c>
      <c r="B611" t="str">
        <f ca="1">IFERROR(__xludf.DUMMYFUNCTION("""COMPUTED_VALUE"""),"MENTON GARAVAN")</f>
        <v>MENTON GARAVAN</v>
      </c>
      <c r="C611" t="str">
        <f ca="1">IFERROR(__xludf.DUMMYFUNCTION("""COMPUTED_VALUE"""),"U Express")</f>
        <v>U Express</v>
      </c>
      <c r="D611" t="str">
        <f ca="1">IFERROR(__xludf.DUMMYFUNCTION("""COMPUTED_VALUE"""),"Coop U Enseigne Sud")</f>
        <v>Coop U Enseigne Sud</v>
      </c>
      <c r="E611">
        <f ca="1">IFERROR(__xludf.DUMMYFUNCTION("""COMPUTED_VALUE"""),6500)</f>
        <v>6500</v>
      </c>
      <c r="F611" t="str">
        <f ca="1">IFERROR(__xludf.DUMMYFUNCTION("""COMPUTED_VALUE"""),"TERRE PLEIN NOUVEAU PORT GARAVAN")</f>
        <v>TERRE PLEIN NOUVEAU PORT GARAVAN</v>
      </c>
      <c r="G611" t="str">
        <f ca="1">IFERROR(__xludf.DUMMYFUNCTION("""COMPUTED_VALUE"""),"04.92.41.74.10")</f>
        <v>04.92.41.74.10</v>
      </c>
      <c r="H611" t="str">
        <f ca="1">IFERROR(__xludf.DUMMYFUNCTION("""COMPUTED_VALUE"""),"VALENTIN Stephane")</f>
        <v>VALENTIN Stephane</v>
      </c>
      <c r="I611" t="str">
        <f ca="1">IFERROR(__xludf.DUMMYFUNCTION("""COMPUTED_VALUE"""),"stephane.valentin@systeme-u.fr")</f>
        <v>stephane.valentin@systeme-u.fr</v>
      </c>
      <c r="J611" t="str">
        <f ca="1">IFERROR(__xludf.DUMMYFUNCTION("""COMPUTED_VALUE"""),"Mme DE OLIVEIRA")</f>
        <v>Mme DE OLIVEIRA</v>
      </c>
      <c r="K611" t="str">
        <f ca="1">IFERROR(__xludf.DUMMYFUNCTION("""COMPUTED_VALUE"""),"uexpressmenton@gmail.com")</f>
        <v>uexpressmenton@gmail.com</v>
      </c>
      <c r="L611" t="str">
        <f ca="1">IFERROR(__xludf.DUMMYFUNCTION("""COMPUTED_VALUE"""),"")</f>
        <v/>
      </c>
      <c r="M611" t="str">
        <f ca="1">IFERROR(__xludf.DUMMYFUNCTION("""COMPUTED_VALUE"""),"99.Hors Périmetre")</f>
        <v>99.Hors Périmetre</v>
      </c>
      <c r="N611" t="str">
        <f ca="1">IFERROR(__xludf.DUMMYFUNCTION("""COMPUTED_VALUE"""),"")</f>
        <v/>
      </c>
      <c r="O611" t="str">
        <f ca="1">IFERROR(__xludf.DUMMYFUNCTION("""COMPUTED_VALUE"""),"")</f>
        <v/>
      </c>
      <c r="P611" t="str">
        <f ca="1">IFERROR(__xludf.DUMMYFUNCTION("""COMPUTED_VALUE"""),"")</f>
        <v/>
      </c>
      <c r="Q611" s="5" t="str">
        <f ca="1">IFERROR(__xludf.DUMMYFUNCTION("""COMPUTED_VALUE"""),"")</f>
        <v/>
      </c>
      <c r="R611" s="6" t="str">
        <f ca="1">IFERROR(__xludf.DUMMYFUNCTION("""COMPUTED_VALUE"""),"")</f>
        <v/>
      </c>
      <c r="S611" t="str">
        <f ca="1">IFERROR(__xludf.DUMMYFUNCTION("""COMPUTED_VALUE"""),"")</f>
        <v/>
      </c>
      <c r="T611" t="str">
        <f ca="1">IFERROR(__xludf.DUMMYFUNCTION("""COMPUTED_VALUE"""),"")</f>
        <v/>
      </c>
      <c r="U611" t="str">
        <f ca="1">IFERROR(__xludf.DUMMYFUNCTION("""COMPUTED_VALUE"""),"")</f>
        <v/>
      </c>
      <c r="V611" t="str">
        <f ca="1">IFERROR(__xludf.DUMMYFUNCTION("""COMPUTED_VALUE"""),"")</f>
        <v/>
      </c>
      <c r="W611" t="str">
        <f ca="1">IFERROR(__xludf.DUMMYFUNCTION("""COMPUTED_VALUE"""),"")</f>
        <v/>
      </c>
      <c r="X611" t="str">
        <f ca="1">IFERROR(__xludf.DUMMYFUNCTION("""COMPUTED_VALUE"""),"")</f>
        <v/>
      </c>
      <c r="Y611" t="str">
        <f ca="1">IFERROR(__xludf.DUMMYFUNCTION("""COMPUTED_VALUE"""),"")</f>
        <v/>
      </c>
      <c r="Z611" t="str">
        <f ca="1">IFERROR(__xludf.DUMMYFUNCTION("""COMPUTED_VALUE"""),"")</f>
        <v/>
      </c>
      <c r="AA611" t="str">
        <f ca="1">IFERROR(__xludf.DUMMYFUNCTION("""COMPUTED_VALUE"""),"Pas de commande")</f>
        <v>Pas de commande</v>
      </c>
      <c r="AB611" s="8" t="str">
        <f ca="1">IFERROR(__xludf.DUMMYFUNCTION("""COMPUTED_VALUE"""),"")</f>
        <v/>
      </c>
      <c r="AC611" s="8" t="str">
        <f ca="1">IFERROR(__xludf.DUMMYFUNCTION("""COMPUTED_VALUE"""),"")</f>
        <v/>
      </c>
      <c r="AD611" s="11" t="str">
        <f ca="1">IFERROR(__xludf.DUMMYFUNCTION("""COMPUTED_VALUE"""),"")</f>
        <v/>
      </c>
      <c r="AE611" t="str">
        <f ca="1">IFERROR(__xludf.DUMMYFUNCTION("""COMPUTED_VALUE"""),"")</f>
        <v/>
      </c>
    </row>
    <row r="612" spans="1:31" ht="12.75" x14ac:dyDescent="0.2">
      <c r="A612">
        <f ca="1">IFERROR(__xludf.DUMMYFUNCTION("""COMPUTED_VALUE"""),30116)</f>
        <v>30116</v>
      </c>
      <c r="B612" t="str">
        <f ca="1">IFERROR(__xludf.DUMMYFUNCTION("""COMPUTED_VALUE"""),"MER")</f>
        <v>MER</v>
      </c>
      <c r="C612" t="str">
        <f ca="1">IFERROR(__xludf.DUMMYFUNCTION("""COMPUTED_VALUE"""),"Super U")</f>
        <v>Super U</v>
      </c>
      <c r="D612" t="str">
        <f ca="1">IFERROR(__xludf.DUMMYFUNCTION("""COMPUTED_VALUE"""),"Coop U Enseigne Ouest")</f>
        <v>Coop U Enseigne Ouest</v>
      </c>
      <c r="E612">
        <f ca="1">IFERROR(__xludf.DUMMYFUNCTION("""COMPUTED_VALUE"""),41500)</f>
        <v>41500</v>
      </c>
      <c r="F612" t="str">
        <f ca="1">IFERROR(__xludf.DUMMYFUNCTION("""COMPUTED_VALUE"""),"ROUTE DE BLOIS")</f>
        <v>ROUTE DE BLOIS</v>
      </c>
      <c r="G612" t="str">
        <f ca="1">IFERROR(__xludf.DUMMYFUNCTION("""COMPUTED_VALUE"""),"02.54.81.32.30")</f>
        <v>02.54.81.32.30</v>
      </c>
      <c r="H612" t="str">
        <f ca="1">IFERROR(__xludf.DUMMYFUNCTION("""COMPUTED_VALUE"""),"SOCIAS Philippe")</f>
        <v>SOCIAS Philippe</v>
      </c>
      <c r="I612" t="str">
        <f ca="1">IFERROR(__xludf.DUMMYFUNCTION("""COMPUTED_VALUE"""),"philippe.socias@systeme-u.fr")</f>
        <v>philippe.socias@systeme-u.fr</v>
      </c>
      <c r="J612" t="str">
        <f ca="1">IFERROR(__xludf.DUMMYFUNCTION("""COMPUTED_VALUE"""),"BERTHE Hélene")</f>
        <v>BERTHE Hélene</v>
      </c>
      <c r="K612" t="str">
        <f ca="1">IFERROR(__xludf.DUMMYFUNCTION("""COMPUTED_VALUE"""),"superu.mer.informatique@systeme-u.fr")</f>
        <v>superu.mer.informatique@systeme-u.fr</v>
      </c>
      <c r="L612" t="str">
        <f ca="1">IFERROR(__xludf.DUMMYFUNCTION("""COMPUTED_VALUE"""),"")</f>
        <v/>
      </c>
      <c r="M612" t="str">
        <f ca="1">IFERROR(__xludf.DUMMYFUNCTION("""COMPUTED_VALUE"""),"99.Hors Périmetre")</f>
        <v>99.Hors Périmetre</v>
      </c>
      <c r="N612" t="str">
        <f ca="1">IFERROR(__xludf.DUMMYFUNCTION("""COMPUTED_VALUE"""),"")</f>
        <v/>
      </c>
      <c r="O612" t="str">
        <f ca="1">IFERROR(__xludf.DUMMYFUNCTION("""COMPUTED_VALUE"""),"")</f>
        <v/>
      </c>
      <c r="P612" t="str">
        <f ca="1">IFERROR(__xludf.DUMMYFUNCTION("""COMPUTED_VALUE"""),"")</f>
        <v/>
      </c>
      <c r="Q612" s="5" t="str">
        <f ca="1">IFERROR(__xludf.DUMMYFUNCTION("""COMPUTED_VALUE"""),"")</f>
        <v/>
      </c>
      <c r="R612" s="6" t="str">
        <f ca="1">IFERROR(__xludf.DUMMYFUNCTION("""COMPUTED_VALUE"""),"")</f>
        <v/>
      </c>
      <c r="S612" t="str">
        <f ca="1">IFERROR(__xludf.DUMMYFUNCTION("""COMPUTED_VALUE"""),"")</f>
        <v/>
      </c>
      <c r="T612" t="str">
        <f ca="1">IFERROR(__xludf.DUMMYFUNCTION("""COMPUTED_VALUE"""),"")</f>
        <v/>
      </c>
      <c r="U612" t="str">
        <f ca="1">IFERROR(__xludf.DUMMYFUNCTION("""COMPUTED_VALUE"""),"")</f>
        <v/>
      </c>
      <c r="V612" t="str">
        <f ca="1">IFERROR(__xludf.DUMMYFUNCTION("""COMPUTED_VALUE"""),"")</f>
        <v/>
      </c>
      <c r="W612" t="str">
        <f ca="1">IFERROR(__xludf.DUMMYFUNCTION("""COMPUTED_VALUE"""),"")</f>
        <v/>
      </c>
      <c r="X612" t="str">
        <f ca="1">IFERROR(__xludf.DUMMYFUNCTION("""COMPUTED_VALUE"""),"")</f>
        <v/>
      </c>
      <c r="Y612" t="str">
        <f ca="1">IFERROR(__xludf.DUMMYFUNCTION("""COMPUTED_VALUE"""),"")</f>
        <v/>
      </c>
      <c r="Z612" t="str">
        <f ca="1">IFERROR(__xludf.DUMMYFUNCTION("""COMPUTED_VALUE"""),"")</f>
        <v/>
      </c>
      <c r="AA612" t="str">
        <f ca="1">IFERROR(__xludf.DUMMYFUNCTION("""COMPUTED_VALUE"""),"Pas de commande")</f>
        <v>Pas de commande</v>
      </c>
      <c r="AB612" s="8" t="str">
        <f ca="1">IFERROR(__xludf.DUMMYFUNCTION("""COMPUTED_VALUE"""),"")</f>
        <v/>
      </c>
      <c r="AC612" s="8" t="str">
        <f ca="1">IFERROR(__xludf.DUMMYFUNCTION("""COMPUTED_VALUE"""),"")</f>
        <v/>
      </c>
      <c r="AD612" s="11" t="str">
        <f ca="1">IFERROR(__xludf.DUMMYFUNCTION("""COMPUTED_VALUE"""),"")</f>
        <v/>
      </c>
      <c r="AE612" t="str">
        <f ca="1">IFERROR(__xludf.DUMMYFUNCTION("""COMPUTED_VALUE"""),"")</f>
        <v/>
      </c>
    </row>
    <row r="613" spans="1:31" ht="12.75" x14ac:dyDescent="0.2">
      <c r="A613">
        <f ca="1">IFERROR(__xludf.DUMMYFUNCTION("""COMPUTED_VALUE"""),32784)</f>
        <v>32784</v>
      </c>
      <c r="B613" t="str">
        <f ca="1">IFERROR(__xludf.DUMMYFUNCTION("""COMPUTED_VALUE"""),"MERDRIGNAC")</f>
        <v>MERDRIGNAC</v>
      </c>
      <c r="C613" t="str">
        <f ca="1">IFERROR(__xludf.DUMMYFUNCTION("""COMPUTED_VALUE"""),"Super U")</f>
        <v>Super U</v>
      </c>
      <c r="D613" t="str">
        <f ca="1">IFERROR(__xludf.DUMMYFUNCTION("""COMPUTED_VALUE"""),"Coop U Enseigne Ouest")</f>
        <v>Coop U Enseigne Ouest</v>
      </c>
      <c r="E613">
        <f ca="1">IFERROR(__xludf.DUMMYFUNCTION("""COMPUTED_VALUE"""),22230)</f>
        <v>22230</v>
      </c>
      <c r="F613" t="str">
        <f ca="1">IFERROR(__xludf.DUMMYFUNCTION("""COMPUTED_VALUE"""),"6 RUE DU CHANOINE LE TEXIER")</f>
        <v>6 RUE DU CHANOINE LE TEXIER</v>
      </c>
      <c r="G613" t="str">
        <f ca="1">IFERROR(__xludf.DUMMYFUNCTION("""COMPUTED_VALUE"""),"02.96.28.44.45")</f>
        <v>02.96.28.44.45</v>
      </c>
      <c r="H613" t="str">
        <f ca="1">IFERROR(__xludf.DUMMYFUNCTION("""COMPUTED_VALUE"""),"CADORET Alain")</f>
        <v>CADORET Alain</v>
      </c>
      <c r="I613" t="str">
        <f ca="1">IFERROR(__xludf.DUMMYFUNCTION("""COMPUTED_VALUE"""),"alain.cadoret@systeme-u.fr")</f>
        <v>alain.cadoret@systeme-u.fr</v>
      </c>
      <c r="J613" t="str">
        <f ca="1">IFERROR(__xludf.DUMMYFUNCTION("""COMPUTED_VALUE"""),"Marion Cadoret")</f>
        <v>Marion Cadoret</v>
      </c>
      <c r="K613" t="str">
        <f ca="1">IFERROR(__xludf.DUMMYFUNCTION("""COMPUTED_VALUE"""),"marion.cadoret@systeme-u.fr")</f>
        <v>marion.cadoret@systeme-u.fr</v>
      </c>
      <c r="L613" t="str">
        <f ca="1">IFERROR(__xludf.DUMMYFUNCTION("""COMPUTED_VALUE"""),"")</f>
        <v/>
      </c>
      <c r="M613" t="str">
        <f ca="1">IFERROR(__xludf.DUMMYFUNCTION("""COMPUTED_VALUE"""),"99.Hors Périmetre")</f>
        <v>99.Hors Périmetre</v>
      </c>
      <c r="N613" t="str">
        <f ca="1">IFERROR(__xludf.DUMMYFUNCTION("""COMPUTED_VALUE"""),"")</f>
        <v/>
      </c>
      <c r="O613" t="str">
        <f ca="1">IFERROR(__xludf.DUMMYFUNCTION("""COMPUTED_VALUE"""),"")</f>
        <v/>
      </c>
      <c r="P613" t="str">
        <f ca="1">IFERROR(__xludf.DUMMYFUNCTION("""COMPUTED_VALUE"""),"")</f>
        <v/>
      </c>
      <c r="Q613" s="5" t="str">
        <f ca="1">IFERROR(__xludf.DUMMYFUNCTION("""COMPUTED_VALUE"""),"")</f>
        <v/>
      </c>
      <c r="R613" s="6" t="str">
        <f ca="1">IFERROR(__xludf.DUMMYFUNCTION("""COMPUTED_VALUE"""),"")</f>
        <v/>
      </c>
      <c r="S613" t="str">
        <f ca="1">IFERROR(__xludf.DUMMYFUNCTION("""COMPUTED_VALUE"""),"")</f>
        <v/>
      </c>
      <c r="T613" t="str">
        <f ca="1">IFERROR(__xludf.DUMMYFUNCTION("""COMPUTED_VALUE"""),"")</f>
        <v/>
      </c>
      <c r="U613" t="str">
        <f ca="1">IFERROR(__xludf.DUMMYFUNCTION("""COMPUTED_VALUE"""),"")</f>
        <v/>
      </c>
      <c r="V613" t="str">
        <f ca="1">IFERROR(__xludf.DUMMYFUNCTION("""COMPUTED_VALUE"""),"")</f>
        <v/>
      </c>
      <c r="W613" t="str">
        <f ca="1">IFERROR(__xludf.DUMMYFUNCTION("""COMPUTED_VALUE"""),"")</f>
        <v/>
      </c>
      <c r="X613" t="str">
        <f ca="1">IFERROR(__xludf.DUMMYFUNCTION("""COMPUTED_VALUE"""),"")</f>
        <v/>
      </c>
      <c r="Y613" t="str">
        <f ca="1">IFERROR(__xludf.DUMMYFUNCTION("""COMPUTED_VALUE"""),"")</f>
        <v/>
      </c>
      <c r="Z613" t="str">
        <f ca="1">IFERROR(__xludf.DUMMYFUNCTION("""COMPUTED_VALUE"""),"")</f>
        <v/>
      </c>
      <c r="AA613" t="str">
        <f ca="1">IFERROR(__xludf.DUMMYFUNCTION("""COMPUTED_VALUE"""),"Pas de commande")</f>
        <v>Pas de commande</v>
      </c>
      <c r="AB613" s="8" t="str">
        <f ca="1">IFERROR(__xludf.DUMMYFUNCTION("""COMPUTED_VALUE"""),"")</f>
        <v/>
      </c>
      <c r="AC613" s="8" t="str">
        <f ca="1">IFERROR(__xludf.DUMMYFUNCTION("""COMPUTED_VALUE"""),"")</f>
        <v/>
      </c>
      <c r="AD613" s="11" t="str">
        <f ca="1">IFERROR(__xludf.DUMMYFUNCTION("""COMPUTED_VALUE"""),"")</f>
        <v/>
      </c>
      <c r="AE613" t="str">
        <f ca="1">IFERROR(__xludf.DUMMYFUNCTION("""COMPUTED_VALUE"""),"")</f>
        <v/>
      </c>
    </row>
    <row r="614" spans="1:31" ht="12.75" x14ac:dyDescent="0.2">
      <c r="A614">
        <f ca="1">IFERROR(__xludf.DUMMYFUNCTION("""COMPUTED_VALUE"""),23832)</f>
        <v>23832</v>
      </c>
      <c r="B614" t="str">
        <f ca="1">IFERROR(__xludf.DUMMYFUNCTION("""COMPUTED_VALUE"""),"MERIEL")</f>
        <v>MERIEL</v>
      </c>
      <c r="C614" t="str">
        <f ca="1">IFERROR(__xludf.DUMMYFUNCTION("""COMPUTED_VALUE"""),"U Express")</f>
        <v>U Express</v>
      </c>
      <c r="D614" t="str">
        <f ca="1">IFERROR(__xludf.DUMMYFUNCTION("""COMPUTED_VALUE"""),"Coop U Enseigne NordOuest")</f>
        <v>Coop U Enseigne NordOuest</v>
      </c>
      <c r="E614">
        <f ca="1">IFERROR(__xludf.DUMMYFUNCTION("""COMPUTED_VALUE"""),95630)</f>
        <v>95630</v>
      </c>
      <c r="F614" t="str">
        <f ca="1">IFERROR(__xludf.DUMMYFUNCTION("""COMPUTED_VALUE"""),"84 AVENUE VICTOR HUGO")</f>
        <v>84 AVENUE VICTOR HUGO</v>
      </c>
      <c r="G614" t="str">
        <f ca="1">IFERROR(__xludf.DUMMYFUNCTION("""COMPUTED_VALUE"""),"01.34.48.21.43")</f>
        <v>01.34.48.21.43</v>
      </c>
      <c r="H614" t="str">
        <f ca="1">IFERROR(__xludf.DUMMYFUNCTION("""COMPUTED_VALUE"""),"GEORGELIN Jean-Yves")</f>
        <v>GEORGELIN Jean-Yves</v>
      </c>
      <c r="I614" t="str">
        <f ca="1">IFERROR(__xludf.DUMMYFUNCTION("""COMPUTED_VALUE"""),"uexpress.meriel@systeme-u.fr")</f>
        <v>uexpress.meriel@systeme-u.fr</v>
      </c>
      <c r="J614" t="str">
        <f ca="1">IFERROR(__xludf.DUMMYFUNCTION("""COMPUTED_VALUE"""),"M.Tourbier")</f>
        <v>M.Tourbier</v>
      </c>
      <c r="K614" t="str">
        <f ca="1">IFERROR(__xludf.DUMMYFUNCTION("""COMPUTED_VALUE"""),"uexpress.meriel@systeme-u.fr")</f>
        <v>uexpress.meriel@systeme-u.fr</v>
      </c>
      <c r="L614" t="str">
        <f ca="1">IFERROR(__xludf.DUMMYFUNCTION("""COMPUTED_VALUE"""),"")</f>
        <v/>
      </c>
      <c r="M614" t="str">
        <f ca="1">IFERROR(__xludf.DUMMYFUNCTION("""COMPUTED_VALUE"""),"99.Hors Périmetre")</f>
        <v>99.Hors Périmetre</v>
      </c>
      <c r="N614" t="str">
        <f ca="1">IFERROR(__xludf.DUMMYFUNCTION("""COMPUTED_VALUE"""),"")</f>
        <v/>
      </c>
      <c r="O614" t="str">
        <f ca="1">IFERROR(__xludf.DUMMYFUNCTION("""COMPUTED_VALUE"""),"")</f>
        <v/>
      </c>
      <c r="P614" t="str">
        <f ca="1">IFERROR(__xludf.DUMMYFUNCTION("""COMPUTED_VALUE"""),"")</f>
        <v/>
      </c>
      <c r="Q614" s="5" t="str">
        <f ca="1">IFERROR(__xludf.DUMMYFUNCTION("""COMPUTED_VALUE"""),"")</f>
        <v/>
      </c>
      <c r="R614" s="6" t="str">
        <f ca="1">IFERROR(__xludf.DUMMYFUNCTION("""COMPUTED_VALUE"""),"")</f>
        <v/>
      </c>
      <c r="S614" t="str">
        <f ca="1">IFERROR(__xludf.DUMMYFUNCTION("""COMPUTED_VALUE"""),"")</f>
        <v/>
      </c>
      <c r="T614" t="str">
        <f ca="1">IFERROR(__xludf.DUMMYFUNCTION("""COMPUTED_VALUE"""),"")</f>
        <v/>
      </c>
      <c r="U614" t="str">
        <f ca="1">IFERROR(__xludf.DUMMYFUNCTION("""COMPUTED_VALUE"""),"")</f>
        <v/>
      </c>
      <c r="V614" t="str">
        <f ca="1">IFERROR(__xludf.DUMMYFUNCTION("""COMPUTED_VALUE"""),"")</f>
        <v/>
      </c>
      <c r="W614" t="str">
        <f ca="1">IFERROR(__xludf.DUMMYFUNCTION("""COMPUTED_VALUE"""),"")</f>
        <v/>
      </c>
      <c r="X614" t="str">
        <f ca="1">IFERROR(__xludf.DUMMYFUNCTION("""COMPUTED_VALUE"""),"")</f>
        <v/>
      </c>
      <c r="Y614" t="str">
        <f ca="1">IFERROR(__xludf.DUMMYFUNCTION("""COMPUTED_VALUE"""),"")</f>
        <v/>
      </c>
      <c r="Z614" t="str">
        <f ca="1">IFERROR(__xludf.DUMMYFUNCTION("""COMPUTED_VALUE"""),"")</f>
        <v/>
      </c>
      <c r="AA614" t="str">
        <f ca="1">IFERROR(__xludf.DUMMYFUNCTION("""COMPUTED_VALUE"""),"Pas de commande")</f>
        <v>Pas de commande</v>
      </c>
      <c r="AB614" s="8" t="str">
        <f ca="1">IFERROR(__xludf.DUMMYFUNCTION("""COMPUTED_VALUE"""),"")</f>
        <v/>
      </c>
      <c r="AC614" s="8" t="str">
        <f ca="1">IFERROR(__xludf.DUMMYFUNCTION("""COMPUTED_VALUE"""),"")</f>
        <v/>
      </c>
      <c r="AD614" s="11" t="str">
        <f ca="1">IFERROR(__xludf.DUMMYFUNCTION("""COMPUTED_VALUE"""),"")</f>
        <v/>
      </c>
      <c r="AE614" t="str">
        <f ca="1">IFERROR(__xludf.DUMMYFUNCTION("""COMPUTED_VALUE"""),"")</f>
        <v/>
      </c>
    </row>
    <row r="615" spans="1:31" ht="12.75" x14ac:dyDescent="0.2">
      <c r="A615">
        <f ca="1">IFERROR(__xludf.DUMMYFUNCTION("""COMPUTED_VALUE"""),36831)</f>
        <v>36831</v>
      </c>
      <c r="B615" t="str">
        <f ca="1">IFERROR(__xludf.DUMMYFUNCTION("""COMPUTED_VALUE"""),"MESANGER")</f>
        <v>MESANGER</v>
      </c>
      <c r="C615" t="str">
        <f ca="1">IFERROR(__xludf.DUMMYFUNCTION("""COMPUTED_VALUE"""),"U Express")</f>
        <v>U Express</v>
      </c>
      <c r="D615" t="str">
        <f ca="1">IFERROR(__xludf.DUMMYFUNCTION("""COMPUTED_VALUE"""),"Coop U Enseigne Ouest")</f>
        <v>Coop U Enseigne Ouest</v>
      </c>
      <c r="E615">
        <f ca="1">IFERROR(__xludf.DUMMYFUNCTION("""COMPUTED_VALUE"""),44522)</f>
        <v>44522</v>
      </c>
      <c r="F615" t="str">
        <f ca="1">IFERROR(__xludf.DUMMYFUNCTION("""COMPUTED_VALUE"""),"185 RUE DE LA VIEILLE COUR")</f>
        <v>185 RUE DE LA VIEILLE COUR</v>
      </c>
      <c r="G615" t="str">
        <f ca="1">IFERROR(__xludf.DUMMYFUNCTION("""COMPUTED_VALUE"""),"02.40.96.77.10")</f>
        <v>02.40.96.77.10</v>
      </c>
      <c r="H615" t="str">
        <f ca="1">IFERROR(__xludf.DUMMYFUNCTION("""COMPUTED_VALUE"""),"BRY Thierry")</f>
        <v>BRY Thierry</v>
      </c>
      <c r="I615" t="str">
        <f ca="1">IFERROR(__xludf.DUMMYFUNCTION("""COMPUTED_VALUE"""),"thierry.bry@systeme-u.fr")</f>
        <v>thierry.bry@systeme-u.fr</v>
      </c>
      <c r="J615" t="str">
        <f ca="1">IFERROR(__xludf.DUMMYFUNCTION("""COMPUTED_VALUE"""),"Mme Bry")</f>
        <v>Mme Bry</v>
      </c>
      <c r="K615" t="str">
        <f ca="1">IFERROR(__xludf.DUMMYFUNCTION("""COMPUTED_VALUE"""),"thierry.bry@systeme-u.fr")</f>
        <v>thierry.bry@systeme-u.fr</v>
      </c>
      <c r="L615" t="str">
        <f ca="1">IFERROR(__xludf.DUMMYFUNCTION("""COMPUTED_VALUE"""),"")</f>
        <v/>
      </c>
      <c r="M615" t="str">
        <f ca="1">IFERROR(__xludf.DUMMYFUNCTION("""COMPUTED_VALUE"""),"99.Hors Périmetre")</f>
        <v>99.Hors Périmetre</v>
      </c>
      <c r="N615" t="str">
        <f ca="1">IFERROR(__xludf.DUMMYFUNCTION("""COMPUTED_VALUE"""),"")</f>
        <v/>
      </c>
      <c r="O615" t="str">
        <f ca="1">IFERROR(__xludf.DUMMYFUNCTION("""COMPUTED_VALUE"""),"")</f>
        <v/>
      </c>
      <c r="P615" t="str">
        <f ca="1">IFERROR(__xludf.DUMMYFUNCTION("""COMPUTED_VALUE"""),"")</f>
        <v/>
      </c>
      <c r="Q615" s="5" t="str">
        <f ca="1">IFERROR(__xludf.DUMMYFUNCTION("""COMPUTED_VALUE"""),"")</f>
        <v/>
      </c>
      <c r="R615" s="6" t="str">
        <f ca="1">IFERROR(__xludf.DUMMYFUNCTION("""COMPUTED_VALUE"""),"")</f>
        <v/>
      </c>
      <c r="S615" t="str">
        <f ca="1">IFERROR(__xludf.DUMMYFUNCTION("""COMPUTED_VALUE"""),"")</f>
        <v/>
      </c>
      <c r="T615" t="str">
        <f ca="1">IFERROR(__xludf.DUMMYFUNCTION("""COMPUTED_VALUE"""),"")</f>
        <v/>
      </c>
      <c r="U615" t="str">
        <f ca="1">IFERROR(__xludf.DUMMYFUNCTION("""COMPUTED_VALUE"""),"")</f>
        <v/>
      </c>
      <c r="V615" t="str">
        <f ca="1">IFERROR(__xludf.DUMMYFUNCTION("""COMPUTED_VALUE"""),"")</f>
        <v/>
      </c>
      <c r="W615" t="str">
        <f ca="1">IFERROR(__xludf.DUMMYFUNCTION("""COMPUTED_VALUE"""),"")</f>
        <v/>
      </c>
      <c r="X615" t="str">
        <f ca="1">IFERROR(__xludf.DUMMYFUNCTION("""COMPUTED_VALUE"""),"")</f>
        <v/>
      </c>
      <c r="Y615" t="str">
        <f ca="1">IFERROR(__xludf.DUMMYFUNCTION("""COMPUTED_VALUE"""),"")</f>
        <v/>
      </c>
      <c r="Z615" t="str">
        <f ca="1">IFERROR(__xludf.DUMMYFUNCTION("""COMPUTED_VALUE"""),"")</f>
        <v/>
      </c>
      <c r="AA615" t="str">
        <f ca="1">IFERROR(__xludf.DUMMYFUNCTION("""COMPUTED_VALUE"""),"Pas de commande")</f>
        <v>Pas de commande</v>
      </c>
      <c r="AB615" s="8" t="str">
        <f ca="1">IFERROR(__xludf.DUMMYFUNCTION("""COMPUTED_VALUE"""),"")</f>
        <v/>
      </c>
      <c r="AC615" s="8" t="str">
        <f ca="1">IFERROR(__xludf.DUMMYFUNCTION("""COMPUTED_VALUE"""),"")</f>
        <v/>
      </c>
      <c r="AD615" s="11" t="str">
        <f ca="1">IFERROR(__xludf.DUMMYFUNCTION("""COMPUTED_VALUE"""),"")</f>
        <v/>
      </c>
      <c r="AE615" t="str">
        <f ca="1">IFERROR(__xludf.DUMMYFUNCTION("""COMPUTED_VALUE"""),"")</f>
        <v/>
      </c>
    </row>
    <row r="616" spans="1:31" ht="12.75" x14ac:dyDescent="0.2">
      <c r="A616">
        <f ca="1">IFERROR(__xludf.DUMMYFUNCTION("""COMPUTED_VALUE"""),38788)</f>
        <v>38788</v>
      </c>
      <c r="B616" t="str">
        <f ca="1">IFERROR(__xludf.DUMMYFUNCTION("""COMPUTED_VALUE"""),"MESLAY-DU-MAINE")</f>
        <v>MESLAY-DU-MAINE</v>
      </c>
      <c r="C616" t="str">
        <f ca="1">IFERROR(__xludf.DUMMYFUNCTION("""COMPUTED_VALUE"""),"Super U")</f>
        <v>Super U</v>
      </c>
      <c r="D616" t="str">
        <f ca="1">IFERROR(__xludf.DUMMYFUNCTION("""COMPUTED_VALUE"""),"Coop U Enseigne Ouest")</f>
        <v>Coop U Enseigne Ouest</v>
      </c>
      <c r="E616">
        <f ca="1">IFERROR(__xludf.DUMMYFUNCTION("""COMPUTED_VALUE"""),53170)</f>
        <v>53170</v>
      </c>
      <c r="F616" t="str">
        <f ca="1">IFERROR(__xludf.DUMMYFUNCTION("""COMPUTED_VALUE"""),"RUE DES TILLEULS")</f>
        <v>RUE DES TILLEULS</v>
      </c>
      <c r="G616" t="str">
        <f ca="1">IFERROR(__xludf.DUMMYFUNCTION("""COMPUTED_VALUE"""),"02.43.98.60.46")</f>
        <v>02.43.98.60.46</v>
      </c>
      <c r="H616" t="str">
        <f ca="1">IFERROR(__xludf.DUMMYFUNCTION("""COMPUTED_VALUE"""),"SAVINA Chantal")</f>
        <v>SAVINA Chantal</v>
      </c>
      <c r="I616" t="str">
        <f ca="1">IFERROR(__xludf.DUMMYFUNCTION("""COMPUTED_VALUE"""),"lucien.savina@systeme-u.fr")</f>
        <v>lucien.savina@systeme-u.fr</v>
      </c>
      <c r="J616" t="str">
        <f ca="1">IFERROR(__xludf.DUMMYFUNCTION("""COMPUTED_VALUE"""),"Véronique Savina
Mme Mousay")</f>
        <v>Véronique Savina
Mme Mousay</v>
      </c>
      <c r="K616" t="str">
        <f ca="1">IFERROR(__xludf.DUMMYFUNCTION("""COMPUTED_VALUE"""),"veronique.savina@systeme-u.fr,superu.meslaydumaine@systeme-u.fr")</f>
        <v>veronique.savina@systeme-u.fr,superu.meslaydumaine@systeme-u.fr</v>
      </c>
      <c r="L616" t="str">
        <f ca="1">IFERROR(__xludf.DUMMYFUNCTION("""COMPUTED_VALUE"""),"")</f>
        <v/>
      </c>
      <c r="M616" t="str">
        <f ca="1">IFERROR(__xludf.DUMMYFUNCTION("""COMPUTED_VALUE"""),"99.Hors Périmetre")</f>
        <v>99.Hors Périmetre</v>
      </c>
      <c r="N616" t="str">
        <f ca="1">IFERROR(__xludf.DUMMYFUNCTION("""COMPUTED_VALUE"""),"")</f>
        <v/>
      </c>
      <c r="O616" t="str">
        <f ca="1">IFERROR(__xludf.DUMMYFUNCTION("""COMPUTED_VALUE"""),"")</f>
        <v/>
      </c>
      <c r="P616" t="str">
        <f ca="1">IFERROR(__xludf.DUMMYFUNCTION("""COMPUTED_VALUE"""),"")</f>
        <v/>
      </c>
      <c r="Q616" s="5" t="str">
        <f ca="1">IFERROR(__xludf.DUMMYFUNCTION("""COMPUTED_VALUE"""),"")</f>
        <v/>
      </c>
      <c r="R616" s="6" t="str">
        <f ca="1">IFERROR(__xludf.DUMMYFUNCTION("""COMPUTED_VALUE"""),"")</f>
        <v/>
      </c>
      <c r="S616" t="str">
        <f ca="1">IFERROR(__xludf.DUMMYFUNCTION("""COMPUTED_VALUE"""),"")</f>
        <v/>
      </c>
      <c r="T616" t="str">
        <f ca="1">IFERROR(__xludf.DUMMYFUNCTION("""COMPUTED_VALUE"""),"")</f>
        <v/>
      </c>
      <c r="U616" t="str">
        <f ca="1">IFERROR(__xludf.DUMMYFUNCTION("""COMPUTED_VALUE"""),"")</f>
        <v/>
      </c>
      <c r="V616" t="str">
        <f ca="1">IFERROR(__xludf.DUMMYFUNCTION("""COMPUTED_VALUE"""),"")</f>
        <v/>
      </c>
      <c r="W616" t="str">
        <f ca="1">IFERROR(__xludf.DUMMYFUNCTION("""COMPUTED_VALUE"""),"")</f>
        <v/>
      </c>
      <c r="X616" t="str">
        <f ca="1">IFERROR(__xludf.DUMMYFUNCTION("""COMPUTED_VALUE"""),"")</f>
        <v/>
      </c>
      <c r="Y616" t="str">
        <f ca="1">IFERROR(__xludf.DUMMYFUNCTION("""COMPUTED_VALUE"""),"")</f>
        <v/>
      </c>
      <c r="Z616" t="str">
        <f ca="1">IFERROR(__xludf.DUMMYFUNCTION("""COMPUTED_VALUE"""),"")</f>
        <v/>
      </c>
      <c r="AA616" t="str">
        <f ca="1">IFERROR(__xludf.DUMMYFUNCTION("""COMPUTED_VALUE"""),"Pas de commande")</f>
        <v>Pas de commande</v>
      </c>
      <c r="AB616" s="8" t="str">
        <f ca="1">IFERROR(__xludf.DUMMYFUNCTION("""COMPUTED_VALUE"""),"")</f>
        <v/>
      </c>
      <c r="AC616" s="8" t="str">
        <f ca="1">IFERROR(__xludf.DUMMYFUNCTION("""COMPUTED_VALUE"""),"")</f>
        <v/>
      </c>
      <c r="AD616" s="11" t="str">
        <f ca="1">IFERROR(__xludf.DUMMYFUNCTION("""COMPUTED_VALUE"""),"")</f>
        <v/>
      </c>
      <c r="AE616" t="str">
        <f ca="1">IFERROR(__xludf.DUMMYFUNCTION("""COMPUTED_VALUE"""),"")</f>
        <v/>
      </c>
    </row>
    <row r="617" spans="1:31" ht="12.75" x14ac:dyDescent="0.2">
      <c r="A617">
        <f ca="1">IFERROR(__xludf.DUMMYFUNCTION("""COMPUTED_VALUE"""),96360)</f>
        <v>96360</v>
      </c>
      <c r="B617" t="str">
        <f ca="1">IFERROR(__xludf.DUMMYFUNCTION("""COMPUTED_VALUE"""),"MESSANGES")</f>
        <v>MESSANGES</v>
      </c>
      <c r="C617" t="str">
        <f ca="1">IFERROR(__xludf.DUMMYFUNCTION("""COMPUTED_VALUE"""),"Super U")</f>
        <v>Super U</v>
      </c>
      <c r="D617" t="str">
        <f ca="1">IFERROR(__xludf.DUMMYFUNCTION("""COMPUTED_VALUE"""),"Coop U Enseigne Sud")</f>
        <v>Coop U Enseigne Sud</v>
      </c>
      <c r="E617">
        <f ca="1">IFERROR(__xludf.DUMMYFUNCTION("""COMPUTED_VALUE"""),40660)</f>
        <v>40660</v>
      </c>
      <c r="F617" t="str">
        <f ca="1">IFERROR(__xludf.DUMMYFUNCTION("""COMPUTED_VALUE"""),"ROUTE DES LACS")</f>
        <v>ROUTE DES LACS</v>
      </c>
      <c r="G617" t="str">
        <f ca="1">IFERROR(__xludf.DUMMYFUNCTION("""COMPUTED_VALUE"""),"05.58.48.11.35")</f>
        <v>05.58.48.11.35</v>
      </c>
      <c r="H617" t="str">
        <f ca="1">IFERROR(__xludf.DUMMYFUNCTION("""COMPUTED_VALUE"""),"GUILHEMJOUAN Marielle")</f>
        <v>GUILHEMJOUAN Marielle</v>
      </c>
      <c r="I617" t="str">
        <f ca="1">IFERROR(__xludf.DUMMYFUNCTION("""COMPUTED_VALUE"""),"marielle.guilhemjouan@systeme-u.fr")</f>
        <v>marielle.guilhemjouan@systeme-u.fr</v>
      </c>
      <c r="J617" t="str">
        <f ca="1">IFERROR(__xludf.DUMMYFUNCTION("""COMPUTED_VALUE"""),"MORA Vanessa")</f>
        <v>MORA Vanessa</v>
      </c>
      <c r="K617" t="str">
        <f ca="1">IFERROR(__xludf.DUMMYFUNCTION("""COMPUTED_VALUE"""),"superu.messanges.locationu@systeme-u.fr")</f>
        <v>superu.messanges.locationu@systeme-u.fr</v>
      </c>
      <c r="L617" t="str">
        <f ca="1">IFERROR(__xludf.DUMMYFUNCTION("""COMPUTED_VALUE"""),"")</f>
        <v/>
      </c>
      <c r="M617" t="str">
        <f ca="1">IFERROR(__xludf.DUMMYFUNCTION("""COMPUTED_VALUE"""),"99.Hors Périmetre")</f>
        <v>99.Hors Périmetre</v>
      </c>
      <c r="N617" t="str">
        <f ca="1">IFERROR(__xludf.DUMMYFUNCTION("""COMPUTED_VALUE"""),"")</f>
        <v/>
      </c>
      <c r="O617" t="str">
        <f ca="1">IFERROR(__xludf.DUMMYFUNCTION("""COMPUTED_VALUE"""),"")</f>
        <v/>
      </c>
      <c r="P617" t="str">
        <f ca="1">IFERROR(__xludf.DUMMYFUNCTION("""COMPUTED_VALUE"""),"")</f>
        <v/>
      </c>
      <c r="Q617" s="5" t="str">
        <f ca="1">IFERROR(__xludf.DUMMYFUNCTION("""COMPUTED_VALUE"""),"")</f>
        <v/>
      </c>
      <c r="R617" s="6" t="str">
        <f ca="1">IFERROR(__xludf.DUMMYFUNCTION("""COMPUTED_VALUE"""),"")</f>
        <v/>
      </c>
      <c r="S617" t="str">
        <f ca="1">IFERROR(__xludf.DUMMYFUNCTION("""COMPUTED_VALUE"""),"")</f>
        <v/>
      </c>
      <c r="T617" t="str">
        <f ca="1">IFERROR(__xludf.DUMMYFUNCTION("""COMPUTED_VALUE"""),"")</f>
        <v/>
      </c>
      <c r="U617" t="str">
        <f ca="1">IFERROR(__xludf.DUMMYFUNCTION("""COMPUTED_VALUE"""),"")</f>
        <v/>
      </c>
      <c r="V617" t="str">
        <f ca="1">IFERROR(__xludf.DUMMYFUNCTION("""COMPUTED_VALUE"""),"")</f>
        <v/>
      </c>
      <c r="W617" t="str">
        <f ca="1">IFERROR(__xludf.DUMMYFUNCTION("""COMPUTED_VALUE"""),"")</f>
        <v/>
      </c>
      <c r="X617" t="str">
        <f ca="1">IFERROR(__xludf.DUMMYFUNCTION("""COMPUTED_VALUE"""),"")</f>
        <v/>
      </c>
      <c r="Y617" t="str">
        <f ca="1">IFERROR(__xludf.DUMMYFUNCTION("""COMPUTED_VALUE"""),"")</f>
        <v/>
      </c>
      <c r="Z617" t="str">
        <f ca="1">IFERROR(__xludf.DUMMYFUNCTION("""COMPUTED_VALUE"""),"")</f>
        <v/>
      </c>
      <c r="AA617" t="str">
        <f ca="1">IFERROR(__xludf.DUMMYFUNCTION("""COMPUTED_VALUE"""),"Pas de commande")</f>
        <v>Pas de commande</v>
      </c>
      <c r="AB617" s="8" t="str">
        <f ca="1">IFERROR(__xludf.DUMMYFUNCTION("""COMPUTED_VALUE"""),"")</f>
        <v/>
      </c>
      <c r="AC617" s="8" t="str">
        <f ca="1">IFERROR(__xludf.DUMMYFUNCTION("""COMPUTED_VALUE"""),"")</f>
        <v/>
      </c>
      <c r="AD617" s="11" t="str">
        <f ca="1">IFERROR(__xludf.DUMMYFUNCTION("""COMPUTED_VALUE"""),"")</f>
        <v/>
      </c>
      <c r="AE617" t="str">
        <f ca="1">IFERROR(__xludf.DUMMYFUNCTION("""COMPUTED_VALUE"""),"")</f>
        <v/>
      </c>
    </row>
    <row r="618" spans="1:31" ht="12.75" x14ac:dyDescent="0.2">
      <c r="A618">
        <f ca="1">IFERROR(__xludf.DUMMYFUNCTION("""COMPUTED_VALUE"""),96357)</f>
        <v>96357</v>
      </c>
      <c r="B618" t="str">
        <f ca="1">IFERROR(__xludf.DUMMYFUNCTION("""COMPUTED_VALUE"""),"MEYSSAC")</f>
        <v>MEYSSAC</v>
      </c>
      <c r="C618" t="str">
        <f ca="1">IFERROR(__xludf.DUMMYFUNCTION("""COMPUTED_VALUE"""),"U Express")</f>
        <v>U Express</v>
      </c>
      <c r="D618" t="str">
        <f ca="1">IFERROR(__xludf.DUMMYFUNCTION("""COMPUTED_VALUE"""),"Coop U Enseigne Sud")</f>
        <v>Coop U Enseigne Sud</v>
      </c>
      <c r="E618">
        <f ca="1">IFERROR(__xludf.DUMMYFUNCTION("""COMPUTED_VALUE"""),19500)</f>
        <v>19500</v>
      </c>
      <c r="F618" t="str">
        <f ca="1">IFERROR(__xludf.DUMMYFUNCTION("""COMPUTED_VALUE"""),"ROUTE DE COLLONGES")</f>
        <v>ROUTE DE COLLONGES</v>
      </c>
      <c r="G618" t="str">
        <f ca="1">IFERROR(__xludf.DUMMYFUNCTION("""COMPUTED_VALUE"""),"05.55.25.33.04")</f>
        <v>05.55.25.33.04</v>
      </c>
      <c r="H618" t="str">
        <f ca="1">IFERROR(__xludf.DUMMYFUNCTION("""COMPUTED_VALUE"""),"ET THOMAS PELISSIER CYRIL TREUIL")</f>
        <v>ET THOMAS PELISSIER CYRIL TREUIL</v>
      </c>
      <c r="I618" t="str">
        <f ca="1">IFERROR(__xludf.DUMMYFUNCTION("""COMPUTED_VALUE"""),"cyril.treuil@systeme-u.fr")</f>
        <v>cyril.treuil@systeme-u.fr</v>
      </c>
      <c r="J618" t="str">
        <f ca="1">IFERROR(__xludf.DUMMYFUNCTION("""COMPUTED_VALUE"""),"TREUIL Mathieu")</f>
        <v>TREUIL Mathieu</v>
      </c>
      <c r="K618" t="str">
        <f ca="1">IFERROR(__xludf.DUMMYFUNCTION("""COMPUTED_VALUE"""),"thomas.pelissier@systeme-u.fr")</f>
        <v>thomas.pelissier@systeme-u.fr</v>
      </c>
      <c r="L618" t="str">
        <f ca="1">IFERROR(__xludf.DUMMYFUNCTION("""COMPUTED_VALUE"""),"")</f>
        <v/>
      </c>
      <c r="M618" t="str">
        <f ca="1">IFERROR(__xludf.DUMMYFUNCTION("""COMPUTED_VALUE"""),"99.Hors Périmetre")</f>
        <v>99.Hors Périmetre</v>
      </c>
      <c r="N618" t="str">
        <f ca="1">IFERROR(__xludf.DUMMYFUNCTION("""COMPUTED_VALUE"""),"")</f>
        <v/>
      </c>
      <c r="O618" t="str">
        <f ca="1">IFERROR(__xludf.DUMMYFUNCTION("""COMPUTED_VALUE"""),"")</f>
        <v/>
      </c>
      <c r="P618" t="str">
        <f ca="1">IFERROR(__xludf.DUMMYFUNCTION("""COMPUTED_VALUE"""),"")</f>
        <v/>
      </c>
      <c r="Q618" s="5" t="str">
        <f ca="1">IFERROR(__xludf.DUMMYFUNCTION("""COMPUTED_VALUE"""),"")</f>
        <v/>
      </c>
      <c r="R618" s="6" t="str">
        <f ca="1">IFERROR(__xludf.DUMMYFUNCTION("""COMPUTED_VALUE"""),"")</f>
        <v/>
      </c>
      <c r="S618" t="str">
        <f ca="1">IFERROR(__xludf.DUMMYFUNCTION("""COMPUTED_VALUE"""),"")</f>
        <v/>
      </c>
      <c r="T618" t="str">
        <f ca="1">IFERROR(__xludf.DUMMYFUNCTION("""COMPUTED_VALUE"""),"")</f>
        <v/>
      </c>
      <c r="U618" t="str">
        <f ca="1">IFERROR(__xludf.DUMMYFUNCTION("""COMPUTED_VALUE"""),"")</f>
        <v/>
      </c>
      <c r="V618" t="str">
        <f ca="1">IFERROR(__xludf.DUMMYFUNCTION("""COMPUTED_VALUE"""),"")</f>
        <v/>
      </c>
      <c r="W618" t="str">
        <f ca="1">IFERROR(__xludf.DUMMYFUNCTION("""COMPUTED_VALUE"""),"")</f>
        <v/>
      </c>
      <c r="X618" t="str">
        <f ca="1">IFERROR(__xludf.DUMMYFUNCTION("""COMPUTED_VALUE"""),"")</f>
        <v/>
      </c>
      <c r="Y618" t="str">
        <f ca="1">IFERROR(__xludf.DUMMYFUNCTION("""COMPUTED_VALUE"""),"")</f>
        <v/>
      </c>
      <c r="Z618" t="str">
        <f ca="1">IFERROR(__xludf.DUMMYFUNCTION("""COMPUTED_VALUE"""),"")</f>
        <v/>
      </c>
      <c r="AA618" t="str">
        <f ca="1">IFERROR(__xludf.DUMMYFUNCTION("""COMPUTED_VALUE"""),"Pas de commande")</f>
        <v>Pas de commande</v>
      </c>
      <c r="AB618" s="8" t="str">
        <f ca="1">IFERROR(__xludf.DUMMYFUNCTION("""COMPUTED_VALUE"""),"")</f>
        <v/>
      </c>
      <c r="AC618" s="8" t="str">
        <f ca="1">IFERROR(__xludf.DUMMYFUNCTION("""COMPUTED_VALUE"""),"")</f>
        <v/>
      </c>
      <c r="AD618" s="11" t="str">
        <f ca="1">IFERROR(__xludf.DUMMYFUNCTION("""COMPUTED_VALUE"""),"")</f>
        <v/>
      </c>
      <c r="AE618" t="str">
        <f ca="1">IFERROR(__xludf.DUMMYFUNCTION("""COMPUTED_VALUE"""),"")</f>
        <v/>
      </c>
    </row>
    <row r="619" spans="1:31" ht="12.75" x14ac:dyDescent="0.2">
      <c r="A619">
        <f ca="1">IFERROR(__xludf.DUMMYFUNCTION("""COMPUTED_VALUE"""),35665)</f>
        <v>35665</v>
      </c>
      <c r="B619" t="str">
        <f ca="1">IFERROR(__xludf.DUMMYFUNCTION("""COMPUTED_VALUE"""),"MIRAMBEAU")</f>
        <v>MIRAMBEAU</v>
      </c>
      <c r="C619" t="str">
        <f ca="1">IFERROR(__xludf.DUMMYFUNCTION("""COMPUTED_VALUE"""),"Super U")</f>
        <v>Super U</v>
      </c>
      <c r="D619" t="str">
        <f ca="1">IFERROR(__xludf.DUMMYFUNCTION("""COMPUTED_VALUE"""),"Coop U Enseigne Ouest")</f>
        <v>Coop U Enseigne Ouest</v>
      </c>
      <c r="E619">
        <f ca="1">IFERROR(__xludf.DUMMYFUNCTION("""COMPUTED_VALUE"""),17150)</f>
        <v>17150</v>
      </c>
      <c r="F619" t="str">
        <f ca="1">IFERROR(__xludf.DUMMYFUNCTION("""COMPUTED_VALUE"""),"109, AVENUE DE LA RÉPUBLIQUE")</f>
        <v>109, AVENUE DE LA RÉPUBLIQUE</v>
      </c>
      <c r="G619" t="str">
        <f ca="1">IFERROR(__xludf.DUMMYFUNCTION("""COMPUTED_VALUE"""),"05.46.49.72.33")</f>
        <v>05.46.49.72.33</v>
      </c>
      <c r="H619" t="str">
        <f ca="1">IFERROR(__xludf.DUMMYFUNCTION("""COMPUTED_VALUE"""),"GERVAIS Julien")</f>
        <v>GERVAIS Julien</v>
      </c>
      <c r="I619" t="str">
        <f ca="1">IFERROR(__xludf.DUMMYFUNCTION("""COMPUTED_VALUE"""),"julien.gervais@systeme-u.fr")</f>
        <v>julien.gervais@systeme-u.fr</v>
      </c>
      <c r="J619" t="str">
        <f ca="1">IFERROR(__xludf.DUMMYFUNCTION("""COMPUTED_VALUE"""),"")</f>
        <v/>
      </c>
      <c r="K619" t="str">
        <f ca="1">IFERROR(__xludf.DUMMYFUNCTION("""COMPUTED_VALUE"""),"")</f>
        <v/>
      </c>
      <c r="L619" t="str">
        <f ca="1">IFERROR(__xludf.DUMMYFUNCTION("""COMPUTED_VALUE"""),"Standard")</f>
        <v>Standard</v>
      </c>
      <c r="M619" t="str">
        <f ca="1">IFERROR(__xludf.DUMMYFUNCTION("""COMPUTED_VALUE"""),"0. Non démarré")</f>
        <v>0. Non démarré</v>
      </c>
      <c r="N619" t="str">
        <f ca="1">IFERROR(__xludf.DUMMYFUNCTION("""COMPUTED_VALUE"""),"")</f>
        <v/>
      </c>
      <c r="O619" t="str">
        <f ca="1">IFERROR(__xludf.DUMMYFUNCTION("""COMPUTED_VALUE"""),"")</f>
        <v/>
      </c>
      <c r="P619" t="str">
        <f ca="1">IFERROR(__xludf.DUMMYFUNCTION("""COMPUTED_VALUE"""),"")</f>
        <v/>
      </c>
      <c r="Q619" s="5" t="str">
        <f ca="1">IFERROR(__xludf.DUMMYFUNCTION("""COMPUTED_VALUE"""),"")</f>
        <v/>
      </c>
      <c r="R619" s="6" t="str">
        <f ca="1">IFERROR(__xludf.DUMMYFUNCTION("""COMPUTED_VALUE"""),"")</f>
        <v/>
      </c>
      <c r="S619" t="str">
        <f ca="1">IFERROR(__xludf.DUMMYFUNCTION("""COMPUTED_VALUE"""),"")</f>
        <v/>
      </c>
      <c r="T619" t="str">
        <f ca="1">IFERROR(__xludf.DUMMYFUNCTION("""COMPUTED_VALUE"""),"")</f>
        <v/>
      </c>
      <c r="U619" t="str">
        <f ca="1">IFERROR(__xludf.DUMMYFUNCTION("""COMPUTED_VALUE"""),"")</f>
        <v/>
      </c>
      <c r="V619" t="str">
        <f ca="1">IFERROR(__xludf.DUMMYFUNCTION("""COMPUTED_VALUE"""),"")</f>
        <v/>
      </c>
      <c r="W619" t="str">
        <f ca="1">IFERROR(__xludf.DUMMYFUNCTION("""COMPUTED_VALUE"""),"R5")</f>
        <v>R5</v>
      </c>
      <c r="X619" t="str">
        <f ca="1">IFERROR(__xludf.DUMMYFUNCTION("""COMPUTED_VALUE"""),"Pricer")</f>
        <v>Pricer</v>
      </c>
      <c r="Y619" t="str">
        <f ca="1">IFERROR(__xludf.DUMMYFUNCTION("""COMPUTED_VALUE"""),"")</f>
        <v/>
      </c>
      <c r="Z619" t="str">
        <f ca="1">IFERROR(__xludf.DUMMYFUNCTION("""COMPUTED_VALUE"""),"")</f>
        <v/>
      </c>
      <c r="AA619" t="str">
        <f ca="1">IFERROR(__xludf.DUMMYFUNCTION("""COMPUTED_VALUE"""),"Pas de commande")</f>
        <v>Pas de commande</v>
      </c>
      <c r="AB619" s="8" t="str">
        <f ca="1">IFERROR(__xludf.DUMMYFUNCTION("""COMPUTED_VALUE"""),"")</f>
        <v/>
      </c>
      <c r="AC619" s="8" t="str">
        <f ca="1">IFERROR(__xludf.DUMMYFUNCTION("""COMPUTED_VALUE"""),"")</f>
        <v/>
      </c>
      <c r="AD619" s="11" t="str">
        <f ca="1">IFERROR(__xludf.DUMMYFUNCTION("""COMPUTED_VALUE"""),"")</f>
        <v/>
      </c>
      <c r="AE619" t="str">
        <f ca="1">IFERROR(__xludf.DUMMYFUNCTION("""COMPUTED_VALUE"""),"")</f>
        <v/>
      </c>
    </row>
    <row r="620" spans="1:31" ht="12.75" x14ac:dyDescent="0.2">
      <c r="A620">
        <f ca="1">IFERROR(__xludf.DUMMYFUNCTION("""COMPUTED_VALUE"""),90237)</f>
        <v>90237</v>
      </c>
      <c r="B620" t="str">
        <f ca="1">IFERROR(__xludf.DUMMYFUNCTION("""COMPUTED_VALUE"""),"MIREPOIX")</f>
        <v>MIREPOIX</v>
      </c>
      <c r="C620" t="str">
        <f ca="1">IFERROR(__xludf.DUMMYFUNCTION("""COMPUTED_VALUE"""),"Super U")</f>
        <v>Super U</v>
      </c>
      <c r="D620" t="str">
        <f ca="1">IFERROR(__xludf.DUMMYFUNCTION("""COMPUTED_VALUE"""),"Coop U Enseigne Sud")</f>
        <v>Coop U Enseigne Sud</v>
      </c>
      <c r="E620">
        <f ca="1">IFERROR(__xludf.DUMMYFUNCTION("""COMPUTED_VALUE"""),9500)</f>
        <v>9500</v>
      </c>
      <c r="F620" t="str">
        <f ca="1">IFERROR(__xludf.DUMMYFUNCTION("""COMPUTED_VALUE"""),"LES PARAULETTES")</f>
        <v>LES PARAULETTES</v>
      </c>
      <c r="G620" t="str">
        <f ca="1">IFERROR(__xludf.DUMMYFUNCTION("""COMPUTED_VALUE"""),"05.61.68.81.91")</f>
        <v>05.61.68.81.91</v>
      </c>
      <c r="H620" t="str">
        <f ca="1">IFERROR(__xludf.DUMMYFUNCTION("""COMPUTED_VALUE"""),"FEUGIER Marc")</f>
        <v>FEUGIER Marc</v>
      </c>
      <c r="I620" t="str">
        <f ca="1">IFERROR(__xludf.DUMMYFUNCTION("""COMPUTED_VALUE"""),"marc.feugier@systeme-u.fr")</f>
        <v>marc.feugier@systeme-u.fr</v>
      </c>
      <c r="J620" t="str">
        <f ca="1">IFERROR(__xludf.DUMMYFUNCTION("""COMPUTED_VALUE"""),"Stéphane CLERE")</f>
        <v>Stéphane CLERE</v>
      </c>
      <c r="K620" t="str">
        <f ca="1">IFERROR(__xludf.DUMMYFUNCTION("""COMPUTED_VALUE"""),"superu.mirepoix.directeur@systeme-u.fr")</f>
        <v>superu.mirepoix.directeur@systeme-u.fr</v>
      </c>
      <c r="L620" t="str">
        <f ca="1">IFERROR(__xludf.DUMMYFUNCTION("""COMPUTED_VALUE"""),"Standard")</f>
        <v>Standard</v>
      </c>
      <c r="M620" t="str">
        <f ca="1">IFERROR(__xludf.DUMMYFUNCTION("""COMPUTED_VALUE"""),"0. Non démarré")</f>
        <v>0. Non démarré</v>
      </c>
      <c r="N620" t="str">
        <f ca="1">IFERROR(__xludf.DUMMYFUNCTION("""COMPUTED_VALUE"""),"")</f>
        <v/>
      </c>
      <c r="O620" t="str">
        <f ca="1">IFERROR(__xludf.DUMMYFUNCTION("""COMPUTED_VALUE"""),"")</f>
        <v/>
      </c>
      <c r="P620" t="str">
        <f ca="1">IFERROR(__xludf.DUMMYFUNCTION("""COMPUTED_VALUE"""),"")</f>
        <v/>
      </c>
      <c r="Q620" s="5" t="str">
        <f ca="1">IFERROR(__xludf.DUMMYFUNCTION("""COMPUTED_VALUE"""),"")</f>
        <v/>
      </c>
      <c r="R620" s="6" t="str">
        <f ca="1">IFERROR(__xludf.DUMMYFUNCTION("""COMPUTED_VALUE"""),"")</f>
        <v/>
      </c>
      <c r="S620" t="str">
        <f ca="1">IFERROR(__xludf.DUMMYFUNCTION("""COMPUTED_VALUE"""),"")</f>
        <v/>
      </c>
      <c r="T620" t="str">
        <f ca="1">IFERROR(__xludf.DUMMYFUNCTION("""COMPUTED_VALUE"""),"")</f>
        <v/>
      </c>
      <c r="U620" t="str">
        <f ca="1">IFERROR(__xludf.DUMMYFUNCTION("""COMPUTED_VALUE"""),"")</f>
        <v/>
      </c>
      <c r="V620" t="str">
        <f ca="1">IFERROR(__xludf.DUMMYFUNCTION("""COMPUTED_VALUE"""),"")</f>
        <v/>
      </c>
      <c r="W620" t="str">
        <f ca="1">IFERROR(__xludf.DUMMYFUNCTION("""COMPUTED_VALUE"""),"R3")</f>
        <v>R3</v>
      </c>
      <c r="X620" t="str">
        <f ca="1">IFERROR(__xludf.DUMMYFUNCTION("""COMPUTED_VALUE"""),"PC mag &lt;8Go")</f>
        <v>PC mag &lt;8Go</v>
      </c>
      <c r="Y620" t="str">
        <f ca="1">IFERROR(__xludf.DUMMYFUNCTION("""COMPUTED_VALUE"""),"")</f>
        <v/>
      </c>
      <c r="Z620" t="str">
        <f ca="1">IFERROR(__xludf.DUMMYFUNCTION("""COMPUTED_VALUE"""),"")</f>
        <v/>
      </c>
      <c r="AA620" t="str">
        <f ca="1">IFERROR(__xludf.DUMMYFUNCTION("""COMPUTED_VALUE"""),"Pas de commande")</f>
        <v>Pas de commande</v>
      </c>
      <c r="AB620" s="8" t="str">
        <f ca="1">IFERROR(__xludf.DUMMYFUNCTION("""COMPUTED_VALUE"""),"")</f>
        <v/>
      </c>
      <c r="AC620" s="8" t="str">
        <f ca="1">IFERROR(__xludf.DUMMYFUNCTION("""COMPUTED_VALUE"""),"")</f>
        <v/>
      </c>
      <c r="AD620" s="11" t="str">
        <f ca="1">IFERROR(__xludf.DUMMYFUNCTION("""COMPUTED_VALUE"""),"")</f>
        <v/>
      </c>
      <c r="AE620" t="str">
        <f ca="1">IFERROR(__xludf.DUMMYFUNCTION("""COMPUTED_VALUE"""),"")</f>
        <v/>
      </c>
    </row>
    <row r="621" spans="1:31" ht="12.75" x14ac:dyDescent="0.2">
      <c r="A621">
        <f ca="1">IFERROR(__xludf.DUMMYFUNCTION("""COMPUTED_VALUE"""),95188)</f>
        <v>95188</v>
      </c>
      <c r="B621" t="str">
        <f ca="1">IFERROR(__xludf.DUMMYFUNCTION("""COMPUTED_VALUE"""),"MOLIETS ET MAA")</f>
        <v>MOLIETS ET MAA</v>
      </c>
      <c r="C621" t="str">
        <f ca="1">IFERROR(__xludf.DUMMYFUNCTION("""COMPUTED_VALUE"""),"U Express")</f>
        <v>U Express</v>
      </c>
      <c r="D621" t="str">
        <f ca="1">IFERROR(__xludf.DUMMYFUNCTION("""COMPUTED_VALUE"""),"Coop U Enseigne Sud")</f>
        <v>Coop U Enseigne Sud</v>
      </c>
      <c r="E621">
        <f ca="1">IFERROR(__xludf.DUMMYFUNCTION("""COMPUTED_VALUE"""),40660)</f>
        <v>40660</v>
      </c>
      <c r="F621" t="str">
        <f ca="1">IFERROR(__xludf.DUMMYFUNCTION("""COMPUTED_VALUE"""),"LIEU DIT BOUSSOUAYRE")</f>
        <v>LIEU DIT BOUSSOUAYRE</v>
      </c>
      <c r="G621" t="str">
        <f ca="1">IFERROR(__xludf.DUMMYFUNCTION("""COMPUTED_VALUE"""),"05.58.42.90.00")</f>
        <v>05.58.42.90.00</v>
      </c>
      <c r="H621" t="str">
        <f ca="1">IFERROR(__xludf.DUMMYFUNCTION("""COMPUTED_VALUE"""),"GUILHEMJOUAN Marielle")</f>
        <v>GUILHEMJOUAN Marielle</v>
      </c>
      <c r="I621" t="str">
        <f ca="1">IFERROR(__xludf.DUMMYFUNCTION("""COMPUTED_VALUE"""),"marielle.guilhemjouan@systeme-u.fr")</f>
        <v>marielle.guilhemjouan@systeme-u.fr</v>
      </c>
      <c r="J621" t="str">
        <f ca="1">IFERROR(__xludf.DUMMYFUNCTION("""COMPUTED_VALUE"""),"MAILLET Christelle")</f>
        <v>MAILLET Christelle</v>
      </c>
      <c r="K621" t="str">
        <f ca="1">IFERROR(__xludf.DUMMYFUNCTION("""COMPUTED_VALUE"""),"uexpress.moliets.compta@systeme-u.fr")</f>
        <v>uexpress.moliets.compta@systeme-u.fr</v>
      </c>
      <c r="L621" t="str">
        <f ca="1">IFERROR(__xludf.DUMMYFUNCTION("""COMPUTED_VALUE"""),"")</f>
        <v/>
      </c>
      <c r="M621" t="str">
        <f ca="1">IFERROR(__xludf.DUMMYFUNCTION("""COMPUTED_VALUE"""),"99.Hors Périmetre")</f>
        <v>99.Hors Périmetre</v>
      </c>
      <c r="N621" t="str">
        <f ca="1">IFERROR(__xludf.DUMMYFUNCTION("""COMPUTED_VALUE"""),"")</f>
        <v/>
      </c>
      <c r="O621" t="str">
        <f ca="1">IFERROR(__xludf.DUMMYFUNCTION("""COMPUTED_VALUE"""),"")</f>
        <v/>
      </c>
      <c r="P621" t="str">
        <f ca="1">IFERROR(__xludf.DUMMYFUNCTION("""COMPUTED_VALUE"""),"")</f>
        <v/>
      </c>
      <c r="Q621" s="5" t="str">
        <f ca="1">IFERROR(__xludf.DUMMYFUNCTION("""COMPUTED_VALUE"""),"")</f>
        <v/>
      </c>
      <c r="R621" s="6" t="str">
        <f ca="1">IFERROR(__xludf.DUMMYFUNCTION("""COMPUTED_VALUE"""),"")</f>
        <v/>
      </c>
      <c r="S621" t="str">
        <f ca="1">IFERROR(__xludf.DUMMYFUNCTION("""COMPUTED_VALUE"""),"")</f>
        <v/>
      </c>
      <c r="T621" t="str">
        <f ca="1">IFERROR(__xludf.DUMMYFUNCTION("""COMPUTED_VALUE"""),"")</f>
        <v/>
      </c>
      <c r="U621" t="str">
        <f ca="1">IFERROR(__xludf.DUMMYFUNCTION("""COMPUTED_VALUE"""),"")</f>
        <v/>
      </c>
      <c r="V621" t="str">
        <f ca="1">IFERROR(__xludf.DUMMYFUNCTION("""COMPUTED_VALUE"""),"")</f>
        <v/>
      </c>
      <c r="W621" t="str">
        <f ca="1">IFERROR(__xludf.DUMMYFUNCTION("""COMPUTED_VALUE"""),"")</f>
        <v/>
      </c>
      <c r="X621" t="str">
        <f ca="1">IFERROR(__xludf.DUMMYFUNCTION("""COMPUTED_VALUE"""),"")</f>
        <v/>
      </c>
      <c r="Y621" t="str">
        <f ca="1">IFERROR(__xludf.DUMMYFUNCTION("""COMPUTED_VALUE"""),"")</f>
        <v/>
      </c>
      <c r="Z621" t="str">
        <f ca="1">IFERROR(__xludf.DUMMYFUNCTION("""COMPUTED_VALUE"""),"")</f>
        <v/>
      </c>
      <c r="AA621" t="str">
        <f ca="1">IFERROR(__xludf.DUMMYFUNCTION("""COMPUTED_VALUE"""),"Pas de commande")</f>
        <v>Pas de commande</v>
      </c>
      <c r="AB621" s="8" t="str">
        <f ca="1">IFERROR(__xludf.DUMMYFUNCTION("""COMPUTED_VALUE"""),"")</f>
        <v/>
      </c>
      <c r="AC621" s="8" t="str">
        <f ca="1">IFERROR(__xludf.DUMMYFUNCTION("""COMPUTED_VALUE"""),"")</f>
        <v/>
      </c>
      <c r="AD621" s="11" t="str">
        <f ca="1">IFERROR(__xludf.DUMMYFUNCTION("""COMPUTED_VALUE"""),"")</f>
        <v/>
      </c>
      <c r="AE621" t="str">
        <f ca="1">IFERROR(__xludf.DUMMYFUNCTION("""COMPUTED_VALUE"""),"")</f>
        <v/>
      </c>
    </row>
    <row r="622" spans="1:31" ht="12.75" x14ac:dyDescent="0.2">
      <c r="A622">
        <f ca="1">IFERROR(__xludf.DUMMYFUNCTION("""COMPUTED_VALUE"""),60038)</f>
        <v>60038</v>
      </c>
      <c r="B622" t="str">
        <f ca="1">IFERROR(__xludf.DUMMYFUNCTION("""COMPUTED_VALUE"""),"MOLSHEIM")</f>
        <v>MOLSHEIM</v>
      </c>
      <c r="C622" t="str">
        <f ca="1">IFERROR(__xludf.DUMMYFUNCTION("""COMPUTED_VALUE"""),"Super U")</f>
        <v>Super U</v>
      </c>
      <c r="D622" t="str">
        <f ca="1">IFERROR(__xludf.DUMMYFUNCTION("""COMPUTED_VALUE"""),"Coop U Enseigne Est")</f>
        <v>Coop U Enseigne Est</v>
      </c>
      <c r="E622">
        <f ca="1">IFERROR(__xludf.DUMMYFUNCTION("""COMPUTED_VALUE"""),67120)</f>
        <v>67120</v>
      </c>
      <c r="F622" t="str">
        <f ca="1">IFERROR(__xludf.DUMMYFUNCTION("""COMPUTED_VALUE"""),"33A ROUTE DE DACHSTEIN")</f>
        <v>33A ROUTE DE DACHSTEIN</v>
      </c>
      <c r="G622" t="str">
        <f ca="1">IFERROR(__xludf.DUMMYFUNCTION("""COMPUTED_VALUE"""),"03.88.38.48.72")</f>
        <v>03.88.38.48.72</v>
      </c>
      <c r="H622" t="str">
        <f ca="1">IFERROR(__xludf.DUMMYFUNCTION("""COMPUTED_VALUE"""),"SORROCHE Emilio")</f>
        <v>SORROCHE Emilio</v>
      </c>
      <c r="I622" t="str">
        <f ca="1">IFERROR(__xludf.DUMMYFUNCTION("""COMPUTED_VALUE"""),"emilio.sorroche@systeme-u.fr")</f>
        <v>emilio.sorroche@systeme-u.fr</v>
      </c>
      <c r="J622" t="str">
        <f ca="1">IFERROR(__xludf.DUMMYFUNCTION("""COMPUTED_VALUE"""),"")</f>
        <v/>
      </c>
      <c r="K622" t="str">
        <f ca="1">IFERROR(__xludf.DUMMYFUNCTION("""COMPUTED_VALUE"""),"")</f>
        <v/>
      </c>
      <c r="L622" t="str">
        <f ca="1">IFERROR(__xludf.DUMMYFUNCTION("""COMPUTED_VALUE"""),"")</f>
        <v/>
      </c>
      <c r="M622" t="str">
        <f ca="1">IFERROR(__xludf.DUMMYFUNCTION("""COMPUTED_VALUE"""),"99.Hors Périmetre")</f>
        <v>99.Hors Périmetre</v>
      </c>
      <c r="N622" t="str">
        <f ca="1">IFERROR(__xludf.DUMMYFUNCTION("""COMPUTED_VALUE"""),"")</f>
        <v/>
      </c>
      <c r="O622" t="str">
        <f ca="1">IFERROR(__xludf.DUMMYFUNCTION("""COMPUTED_VALUE"""),"")</f>
        <v/>
      </c>
      <c r="P622" t="str">
        <f ca="1">IFERROR(__xludf.DUMMYFUNCTION("""COMPUTED_VALUE"""),"")</f>
        <v/>
      </c>
      <c r="Q622" s="5" t="str">
        <f ca="1">IFERROR(__xludf.DUMMYFUNCTION("""COMPUTED_VALUE"""),"")</f>
        <v/>
      </c>
      <c r="R622" s="6" t="str">
        <f ca="1">IFERROR(__xludf.DUMMYFUNCTION("""COMPUTED_VALUE"""),"")</f>
        <v/>
      </c>
      <c r="S622" t="str">
        <f ca="1">IFERROR(__xludf.DUMMYFUNCTION("""COMPUTED_VALUE"""),"")</f>
        <v/>
      </c>
      <c r="T622" t="str">
        <f ca="1">IFERROR(__xludf.DUMMYFUNCTION("""COMPUTED_VALUE"""),"")</f>
        <v/>
      </c>
      <c r="U622" t="str">
        <f ca="1">IFERROR(__xludf.DUMMYFUNCTION("""COMPUTED_VALUE"""),"")</f>
        <v/>
      </c>
      <c r="V622" t="str">
        <f ca="1">IFERROR(__xludf.DUMMYFUNCTION("""COMPUTED_VALUE"""),"")</f>
        <v/>
      </c>
      <c r="W622" t="str">
        <f ca="1">IFERROR(__xludf.DUMMYFUNCTION("""COMPUTED_VALUE"""),"")</f>
        <v/>
      </c>
      <c r="X622" t="str">
        <f ca="1">IFERROR(__xludf.DUMMYFUNCTION("""COMPUTED_VALUE"""),"")</f>
        <v/>
      </c>
      <c r="Y622" t="str">
        <f ca="1">IFERROR(__xludf.DUMMYFUNCTION("""COMPUTED_VALUE"""),"")</f>
        <v/>
      </c>
      <c r="Z622" t="str">
        <f ca="1">IFERROR(__xludf.DUMMYFUNCTION("""COMPUTED_VALUE"""),"")</f>
        <v/>
      </c>
      <c r="AA622" t="str">
        <f ca="1">IFERROR(__xludf.DUMMYFUNCTION("""COMPUTED_VALUE"""),"Pas de commande")</f>
        <v>Pas de commande</v>
      </c>
      <c r="AB622" s="8" t="str">
        <f ca="1">IFERROR(__xludf.DUMMYFUNCTION("""COMPUTED_VALUE"""),"")</f>
        <v/>
      </c>
      <c r="AC622" s="8" t="str">
        <f ca="1">IFERROR(__xludf.DUMMYFUNCTION("""COMPUTED_VALUE"""),"")</f>
        <v/>
      </c>
      <c r="AD622" s="11" t="str">
        <f ca="1">IFERROR(__xludf.DUMMYFUNCTION("""COMPUTED_VALUE"""),"")</f>
        <v/>
      </c>
      <c r="AE622" t="str">
        <f ca="1">IFERROR(__xludf.DUMMYFUNCTION("""COMPUTED_VALUE"""),"")</f>
        <v/>
      </c>
    </row>
    <row r="623" spans="1:31" ht="12.75" x14ac:dyDescent="0.2">
      <c r="A623">
        <f ca="1">IFERROR(__xludf.DUMMYFUNCTION("""COMPUTED_VALUE"""),90586)</f>
        <v>90586</v>
      </c>
      <c r="B623" t="str">
        <f ca="1">IFERROR(__xludf.DUMMYFUNCTION("""COMPUTED_VALUE"""),"MONACO")</f>
        <v>MONACO</v>
      </c>
      <c r="C623" t="str">
        <f ca="1">IFERROR(__xludf.DUMMYFUNCTION("""COMPUTED_VALUE"""),"Marché U")</f>
        <v>Marché U</v>
      </c>
      <c r="D623" t="str">
        <f ca="1">IFERROR(__xludf.DUMMYFUNCTION("""COMPUTED_VALUE"""),"Coop U Enseigne Sud")</f>
        <v>Coop U Enseigne Sud</v>
      </c>
      <c r="E623">
        <f ca="1">IFERROR(__xludf.DUMMYFUNCTION("""COMPUTED_VALUE"""),98000)</f>
        <v>98000</v>
      </c>
      <c r="F623" t="str">
        <f ca="1">IFERROR(__xludf.DUMMYFUNCTION("""COMPUTED_VALUE"""),"LES ABEILLES")</f>
        <v>LES ABEILLES</v>
      </c>
      <c r="G623" t="str">
        <f ca="1">IFERROR(__xludf.DUMMYFUNCTION("""COMPUTED_VALUE"""),"00.37.79.77.01.71.")</f>
        <v>00.37.79.77.01.71.</v>
      </c>
      <c r="H623" t="str">
        <f ca="1">IFERROR(__xludf.DUMMYFUNCTION("""COMPUTED_VALUE"""),"LAHELLEC Yann")</f>
        <v>LAHELLEC Yann</v>
      </c>
      <c r="I623" t="str">
        <f ca="1">IFERROR(__xludf.DUMMYFUNCTION("""COMPUTED_VALUE"""),"yann.lahellec@systeme-u.fr")</f>
        <v>yann.lahellec@systeme-u.fr</v>
      </c>
      <c r="J623" t="str">
        <f ca="1">IFERROR(__xludf.DUMMYFUNCTION("""COMPUTED_VALUE"""),"")</f>
        <v/>
      </c>
      <c r="K623" t="str">
        <f ca="1">IFERROR(__xludf.DUMMYFUNCTION("""COMPUTED_VALUE"""),"")</f>
        <v/>
      </c>
      <c r="L623" t="str">
        <f ca="1">IFERROR(__xludf.DUMMYFUNCTION("""COMPUTED_VALUE"""),"")</f>
        <v/>
      </c>
      <c r="M623" t="str">
        <f ca="1">IFERROR(__xludf.DUMMYFUNCTION("""COMPUTED_VALUE"""),"99.Hors Périmetre")</f>
        <v>99.Hors Périmetre</v>
      </c>
      <c r="N623" t="str">
        <f ca="1">IFERROR(__xludf.DUMMYFUNCTION("""COMPUTED_VALUE"""),"")</f>
        <v/>
      </c>
      <c r="O623" t="str">
        <f ca="1">IFERROR(__xludf.DUMMYFUNCTION("""COMPUTED_VALUE"""),"")</f>
        <v/>
      </c>
      <c r="P623" t="str">
        <f ca="1">IFERROR(__xludf.DUMMYFUNCTION("""COMPUTED_VALUE"""),"")</f>
        <v/>
      </c>
      <c r="Q623" s="5" t="str">
        <f ca="1">IFERROR(__xludf.DUMMYFUNCTION("""COMPUTED_VALUE"""),"")</f>
        <v/>
      </c>
      <c r="R623" s="6" t="str">
        <f ca="1">IFERROR(__xludf.DUMMYFUNCTION("""COMPUTED_VALUE"""),"")</f>
        <v/>
      </c>
      <c r="S623" t="str">
        <f ca="1">IFERROR(__xludf.DUMMYFUNCTION("""COMPUTED_VALUE"""),"")</f>
        <v/>
      </c>
      <c r="T623" t="str">
        <f ca="1">IFERROR(__xludf.DUMMYFUNCTION("""COMPUTED_VALUE"""),"")</f>
        <v/>
      </c>
      <c r="U623" t="str">
        <f ca="1">IFERROR(__xludf.DUMMYFUNCTION("""COMPUTED_VALUE"""),"")</f>
        <v/>
      </c>
      <c r="V623" t="str">
        <f ca="1">IFERROR(__xludf.DUMMYFUNCTION("""COMPUTED_VALUE"""),"")</f>
        <v/>
      </c>
      <c r="W623" t="str">
        <f ca="1">IFERROR(__xludf.DUMMYFUNCTION("""COMPUTED_VALUE"""),"")</f>
        <v/>
      </c>
      <c r="X623" t="str">
        <f ca="1">IFERROR(__xludf.DUMMYFUNCTION("""COMPUTED_VALUE"""),"")</f>
        <v/>
      </c>
      <c r="Y623" t="str">
        <f ca="1">IFERROR(__xludf.DUMMYFUNCTION("""COMPUTED_VALUE"""),"")</f>
        <v/>
      </c>
      <c r="Z623" t="str">
        <f ca="1">IFERROR(__xludf.DUMMYFUNCTION("""COMPUTED_VALUE"""),"")</f>
        <v/>
      </c>
      <c r="AA623" t="str">
        <f ca="1">IFERROR(__xludf.DUMMYFUNCTION("""COMPUTED_VALUE"""),"Pas de commande")</f>
        <v>Pas de commande</v>
      </c>
      <c r="AB623" s="8" t="str">
        <f ca="1">IFERROR(__xludf.DUMMYFUNCTION("""COMPUTED_VALUE"""),"")</f>
        <v/>
      </c>
      <c r="AC623" s="8" t="str">
        <f ca="1">IFERROR(__xludf.DUMMYFUNCTION("""COMPUTED_VALUE"""),"")</f>
        <v/>
      </c>
      <c r="AD623" s="11" t="str">
        <f ca="1">IFERROR(__xludf.DUMMYFUNCTION("""COMPUTED_VALUE"""),"")</f>
        <v/>
      </c>
      <c r="AE623" t="str">
        <f ca="1">IFERROR(__xludf.DUMMYFUNCTION("""COMPUTED_VALUE"""),"")</f>
        <v/>
      </c>
    </row>
    <row r="624" spans="1:31" ht="12.75" x14ac:dyDescent="0.2">
      <c r="A624">
        <f ca="1">IFERROR(__xludf.DUMMYFUNCTION("""COMPUTED_VALUE"""),31325)</f>
        <v>31325</v>
      </c>
      <c r="B624" t="str">
        <f ca="1">IFERROR(__xludf.DUMMYFUNCTION("""COMPUTED_VALUE"""),"MONCOUTANT")</f>
        <v>MONCOUTANT</v>
      </c>
      <c r="C624" t="str">
        <f ca="1">IFERROR(__xludf.DUMMYFUNCTION("""COMPUTED_VALUE"""),"Super U")</f>
        <v>Super U</v>
      </c>
      <c r="D624" t="str">
        <f ca="1">IFERROR(__xludf.DUMMYFUNCTION("""COMPUTED_VALUE"""),"Coop U Enseigne Ouest")</f>
        <v>Coop U Enseigne Ouest</v>
      </c>
      <c r="E624">
        <f ca="1">IFERROR(__xludf.DUMMYFUNCTION("""COMPUTED_VALUE"""),79320)</f>
        <v>79320</v>
      </c>
      <c r="F624" t="str">
        <f ca="1">IFERROR(__xludf.DUMMYFUNCTION("""COMPUTED_VALUE"""),"56 BIS AVENUE DE PARIS")</f>
        <v>56 BIS AVENUE DE PARIS</v>
      </c>
      <c r="G624" t="str">
        <f ca="1">IFERROR(__xludf.DUMMYFUNCTION("""COMPUTED_VALUE"""),"05.49.72.74.53")</f>
        <v>05.49.72.74.53</v>
      </c>
      <c r="H624" t="str">
        <f ca="1">IFERROR(__xludf.DUMMYFUNCTION("""COMPUTED_VALUE"""),"COUPRIE-CORLAY RPT SEVRE INV. Audrey")</f>
        <v>COUPRIE-CORLAY RPT SEVRE INV. Audrey</v>
      </c>
      <c r="I624" t="str">
        <f ca="1">IFERROR(__xludf.DUMMYFUNCTION("""COMPUTED_VALUE"""),"audrey.couprie-corlay@systeme-u.fr")</f>
        <v>audrey.couprie-corlay@systeme-u.fr</v>
      </c>
      <c r="J624" t="str">
        <f ca="1">IFERROR(__xludf.DUMMYFUNCTION("""COMPUTED_VALUE"""),"M. CORLAY")</f>
        <v>M. CORLAY</v>
      </c>
      <c r="K624" t="str">
        <f ca="1">IFERROR(__xludf.DUMMYFUNCTION("""COMPUTED_VALUE"""),"laurent.corlay@systeme-u.fr")</f>
        <v>laurent.corlay@systeme-u.fr</v>
      </c>
      <c r="L624" t="str">
        <f ca="1">IFERROR(__xludf.DUMMYFUNCTION("""COMPUTED_VALUE"""),"")</f>
        <v/>
      </c>
      <c r="M624" t="str">
        <f ca="1">IFERROR(__xludf.DUMMYFUNCTION("""COMPUTED_VALUE"""),"99.Hors Périmetre")</f>
        <v>99.Hors Périmetre</v>
      </c>
      <c r="N624" t="str">
        <f ca="1">IFERROR(__xludf.DUMMYFUNCTION("""COMPUTED_VALUE"""),"")</f>
        <v/>
      </c>
      <c r="O624" t="str">
        <f ca="1">IFERROR(__xludf.DUMMYFUNCTION("""COMPUTED_VALUE"""),"")</f>
        <v/>
      </c>
      <c r="P624" t="str">
        <f ca="1">IFERROR(__xludf.DUMMYFUNCTION("""COMPUTED_VALUE"""),"")</f>
        <v/>
      </c>
      <c r="Q624" s="5" t="str">
        <f ca="1">IFERROR(__xludf.DUMMYFUNCTION("""COMPUTED_VALUE"""),"")</f>
        <v/>
      </c>
      <c r="R624" s="6" t="str">
        <f ca="1">IFERROR(__xludf.DUMMYFUNCTION("""COMPUTED_VALUE"""),"")</f>
        <v/>
      </c>
      <c r="S624" t="str">
        <f ca="1">IFERROR(__xludf.DUMMYFUNCTION("""COMPUTED_VALUE"""),"")</f>
        <v/>
      </c>
      <c r="T624" t="str">
        <f ca="1">IFERROR(__xludf.DUMMYFUNCTION("""COMPUTED_VALUE"""),"")</f>
        <v/>
      </c>
      <c r="U624" t="str">
        <f ca="1">IFERROR(__xludf.DUMMYFUNCTION("""COMPUTED_VALUE"""),"")</f>
        <v/>
      </c>
      <c r="V624" t="str">
        <f ca="1">IFERROR(__xludf.DUMMYFUNCTION("""COMPUTED_VALUE"""),"")</f>
        <v/>
      </c>
      <c r="W624" t="str">
        <f ca="1">IFERROR(__xludf.DUMMYFUNCTION("""COMPUTED_VALUE"""),"")</f>
        <v/>
      </c>
      <c r="X624" t="str">
        <f ca="1">IFERROR(__xludf.DUMMYFUNCTION("""COMPUTED_VALUE"""),"")</f>
        <v/>
      </c>
      <c r="Y624" t="str">
        <f ca="1">IFERROR(__xludf.DUMMYFUNCTION("""COMPUTED_VALUE"""),"")</f>
        <v/>
      </c>
      <c r="Z624" t="str">
        <f ca="1">IFERROR(__xludf.DUMMYFUNCTION("""COMPUTED_VALUE"""),"")</f>
        <v/>
      </c>
      <c r="AA624" t="str">
        <f ca="1">IFERROR(__xludf.DUMMYFUNCTION("""COMPUTED_VALUE"""),"Pas de commande")</f>
        <v>Pas de commande</v>
      </c>
      <c r="AB624" s="8" t="str">
        <f ca="1">IFERROR(__xludf.DUMMYFUNCTION("""COMPUTED_VALUE"""),"")</f>
        <v/>
      </c>
      <c r="AC624" s="8" t="str">
        <f ca="1">IFERROR(__xludf.DUMMYFUNCTION("""COMPUTED_VALUE"""),"")</f>
        <v/>
      </c>
      <c r="AD624" s="11" t="str">
        <f ca="1">IFERROR(__xludf.DUMMYFUNCTION("""COMPUTED_VALUE"""),"")</f>
        <v/>
      </c>
      <c r="AE624" t="str">
        <f ca="1">IFERROR(__xludf.DUMMYFUNCTION("""COMPUTED_VALUE"""),"")</f>
        <v/>
      </c>
    </row>
    <row r="625" spans="1:31" ht="12.75" x14ac:dyDescent="0.2">
      <c r="A625">
        <f ca="1">IFERROR(__xludf.DUMMYFUNCTION("""COMPUTED_VALUE"""),22720)</f>
        <v>22720</v>
      </c>
      <c r="B625" t="str">
        <f ca="1">IFERROR(__xludf.DUMMYFUNCTION("""COMPUTED_VALUE"""),"MONDEVILLE")</f>
        <v>MONDEVILLE</v>
      </c>
      <c r="C625" t="str">
        <f ca="1">IFERROR(__xludf.DUMMYFUNCTION("""COMPUTED_VALUE"""),"Super U")</f>
        <v>Super U</v>
      </c>
      <c r="D625" t="str">
        <f ca="1">IFERROR(__xludf.DUMMYFUNCTION("""COMPUTED_VALUE"""),"Coop U Enseigne NordOuest")</f>
        <v>Coop U Enseigne NordOuest</v>
      </c>
      <c r="E625">
        <f ca="1">IFERROR(__xludf.DUMMYFUNCTION("""COMPUTED_VALUE"""),14120)</f>
        <v>14120</v>
      </c>
      <c r="F625" t="str">
        <f ca="1">IFERROR(__xludf.DUMMYFUNCTION("""COMPUTED_VALUE"""),"7 RUE EMILE ZOLA")</f>
        <v>7 RUE EMILE ZOLA</v>
      </c>
      <c r="G625" t="str">
        <f ca="1">IFERROR(__xludf.DUMMYFUNCTION("""COMPUTED_VALUE"""),"02.31.35.02.60")</f>
        <v>02.31.35.02.60</v>
      </c>
      <c r="H625" t="str">
        <f ca="1">IFERROR(__xludf.DUMMYFUNCTION("""COMPUTED_VALUE"""),"BARRE Stéphane")</f>
        <v>BARRE Stéphane</v>
      </c>
      <c r="I625" t="str">
        <f ca="1">IFERROR(__xludf.DUMMYFUNCTION("""COMPUTED_VALUE"""),"stephane.barre@systeme-u.fr")</f>
        <v>stephane.barre@systeme-u.fr</v>
      </c>
      <c r="J625" t="str">
        <f ca="1">IFERROR(__xludf.DUMMYFUNCTION("""COMPUTED_VALUE"""),"M. Groult Emmanuel ")</f>
        <v xml:space="preserve">M. Groult Emmanuel </v>
      </c>
      <c r="K625" t="str">
        <f ca="1">IFERROR(__xludf.DUMMYFUNCTION("""COMPUTED_VALUE"""),"superu.mondeville@systeme-u.fr,philippe.cappe@coop-cnp.coop")</f>
        <v>superu.mondeville@systeme-u.fr,philippe.cappe@coop-cnp.coop</v>
      </c>
      <c r="L625" t="str">
        <f ca="1">IFERROR(__xludf.DUMMYFUNCTION("""COMPUTED_VALUE"""),"Standard")</f>
        <v>Standard</v>
      </c>
      <c r="M625" t="str">
        <f ca="1">IFERROR(__xludf.DUMMYFUNCTION("""COMPUTED_VALUE"""),"0. Non démarré")</f>
        <v>0. Non démarré</v>
      </c>
      <c r="N625" t="str">
        <f ca="1">IFERROR(__xludf.DUMMYFUNCTION("""COMPUTED_VALUE"""),"")</f>
        <v/>
      </c>
      <c r="O625" t="str">
        <f ca="1">IFERROR(__xludf.DUMMYFUNCTION("""COMPUTED_VALUE"""),"")</f>
        <v/>
      </c>
      <c r="P625" t="str">
        <f ca="1">IFERROR(__xludf.DUMMYFUNCTION("""COMPUTED_VALUE"""),"")</f>
        <v/>
      </c>
      <c r="Q625" s="5" t="str">
        <f ca="1">IFERROR(__xludf.DUMMYFUNCTION("""COMPUTED_VALUE"""),"")</f>
        <v/>
      </c>
      <c r="R625" s="6" t="str">
        <f ca="1">IFERROR(__xludf.DUMMYFUNCTION("""COMPUTED_VALUE"""),"")</f>
        <v/>
      </c>
      <c r="S625" t="str">
        <f ca="1">IFERROR(__xludf.DUMMYFUNCTION("""COMPUTED_VALUE"""),"")</f>
        <v/>
      </c>
      <c r="T625" t="str">
        <f ca="1">IFERROR(__xludf.DUMMYFUNCTION("""COMPUTED_VALUE"""),"")</f>
        <v/>
      </c>
      <c r="U625" t="str">
        <f ca="1">IFERROR(__xludf.DUMMYFUNCTION("""COMPUTED_VALUE"""),"")</f>
        <v/>
      </c>
      <c r="V625" t="str">
        <f ca="1">IFERROR(__xludf.DUMMYFUNCTION("""COMPUTED_VALUE"""),"")</f>
        <v/>
      </c>
      <c r="W625" t="str">
        <f ca="1">IFERROR(__xludf.DUMMYFUNCTION("""COMPUTED_VALUE"""),"R3")</f>
        <v>R3</v>
      </c>
      <c r="X625" t="str">
        <f ca="1">IFERROR(__xludf.DUMMYFUNCTION("""COMPUTED_VALUE"""),"Pricer &lt;8Go")</f>
        <v>Pricer &lt;8Go</v>
      </c>
      <c r="Y625" t="str">
        <f ca="1">IFERROR(__xludf.DUMMYFUNCTION("""COMPUTED_VALUE"""),"")</f>
        <v/>
      </c>
      <c r="Z625" t="str">
        <f ca="1">IFERROR(__xludf.DUMMYFUNCTION("""COMPUTED_VALUE"""),"")</f>
        <v/>
      </c>
      <c r="AA625" t="str">
        <f ca="1">IFERROR(__xludf.DUMMYFUNCTION("""COMPUTED_VALUE"""),"Pas de commande")</f>
        <v>Pas de commande</v>
      </c>
      <c r="AB625" s="8" t="str">
        <f ca="1">IFERROR(__xludf.DUMMYFUNCTION("""COMPUTED_VALUE"""),"")</f>
        <v/>
      </c>
      <c r="AC625" s="8" t="str">
        <f ca="1">IFERROR(__xludf.DUMMYFUNCTION("""COMPUTED_VALUE"""),"")</f>
        <v/>
      </c>
      <c r="AD625" s="11" t="str">
        <f ca="1">IFERROR(__xludf.DUMMYFUNCTION("""COMPUTED_VALUE"""),"")</f>
        <v/>
      </c>
      <c r="AE625" t="str">
        <f ca="1">IFERROR(__xludf.DUMMYFUNCTION("""COMPUTED_VALUE"""),"")</f>
        <v/>
      </c>
    </row>
    <row r="626" spans="1:31" ht="12.75" x14ac:dyDescent="0.2">
      <c r="A626">
        <f ca="1">IFERROR(__xludf.DUMMYFUNCTION("""COMPUTED_VALUE"""),38850)</f>
        <v>38850</v>
      </c>
      <c r="B626" t="str">
        <f ca="1">IFERROR(__xludf.DUMMYFUNCTION("""COMPUTED_VALUE"""),"MONDOUBLEAU")</f>
        <v>MONDOUBLEAU</v>
      </c>
      <c r="C626" t="str">
        <f ca="1">IFERROR(__xludf.DUMMYFUNCTION("""COMPUTED_VALUE"""),"Super U")</f>
        <v>Super U</v>
      </c>
      <c r="D626" t="str">
        <f ca="1">IFERROR(__xludf.DUMMYFUNCTION("""COMPUTED_VALUE"""),"Coop U Enseigne Ouest")</f>
        <v>Coop U Enseigne Ouest</v>
      </c>
      <c r="E626">
        <f ca="1">IFERROR(__xludf.DUMMYFUNCTION("""COMPUTED_VALUE"""),41170)</f>
        <v>41170</v>
      </c>
      <c r="F626" t="str">
        <f ca="1">IFERROR(__xludf.DUMMYFUNCTION("""COMPUTED_VALUE"""),"ROUTE DE CLOYES")</f>
        <v>ROUTE DE CLOYES</v>
      </c>
      <c r="G626" t="str">
        <f ca="1">IFERROR(__xludf.DUMMYFUNCTION("""COMPUTED_VALUE"""),"02.54.80.76.22")</f>
        <v>02.54.80.76.22</v>
      </c>
      <c r="H626" t="str">
        <f ca="1">IFERROR(__xludf.DUMMYFUNCTION("""COMPUTED_VALUE"""),"CRUCHET RPT HOLDING CRUCHET Bruno")</f>
        <v>CRUCHET RPT HOLDING CRUCHET Bruno</v>
      </c>
      <c r="I626" t="str">
        <f ca="1">IFERROR(__xludf.DUMMYFUNCTION("""COMPUTED_VALUE"""),"bruno.cruchet@systeme-u.fr")</f>
        <v>bruno.cruchet@systeme-u.fr</v>
      </c>
      <c r="J626" t="str">
        <f ca="1">IFERROR(__xludf.DUMMYFUNCTION("""COMPUTED_VALUE"""),"Mr Gougeon")</f>
        <v>Mr Gougeon</v>
      </c>
      <c r="K626" t="str">
        <f ca="1">IFERROR(__xludf.DUMMYFUNCTION("""COMPUTED_VALUE"""),"superu.mondoubleau.direction@systeme-u.fr")</f>
        <v>superu.mondoubleau.direction@systeme-u.fr</v>
      </c>
      <c r="L626" t="str">
        <f ca="1">IFERROR(__xludf.DUMMYFUNCTION("""COMPUTED_VALUE"""),"")</f>
        <v/>
      </c>
      <c r="M626" t="str">
        <f ca="1">IFERROR(__xludf.DUMMYFUNCTION("""COMPUTED_VALUE"""),"99.Hors Périmetre")</f>
        <v>99.Hors Périmetre</v>
      </c>
      <c r="N626" t="str">
        <f ca="1">IFERROR(__xludf.DUMMYFUNCTION("""COMPUTED_VALUE"""),"")</f>
        <v/>
      </c>
      <c r="O626" t="str">
        <f ca="1">IFERROR(__xludf.DUMMYFUNCTION("""COMPUTED_VALUE"""),"")</f>
        <v/>
      </c>
      <c r="P626" t="str">
        <f ca="1">IFERROR(__xludf.DUMMYFUNCTION("""COMPUTED_VALUE"""),"")</f>
        <v/>
      </c>
      <c r="Q626" s="5" t="str">
        <f ca="1">IFERROR(__xludf.DUMMYFUNCTION("""COMPUTED_VALUE"""),"")</f>
        <v/>
      </c>
      <c r="R626" s="6" t="str">
        <f ca="1">IFERROR(__xludf.DUMMYFUNCTION("""COMPUTED_VALUE"""),"")</f>
        <v/>
      </c>
      <c r="S626" t="str">
        <f ca="1">IFERROR(__xludf.DUMMYFUNCTION("""COMPUTED_VALUE"""),"")</f>
        <v/>
      </c>
      <c r="T626" t="str">
        <f ca="1">IFERROR(__xludf.DUMMYFUNCTION("""COMPUTED_VALUE"""),"")</f>
        <v/>
      </c>
      <c r="U626" t="str">
        <f ca="1">IFERROR(__xludf.DUMMYFUNCTION("""COMPUTED_VALUE"""),"")</f>
        <v/>
      </c>
      <c r="V626" t="str">
        <f ca="1">IFERROR(__xludf.DUMMYFUNCTION("""COMPUTED_VALUE"""),"")</f>
        <v/>
      </c>
      <c r="W626" t="str">
        <f ca="1">IFERROR(__xludf.DUMMYFUNCTION("""COMPUTED_VALUE"""),"")</f>
        <v/>
      </c>
      <c r="X626" t="str">
        <f ca="1">IFERROR(__xludf.DUMMYFUNCTION("""COMPUTED_VALUE"""),"")</f>
        <v/>
      </c>
      <c r="Y626" t="str">
        <f ca="1">IFERROR(__xludf.DUMMYFUNCTION("""COMPUTED_VALUE"""),"")</f>
        <v/>
      </c>
      <c r="Z626" t="str">
        <f ca="1">IFERROR(__xludf.DUMMYFUNCTION("""COMPUTED_VALUE"""),"")</f>
        <v/>
      </c>
      <c r="AA626" t="str">
        <f ca="1">IFERROR(__xludf.DUMMYFUNCTION("""COMPUTED_VALUE"""),"Pas de commande")</f>
        <v>Pas de commande</v>
      </c>
      <c r="AB626" s="8" t="str">
        <f ca="1">IFERROR(__xludf.DUMMYFUNCTION("""COMPUTED_VALUE"""),"")</f>
        <v/>
      </c>
      <c r="AC626" s="8" t="str">
        <f ca="1">IFERROR(__xludf.DUMMYFUNCTION("""COMPUTED_VALUE"""),"")</f>
        <v/>
      </c>
      <c r="AD626" s="11" t="str">
        <f ca="1">IFERROR(__xludf.DUMMYFUNCTION("""COMPUTED_VALUE"""),"")</f>
        <v/>
      </c>
      <c r="AE626" t="str">
        <f ca="1">IFERROR(__xludf.DUMMYFUNCTION("""COMPUTED_VALUE"""),"")</f>
        <v/>
      </c>
    </row>
    <row r="627" spans="1:31" ht="12.75" x14ac:dyDescent="0.2">
      <c r="A627">
        <f ca="1">IFERROR(__xludf.DUMMYFUNCTION("""COMPUTED_VALUE"""),96018)</f>
        <v>96018</v>
      </c>
      <c r="B627" t="str">
        <f ca="1">IFERROR(__xludf.DUMMYFUNCTION("""COMPUTED_VALUE"""),"MONT DE MARSAN")</f>
        <v>MONT DE MARSAN</v>
      </c>
      <c r="C627" t="str">
        <f ca="1">IFERROR(__xludf.DUMMYFUNCTION("""COMPUTED_VALUE"""),"U Express")</f>
        <v>U Express</v>
      </c>
      <c r="D627" t="str">
        <f ca="1">IFERROR(__xludf.DUMMYFUNCTION("""COMPUTED_VALUE"""),"Coop U Enseigne Sud")</f>
        <v>Coop U Enseigne Sud</v>
      </c>
      <c r="E627">
        <f ca="1">IFERROR(__xludf.DUMMYFUNCTION("""COMPUTED_VALUE"""),40000)</f>
        <v>40000</v>
      </c>
      <c r="F627" t="str">
        <f ca="1">IFERROR(__xludf.DUMMYFUNCTION("""COMPUTED_VALUE"""),"2 AVENUE DE SABRE")</f>
        <v>2 AVENUE DE SABRE</v>
      </c>
      <c r="G627" t="str">
        <f ca="1">IFERROR(__xludf.DUMMYFUNCTION("""COMPUTED_VALUE"""),"05.58.06.46.02")</f>
        <v>05.58.06.46.02</v>
      </c>
      <c r="H627" t="str">
        <f ca="1">IFERROR(__xludf.DUMMYFUNCTION("""COMPUTED_VALUE"""),"ANDREIS Stephane")</f>
        <v>ANDREIS Stephane</v>
      </c>
      <c r="I627" t="str">
        <f ca="1">IFERROR(__xludf.DUMMYFUNCTION("""COMPUTED_VALUE"""),"stephane.andreis@systeme-u.fr")</f>
        <v>stephane.andreis@systeme-u.fr</v>
      </c>
      <c r="J627" t="str">
        <f ca="1">IFERROR(__xludf.DUMMYFUNCTION("""COMPUTED_VALUE"""),"")</f>
        <v/>
      </c>
      <c r="K627" t="str">
        <f ca="1">IFERROR(__xludf.DUMMYFUNCTION("""COMPUTED_VALUE"""),"")</f>
        <v/>
      </c>
      <c r="L627" t="str">
        <f ca="1">IFERROR(__xludf.DUMMYFUNCTION("""COMPUTED_VALUE"""),"")</f>
        <v/>
      </c>
      <c r="M627" t="str">
        <f ca="1">IFERROR(__xludf.DUMMYFUNCTION("""COMPUTED_VALUE"""),"99.Hors Périmetre")</f>
        <v>99.Hors Périmetre</v>
      </c>
      <c r="N627" t="str">
        <f ca="1">IFERROR(__xludf.DUMMYFUNCTION("""COMPUTED_VALUE"""),"")</f>
        <v/>
      </c>
      <c r="O627" t="str">
        <f ca="1">IFERROR(__xludf.DUMMYFUNCTION("""COMPUTED_VALUE"""),"")</f>
        <v/>
      </c>
      <c r="P627" t="str">
        <f ca="1">IFERROR(__xludf.DUMMYFUNCTION("""COMPUTED_VALUE"""),"")</f>
        <v/>
      </c>
      <c r="Q627" s="5" t="str">
        <f ca="1">IFERROR(__xludf.DUMMYFUNCTION("""COMPUTED_VALUE"""),"")</f>
        <v/>
      </c>
      <c r="R627" s="6" t="str">
        <f ca="1">IFERROR(__xludf.DUMMYFUNCTION("""COMPUTED_VALUE"""),"")</f>
        <v/>
      </c>
      <c r="S627" t="str">
        <f ca="1">IFERROR(__xludf.DUMMYFUNCTION("""COMPUTED_VALUE"""),"")</f>
        <v/>
      </c>
      <c r="T627" t="str">
        <f ca="1">IFERROR(__xludf.DUMMYFUNCTION("""COMPUTED_VALUE"""),"")</f>
        <v/>
      </c>
      <c r="U627" t="str">
        <f ca="1">IFERROR(__xludf.DUMMYFUNCTION("""COMPUTED_VALUE"""),"")</f>
        <v/>
      </c>
      <c r="V627" t="str">
        <f ca="1">IFERROR(__xludf.DUMMYFUNCTION("""COMPUTED_VALUE"""),"")</f>
        <v/>
      </c>
      <c r="W627" t="str">
        <f ca="1">IFERROR(__xludf.DUMMYFUNCTION("""COMPUTED_VALUE"""),"")</f>
        <v/>
      </c>
      <c r="X627" t="str">
        <f ca="1">IFERROR(__xludf.DUMMYFUNCTION("""COMPUTED_VALUE"""),"")</f>
        <v/>
      </c>
      <c r="Y627" t="str">
        <f ca="1">IFERROR(__xludf.DUMMYFUNCTION("""COMPUTED_VALUE"""),"")</f>
        <v/>
      </c>
      <c r="Z627" t="str">
        <f ca="1">IFERROR(__xludf.DUMMYFUNCTION("""COMPUTED_VALUE"""),"")</f>
        <v/>
      </c>
      <c r="AA627" t="str">
        <f ca="1">IFERROR(__xludf.DUMMYFUNCTION("""COMPUTED_VALUE"""),"Pas de commande")</f>
        <v>Pas de commande</v>
      </c>
      <c r="AB627" s="8" t="str">
        <f ca="1">IFERROR(__xludf.DUMMYFUNCTION("""COMPUTED_VALUE"""),"")</f>
        <v/>
      </c>
      <c r="AC627" s="8" t="str">
        <f ca="1">IFERROR(__xludf.DUMMYFUNCTION("""COMPUTED_VALUE"""),"")</f>
        <v/>
      </c>
      <c r="AD627" s="11" t="str">
        <f ca="1">IFERROR(__xludf.DUMMYFUNCTION("""COMPUTED_VALUE"""),"")</f>
        <v/>
      </c>
      <c r="AE627" t="str">
        <f ca="1">IFERROR(__xludf.DUMMYFUNCTION("""COMPUTED_VALUE"""),"")</f>
        <v/>
      </c>
    </row>
    <row r="628" spans="1:31" ht="12.75" x14ac:dyDescent="0.2">
      <c r="A628">
        <f ca="1">IFERROR(__xludf.DUMMYFUNCTION("""COMPUTED_VALUE"""),25630)</f>
        <v>25630</v>
      </c>
      <c r="B628" t="str">
        <f ca="1">IFERROR(__xludf.DUMMYFUNCTION("""COMPUTED_VALUE"""),"MONT ST AIGNAN")</f>
        <v>MONT ST AIGNAN</v>
      </c>
      <c r="C628" t="str">
        <f ca="1">IFERROR(__xludf.DUMMYFUNCTION("""COMPUTED_VALUE"""),"Super U")</f>
        <v>Super U</v>
      </c>
      <c r="D628" t="str">
        <f ca="1">IFERROR(__xludf.DUMMYFUNCTION("""COMPUTED_VALUE"""),"Coop U Enseigne NordOuest")</f>
        <v>Coop U Enseigne NordOuest</v>
      </c>
      <c r="E628">
        <f ca="1">IFERROR(__xludf.DUMMYFUNCTION("""COMPUTED_VALUE"""),76130)</f>
        <v>76130</v>
      </c>
      <c r="F628" t="str">
        <f ca="1">IFERROR(__xludf.DUMMYFUNCTION("""COMPUTED_VALUE"""),"RUE DES COQUETS")</f>
        <v>RUE DES COQUETS</v>
      </c>
      <c r="G628" t="str">
        <f ca="1">IFERROR(__xludf.DUMMYFUNCTION("""COMPUTED_VALUE"""),"02.35.07.50.86")</f>
        <v>02.35.07.50.86</v>
      </c>
      <c r="H628" t="str">
        <f ca="1">IFERROR(__xludf.DUMMYFUNCTION("""COMPUTED_VALUE"""),"BARRE Stéphane")</f>
        <v>BARRE Stéphane</v>
      </c>
      <c r="I628" t="str">
        <f ca="1">IFERROR(__xludf.DUMMYFUNCTION("""COMPUTED_VALUE"""),"stephane.barre@systeme-u.fr")</f>
        <v>stephane.barre@systeme-u.fr</v>
      </c>
      <c r="J628" t="str">
        <f ca="1">IFERROR(__xludf.DUMMYFUNCTION("""COMPUTED_VALUE"""),"Mme Marical")</f>
        <v>Mme Marical</v>
      </c>
      <c r="K628" t="str">
        <f ca="1">IFERROR(__xludf.DUMMYFUNCTION("""COMPUTED_VALUE"""),"superu.montsaintaignan@systeme-u.fr,philippe.cappe@coop-cnp.coop, melanie.marical@coop-cnp.coop")</f>
        <v>superu.montsaintaignan@systeme-u.fr,philippe.cappe@coop-cnp.coop, melanie.marical@coop-cnp.coop</v>
      </c>
      <c r="L628" t="str">
        <f ca="1">IFERROR(__xludf.DUMMYFUNCTION("""COMPUTED_VALUE"""),"Standard")</f>
        <v>Standard</v>
      </c>
      <c r="M628" t="str">
        <f ca="1">IFERROR(__xludf.DUMMYFUNCTION("""COMPUTED_VALUE"""),"0. Non démarré")</f>
        <v>0. Non démarré</v>
      </c>
      <c r="N628" t="str">
        <f ca="1">IFERROR(__xludf.DUMMYFUNCTION("""COMPUTED_VALUE"""),"")</f>
        <v/>
      </c>
      <c r="O628" t="str">
        <f ca="1">IFERROR(__xludf.DUMMYFUNCTION("""COMPUTED_VALUE"""),"")</f>
        <v/>
      </c>
      <c r="P628" t="str">
        <f ca="1">IFERROR(__xludf.DUMMYFUNCTION("""COMPUTED_VALUE"""),"")</f>
        <v/>
      </c>
      <c r="Q628" s="5" t="str">
        <f ca="1">IFERROR(__xludf.DUMMYFUNCTION("""COMPUTED_VALUE"""),"")</f>
        <v/>
      </c>
      <c r="R628" s="6" t="str">
        <f ca="1">IFERROR(__xludf.DUMMYFUNCTION("""COMPUTED_VALUE"""),"")</f>
        <v/>
      </c>
      <c r="S628" t="str">
        <f ca="1">IFERROR(__xludf.DUMMYFUNCTION("""COMPUTED_VALUE"""),"")</f>
        <v/>
      </c>
      <c r="T628" t="str">
        <f ca="1">IFERROR(__xludf.DUMMYFUNCTION("""COMPUTED_VALUE"""),"")</f>
        <v/>
      </c>
      <c r="U628" t="str">
        <f ca="1">IFERROR(__xludf.DUMMYFUNCTION("""COMPUTED_VALUE"""),"")</f>
        <v/>
      </c>
      <c r="V628" t="str">
        <f ca="1">IFERROR(__xludf.DUMMYFUNCTION("""COMPUTED_VALUE"""),"")</f>
        <v/>
      </c>
      <c r="W628" t="str">
        <f ca="1">IFERROR(__xludf.DUMMYFUNCTION("""COMPUTED_VALUE"""),"R3")</f>
        <v>R3</v>
      </c>
      <c r="X628" t="str">
        <f ca="1">IFERROR(__xludf.DUMMYFUNCTION("""COMPUTED_VALUE"""),"Pricer")</f>
        <v>Pricer</v>
      </c>
      <c r="Y628" t="str">
        <f ca="1">IFERROR(__xludf.DUMMYFUNCTION("""COMPUTED_VALUE"""),"")</f>
        <v/>
      </c>
      <c r="Z628" t="str">
        <f ca="1">IFERROR(__xludf.DUMMYFUNCTION("""COMPUTED_VALUE"""),"")</f>
        <v/>
      </c>
      <c r="AA628" t="str">
        <f ca="1">IFERROR(__xludf.DUMMYFUNCTION("""COMPUTED_VALUE"""),"Pas de commande")</f>
        <v>Pas de commande</v>
      </c>
      <c r="AB628" s="8" t="str">
        <f ca="1">IFERROR(__xludf.DUMMYFUNCTION("""COMPUTED_VALUE"""),"")</f>
        <v/>
      </c>
      <c r="AC628" s="8" t="str">
        <f ca="1">IFERROR(__xludf.DUMMYFUNCTION("""COMPUTED_VALUE"""),"")</f>
        <v/>
      </c>
      <c r="AD628" s="11" t="str">
        <f ca="1">IFERROR(__xludf.DUMMYFUNCTION("""COMPUTED_VALUE"""),"")</f>
        <v/>
      </c>
      <c r="AE628" t="str">
        <f ca="1">IFERROR(__xludf.DUMMYFUNCTION("""COMPUTED_VALUE"""),"")</f>
        <v/>
      </c>
    </row>
    <row r="629" spans="1:31" ht="12.75" x14ac:dyDescent="0.2">
      <c r="A629">
        <f ca="1">IFERROR(__xludf.DUMMYFUNCTION("""COMPUTED_VALUE"""),32135)</f>
        <v>32135</v>
      </c>
      <c r="B629" t="str">
        <f ca="1">IFERROR(__xludf.DUMMYFUNCTION("""COMPUTED_VALUE"""),"MONTARGIS")</f>
        <v>MONTARGIS</v>
      </c>
      <c r="C629" t="str">
        <f ca="1">IFERROR(__xludf.DUMMYFUNCTION("""COMPUTED_VALUE"""),"Super U")</f>
        <v>Super U</v>
      </c>
      <c r="D629" t="str">
        <f ca="1">IFERROR(__xludf.DUMMYFUNCTION("""COMPUTED_VALUE"""),"Coop U Enseigne Ouest")</f>
        <v>Coop U Enseigne Ouest</v>
      </c>
      <c r="E629">
        <f ca="1">IFERROR(__xludf.DUMMYFUNCTION("""COMPUTED_VALUE"""),45200)</f>
        <v>45200</v>
      </c>
      <c r="F629" t="str">
        <f ca="1">IFERROR(__xludf.DUMMYFUNCTION("""COMPUTED_VALUE"""),"28, RUE DE LA CHAUSSÉE")</f>
        <v>28, RUE DE LA CHAUSSÉE</v>
      </c>
      <c r="G629" t="str">
        <f ca="1">IFERROR(__xludf.DUMMYFUNCTION("""COMPUTED_VALUE"""),"02.38.07.19.45")</f>
        <v>02.38.07.19.45</v>
      </c>
      <c r="H629" t="str">
        <f ca="1">IFERROR(__xludf.DUMMYFUNCTION("""COMPUTED_VALUE"""),"MARTELLA RPT SAS EXPAN MONTARG Michel")</f>
        <v>MARTELLA RPT SAS EXPAN MONTARG Michel</v>
      </c>
      <c r="I629" t="str">
        <f ca="1">IFERROR(__xludf.DUMMYFUNCTION("""COMPUTED_VALUE"""),"michel.martella@systeme-u.fr")</f>
        <v>michel.martella@systeme-u.fr</v>
      </c>
      <c r="J629" t="str">
        <f ca="1">IFERROR(__xludf.DUMMYFUNCTION("""COMPUTED_VALUE"""),"
LHEUREUX Chantal")</f>
        <v xml:space="preserve">
LHEUREUX Chantal</v>
      </c>
      <c r="K629" t="str">
        <f ca="1">IFERROR(__xludf.DUMMYFUNCTION("""COMPUTED_VALUE"""),"superu.montargis.direction@systeme-u.fr,superu.montargis.caisse@systeme-u.fr")</f>
        <v>superu.montargis.direction@systeme-u.fr,superu.montargis.caisse@systeme-u.fr</v>
      </c>
      <c r="L629" t="str">
        <f ca="1">IFERROR(__xludf.DUMMYFUNCTION("""COMPUTED_VALUE"""),"")</f>
        <v/>
      </c>
      <c r="M629" t="str">
        <f ca="1">IFERROR(__xludf.DUMMYFUNCTION("""COMPUTED_VALUE"""),"99.Hors Périmetre")</f>
        <v>99.Hors Périmetre</v>
      </c>
      <c r="N629" t="str">
        <f ca="1">IFERROR(__xludf.DUMMYFUNCTION("""COMPUTED_VALUE"""),"")</f>
        <v/>
      </c>
      <c r="O629" t="str">
        <f ca="1">IFERROR(__xludf.DUMMYFUNCTION("""COMPUTED_VALUE"""),"")</f>
        <v/>
      </c>
      <c r="P629" t="str">
        <f ca="1">IFERROR(__xludf.DUMMYFUNCTION("""COMPUTED_VALUE"""),"")</f>
        <v/>
      </c>
      <c r="Q629" s="5" t="str">
        <f ca="1">IFERROR(__xludf.DUMMYFUNCTION("""COMPUTED_VALUE"""),"")</f>
        <v/>
      </c>
      <c r="R629" s="6" t="str">
        <f ca="1">IFERROR(__xludf.DUMMYFUNCTION("""COMPUTED_VALUE"""),"")</f>
        <v/>
      </c>
      <c r="S629" t="str">
        <f ca="1">IFERROR(__xludf.DUMMYFUNCTION("""COMPUTED_VALUE"""),"")</f>
        <v/>
      </c>
      <c r="T629" t="str">
        <f ca="1">IFERROR(__xludf.DUMMYFUNCTION("""COMPUTED_VALUE"""),"")</f>
        <v/>
      </c>
      <c r="U629" t="str">
        <f ca="1">IFERROR(__xludf.DUMMYFUNCTION("""COMPUTED_VALUE"""),"")</f>
        <v/>
      </c>
      <c r="V629" t="str">
        <f ca="1">IFERROR(__xludf.DUMMYFUNCTION("""COMPUTED_VALUE"""),"")</f>
        <v/>
      </c>
      <c r="W629" t="str">
        <f ca="1">IFERROR(__xludf.DUMMYFUNCTION("""COMPUTED_VALUE"""),"")</f>
        <v/>
      </c>
      <c r="X629" t="str">
        <f ca="1">IFERROR(__xludf.DUMMYFUNCTION("""COMPUTED_VALUE"""),"")</f>
        <v/>
      </c>
      <c r="Y629" t="str">
        <f ca="1">IFERROR(__xludf.DUMMYFUNCTION("""COMPUTED_VALUE"""),"")</f>
        <v/>
      </c>
      <c r="Z629" t="str">
        <f ca="1">IFERROR(__xludf.DUMMYFUNCTION("""COMPUTED_VALUE"""),"")</f>
        <v/>
      </c>
      <c r="AA629" t="str">
        <f ca="1">IFERROR(__xludf.DUMMYFUNCTION("""COMPUTED_VALUE"""),"Pas de commande")</f>
        <v>Pas de commande</v>
      </c>
      <c r="AB629" s="8" t="str">
        <f ca="1">IFERROR(__xludf.DUMMYFUNCTION("""COMPUTED_VALUE"""),"")</f>
        <v/>
      </c>
      <c r="AC629" s="8" t="str">
        <f ca="1">IFERROR(__xludf.DUMMYFUNCTION("""COMPUTED_VALUE"""),"")</f>
        <v/>
      </c>
      <c r="AD629" s="11" t="str">
        <f ca="1">IFERROR(__xludf.DUMMYFUNCTION("""COMPUTED_VALUE"""),"")</f>
        <v/>
      </c>
      <c r="AE629" t="str">
        <f ca="1">IFERROR(__xludf.DUMMYFUNCTION("""COMPUTED_VALUE"""),"")</f>
        <v/>
      </c>
    </row>
    <row r="630" spans="1:31" ht="12.75" x14ac:dyDescent="0.2">
      <c r="A630">
        <f ca="1">IFERROR(__xludf.DUMMYFUNCTION("""COMPUTED_VALUE"""),90570)</f>
        <v>90570</v>
      </c>
      <c r="B630" t="str">
        <f ca="1">IFERROR(__xludf.DUMMYFUNCTION("""COMPUTED_VALUE"""),"MONTARNAUD PRADAS")</f>
        <v>MONTARNAUD PRADAS</v>
      </c>
      <c r="C630" t="str">
        <f ca="1">IFERROR(__xludf.DUMMYFUNCTION("""COMPUTED_VALUE"""),"Super U")</f>
        <v>Super U</v>
      </c>
      <c r="D630" t="str">
        <f ca="1">IFERROR(__xludf.DUMMYFUNCTION("""COMPUTED_VALUE"""),"Coop U Enseigne Sud")</f>
        <v>Coop U Enseigne Sud</v>
      </c>
      <c r="E630">
        <f ca="1">IFERROR(__xludf.DUMMYFUNCTION("""COMPUTED_VALUE"""),34570)</f>
        <v>34570</v>
      </c>
      <c r="F630" t="str">
        <f ca="1">IFERROR(__xludf.DUMMYFUNCTION("""COMPUTED_VALUE"""),"ZAC DU PRADAS")</f>
        <v>ZAC DU PRADAS</v>
      </c>
      <c r="G630" t="str">
        <f ca="1">IFERROR(__xludf.DUMMYFUNCTION("""COMPUTED_VALUE"""),"04.67.60.94.51")</f>
        <v>04.67.60.94.51</v>
      </c>
      <c r="H630" t="str">
        <f ca="1">IFERROR(__xludf.DUMMYFUNCTION("""COMPUTED_VALUE"""),"DE ROSA Jeremie")</f>
        <v>DE ROSA Jeremie</v>
      </c>
      <c r="I630" t="str">
        <f ca="1">IFERROR(__xludf.DUMMYFUNCTION("""COMPUTED_VALUE"""),"jeremie.de-rosa@systeme-u.fr")</f>
        <v>jeremie.de-rosa@systeme-u.fr</v>
      </c>
      <c r="J630" t="str">
        <f ca="1">IFERROR(__xludf.DUMMYFUNCTION("""COMPUTED_VALUE"""),"")</f>
        <v/>
      </c>
      <c r="K630" t="str">
        <f ca="1">IFERROR(__xludf.DUMMYFUNCTION("""COMPUTED_VALUE"""),"")</f>
        <v/>
      </c>
      <c r="L630" t="str">
        <f ca="1">IFERROR(__xludf.DUMMYFUNCTION("""COMPUTED_VALUE"""),"")</f>
        <v/>
      </c>
      <c r="M630" t="str">
        <f ca="1">IFERROR(__xludf.DUMMYFUNCTION("""COMPUTED_VALUE"""),"99.Hors Périmetre")</f>
        <v>99.Hors Périmetre</v>
      </c>
      <c r="N630" t="str">
        <f ca="1">IFERROR(__xludf.DUMMYFUNCTION("""COMPUTED_VALUE"""),"")</f>
        <v/>
      </c>
      <c r="O630" t="str">
        <f ca="1">IFERROR(__xludf.DUMMYFUNCTION("""COMPUTED_VALUE"""),"")</f>
        <v/>
      </c>
      <c r="P630" t="str">
        <f ca="1">IFERROR(__xludf.DUMMYFUNCTION("""COMPUTED_VALUE"""),"")</f>
        <v/>
      </c>
      <c r="Q630" s="5" t="str">
        <f ca="1">IFERROR(__xludf.DUMMYFUNCTION("""COMPUTED_VALUE"""),"")</f>
        <v/>
      </c>
      <c r="R630" s="6" t="str">
        <f ca="1">IFERROR(__xludf.DUMMYFUNCTION("""COMPUTED_VALUE"""),"")</f>
        <v/>
      </c>
      <c r="S630" t="str">
        <f ca="1">IFERROR(__xludf.DUMMYFUNCTION("""COMPUTED_VALUE"""),"")</f>
        <v/>
      </c>
      <c r="T630" t="str">
        <f ca="1">IFERROR(__xludf.DUMMYFUNCTION("""COMPUTED_VALUE"""),"")</f>
        <v/>
      </c>
      <c r="U630" t="str">
        <f ca="1">IFERROR(__xludf.DUMMYFUNCTION("""COMPUTED_VALUE"""),"")</f>
        <v/>
      </c>
      <c r="V630" t="str">
        <f ca="1">IFERROR(__xludf.DUMMYFUNCTION("""COMPUTED_VALUE"""),"")</f>
        <v/>
      </c>
      <c r="W630" t="str">
        <f ca="1">IFERROR(__xludf.DUMMYFUNCTION("""COMPUTED_VALUE"""),"")</f>
        <v/>
      </c>
      <c r="X630" t="str">
        <f ca="1">IFERROR(__xludf.DUMMYFUNCTION("""COMPUTED_VALUE"""),"")</f>
        <v/>
      </c>
      <c r="Y630" t="str">
        <f ca="1">IFERROR(__xludf.DUMMYFUNCTION("""COMPUTED_VALUE"""),"")</f>
        <v/>
      </c>
      <c r="Z630" t="str">
        <f ca="1">IFERROR(__xludf.DUMMYFUNCTION("""COMPUTED_VALUE"""),"")</f>
        <v/>
      </c>
      <c r="AA630" t="str">
        <f ca="1">IFERROR(__xludf.DUMMYFUNCTION("""COMPUTED_VALUE"""),"Pas de commande")</f>
        <v>Pas de commande</v>
      </c>
      <c r="AB630" s="8" t="str">
        <f ca="1">IFERROR(__xludf.DUMMYFUNCTION("""COMPUTED_VALUE"""),"")</f>
        <v/>
      </c>
      <c r="AC630" s="8" t="str">
        <f ca="1">IFERROR(__xludf.DUMMYFUNCTION("""COMPUTED_VALUE"""),"")</f>
        <v/>
      </c>
      <c r="AD630" s="11" t="str">
        <f ca="1">IFERROR(__xludf.DUMMYFUNCTION("""COMPUTED_VALUE"""),"")</f>
        <v/>
      </c>
      <c r="AE630" t="str">
        <f ca="1">IFERROR(__xludf.DUMMYFUNCTION("""COMPUTED_VALUE"""),"")</f>
        <v/>
      </c>
    </row>
    <row r="631" spans="1:31" ht="12.75" x14ac:dyDescent="0.2">
      <c r="A631">
        <f ca="1">IFERROR(__xludf.DUMMYFUNCTION("""COMPUTED_VALUE"""),95456)</f>
        <v>95456</v>
      </c>
      <c r="B631" t="str">
        <f ca="1">IFERROR(__xludf.DUMMYFUNCTION("""COMPUTED_VALUE"""),"MONTBAZENS")</f>
        <v>MONTBAZENS</v>
      </c>
      <c r="C631" t="str">
        <f ca="1">IFERROR(__xludf.DUMMYFUNCTION("""COMPUTED_VALUE"""),"U Express")</f>
        <v>U Express</v>
      </c>
      <c r="D631" t="str">
        <f ca="1">IFERROR(__xludf.DUMMYFUNCTION("""COMPUTED_VALUE"""),"Coop UPSO")</f>
        <v>Coop UPSO</v>
      </c>
      <c r="E631">
        <f ca="1">IFERROR(__xludf.DUMMYFUNCTION("""COMPUTED_VALUE"""),12220)</f>
        <v>12220</v>
      </c>
      <c r="F631" t="str">
        <f ca="1">IFERROR(__xludf.DUMMYFUNCTION("""COMPUTED_VALUE"""),"LE FARGAL HAUT")</f>
        <v>LE FARGAL HAUT</v>
      </c>
      <c r="G631" t="str">
        <f ca="1">IFERROR(__xludf.DUMMYFUNCTION("""COMPUTED_VALUE"""),"05.65.63.71.86")</f>
        <v>05.65.63.71.86</v>
      </c>
      <c r="H631" t="str">
        <f ca="1">IFERROR(__xludf.DUMMYFUNCTION("""COMPUTED_VALUE"""),"DUQUENNE Pascal")</f>
        <v>DUQUENNE Pascal</v>
      </c>
      <c r="I631" t="str">
        <f ca="1">IFERROR(__xludf.DUMMYFUNCTION("""COMPUTED_VALUE"""),"pascal.duquenne@systeme-u.fr")</f>
        <v>pascal.duquenne@systeme-u.fr</v>
      </c>
      <c r="J631" t="str">
        <f ca="1">IFERROR(__xludf.DUMMYFUNCTION("""COMPUTED_VALUE"""),"")</f>
        <v/>
      </c>
      <c r="K631" t="str">
        <f ca="1">IFERROR(__xludf.DUMMYFUNCTION("""COMPUTED_VALUE"""),"")</f>
        <v/>
      </c>
      <c r="L631" t="str">
        <f ca="1">IFERROR(__xludf.DUMMYFUNCTION("""COMPUTED_VALUE"""),"")</f>
        <v/>
      </c>
      <c r="M631" t="str">
        <f ca="1">IFERROR(__xludf.DUMMYFUNCTION("""COMPUTED_VALUE"""),"99.Hors Périmetre")</f>
        <v>99.Hors Périmetre</v>
      </c>
      <c r="N631" t="str">
        <f ca="1">IFERROR(__xludf.DUMMYFUNCTION("""COMPUTED_VALUE"""),"")</f>
        <v/>
      </c>
      <c r="O631" t="str">
        <f ca="1">IFERROR(__xludf.DUMMYFUNCTION("""COMPUTED_VALUE"""),"")</f>
        <v/>
      </c>
      <c r="P631" t="str">
        <f ca="1">IFERROR(__xludf.DUMMYFUNCTION("""COMPUTED_VALUE"""),"")</f>
        <v/>
      </c>
      <c r="Q631" s="5" t="str">
        <f ca="1">IFERROR(__xludf.DUMMYFUNCTION("""COMPUTED_VALUE"""),"")</f>
        <v/>
      </c>
      <c r="R631" s="6" t="str">
        <f ca="1">IFERROR(__xludf.DUMMYFUNCTION("""COMPUTED_VALUE"""),"")</f>
        <v/>
      </c>
      <c r="S631" t="str">
        <f ca="1">IFERROR(__xludf.DUMMYFUNCTION("""COMPUTED_VALUE"""),"")</f>
        <v/>
      </c>
      <c r="T631" t="str">
        <f ca="1">IFERROR(__xludf.DUMMYFUNCTION("""COMPUTED_VALUE"""),"")</f>
        <v/>
      </c>
      <c r="U631" t="str">
        <f ca="1">IFERROR(__xludf.DUMMYFUNCTION("""COMPUTED_VALUE"""),"")</f>
        <v/>
      </c>
      <c r="V631" t="str">
        <f ca="1">IFERROR(__xludf.DUMMYFUNCTION("""COMPUTED_VALUE"""),"")</f>
        <v/>
      </c>
      <c r="W631" t="str">
        <f ca="1">IFERROR(__xludf.DUMMYFUNCTION("""COMPUTED_VALUE"""),"")</f>
        <v/>
      </c>
      <c r="X631" t="str">
        <f ca="1">IFERROR(__xludf.DUMMYFUNCTION("""COMPUTED_VALUE"""),"")</f>
        <v/>
      </c>
      <c r="Y631" t="str">
        <f ca="1">IFERROR(__xludf.DUMMYFUNCTION("""COMPUTED_VALUE"""),"")</f>
        <v/>
      </c>
      <c r="Z631" t="str">
        <f ca="1">IFERROR(__xludf.DUMMYFUNCTION("""COMPUTED_VALUE"""),"")</f>
        <v/>
      </c>
      <c r="AA631" t="str">
        <f ca="1">IFERROR(__xludf.DUMMYFUNCTION("""COMPUTED_VALUE"""),"Pas de commande")</f>
        <v>Pas de commande</v>
      </c>
      <c r="AB631" s="8" t="str">
        <f ca="1">IFERROR(__xludf.DUMMYFUNCTION("""COMPUTED_VALUE"""),"")</f>
        <v/>
      </c>
      <c r="AC631" s="8" t="str">
        <f ca="1">IFERROR(__xludf.DUMMYFUNCTION("""COMPUTED_VALUE"""),"")</f>
        <v/>
      </c>
      <c r="AD631" s="11" t="str">
        <f ca="1">IFERROR(__xludf.DUMMYFUNCTION("""COMPUTED_VALUE"""),"")</f>
        <v/>
      </c>
      <c r="AE631" t="str">
        <f ca="1">IFERROR(__xludf.DUMMYFUNCTION("""COMPUTED_VALUE"""),"")</f>
        <v/>
      </c>
    </row>
    <row r="632" spans="1:31" ht="12.75" x14ac:dyDescent="0.2">
      <c r="A632">
        <f ca="1">IFERROR(__xludf.DUMMYFUNCTION("""COMPUTED_VALUE"""),90612)</f>
        <v>90612</v>
      </c>
      <c r="B632" t="str">
        <f ca="1">IFERROR(__xludf.DUMMYFUNCTION("""COMPUTED_VALUE"""),"MONTBRUN LES BAINS")</f>
        <v>MONTBRUN LES BAINS</v>
      </c>
      <c r="C632" t="str">
        <f ca="1">IFERROR(__xludf.DUMMYFUNCTION("""COMPUTED_VALUE"""),"U Express")</f>
        <v>U Express</v>
      </c>
      <c r="D632" t="str">
        <f ca="1">IFERROR(__xludf.DUMMYFUNCTION("""COMPUTED_VALUE"""),"Coop MISTRAL")</f>
        <v>Coop MISTRAL</v>
      </c>
      <c r="E632">
        <f ca="1">IFERROR(__xludf.DUMMYFUNCTION("""COMPUTED_VALUE"""),26570)</f>
        <v>26570</v>
      </c>
      <c r="F632" t="str">
        <f ca="1">IFERROR(__xludf.DUMMYFUNCTION("""COMPUTED_VALUE"""),"QUARTIER LA CONDAMINE")</f>
        <v>QUARTIER LA CONDAMINE</v>
      </c>
      <c r="G632" t="str">
        <f ca="1">IFERROR(__xludf.DUMMYFUNCTION("""COMPUTED_VALUE"""),"04.75.28.83.62")</f>
        <v>04.75.28.83.62</v>
      </c>
      <c r="H632" t="str">
        <f ca="1">IFERROR(__xludf.DUMMYFUNCTION("""COMPUTED_VALUE"""),"DIDIER Khatima")</f>
        <v>DIDIER Khatima</v>
      </c>
      <c r="I632" t="str">
        <f ca="1">IFERROR(__xludf.DUMMYFUNCTION("""COMPUTED_VALUE"""),"")</f>
        <v/>
      </c>
      <c r="J632" t="str">
        <f ca="1">IFERROR(__xludf.DUMMYFUNCTION("""COMPUTED_VALUE"""),"")</f>
        <v/>
      </c>
      <c r="K632" t="str">
        <f ca="1">IFERROR(__xludf.DUMMYFUNCTION("""COMPUTED_VALUE"""),"delphine.damian@lemistral.fr,helene.mina@lemistral.fr")</f>
        <v>delphine.damian@lemistral.fr,helene.mina@lemistral.fr</v>
      </c>
      <c r="L632" t="str">
        <f ca="1">IFERROR(__xludf.DUMMYFUNCTION("""COMPUTED_VALUE"""),"")</f>
        <v/>
      </c>
      <c r="M632" t="str">
        <f ca="1">IFERROR(__xludf.DUMMYFUNCTION("""COMPUTED_VALUE"""),"99.Hors Périmetre")</f>
        <v>99.Hors Périmetre</v>
      </c>
      <c r="N632" t="str">
        <f ca="1">IFERROR(__xludf.DUMMYFUNCTION("""COMPUTED_VALUE"""),"")</f>
        <v/>
      </c>
      <c r="O632" t="str">
        <f ca="1">IFERROR(__xludf.DUMMYFUNCTION("""COMPUTED_VALUE"""),"")</f>
        <v/>
      </c>
      <c r="P632" t="str">
        <f ca="1">IFERROR(__xludf.DUMMYFUNCTION("""COMPUTED_VALUE"""),"")</f>
        <v/>
      </c>
      <c r="Q632" s="5" t="str">
        <f ca="1">IFERROR(__xludf.DUMMYFUNCTION("""COMPUTED_VALUE"""),"")</f>
        <v/>
      </c>
      <c r="R632" s="6" t="str">
        <f ca="1">IFERROR(__xludf.DUMMYFUNCTION("""COMPUTED_VALUE"""),"")</f>
        <v/>
      </c>
      <c r="S632" t="str">
        <f ca="1">IFERROR(__xludf.DUMMYFUNCTION("""COMPUTED_VALUE"""),"")</f>
        <v/>
      </c>
      <c r="T632" t="str">
        <f ca="1">IFERROR(__xludf.DUMMYFUNCTION("""COMPUTED_VALUE"""),"")</f>
        <v/>
      </c>
      <c r="U632" t="str">
        <f ca="1">IFERROR(__xludf.DUMMYFUNCTION("""COMPUTED_VALUE"""),"")</f>
        <v/>
      </c>
      <c r="V632" t="str">
        <f ca="1">IFERROR(__xludf.DUMMYFUNCTION("""COMPUTED_VALUE"""),"")</f>
        <v/>
      </c>
      <c r="W632" t="str">
        <f ca="1">IFERROR(__xludf.DUMMYFUNCTION("""COMPUTED_VALUE"""),"")</f>
        <v/>
      </c>
      <c r="X632" t="str">
        <f ca="1">IFERROR(__xludf.DUMMYFUNCTION("""COMPUTED_VALUE"""),"")</f>
        <v/>
      </c>
      <c r="Y632" t="str">
        <f ca="1">IFERROR(__xludf.DUMMYFUNCTION("""COMPUTED_VALUE"""),"")</f>
        <v/>
      </c>
      <c r="Z632" t="str">
        <f ca="1">IFERROR(__xludf.DUMMYFUNCTION("""COMPUTED_VALUE"""),"")</f>
        <v/>
      </c>
      <c r="AA632" t="str">
        <f ca="1">IFERROR(__xludf.DUMMYFUNCTION("""COMPUTED_VALUE"""),"Pas de commande")</f>
        <v>Pas de commande</v>
      </c>
      <c r="AB632" s="8" t="str">
        <f ca="1">IFERROR(__xludf.DUMMYFUNCTION("""COMPUTED_VALUE"""),"")</f>
        <v/>
      </c>
      <c r="AC632" s="8" t="str">
        <f ca="1">IFERROR(__xludf.DUMMYFUNCTION("""COMPUTED_VALUE"""),"")</f>
        <v/>
      </c>
      <c r="AD632" s="11" t="str">
        <f ca="1">IFERROR(__xludf.DUMMYFUNCTION("""COMPUTED_VALUE"""),"")</f>
        <v/>
      </c>
      <c r="AE632" t="str">
        <f ca="1">IFERROR(__xludf.DUMMYFUNCTION("""COMPUTED_VALUE"""),"")</f>
        <v/>
      </c>
    </row>
    <row r="633" spans="1:31" ht="12.75" x14ac:dyDescent="0.2">
      <c r="A633">
        <f ca="1">IFERROR(__xludf.DUMMYFUNCTION("""COMPUTED_VALUE"""),90466)</f>
        <v>90466</v>
      </c>
      <c r="B633" t="str">
        <f ca="1">IFERROR(__xludf.DUMMYFUNCTION("""COMPUTED_VALUE"""),"MONTE CARLO")</f>
        <v>MONTE CARLO</v>
      </c>
      <c r="C633" t="str">
        <f ca="1">IFERROR(__xludf.DUMMYFUNCTION("""COMPUTED_VALUE"""),"Marché U")</f>
        <v>Marché U</v>
      </c>
      <c r="D633" t="str">
        <f ca="1">IFERROR(__xludf.DUMMYFUNCTION("""COMPUTED_VALUE"""),"Coop U Enseigne Sud")</f>
        <v>Coop U Enseigne Sud</v>
      </c>
      <c r="E633">
        <f ca="1">IFERROR(__xludf.DUMMYFUNCTION("""COMPUTED_VALUE"""),98000)</f>
        <v>98000</v>
      </c>
      <c r="F633" t="str">
        <f ca="1">IFERROR(__xludf.DUMMYFUNCTION("""COMPUTED_VALUE"""),"30 BD PRINCESSE CHARLOTTE")</f>
        <v>30 BD PRINCESSE CHARLOTTE</v>
      </c>
      <c r="G633" t="str">
        <f ca="1">IFERROR(__xludf.DUMMYFUNCTION("""COMPUTED_VALUE"""),"00 377 93 50 68 60")</f>
        <v>00 377 93 50 68 60</v>
      </c>
      <c r="H633" t="str">
        <f ca="1">IFERROR(__xludf.DUMMYFUNCTION("""COMPUTED_VALUE"""),"LAHELLEC Yann")</f>
        <v>LAHELLEC Yann</v>
      </c>
      <c r="I633" t="str">
        <f ca="1">IFERROR(__xludf.DUMMYFUNCTION("""COMPUTED_VALUE"""),"yann.lahellec@systeme-u.fr")</f>
        <v>yann.lahellec@systeme-u.fr</v>
      </c>
      <c r="J633" t="str">
        <f ca="1">IFERROR(__xludf.DUMMYFUNCTION("""COMPUTED_VALUE"""),"M DAVERA (directeur)")</f>
        <v>M DAVERA (directeur)</v>
      </c>
      <c r="K633" t="str">
        <f ca="1">IFERROR(__xludf.DUMMYFUNCTION("""COMPUTED_VALUE"""),"marcheu.montecarlo.directeur@systeme-u.fr, marcheu.montecarlo@systeme-u.fr")</f>
        <v>marcheu.montecarlo.directeur@systeme-u.fr, marcheu.montecarlo@systeme-u.fr</v>
      </c>
      <c r="L633" t="str">
        <f ca="1">IFERROR(__xludf.DUMMYFUNCTION("""COMPUTED_VALUE"""),"")</f>
        <v/>
      </c>
      <c r="M633" t="str">
        <f ca="1">IFERROR(__xludf.DUMMYFUNCTION("""COMPUTED_VALUE"""),"99.Hors Périmetre")</f>
        <v>99.Hors Périmetre</v>
      </c>
      <c r="N633" t="str">
        <f ca="1">IFERROR(__xludf.DUMMYFUNCTION("""COMPUTED_VALUE"""),"")</f>
        <v/>
      </c>
      <c r="O633" t="str">
        <f ca="1">IFERROR(__xludf.DUMMYFUNCTION("""COMPUTED_VALUE"""),"")</f>
        <v/>
      </c>
      <c r="P633" t="str">
        <f ca="1">IFERROR(__xludf.DUMMYFUNCTION("""COMPUTED_VALUE"""),"")</f>
        <v/>
      </c>
      <c r="Q633" s="5" t="str">
        <f ca="1">IFERROR(__xludf.DUMMYFUNCTION("""COMPUTED_VALUE"""),"")</f>
        <v/>
      </c>
      <c r="R633" s="6" t="str">
        <f ca="1">IFERROR(__xludf.DUMMYFUNCTION("""COMPUTED_VALUE"""),"")</f>
        <v/>
      </c>
      <c r="S633" t="str">
        <f ca="1">IFERROR(__xludf.DUMMYFUNCTION("""COMPUTED_VALUE"""),"")</f>
        <v/>
      </c>
      <c r="T633" t="str">
        <f ca="1">IFERROR(__xludf.DUMMYFUNCTION("""COMPUTED_VALUE"""),"")</f>
        <v/>
      </c>
      <c r="U633" t="str">
        <f ca="1">IFERROR(__xludf.DUMMYFUNCTION("""COMPUTED_VALUE"""),"")</f>
        <v/>
      </c>
      <c r="V633" t="str">
        <f ca="1">IFERROR(__xludf.DUMMYFUNCTION("""COMPUTED_VALUE"""),"")</f>
        <v/>
      </c>
      <c r="W633" t="str">
        <f ca="1">IFERROR(__xludf.DUMMYFUNCTION("""COMPUTED_VALUE"""),"")</f>
        <v/>
      </c>
      <c r="X633" t="str">
        <f ca="1">IFERROR(__xludf.DUMMYFUNCTION("""COMPUTED_VALUE"""),"")</f>
        <v/>
      </c>
      <c r="Y633" t="str">
        <f ca="1">IFERROR(__xludf.DUMMYFUNCTION("""COMPUTED_VALUE"""),"")</f>
        <v/>
      </c>
      <c r="Z633" t="str">
        <f ca="1">IFERROR(__xludf.DUMMYFUNCTION("""COMPUTED_VALUE"""),"")</f>
        <v/>
      </c>
      <c r="AA633" t="str">
        <f ca="1">IFERROR(__xludf.DUMMYFUNCTION("""COMPUTED_VALUE"""),"Pas de commande")</f>
        <v>Pas de commande</v>
      </c>
      <c r="AB633" s="8" t="str">
        <f ca="1">IFERROR(__xludf.DUMMYFUNCTION("""COMPUTED_VALUE"""),"")</f>
        <v/>
      </c>
      <c r="AC633" s="8" t="str">
        <f ca="1">IFERROR(__xludf.DUMMYFUNCTION("""COMPUTED_VALUE"""),"")</f>
        <v/>
      </c>
      <c r="AD633" s="11" t="str">
        <f ca="1">IFERROR(__xludf.DUMMYFUNCTION("""COMPUTED_VALUE"""),"")</f>
        <v/>
      </c>
      <c r="AE633" t="str">
        <f ca="1">IFERROR(__xludf.DUMMYFUNCTION("""COMPUTED_VALUE"""),"")</f>
        <v/>
      </c>
    </row>
    <row r="634" spans="1:31" ht="12.75" x14ac:dyDescent="0.2">
      <c r="A634">
        <f ca="1">IFERROR(__xludf.DUMMYFUNCTION("""COMPUTED_VALUE"""),32077)</f>
        <v>32077</v>
      </c>
      <c r="B634" t="str">
        <f ca="1">IFERROR(__xludf.DUMMYFUNCTION("""COMPUTED_VALUE"""),"MONTENDRE")</f>
        <v>MONTENDRE</v>
      </c>
      <c r="C634" t="str">
        <f ca="1">IFERROR(__xludf.DUMMYFUNCTION("""COMPUTED_VALUE"""),"U Express")</f>
        <v>U Express</v>
      </c>
      <c r="D634" t="str">
        <f ca="1">IFERROR(__xludf.DUMMYFUNCTION("""COMPUTED_VALUE"""),"Coop Atlantique")</f>
        <v>Coop Atlantique</v>
      </c>
      <c r="E634">
        <f ca="1">IFERROR(__xludf.DUMMYFUNCTION("""COMPUTED_VALUE"""),17130)</f>
        <v>17130</v>
      </c>
      <c r="F634" t="str">
        <f ca="1">IFERROR(__xludf.DUMMYFUNCTION("""COMPUTED_VALUE"""),"AVENUE DE LA RÉPUBLIQUE")</f>
        <v>AVENUE DE LA RÉPUBLIQUE</v>
      </c>
      <c r="G634" t="str">
        <f ca="1">IFERROR(__xludf.DUMMYFUNCTION("""COMPUTED_VALUE"""),"05.46.70.39.50")</f>
        <v>05.46.70.39.50</v>
      </c>
      <c r="H634" t="str">
        <f ca="1">IFERROR(__xludf.DUMMYFUNCTION("""COMPUTED_VALUE"""),"FLAMBARD Hervé")</f>
        <v>FLAMBARD Hervé</v>
      </c>
      <c r="I634" t="str">
        <f ca="1">IFERROR(__xludf.DUMMYFUNCTION("""COMPUTED_VALUE"""),"bertrand.defontaine_coop_su_uex@systeme-u.fr")</f>
        <v>bertrand.defontaine_coop_su_uex@systeme-u.fr</v>
      </c>
      <c r="J634" t="str">
        <f ca="1">IFERROR(__xludf.DUMMYFUNCTION("""COMPUTED_VALUE"""),"David GUIGNARD")</f>
        <v>David GUIGNARD</v>
      </c>
      <c r="K634" t="str">
        <f ca="1">IFERROR(__xludf.DUMMYFUNCTION("""COMPUTED_VALUE"""),"superu.montendre.direction@systeme-u.fr,nbrigant@coop-atlantique.fr,sjaud@coop-atlantique.fr")</f>
        <v>superu.montendre.direction@systeme-u.fr,nbrigant@coop-atlantique.fr,sjaud@coop-atlantique.fr</v>
      </c>
      <c r="L634" t="str">
        <f ca="1">IFERROR(__xludf.DUMMYFUNCTION("""COMPUTED_VALUE"""),"")</f>
        <v/>
      </c>
      <c r="M634" t="str">
        <f ca="1">IFERROR(__xludf.DUMMYFUNCTION("""COMPUTED_VALUE"""),"99.Hors Périmetre")</f>
        <v>99.Hors Périmetre</v>
      </c>
      <c r="N634" t="str">
        <f ca="1">IFERROR(__xludf.DUMMYFUNCTION("""COMPUTED_VALUE"""),"")</f>
        <v/>
      </c>
      <c r="O634" t="str">
        <f ca="1">IFERROR(__xludf.DUMMYFUNCTION("""COMPUTED_VALUE"""),"")</f>
        <v/>
      </c>
      <c r="P634" t="str">
        <f ca="1">IFERROR(__xludf.DUMMYFUNCTION("""COMPUTED_VALUE"""),"")</f>
        <v/>
      </c>
      <c r="Q634" s="5" t="str">
        <f ca="1">IFERROR(__xludf.DUMMYFUNCTION("""COMPUTED_VALUE"""),"")</f>
        <v/>
      </c>
      <c r="R634" s="6" t="str">
        <f ca="1">IFERROR(__xludf.DUMMYFUNCTION("""COMPUTED_VALUE"""),"")</f>
        <v/>
      </c>
      <c r="S634" t="str">
        <f ca="1">IFERROR(__xludf.DUMMYFUNCTION("""COMPUTED_VALUE"""),"")</f>
        <v/>
      </c>
      <c r="T634" t="str">
        <f ca="1">IFERROR(__xludf.DUMMYFUNCTION("""COMPUTED_VALUE"""),"")</f>
        <v/>
      </c>
      <c r="U634" t="str">
        <f ca="1">IFERROR(__xludf.DUMMYFUNCTION("""COMPUTED_VALUE"""),"")</f>
        <v/>
      </c>
      <c r="V634" t="str">
        <f ca="1">IFERROR(__xludf.DUMMYFUNCTION("""COMPUTED_VALUE"""),"")</f>
        <v/>
      </c>
      <c r="W634" t="str">
        <f ca="1">IFERROR(__xludf.DUMMYFUNCTION("""COMPUTED_VALUE"""),"")</f>
        <v/>
      </c>
      <c r="X634" t="str">
        <f ca="1">IFERROR(__xludf.DUMMYFUNCTION("""COMPUTED_VALUE"""),"")</f>
        <v/>
      </c>
      <c r="Y634" t="str">
        <f ca="1">IFERROR(__xludf.DUMMYFUNCTION("""COMPUTED_VALUE"""),"")</f>
        <v/>
      </c>
      <c r="Z634" t="str">
        <f ca="1">IFERROR(__xludf.DUMMYFUNCTION("""COMPUTED_VALUE"""),"")</f>
        <v/>
      </c>
      <c r="AA634" t="str">
        <f ca="1">IFERROR(__xludf.DUMMYFUNCTION("""COMPUTED_VALUE"""),"Pas de commande")</f>
        <v>Pas de commande</v>
      </c>
      <c r="AB634" s="8" t="str">
        <f ca="1">IFERROR(__xludf.DUMMYFUNCTION("""COMPUTED_VALUE"""),"")</f>
        <v/>
      </c>
      <c r="AC634" s="8" t="str">
        <f ca="1">IFERROR(__xludf.DUMMYFUNCTION("""COMPUTED_VALUE"""),"")</f>
        <v/>
      </c>
      <c r="AD634" s="11" t="str">
        <f ca="1">IFERROR(__xludf.DUMMYFUNCTION("""COMPUTED_VALUE"""),"")</f>
        <v/>
      </c>
      <c r="AE634" t="str">
        <f ca="1">IFERROR(__xludf.DUMMYFUNCTION("""COMPUTED_VALUE"""),"")</f>
        <v/>
      </c>
    </row>
    <row r="635" spans="1:31" ht="12.75" x14ac:dyDescent="0.2">
      <c r="A635">
        <f ca="1">IFERROR(__xludf.DUMMYFUNCTION("""COMPUTED_VALUE"""),90577)</f>
        <v>90577</v>
      </c>
      <c r="B635" t="str">
        <f ca="1">IFERROR(__xludf.DUMMYFUNCTION("""COMPUTED_VALUE"""),"MONTEUX")</f>
        <v>MONTEUX</v>
      </c>
      <c r="C635" t="str">
        <f ca="1">IFERROR(__xludf.DUMMYFUNCTION("""COMPUTED_VALUE"""),"Super U")</f>
        <v>Super U</v>
      </c>
      <c r="D635" t="str">
        <f ca="1">IFERROR(__xludf.DUMMYFUNCTION("""COMPUTED_VALUE"""),"Coop U Enseigne Sud")</f>
        <v>Coop U Enseigne Sud</v>
      </c>
      <c r="E635">
        <f ca="1">IFERROR(__xludf.DUMMYFUNCTION("""COMPUTED_VALUE"""),84170)</f>
        <v>84170</v>
      </c>
      <c r="F635" t="str">
        <f ca="1">IFERROR(__xludf.DUMMYFUNCTION("""COMPUTED_VALUE"""),"PLACE DU MARCHE")</f>
        <v>PLACE DU MARCHE</v>
      </c>
      <c r="G635" t="str">
        <f ca="1">IFERROR(__xludf.DUMMYFUNCTION("""COMPUTED_VALUE"""),"04.90.66.20.64")</f>
        <v>04.90.66.20.64</v>
      </c>
      <c r="H635" t="str">
        <f ca="1">IFERROR(__xludf.DUMMYFUNCTION("""COMPUTED_VALUE"""),"RUEL Pierre et Frederic")</f>
        <v>RUEL Pierre et Frederic</v>
      </c>
      <c r="I635" t="str">
        <f ca="1">IFERROR(__xludf.DUMMYFUNCTION("""COMPUTED_VALUE"""),"pierre.ruel@systeme-u.fr")</f>
        <v>pierre.ruel@systeme-u.fr</v>
      </c>
      <c r="J635" t="str">
        <f ca="1">IFERROR(__xludf.DUMMYFUNCTION("""COMPUTED_VALUE"""),"MOHLI Sonia")</f>
        <v>MOHLI Sonia</v>
      </c>
      <c r="K635" t="str">
        <f ca="1">IFERROR(__xludf.DUMMYFUNCTION("""COMPUTED_VALUE"""),"superu.monteux@systeme-u.fr")</f>
        <v>superu.monteux@systeme-u.fr</v>
      </c>
      <c r="L635" t="str">
        <f ca="1">IFERROR(__xludf.DUMMYFUNCTION("""COMPUTED_VALUE"""),"")</f>
        <v/>
      </c>
      <c r="M635" t="str">
        <f ca="1">IFERROR(__xludf.DUMMYFUNCTION("""COMPUTED_VALUE"""),"99.Hors Périmetre")</f>
        <v>99.Hors Périmetre</v>
      </c>
      <c r="N635" t="str">
        <f ca="1">IFERROR(__xludf.DUMMYFUNCTION("""COMPUTED_VALUE"""),"")</f>
        <v/>
      </c>
      <c r="O635" t="str">
        <f ca="1">IFERROR(__xludf.DUMMYFUNCTION("""COMPUTED_VALUE"""),"")</f>
        <v/>
      </c>
      <c r="P635" t="str">
        <f ca="1">IFERROR(__xludf.DUMMYFUNCTION("""COMPUTED_VALUE"""),"")</f>
        <v/>
      </c>
      <c r="Q635" s="5" t="str">
        <f ca="1">IFERROR(__xludf.DUMMYFUNCTION("""COMPUTED_VALUE"""),"")</f>
        <v/>
      </c>
      <c r="R635" s="6" t="str">
        <f ca="1">IFERROR(__xludf.DUMMYFUNCTION("""COMPUTED_VALUE"""),"")</f>
        <v/>
      </c>
      <c r="S635" t="str">
        <f ca="1">IFERROR(__xludf.DUMMYFUNCTION("""COMPUTED_VALUE"""),"")</f>
        <v/>
      </c>
      <c r="T635" t="str">
        <f ca="1">IFERROR(__xludf.DUMMYFUNCTION("""COMPUTED_VALUE"""),"")</f>
        <v/>
      </c>
      <c r="U635" t="str">
        <f ca="1">IFERROR(__xludf.DUMMYFUNCTION("""COMPUTED_VALUE"""),"")</f>
        <v/>
      </c>
      <c r="V635" t="str">
        <f ca="1">IFERROR(__xludf.DUMMYFUNCTION("""COMPUTED_VALUE"""),"")</f>
        <v/>
      </c>
      <c r="W635" t="str">
        <f ca="1">IFERROR(__xludf.DUMMYFUNCTION("""COMPUTED_VALUE"""),"")</f>
        <v/>
      </c>
      <c r="X635" t="str">
        <f ca="1">IFERROR(__xludf.DUMMYFUNCTION("""COMPUTED_VALUE"""),"")</f>
        <v/>
      </c>
      <c r="Y635" t="str">
        <f ca="1">IFERROR(__xludf.DUMMYFUNCTION("""COMPUTED_VALUE"""),"")</f>
        <v/>
      </c>
      <c r="Z635" t="str">
        <f ca="1">IFERROR(__xludf.DUMMYFUNCTION("""COMPUTED_VALUE"""),"")</f>
        <v/>
      </c>
      <c r="AA635" t="str">
        <f ca="1">IFERROR(__xludf.DUMMYFUNCTION("""COMPUTED_VALUE"""),"Pas de commande")</f>
        <v>Pas de commande</v>
      </c>
      <c r="AB635" s="8" t="str">
        <f ca="1">IFERROR(__xludf.DUMMYFUNCTION("""COMPUTED_VALUE"""),"")</f>
        <v/>
      </c>
      <c r="AC635" s="8" t="str">
        <f ca="1">IFERROR(__xludf.DUMMYFUNCTION("""COMPUTED_VALUE"""),"")</f>
        <v/>
      </c>
      <c r="AD635" s="11" t="str">
        <f ca="1">IFERROR(__xludf.DUMMYFUNCTION("""COMPUTED_VALUE"""),"")</f>
        <v/>
      </c>
      <c r="AE635" t="str">
        <f ca="1">IFERROR(__xludf.DUMMYFUNCTION("""COMPUTED_VALUE"""),"")</f>
        <v/>
      </c>
    </row>
    <row r="636" spans="1:31" ht="12.75" x14ac:dyDescent="0.2">
      <c r="A636">
        <f ca="1">IFERROR(__xludf.DUMMYFUNCTION("""COMPUTED_VALUE"""),36505)</f>
        <v>36505</v>
      </c>
      <c r="B636" t="str">
        <f ca="1">IFERROR(__xludf.DUMMYFUNCTION("""COMPUTED_VALUE"""),"MONTFORT-LE GESNOIS")</f>
        <v>MONTFORT-LE GESNOIS</v>
      </c>
      <c r="C636" t="str">
        <f ca="1">IFERROR(__xludf.DUMMYFUNCTION("""COMPUTED_VALUE"""),"Super U")</f>
        <v>Super U</v>
      </c>
      <c r="D636" t="str">
        <f ca="1">IFERROR(__xludf.DUMMYFUNCTION("""COMPUTED_VALUE"""),"Coop U Enseigne Ouest")</f>
        <v>Coop U Enseigne Ouest</v>
      </c>
      <c r="E636">
        <f ca="1">IFERROR(__xludf.DUMMYFUNCTION("""COMPUTED_VALUE"""),72450)</f>
        <v>72450</v>
      </c>
      <c r="F636" t="str">
        <f ca="1">IFERROR(__xludf.DUMMYFUNCTION("""COMPUTED_VALUE"""),"7, RUE DES VIOLETTES")</f>
        <v>7, RUE DES VIOLETTES</v>
      </c>
      <c r="G636" t="str">
        <f ca="1">IFERROR(__xludf.DUMMYFUNCTION("""COMPUTED_VALUE"""),"02.43.54.02.00")</f>
        <v>02.43.54.02.00</v>
      </c>
      <c r="H636" t="str">
        <f ca="1">IFERROR(__xludf.DUMMYFUNCTION("""COMPUTED_VALUE"""),"BOURGETEAU Bathylle")</f>
        <v>BOURGETEAU Bathylle</v>
      </c>
      <c r="I636" t="str">
        <f ca="1">IFERROR(__xludf.DUMMYFUNCTION("""COMPUTED_VALUE"""),"bathylle.bourgeteau@systeme-u.fr")</f>
        <v>bathylle.bourgeteau@systeme-u.fr</v>
      </c>
      <c r="J636" t="str">
        <f ca="1">IFERROR(__xludf.DUMMYFUNCTION("""COMPUTED_VALUE"""),"")</f>
        <v/>
      </c>
      <c r="K636" t="str">
        <f ca="1">IFERROR(__xludf.DUMMYFUNCTION("""COMPUTED_VALUE"""),"")</f>
        <v/>
      </c>
      <c r="L636" t="str">
        <f ca="1">IFERROR(__xludf.DUMMYFUNCTION("""COMPUTED_VALUE"""),"")</f>
        <v/>
      </c>
      <c r="M636" t="str">
        <f ca="1">IFERROR(__xludf.DUMMYFUNCTION("""COMPUTED_VALUE"""),"99.Hors Périmetre")</f>
        <v>99.Hors Périmetre</v>
      </c>
      <c r="N636" t="str">
        <f ca="1">IFERROR(__xludf.DUMMYFUNCTION("""COMPUTED_VALUE"""),"")</f>
        <v/>
      </c>
      <c r="O636" t="str">
        <f ca="1">IFERROR(__xludf.DUMMYFUNCTION("""COMPUTED_VALUE"""),"")</f>
        <v/>
      </c>
      <c r="P636" t="str">
        <f ca="1">IFERROR(__xludf.DUMMYFUNCTION("""COMPUTED_VALUE"""),"")</f>
        <v/>
      </c>
      <c r="Q636" s="5" t="str">
        <f ca="1">IFERROR(__xludf.DUMMYFUNCTION("""COMPUTED_VALUE"""),"")</f>
        <v/>
      </c>
      <c r="R636" s="6" t="str">
        <f ca="1">IFERROR(__xludf.DUMMYFUNCTION("""COMPUTED_VALUE"""),"")</f>
        <v/>
      </c>
      <c r="S636" t="str">
        <f ca="1">IFERROR(__xludf.DUMMYFUNCTION("""COMPUTED_VALUE"""),"")</f>
        <v/>
      </c>
      <c r="T636" t="str">
        <f ca="1">IFERROR(__xludf.DUMMYFUNCTION("""COMPUTED_VALUE"""),"")</f>
        <v/>
      </c>
      <c r="U636" t="str">
        <f ca="1">IFERROR(__xludf.DUMMYFUNCTION("""COMPUTED_VALUE"""),"")</f>
        <v/>
      </c>
      <c r="V636" t="str">
        <f ca="1">IFERROR(__xludf.DUMMYFUNCTION("""COMPUTED_VALUE"""),"")</f>
        <v/>
      </c>
      <c r="W636" t="str">
        <f ca="1">IFERROR(__xludf.DUMMYFUNCTION("""COMPUTED_VALUE"""),"")</f>
        <v/>
      </c>
      <c r="X636" t="str">
        <f ca="1">IFERROR(__xludf.DUMMYFUNCTION("""COMPUTED_VALUE"""),"")</f>
        <v/>
      </c>
      <c r="Y636" t="str">
        <f ca="1">IFERROR(__xludf.DUMMYFUNCTION("""COMPUTED_VALUE"""),"")</f>
        <v/>
      </c>
      <c r="Z636" t="str">
        <f ca="1">IFERROR(__xludf.DUMMYFUNCTION("""COMPUTED_VALUE"""),"")</f>
        <v/>
      </c>
      <c r="AA636" t="str">
        <f ca="1">IFERROR(__xludf.DUMMYFUNCTION("""COMPUTED_VALUE"""),"Pas de commande")</f>
        <v>Pas de commande</v>
      </c>
      <c r="AB636" s="8" t="str">
        <f ca="1">IFERROR(__xludf.DUMMYFUNCTION("""COMPUTED_VALUE"""),"")</f>
        <v/>
      </c>
      <c r="AC636" s="8" t="str">
        <f ca="1">IFERROR(__xludf.DUMMYFUNCTION("""COMPUTED_VALUE"""),"")</f>
        <v/>
      </c>
      <c r="AD636" s="11" t="str">
        <f ca="1">IFERROR(__xludf.DUMMYFUNCTION("""COMPUTED_VALUE"""),"")</f>
        <v/>
      </c>
      <c r="AE636" t="str">
        <f ca="1">IFERROR(__xludf.DUMMYFUNCTION("""COMPUTED_VALUE"""),"")</f>
        <v/>
      </c>
    </row>
    <row r="637" spans="1:31" ht="12.75" x14ac:dyDescent="0.2">
      <c r="A637">
        <f ca="1">IFERROR(__xludf.DUMMYFUNCTION("""COMPUTED_VALUE"""),23468)</f>
        <v>23468</v>
      </c>
      <c r="B637" t="str">
        <f ca="1">IFERROR(__xludf.DUMMYFUNCTION("""COMPUTED_VALUE"""),"MONTGERON")</f>
        <v>MONTGERON</v>
      </c>
      <c r="C637" t="str">
        <f ca="1">IFERROR(__xludf.DUMMYFUNCTION("""COMPUTED_VALUE"""),"Super U")</f>
        <v>Super U</v>
      </c>
      <c r="D637" t="str">
        <f ca="1">IFERROR(__xludf.DUMMYFUNCTION("""COMPUTED_VALUE"""),"Coop U Enseigne NordOuest")</f>
        <v>Coop U Enseigne NordOuest</v>
      </c>
      <c r="E637">
        <f ca="1">IFERROR(__xludf.DUMMYFUNCTION("""COMPUTED_VALUE"""),91230)</f>
        <v>91230</v>
      </c>
      <c r="F637" t="str">
        <f ca="1">IFERROR(__xludf.DUMMYFUNCTION("""COMPUTED_VALUE"""),"110 AVENUE DE LA RÉPUBLIQUE")</f>
        <v>110 AVENUE DE LA RÉPUBLIQUE</v>
      </c>
      <c r="G637" t="str">
        <f ca="1">IFERROR(__xludf.DUMMYFUNCTION("""COMPUTED_VALUE"""),"01.69.03.50.61")</f>
        <v>01.69.03.50.61</v>
      </c>
      <c r="H637" t="str">
        <f ca="1">IFERROR(__xludf.DUMMYFUNCTION("""COMPUTED_VALUE"""),"BRESSON Antoine")</f>
        <v>BRESSON Antoine</v>
      </c>
      <c r="I637" t="str">
        <f ca="1">IFERROR(__xludf.DUMMYFUNCTION("""COMPUTED_VALUE"""),"antoine.bresson@systeme-u.fr")</f>
        <v>antoine.bresson@systeme-u.fr</v>
      </c>
      <c r="J637" t="str">
        <f ca="1">IFERROR(__xludf.DUMMYFUNCTION("""COMPUTED_VALUE"""),"TILLET Philippe")</f>
        <v>TILLET Philippe</v>
      </c>
      <c r="K637" t="str">
        <f ca="1">IFERROR(__xludf.DUMMYFUNCTION("""COMPUTED_VALUE"""),"superu.montgeron.direction@systeme-u.fr")</f>
        <v>superu.montgeron.direction@systeme-u.fr</v>
      </c>
      <c r="L637" t="str">
        <f ca="1">IFERROR(__xludf.DUMMYFUNCTION("""COMPUTED_VALUE"""),"")</f>
        <v/>
      </c>
      <c r="M637" t="str">
        <f ca="1">IFERROR(__xludf.DUMMYFUNCTION("""COMPUTED_VALUE"""),"99.Hors Périmetre")</f>
        <v>99.Hors Périmetre</v>
      </c>
      <c r="N637" t="str">
        <f ca="1">IFERROR(__xludf.DUMMYFUNCTION("""COMPUTED_VALUE"""),"")</f>
        <v/>
      </c>
      <c r="O637" t="str">
        <f ca="1">IFERROR(__xludf.DUMMYFUNCTION("""COMPUTED_VALUE"""),"")</f>
        <v/>
      </c>
      <c r="P637" t="str">
        <f ca="1">IFERROR(__xludf.DUMMYFUNCTION("""COMPUTED_VALUE"""),"")</f>
        <v/>
      </c>
      <c r="Q637" s="5" t="str">
        <f ca="1">IFERROR(__xludf.DUMMYFUNCTION("""COMPUTED_VALUE"""),"")</f>
        <v/>
      </c>
      <c r="R637" s="6" t="str">
        <f ca="1">IFERROR(__xludf.DUMMYFUNCTION("""COMPUTED_VALUE"""),"")</f>
        <v/>
      </c>
      <c r="S637" t="str">
        <f ca="1">IFERROR(__xludf.DUMMYFUNCTION("""COMPUTED_VALUE"""),"")</f>
        <v/>
      </c>
      <c r="T637" t="str">
        <f ca="1">IFERROR(__xludf.DUMMYFUNCTION("""COMPUTED_VALUE"""),"")</f>
        <v/>
      </c>
      <c r="U637" t="str">
        <f ca="1">IFERROR(__xludf.DUMMYFUNCTION("""COMPUTED_VALUE"""),"")</f>
        <v/>
      </c>
      <c r="V637" t="str">
        <f ca="1">IFERROR(__xludf.DUMMYFUNCTION("""COMPUTED_VALUE"""),"")</f>
        <v/>
      </c>
      <c r="W637" t="str">
        <f ca="1">IFERROR(__xludf.DUMMYFUNCTION("""COMPUTED_VALUE"""),"")</f>
        <v/>
      </c>
      <c r="X637" t="str">
        <f ca="1">IFERROR(__xludf.DUMMYFUNCTION("""COMPUTED_VALUE"""),"")</f>
        <v/>
      </c>
      <c r="Y637" t="str">
        <f ca="1">IFERROR(__xludf.DUMMYFUNCTION("""COMPUTED_VALUE"""),"")</f>
        <v/>
      </c>
      <c r="Z637" t="str">
        <f ca="1">IFERROR(__xludf.DUMMYFUNCTION("""COMPUTED_VALUE"""),"")</f>
        <v/>
      </c>
      <c r="AA637" t="str">
        <f ca="1">IFERROR(__xludf.DUMMYFUNCTION("""COMPUTED_VALUE"""),"Pas de commande")</f>
        <v>Pas de commande</v>
      </c>
      <c r="AB637" s="8" t="str">
        <f ca="1">IFERROR(__xludf.DUMMYFUNCTION("""COMPUTED_VALUE"""),"")</f>
        <v/>
      </c>
      <c r="AC637" s="8" t="str">
        <f ca="1">IFERROR(__xludf.DUMMYFUNCTION("""COMPUTED_VALUE"""),"")</f>
        <v/>
      </c>
      <c r="AD637" s="11" t="str">
        <f ca="1">IFERROR(__xludf.DUMMYFUNCTION("""COMPUTED_VALUE"""),"")</f>
        <v/>
      </c>
      <c r="AE637" t="str">
        <f ca="1">IFERROR(__xludf.DUMMYFUNCTION("""COMPUTED_VALUE"""),"")</f>
        <v/>
      </c>
    </row>
    <row r="638" spans="1:31" ht="12.75" x14ac:dyDescent="0.2">
      <c r="A638">
        <f ca="1">IFERROR(__xludf.DUMMYFUNCTION("""COMPUTED_VALUE"""),65021)</f>
        <v>65021</v>
      </c>
      <c r="B638" t="str">
        <f ca="1">IFERROR(__xludf.DUMMYFUNCTION("""COMPUTED_VALUE"""),"MONTIGNY LES METZ")</f>
        <v>MONTIGNY LES METZ</v>
      </c>
      <c r="C638" t="str">
        <f ca="1">IFERROR(__xludf.DUMMYFUNCTION("""COMPUTED_VALUE"""),"Super U")</f>
        <v>Super U</v>
      </c>
      <c r="D638" t="str">
        <f ca="1">IFERROR(__xludf.DUMMYFUNCTION("""COMPUTED_VALUE"""),"Coop U Enseigne Est")</f>
        <v>Coop U Enseigne Est</v>
      </c>
      <c r="E638">
        <f ca="1">IFERROR(__xludf.DUMMYFUNCTION("""COMPUTED_VALUE"""),57950)</f>
        <v>57950</v>
      </c>
      <c r="F638" t="str">
        <f ca="1">IFERROR(__xludf.DUMMYFUNCTION("""COMPUTED_VALUE"""),"28 RUE DE NOMENY")</f>
        <v>28 RUE DE NOMENY</v>
      </c>
      <c r="G638" t="str">
        <f ca="1">IFERROR(__xludf.DUMMYFUNCTION("""COMPUTED_VALUE"""),"03.87.63.45.93")</f>
        <v>03.87.63.45.93</v>
      </c>
      <c r="H638" t="str">
        <f ca="1">IFERROR(__xludf.DUMMYFUNCTION("""COMPUTED_VALUE"""),"LORIDON Pierre-Olivier")</f>
        <v>LORIDON Pierre-Olivier</v>
      </c>
      <c r="I638" t="str">
        <f ca="1">IFERROR(__xludf.DUMMYFUNCTION("""COMPUTED_VALUE"""),"pierre-olivier.loridon@systeme-u.fr")</f>
        <v>pierre-olivier.loridon@systeme-u.fr</v>
      </c>
      <c r="J638" t="str">
        <f ca="1">IFERROR(__xludf.DUMMYFUNCTION("""COMPUTED_VALUE"""),"Mme LORIDON (UPLV + Pilote)")</f>
        <v>Mme LORIDON (UPLV + Pilote)</v>
      </c>
      <c r="K638" t="str">
        <f ca="1">IFERROR(__xludf.DUMMYFUNCTION("""COMPUTED_VALUE"""),"")</f>
        <v/>
      </c>
      <c r="L638" t="str">
        <f ca="1">IFERROR(__xludf.DUMMYFUNCTION("""COMPUTED_VALUE"""),"")</f>
        <v/>
      </c>
      <c r="M638" t="str">
        <f ca="1">IFERROR(__xludf.DUMMYFUNCTION("""COMPUTED_VALUE"""),"99.Hors Périmetre")</f>
        <v>99.Hors Périmetre</v>
      </c>
      <c r="N638" t="str">
        <f ca="1">IFERROR(__xludf.DUMMYFUNCTION("""COMPUTED_VALUE"""),"")</f>
        <v/>
      </c>
      <c r="O638" t="str">
        <f ca="1">IFERROR(__xludf.DUMMYFUNCTION("""COMPUTED_VALUE"""),"")</f>
        <v/>
      </c>
      <c r="P638" t="str">
        <f ca="1">IFERROR(__xludf.DUMMYFUNCTION("""COMPUTED_VALUE"""),"")</f>
        <v/>
      </c>
      <c r="Q638" s="5" t="str">
        <f ca="1">IFERROR(__xludf.DUMMYFUNCTION("""COMPUTED_VALUE"""),"")</f>
        <v/>
      </c>
      <c r="R638" s="6" t="str">
        <f ca="1">IFERROR(__xludf.DUMMYFUNCTION("""COMPUTED_VALUE"""),"")</f>
        <v/>
      </c>
      <c r="S638" t="str">
        <f ca="1">IFERROR(__xludf.DUMMYFUNCTION("""COMPUTED_VALUE"""),"")</f>
        <v/>
      </c>
      <c r="T638" t="str">
        <f ca="1">IFERROR(__xludf.DUMMYFUNCTION("""COMPUTED_VALUE"""),"")</f>
        <v/>
      </c>
      <c r="U638" t="str">
        <f ca="1">IFERROR(__xludf.DUMMYFUNCTION("""COMPUTED_VALUE"""),"")</f>
        <v/>
      </c>
      <c r="V638" t="str">
        <f ca="1">IFERROR(__xludf.DUMMYFUNCTION("""COMPUTED_VALUE"""),"")</f>
        <v/>
      </c>
      <c r="W638" t="str">
        <f ca="1">IFERROR(__xludf.DUMMYFUNCTION("""COMPUTED_VALUE"""),"")</f>
        <v/>
      </c>
      <c r="X638" t="str">
        <f ca="1">IFERROR(__xludf.DUMMYFUNCTION("""COMPUTED_VALUE"""),"")</f>
        <v/>
      </c>
      <c r="Y638" t="str">
        <f ca="1">IFERROR(__xludf.DUMMYFUNCTION("""COMPUTED_VALUE"""),"")</f>
        <v/>
      </c>
      <c r="Z638" t="str">
        <f ca="1">IFERROR(__xludf.DUMMYFUNCTION("""COMPUTED_VALUE"""),"")</f>
        <v/>
      </c>
      <c r="AA638" t="str">
        <f ca="1">IFERROR(__xludf.DUMMYFUNCTION("""COMPUTED_VALUE"""),"Pas de commande")</f>
        <v>Pas de commande</v>
      </c>
      <c r="AB638" s="8" t="str">
        <f ca="1">IFERROR(__xludf.DUMMYFUNCTION("""COMPUTED_VALUE"""),"")</f>
        <v/>
      </c>
      <c r="AC638" s="8" t="str">
        <f ca="1">IFERROR(__xludf.DUMMYFUNCTION("""COMPUTED_VALUE"""),"")</f>
        <v/>
      </c>
      <c r="AD638" s="11" t="str">
        <f ca="1">IFERROR(__xludf.DUMMYFUNCTION("""COMPUTED_VALUE"""),"")</f>
        <v/>
      </c>
      <c r="AE638" t="str">
        <f ca="1">IFERROR(__xludf.DUMMYFUNCTION("""COMPUTED_VALUE"""),"")</f>
        <v/>
      </c>
    </row>
    <row r="639" spans="1:31" ht="12.75" x14ac:dyDescent="0.2">
      <c r="A639">
        <f ca="1">IFERROR(__xludf.DUMMYFUNCTION("""COMPUTED_VALUE"""),33539)</f>
        <v>33539</v>
      </c>
      <c r="B639" t="str">
        <f ca="1">IFERROR(__xludf.DUMMYFUNCTION("""COMPUTED_VALUE"""),"#N/A")</f>
        <v>#N/A</v>
      </c>
      <c r="C639" t="str">
        <f ca="1">IFERROR(__xludf.DUMMYFUNCTION("""COMPUTED_VALUE"""),"#N/A")</f>
        <v>#N/A</v>
      </c>
      <c r="D639" t="str">
        <f ca="1">IFERROR(__xludf.DUMMYFUNCTION("""COMPUTED_VALUE"""),"#N/A")</f>
        <v>#N/A</v>
      </c>
      <c r="E639" t="str">
        <f ca="1">IFERROR(__xludf.DUMMYFUNCTION("""COMPUTED_VALUE"""),"")</f>
        <v/>
      </c>
      <c r="F639" t="str">
        <f ca="1">IFERROR(__xludf.DUMMYFUNCTION("""COMPUTED_VALUE"""),"#N/A")</f>
        <v>#N/A</v>
      </c>
      <c r="G639" t="str">
        <f ca="1">IFERROR(__xludf.DUMMYFUNCTION("""COMPUTED_VALUE"""),"#N/A")</f>
        <v>#N/A</v>
      </c>
      <c r="H639" t="str">
        <f ca="1">IFERROR(__xludf.DUMMYFUNCTION("""COMPUTED_VALUE"""),"#N/A")</f>
        <v>#N/A</v>
      </c>
      <c r="I639" t="str">
        <f ca="1">IFERROR(__xludf.DUMMYFUNCTION("""COMPUTED_VALUE"""),"#N/A")</f>
        <v>#N/A</v>
      </c>
      <c r="J639" t="str">
        <f ca="1">IFERROR(__xludf.DUMMYFUNCTION("""COMPUTED_VALUE"""),"")</f>
        <v/>
      </c>
      <c r="K639" t="str">
        <f ca="1">IFERROR(__xludf.DUMMYFUNCTION("""COMPUTED_VALUE"""),"martine.crevecoeur@systeme-u.fr")</f>
        <v>martine.crevecoeur@systeme-u.fr</v>
      </c>
      <c r="L639" t="str">
        <f ca="1">IFERROR(__xludf.DUMMYFUNCTION("""COMPUTED_VALUE"""),"")</f>
        <v/>
      </c>
      <c r="M639" t="str">
        <f ca="1">IFERROR(__xludf.DUMMYFUNCTION("""COMPUTED_VALUE"""),"99.Hors Périmetre")</f>
        <v>99.Hors Périmetre</v>
      </c>
      <c r="N639" t="str">
        <f ca="1">IFERROR(__xludf.DUMMYFUNCTION("""COMPUTED_VALUE"""),"")</f>
        <v/>
      </c>
      <c r="O639" t="str">
        <f ca="1">IFERROR(__xludf.DUMMYFUNCTION("""COMPUTED_VALUE"""),"")</f>
        <v/>
      </c>
      <c r="P639" t="str">
        <f ca="1">IFERROR(__xludf.DUMMYFUNCTION("""COMPUTED_VALUE"""),"")</f>
        <v/>
      </c>
      <c r="Q639" s="5" t="str">
        <f ca="1">IFERROR(__xludf.DUMMYFUNCTION("""COMPUTED_VALUE"""),"")</f>
        <v/>
      </c>
      <c r="R639" s="6" t="str">
        <f ca="1">IFERROR(__xludf.DUMMYFUNCTION("""COMPUTED_VALUE"""),"")</f>
        <v/>
      </c>
      <c r="S639" t="str">
        <f ca="1">IFERROR(__xludf.DUMMYFUNCTION("""COMPUTED_VALUE"""),"")</f>
        <v/>
      </c>
      <c r="T639" t="str">
        <f ca="1">IFERROR(__xludf.DUMMYFUNCTION("""COMPUTED_VALUE"""),"")</f>
        <v/>
      </c>
      <c r="U639" t="str">
        <f ca="1">IFERROR(__xludf.DUMMYFUNCTION("""COMPUTED_VALUE"""),"")</f>
        <v/>
      </c>
      <c r="V639" t="str">
        <f ca="1">IFERROR(__xludf.DUMMYFUNCTION("""COMPUTED_VALUE"""),"")</f>
        <v/>
      </c>
      <c r="W639" t="str">
        <f ca="1">IFERROR(__xludf.DUMMYFUNCTION("""COMPUTED_VALUE"""),"")</f>
        <v/>
      </c>
      <c r="X639" t="str">
        <f ca="1">IFERROR(__xludf.DUMMYFUNCTION("""COMPUTED_VALUE"""),"")</f>
        <v/>
      </c>
      <c r="Y639" t="str">
        <f ca="1">IFERROR(__xludf.DUMMYFUNCTION("""COMPUTED_VALUE"""),"")</f>
        <v/>
      </c>
      <c r="Z639" t="str">
        <f ca="1">IFERROR(__xludf.DUMMYFUNCTION("""COMPUTED_VALUE"""),"")</f>
        <v/>
      </c>
      <c r="AA639" t="str">
        <f ca="1">IFERROR(__xludf.DUMMYFUNCTION("""COMPUTED_VALUE"""),"Pas de commande")</f>
        <v>Pas de commande</v>
      </c>
      <c r="AB639" s="8" t="str">
        <f ca="1">IFERROR(__xludf.DUMMYFUNCTION("""COMPUTED_VALUE"""),"")</f>
        <v/>
      </c>
      <c r="AC639" s="8" t="str">
        <f ca="1">IFERROR(__xludf.DUMMYFUNCTION("""COMPUTED_VALUE"""),"")</f>
        <v/>
      </c>
      <c r="AD639" s="11" t="str">
        <f ca="1">IFERROR(__xludf.DUMMYFUNCTION("""COMPUTED_VALUE"""),"")</f>
        <v/>
      </c>
      <c r="AE639" t="str">
        <f ca="1">IFERROR(__xludf.DUMMYFUNCTION("""COMPUTED_VALUE"""),"")</f>
        <v/>
      </c>
    </row>
    <row r="640" spans="1:31" ht="12.75" x14ac:dyDescent="0.2">
      <c r="A640">
        <f ca="1">IFERROR(__xludf.DUMMYFUNCTION("""COMPUTED_VALUE"""),39601)</f>
        <v>39601</v>
      </c>
      <c r="B640" t="str">
        <f ca="1">IFERROR(__xludf.DUMMYFUNCTION("""COMPUTED_VALUE"""),"MONTLOUIS")</f>
        <v>MONTLOUIS</v>
      </c>
      <c r="C640" t="str">
        <f ca="1">IFERROR(__xludf.DUMMYFUNCTION("""COMPUTED_VALUE"""),"Super U")</f>
        <v>Super U</v>
      </c>
      <c r="D640" t="str">
        <f ca="1">IFERROR(__xludf.DUMMYFUNCTION("""COMPUTED_VALUE"""),"Coop U Enseigne Ouest")</f>
        <v>Coop U Enseigne Ouest</v>
      </c>
      <c r="E640">
        <f ca="1">IFERROR(__xludf.DUMMYFUNCTION("""COMPUTED_VALUE"""),37270)</f>
        <v>37270</v>
      </c>
      <c r="F640" t="str">
        <f ca="1">IFERROR(__xludf.DUMMYFUNCTION("""COMPUTED_VALUE"""),"AVENUE VICTOR LALOUX")</f>
        <v>AVENUE VICTOR LALOUX</v>
      </c>
      <c r="G640" t="str">
        <f ca="1">IFERROR(__xludf.DUMMYFUNCTION("""COMPUTED_VALUE"""),"02.47.45.78.78")</f>
        <v>02.47.45.78.78</v>
      </c>
      <c r="H640" t="str">
        <f ca="1">IFERROR(__xludf.DUMMYFUNCTION("""COMPUTED_VALUE"""),"BARREAU RPT C2A INVESTISSEMENT Patrick")</f>
        <v>BARREAU RPT C2A INVESTISSEMENT Patrick</v>
      </c>
      <c r="I640" t="str">
        <f ca="1">IFERROR(__xludf.DUMMYFUNCTION("""COMPUTED_VALUE"""),"patrick.barreau@systeme-u.fr")</f>
        <v>patrick.barreau@systeme-u.fr</v>
      </c>
      <c r="J640" t="str">
        <f ca="1">IFERROR(__xludf.DUMMYFUNCTION("""COMPUTED_VALUE"""),"M Gervais (directeur)
Mme Cognard")</f>
        <v>M Gervais (directeur)
Mme Cognard</v>
      </c>
      <c r="K640" t="str">
        <f ca="1">IFERROR(__xludf.DUMMYFUNCTION("""COMPUTED_VALUE"""),"superu.montlouis.direction@systeme-u.fr")</f>
        <v>superu.montlouis.direction@systeme-u.fr</v>
      </c>
      <c r="L640" t="str">
        <f ca="1">IFERROR(__xludf.DUMMYFUNCTION("""COMPUTED_VALUE"""),"")</f>
        <v/>
      </c>
      <c r="M640" t="str">
        <f ca="1">IFERROR(__xludf.DUMMYFUNCTION("""COMPUTED_VALUE"""),"99.Hors Périmetre")</f>
        <v>99.Hors Périmetre</v>
      </c>
      <c r="N640" t="str">
        <f ca="1">IFERROR(__xludf.DUMMYFUNCTION("""COMPUTED_VALUE"""),"")</f>
        <v/>
      </c>
      <c r="O640" t="str">
        <f ca="1">IFERROR(__xludf.DUMMYFUNCTION("""COMPUTED_VALUE"""),"")</f>
        <v/>
      </c>
      <c r="P640" t="str">
        <f ca="1">IFERROR(__xludf.DUMMYFUNCTION("""COMPUTED_VALUE"""),"")</f>
        <v/>
      </c>
      <c r="Q640" s="5" t="str">
        <f ca="1">IFERROR(__xludf.DUMMYFUNCTION("""COMPUTED_VALUE"""),"")</f>
        <v/>
      </c>
      <c r="R640" s="6" t="str">
        <f ca="1">IFERROR(__xludf.DUMMYFUNCTION("""COMPUTED_VALUE"""),"")</f>
        <v/>
      </c>
      <c r="S640" t="str">
        <f ca="1">IFERROR(__xludf.DUMMYFUNCTION("""COMPUTED_VALUE"""),"")</f>
        <v/>
      </c>
      <c r="T640" t="str">
        <f ca="1">IFERROR(__xludf.DUMMYFUNCTION("""COMPUTED_VALUE"""),"")</f>
        <v/>
      </c>
      <c r="U640" t="str">
        <f ca="1">IFERROR(__xludf.DUMMYFUNCTION("""COMPUTED_VALUE"""),"")</f>
        <v/>
      </c>
      <c r="V640" t="str">
        <f ca="1">IFERROR(__xludf.DUMMYFUNCTION("""COMPUTED_VALUE"""),"")</f>
        <v/>
      </c>
      <c r="W640" t="str">
        <f ca="1">IFERROR(__xludf.DUMMYFUNCTION("""COMPUTED_VALUE"""),"")</f>
        <v/>
      </c>
      <c r="X640" t="str">
        <f ca="1">IFERROR(__xludf.DUMMYFUNCTION("""COMPUTED_VALUE"""),"")</f>
        <v/>
      </c>
      <c r="Y640" t="str">
        <f ca="1">IFERROR(__xludf.DUMMYFUNCTION("""COMPUTED_VALUE"""),"")</f>
        <v/>
      </c>
      <c r="Z640" t="str">
        <f ca="1">IFERROR(__xludf.DUMMYFUNCTION("""COMPUTED_VALUE"""),"")</f>
        <v/>
      </c>
      <c r="AA640" t="str">
        <f ca="1">IFERROR(__xludf.DUMMYFUNCTION("""COMPUTED_VALUE"""),"Pas de commande")</f>
        <v>Pas de commande</v>
      </c>
      <c r="AB640" s="8" t="str">
        <f ca="1">IFERROR(__xludf.DUMMYFUNCTION("""COMPUTED_VALUE"""),"")</f>
        <v/>
      </c>
      <c r="AC640" s="8" t="str">
        <f ca="1">IFERROR(__xludf.DUMMYFUNCTION("""COMPUTED_VALUE"""),"")</f>
        <v/>
      </c>
      <c r="AD640" s="11" t="str">
        <f ca="1">IFERROR(__xludf.DUMMYFUNCTION("""COMPUTED_VALUE"""),"")</f>
        <v/>
      </c>
      <c r="AE640" t="str">
        <f ca="1">IFERROR(__xludf.DUMMYFUNCTION("""COMPUTED_VALUE"""),"")</f>
        <v/>
      </c>
    </row>
    <row r="641" spans="1:31" ht="12.75" x14ac:dyDescent="0.2">
      <c r="A641">
        <f ca="1">IFERROR(__xludf.DUMMYFUNCTION("""COMPUTED_VALUE"""),66139)</f>
        <v>66139</v>
      </c>
      <c r="B641" t="str">
        <f ca="1">IFERROR(__xludf.DUMMYFUNCTION("""COMPUTED_VALUE"""),"MONTLUEL")</f>
        <v>MONTLUEL</v>
      </c>
      <c r="C641" t="str">
        <f ca="1">IFERROR(__xludf.DUMMYFUNCTION("""COMPUTED_VALUE"""),"Super U")</f>
        <v>Super U</v>
      </c>
      <c r="D641" t="str">
        <f ca="1">IFERROR(__xludf.DUMMYFUNCTION("""COMPUTED_VALUE"""),"Coop U Enseigne Est")</f>
        <v>Coop U Enseigne Est</v>
      </c>
      <c r="E641">
        <f ca="1">IFERROR(__xludf.DUMMYFUNCTION("""COMPUTED_VALUE"""),1120)</f>
        <v>1120</v>
      </c>
      <c r="F641" t="str">
        <f ca="1">IFERROR(__xludf.DUMMYFUNCTION("""COMPUTED_VALUE"""),"16 cours de la Portelle")</f>
        <v>16 cours de la Portelle</v>
      </c>
      <c r="G641" t="str">
        <f ca="1">IFERROR(__xludf.DUMMYFUNCTION("""COMPUTED_VALUE"""),"04.78.06.26.78")</f>
        <v>04.78.06.26.78</v>
      </c>
      <c r="H641" t="str">
        <f ca="1">IFERROR(__xludf.DUMMYFUNCTION("""COMPUTED_VALUE"""),"DAVID Didier")</f>
        <v>DAVID Didier</v>
      </c>
      <c r="I641" t="str">
        <f ca="1">IFERROR(__xludf.DUMMYFUNCTION("""COMPUTED_VALUE"""),"didier.david@systeme-u.fr")</f>
        <v>didier.david@systeme-u.fr</v>
      </c>
      <c r="J641" t="str">
        <f ca="1">IFERROR(__xludf.DUMMYFUNCTION("""COMPUTED_VALUE"""),"FROMANG ASTRID")</f>
        <v>FROMANG ASTRID</v>
      </c>
      <c r="K641" t="str">
        <f ca="1">IFERROR(__xludf.DUMMYFUNCTION("""COMPUTED_VALUE"""),"superu.montluel.direction@systeme-u.fr")</f>
        <v>superu.montluel.direction@systeme-u.fr</v>
      </c>
      <c r="L641" t="str">
        <f ca="1">IFERROR(__xludf.DUMMYFUNCTION("""COMPUTED_VALUE"""),"")</f>
        <v/>
      </c>
      <c r="M641" t="str">
        <f ca="1">IFERROR(__xludf.DUMMYFUNCTION("""COMPUTED_VALUE"""),"99.Hors Périmetre")</f>
        <v>99.Hors Périmetre</v>
      </c>
      <c r="N641" t="str">
        <f ca="1">IFERROR(__xludf.DUMMYFUNCTION("""COMPUTED_VALUE"""),"")</f>
        <v/>
      </c>
      <c r="O641" t="str">
        <f ca="1">IFERROR(__xludf.DUMMYFUNCTION("""COMPUTED_VALUE"""),"")</f>
        <v/>
      </c>
      <c r="P641" t="str">
        <f ca="1">IFERROR(__xludf.DUMMYFUNCTION("""COMPUTED_VALUE"""),"")</f>
        <v/>
      </c>
      <c r="Q641" s="5" t="str">
        <f ca="1">IFERROR(__xludf.DUMMYFUNCTION("""COMPUTED_VALUE"""),"")</f>
        <v/>
      </c>
      <c r="R641" s="6" t="str">
        <f ca="1">IFERROR(__xludf.DUMMYFUNCTION("""COMPUTED_VALUE"""),"")</f>
        <v/>
      </c>
      <c r="S641" t="str">
        <f ca="1">IFERROR(__xludf.DUMMYFUNCTION("""COMPUTED_VALUE"""),"")</f>
        <v/>
      </c>
      <c r="T641" t="str">
        <f ca="1">IFERROR(__xludf.DUMMYFUNCTION("""COMPUTED_VALUE"""),"")</f>
        <v/>
      </c>
      <c r="U641" t="str">
        <f ca="1">IFERROR(__xludf.DUMMYFUNCTION("""COMPUTED_VALUE"""),"")</f>
        <v/>
      </c>
      <c r="V641" t="str">
        <f ca="1">IFERROR(__xludf.DUMMYFUNCTION("""COMPUTED_VALUE"""),"")</f>
        <v/>
      </c>
      <c r="W641" t="str">
        <f ca="1">IFERROR(__xludf.DUMMYFUNCTION("""COMPUTED_VALUE"""),"")</f>
        <v/>
      </c>
      <c r="X641" t="str">
        <f ca="1">IFERROR(__xludf.DUMMYFUNCTION("""COMPUTED_VALUE"""),"")</f>
        <v/>
      </c>
      <c r="Y641" t="str">
        <f ca="1">IFERROR(__xludf.DUMMYFUNCTION("""COMPUTED_VALUE"""),"")</f>
        <v/>
      </c>
      <c r="Z641" t="str">
        <f ca="1">IFERROR(__xludf.DUMMYFUNCTION("""COMPUTED_VALUE"""),"")</f>
        <v/>
      </c>
      <c r="AA641" t="str">
        <f ca="1">IFERROR(__xludf.DUMMYFUNCTION("""COMPUTED_VALUE"""),"Pas de commande")</f>
        <v>Pas de commande</v>
      </c>
      <c r="AB641" s="8" t="str">
        <f ca="1">IFERROR(__xludf.DUMMYFUNCTION("""COMPUTED_VALUE"""),"")</f>
        <v/>
      </c>
      <c r="AC641" s="8" t="str">
        <f ca="1">IFERROR(__xludf.DUMMYFUNCTION("""COMPUTED_VALUE"""),"")</f>
        <v/>
      </c>
      <c r="AD641" s="11" t="str">
        <f ca="1">IFERROR(__xludf.DUMMYFUNCTION("""COMPUTED_VALUE"""),"")</f>
        <v/>
      </c>
      <c r="AE641" t="str">
        <f ca="1">IFERROR(__xludf.DUMMYFUNCTION("""COMPUTED_VALUE"""),"")</f>
        <v/>
      </c>
    </row>
    <row r="642" spans="1:31" ht="12.75" x14ac:dyDescent="0.2">
      <c r="A642">
        <f ca="1">IFERROR(__xludf.DUMMYFUNCTION("""COMPUTED_VALUE"""),65452)</f>
        <v>65452</v>
      </c>
      <c r="B642" t="str">
        <f ca="1">IFERROR(__xludf.DUMMYFUNCTION("""COMPUTED_VALUE"""),"MONTMEDY")</f>
        <v>MONTMEDY</v>
      </c>
      <c r="C642" t="str">
        <f ca="1">IFERROR(__xludf.DUMMYFUNCTION("""COMPUTED_VALUE"""),"Super U")</f>
        <v>Super U</v>
      </c>
      <c r="D642" t="str">
        <f ca="1">IFERROR(__xludf.DUMMYFUNCTION("""COMPUTED_VALUE"""),"Coop U Enseigne Est")</f>
        <v>Coop U Enseigne Est</v>
      </c>
      <c r="E642">
        <f ca="1">IFERROR(__xludf.DUMMYFUNCTION("""COMPUTED_VALUE"""),55600)</f>
        <v>55600</v>
      </c>
      <c r="F642" t="str">
        <f ca="1">IFERROR(__xludf.DUMMYFUNCTION("""COMPUTED_VALUE"""),"11 Avenue de Verdun")</f>
        <v>11 Avenue de Verdun</v>
      </c>
      <c r="G642" t="str">
        <f ca="1">IFERROR(__xludf.DUMMYFUNCTION("""COMPUTED_VALUE"""),"03.29.80.02.02")</f>
        <v>03.29.80.02.02</v>
      </c>
      <c r="H642" t="str">
        <f ca="1">IFERROR(__xludf.DUMMYFUNCTION("""COMPUTED_VALUE"""),"BENAYAD Khalil")</f>
        <v>BENAYAD Khalil</v>
      </c>
      <c r="I642" t="str">
        <f ca="1">IFERROR(__xludf.DUMMYFUNCTION("""COMPUTED_VALUE"""),"khalil.benayad@systeme-u.fr")</f>
        <v>khalil.benayad@systeme-u.fr</v>
      </c>
      <c r="J642" t="str">
        <f ca="1">IFERROR(__xludf.DUMMYFUNCTION("""COMPUTED_VALUE"""),"")</f>
        <v/>
      </c>
      <c r="K642" t="str">
        <f ca="1">IFERROR(__xludf.DUMMYFUNCTION("""COMPUTED_VALUE"""),"")</f>
        <v/>
      </c>
      <c r="L642" t="str">
        <f ca="1">IFERROR(__xludf.DUMMYFUNCTION("""COMPUTED_VALUE"""),"")</f>
        <v/>
      </c>
      <c r="M642" t="str">
        <f ca="1">IFERROR(__xludf.DUMMYFUNCTION("""COMPUTED_VALUE"""),"99.Hors Périmetre")</f>
        <v>99.Hors Périmetre</v>
      </c>
      <c r="N642" t="str">
        <f ca="1">IFERROR(__xludf.DUMMYFUNCTION("""COMPUTED_VALUE"""),"")</f>
        <v/>
      </c>
      <c r="O642" t="str">
        <f ca="1">IFERROR(__xludf.DUMMYFUNCTION("""COMPUTED_VALUE"""),"")</f>
        <v/>
      </c>
      <c r="P642" t="str">
        <f ca="1">IFERROR(__xludf.DUMMYFUNCTION("""COMPUTED_VALUE"""),"")</f>
        <v/>
      </c>
      <c r="Q642" s="5" t="str">
        <f ca="1">IFERROR(__xludf.DUMMYFUNCTION("""COMPUTED_VALUE"""),"")</f>
        <v/>
      </c>
      <c r="R642" s="6" t="str">
        <f ca="1">IFERROR(__xludf.DUMMYFUNCTION("""COMPUTED_VALUE"""),"")</f>
        <v/>
      </c>
      <c r="S642" t="str">
        <f ca="1">IFERROR(__xludf.DUMMYFUNCTION("""COMPUTED_VALUE"""),"")</f>
        <v/>
      </c>
      <c r="T642" t="str">
        <f ca="1">IFERROR(__xludf.DUMMYFUNCTION("""COMPUTED_VALUE"""),"")</f>
        <v/>
      </c>
      <c r="U642" t="str">
        <f ca="1">IFERROR(__xludf.DUMMYFUNCTION("""COMPUTED_VALUE"""),"")</f>
        <v/>
      </c>
      <c r="V642" t="str">
        <f ca="1">IFERROR(__xludf.DUMMYFUNCTION("""COMPUTED_VALUE"""),"")</f>
        <v/>
      </c>
      <c r="W642" t="str">
        <f ca="1">IFERROR(__xludf.DUMMYFUNCTION("""COMPUTED_VALUE"""),"")</f>
        <v/>
      </c>
      <c r="X642" t="str">
        <f ca="1">IFERROR(__xludf.DUMMYFUNCTION("""COMPUTED_VALUE"""),"")</f>
        <v/>
      </c>
      <c r="Y642" t="str">
        <f ca="1">IFERROR(__xludf.DUMMYFUNCTION("""COMPUTED_VALUE"""),"")</f>
        <v/>
      </c>
      <c r="Z642" t="str">
        <f ca="1">IFERROR(__xludf.DUMMYFUNCTION("""COMPUTED_VALUE"""),"")</f>
        <v/>
      </c>
      <c r="AA642" t="str">
        <f ca="1">IFERROR(__xludf.DUMMYFUNCTION("""COMPUTED_VALUE"""),"Pas de commande")</f>
        <v>Pas de commande</v>
      </c>
      <c r="AB642" s="8" t="str">
        <f ca="1">IFERROR(__xludf.DUMMYFUNCTION("""COMPUTED_VALUE"""),"")</f>
        <v/>
      </c>
      <c r="AC642" s="8" t="str">
        <f ca="1">IFERROR(__xludf.DUMMYFUNCTION("""COMPUTED_VALUE"""),"")</f>
        <v/>
      </c>
      <c r="AD642" s="11" t="str">
        <f ca="1">IFERROR(__xludf.DUMMYFUNCTION("""COMPUTED_VALUE"""),"")</f>
        <v/>
      </c>
      <c r="AE642" t="str">
        <f ca="1">IFERROR(__xludf.DUMMYFUNCTION("""COMPUTED_VALUE"""),"")</f>
        <v/>
      </c>
    </row>
    <row r="643" spans="1:31" ht="12.75" x14ac:dyDescent="0.2">
      <c r="A643">
        <f ca="1">IFERROR(__xludf.DUMMYFUNCTION("""COMPUTED_VALUE"""),66564)</f>
        <v>66564</v>
      </c>
      <c r="B643" t="str">
        <f ca="1">IFERROR(__xludf.DUMMYFUNCTION("""COMPUTED_VALUE"""),"MONTMELIAN")</f>
        <v>MONTMELIAN</v>
      </c>
      <c r="C643" t="str">
        <f ca="1">IFERROR(__xludf.DUMMYFUNCTION("""COMPUTED_VALUE"""),"Super U")</f>
        <v>Super U</v>
      </c>
      <c r="D643" t="str">
        <f ca="1">IFERROR(__xludf.DUMMYFUNCTION("""COMPUTED_VALUE"""),"Coop U Enseigne Est")</f>
        <v>Coop U Enseigne Est</v>
      </c>
      <c r="E643">
        <f ca="1">IFERROR(__xludf.DUMMYFUNCTION("""COMPUTED_VALUE"""),73800)</f>
        <v>73800</v>
      </c>
      <c r="F643" t="str">
        <f ca="1">IFERROR(__xludf.DUMMYFUNCTION("""COMPUTED_VALUE"""),"Le Boisset Francin")</f>
        <v>Le Boisset Francin</v>
      </c>
      <c r="G643" t="str">
        <f ca="1">IFERROR(__xludf.DUMMYFUNCTION("""COMPUTED_VALUE"""),"04.79.65.21.29")</f>
        <v>04.79.65.21.29</v>
      </c>
      <c r="H643" t="str">
        <f ca="1">IFERROR(__xludf.DUMMYFUNCTION("""COMPUTED_VALUE"""),"ABRAHAM Laurent")</f>
        <v>ABRAHAM Laurent</v>
      </c>
      <c r="I643" t="str">
        <f ca="1">IFERROR(__xludf.DUMMYFUNCTION("""COMPUTED_VALUE"""),"laurent.abraham@systeme-u.fr")</f>
        <v>laurent.abraham@systeme-u.fr</v>
      </c>
      <c r="J643" t="str">
        <f ca="1">IFERROR(__xludf.DUMMYFUNCTION("""COMPUTED_VALUE"""),"M. MARIE ")</f>
        <v xml:space="preserve">M. MARIE </v>
      </c>
      <c r="K643" t="str">
        <f ca="1">IFERROR(__xludf.DUMMYFUNCTION("""COMPUTED_VALUE"""),"superu.montmelian.direction@systeme-u.fr")</f>
        <v>superu.montmelian.direction@systeme-u.fr</v>
      </c>
      <c r="L643" t="str">
        <f ca="1">IFERROR(__xludf.DUMMYFUNCTION("""COMPUTED_VALUE"""),"Standard")</f>
        <v>Standard</v>
      </c>
      <c r="M643" t="str">
        <f ca="1">IFERROR(__xludf.DUMMYFUNCTION("""COMPUTED_VALUE"""),"0. Non démarré")</f>
        <v>0. Non démarré</v>
      </c>
      <c r="N643" t="str">
        <f ca="1">IFERROR(__xludf.DUMMYFUNCTION("""COMPUTED_VALUE"""),"")</f>
        <v/>
      </c>
      <c r="O643" t="str">
        <f ca="1">IFERROR(__xludf.DUMMYFUNCTION("""COMPUTED_VALUE"""),"05/04 LFO : Mail de M. Abraham (Associé PDV): ""Dans le cadre de la visite pour le projet USB merci de noter l ajout de la VM pricer dans le serveur dans votre CDC""")</f>
        <v>05/04 LFO : Mail de M. Abraham (Associé PDV): "Dans le cadre de la visite pour le projet USB merci de noter l ajout de la VM pricer dans le serveur dans votre CDC"</v>
      </c>
      <c r="P643" t="str">
        <f ca="1">IFERROR(__xludf.DUMMYFUNCTION("""COMPUTED_VALUE"""),"")</f>
        <v/>
      </c>
      <c r="Q643" s="5" t="str">
        <f ca="1">IFERROR(__xludf.DUMMYFUNCTION("""COMPUTED_VALUE"""),"")</f>
        <v/>
      </c>
      <c r="R643" s="6" t="str">
        <f ca="1">IFERROR(__xludf.DUMMYFUNCTION("""COMPUTED_VALUE"""),"")</f>
        <v/>
      </c>
      <c r="S643" t="str">
        <f ca="1">IFERROR(__xludf.DUMMYFUNCTION("""COMPUTED_VALUE"""),"")</f>
        <v/>
      </c>
      <c r="T643" t="str">
        <f ca="1">IFERROR(__xludf.DUMMYFUNCTION("""COMPUTED_VALUE"""),"")</f>
        <v/>
      </c>
      <c r="U643" t="str">
        <f ca="1">IFERROR(__xludf.DUMMYFUNCTION("""COMPUTED_VALUE"""),"")</f>
        <v/>
      </c>
      <c r="V643" t="str">
        <f ca="1">IFERROR(__xludf.DUMMYFUNCTION("""COMPUTED_VALUE"""),"")</f>
        <v/>
      </c>
      <c r="W643" t="str">
        <f ca="1">IFERROR(__xludf.DUMMYFUNCTION("""COMPUTED_VALUE"""),"R5")</f>
        <v>R5</v>
      </c>
      <c r="X643" t="str">
        <f ca="1">IFERROR(__xludf.DUMMYFUNCTION("""COMPUTED_VALUE"""),"Pricer")</f>
        <v>Pricer</v>
      </c>
      <c r="Y643" t="str">
        <f ca="1">IFERROR(__xludf.DUMMYFUNCTION("""COMPUTED_VALUE"""),"")</f>
        <v/>
      </c>
      <c r="Z643" t="str">
        <f ca="1">IFERROR(__xludf.DUMMYFUNCTION("""COMPUTED_VALUE"""),"")</f>
        <v/>
      </c>
      <c r="AA643" t="str">
        <f ca="1">IFERROR(__xludf.DUMMYFUNCTION("""COMPUTED_VALUE"""),"Pas de commande")</f>
        <v>Pas de commande</v>
      </c>
      <c r="AB643" s="8" t="str">
        <f ca="1">IFERROR(__xludf.DUMMYFUNCTION("""COMPUTED_VALUE"""),"")</f>
        <v/>
      </c>
      <c r="AC643" s="8" t="str">
        <f ca="1">IFERROR(__xludf.DUMMYFUNCTION("""COMPUTED_VALUE"""),"")</f>
        <v/>
      </c>
      <c r="AD643" s="11" t="str">
        <f ca="1">IFERROR(__xludf.DUMMYFUNCTION("""COMPUTED_VALUE"""),"")</f>
        <v/>
      </c>
      <c r="AE643" t="str">
        <f ca="1">IFERROR(__xludf.DUMMYFUNCTION("""COMPUTED_VALUE"""),"")</f>
        <v/>
      </c>
    </row>
    <row r="644" spans="1:31" ht="12.75" x14ac:dyDescent="0.2">
      <c r="A644">
        <f ca="1">IFERROR(__xludf.DUMMYFUNCTION("""COMPUTED_VALUE"""),32078)</f>
        <v>32078</v>
      </c>
      <c r="B644" t="str">
        <f ca="1">IFERROR(__xludf.DUMMYFUNCTION("""COMPUTED_VALUE"""),"MONTMOREAU")</f>
        <v>MONTMOREAU</v>
      </c>
      <c r="C644" t="str">
        <f ca="1">IFERROR(__xludf.DUMMYFUNCTION("""COMPUTED_VALUE"""),"Super U")</f>
        <v>Super U</v>
      </c>
      <c r="D644" t="str">
        <f ca="1">IFERROR(__xludf.DUMMYFUNCTION("""COMPUTED_VALUE"""),"Coop Atlantique")</f>
        <v>Coop Atlantique</v>
      </c>
      <c r="E644">
        <f ca="1">IFERROR(__xludf.DUMMYFUNCTION("""COMPUTED_VALUE"""),16190)</f>
        <v>16190</v>
      </c>
      <c r="F644" t="str">
        <f ca="1">IFERROR(__xludf.DUMMYFUNCTION("""COMPUTED_VALUE"""),"58 AVENUE DE L'ANGOUMOIS")</f>
        <v>58 AVENUE DE L'ANGOUMOIS</v>
      </c>
      <c r="G644" t="str">
        <f ca="1">IFERROR(__xludf.DUMMYFUNCTION("""COMPUTED_VALUE"""),"05.45.60.25.08")</f>
        <v>05.45.60.25.08</v>
      </c>
      <c r="H644" t="str">
        <f ca="1">IFERROR(__xludf.DUMMYFUNCTION("""COMPUTED_VALUE"""),"FLAMBARD Hervé")</f>
        <v>FLAMBARD Hervé</v>
      </c>
      <c r="I644" t="str">
        <f ca="1">IFERROR(__xludf.DUMMYFUNCTION("""COMPUTED_VALUE"""),"bertrand.defontaine_coop_su_uex@systeme-u.fr")</f>
        <v>bertrand.defontaine_coop_su_uex@systeme-u.fr</v>
      </c>
      <c r="J644" t="str">
        <f ca="1">IFERROR(__xludf.DUMMYFUNCTION("""COMPUTED_VALUE"""),"Nathalie MARCILLAUD / Thierry BAGUENARD")</f>
        <v>Nathalie MARCILLAUD / Thierry BAGUENARD</v>
      </c>
      <c r="K644" t="str">
        <f ca="1">IFERROR(__xludf.DUMMYFUNCTION("""COMPUTED_VALUE"""),"superu.montmoreau.direction@systeme-u.fr,nbrigant@coop-atlantique.fr,sjaud@coop-atlantique.fr,tbaguenard@coop-atlantique.fr")</f>
        <v>superu.montmoreau.direction@systeme-u.fr,nbrigant@coop-atlantique.fr,sjaud@coop-atlantique.fr,tbaguenard@coop-atlantique.fr</v>
      </c>
      <c r="L644" t="str">
        <f ca="1">IFERROR(__xludf.DUMMYFUNCTION("""COMPUTED_VALUE"""),"Standard")</f>
        <v>Standard</v>
      </c>
      <c r="M644" t="str">
        <f ca="1">IFERROR(__xludf.DUMMYFUNCTION("""COMPUTED_VALUE"""),"0. Non démarré")</f>
        <v>0. Non démarré</v>
      </c>
      <c r="N644" t="str">
        <f ca="1">IFERROR(__xludf.DUMMYFUNCTION("""COMPUTED_VALUE"""),"")</f>
        <v/>
      </c>
      <c r="O644" t="str">
        <f ca="1">IFERROR(__xludf.DUMMYFUNCTION("""COMPUTED_VALUE"""),"")</f>
        <v/>
      </c>
      <c r="P644" t="str">
        <f ca="1">IFERROR(__xludf.DUMMYFUNCTION("""COMPUTED_VALUE"""),"")</f>
        <v/>
      </c>
      <c r="Q644" s="5" t="str">
        <f ca="1">IFERROR(__xludf.DUMMYFUNCTION("""COMPUTED_VALUE"""),"")</f>
        <v/>
      </c>
      <c r="R644" s="6" t="str">
        <f ca="1">IFERROR(__xludf.DUMMYFUNCTION("""COMPUTED_VALUE"""),"")</f>
        <v/>
      </c>
      <c r="S644" t="str">
        <f ca="1">IFERROR(__xludf.DUMMYFUNCTION("""COMPUTED_VALUE"""),"")</f>
        <v/>
      </c>
      <c r="T644" t="str">
        <f ca="1">IFERROR(__xludf.DUMMYFUNCTION("""COMPUTED_VALUE"""),"")</f>
        <v/>
      </c>
      <c r="U644" t="str">
        <f ca="1">IFERROR(__xludf.DUMMYFUNCTION("""COMPUTED_VALUE"""),"")</f>
        <v/>
      </c>
      <c r="V644" t="str">
        <f ca="1">IFERROR(__xludf.DUMMYFUNCTION("""COMPUTED_VALUE"""),"")</f>
        <v/>
      </c>
      <c r="W644" t="str">
        <f ca="1">IFERROR(__xludf.DUMMYFUNCTION("""COMPUTED_VALUE"""),"R5")</f>
        <v>R5</v>
      </c>
      <c r="X644" t="str">
        <f ca="1">IFERROR(__xludf.DUMMYFUNCTION("""COMPUTED_VALUE"""),"PC mag &lt;8Go")</f>
        <v>PC mag &lt;8Go</v>
      </c>
      <c r="Y644" t="str">
        <f ca="1">IFERROR(__xludf.DUMMYFUNCTION("""COMPUTED_VALUE"""),"")</f>
        <v/>
      </c>
      <c r="Z644" t="str">
        <f ca="1">IFERROR(__xludf.DUMMYFUNCTION("""COMPUTED_VALUE"""),"")</f>
        <v/>
      </c>
      <c r="AA644" t="str">
        <f ca="1">IFERROR(__xludf.DUMMYFUNCTION("""COMPUTED_VALUE"""),"Pas de commande")</f>
        <v>Pas de commande</v>
      </c>
      <c r="AB644" s="8" t="str">
        <f ca="1">IFERROR(__xludf.DUMMYFUNCTION("""COMPUTED_VALUE"""),"")</f>
        <v/>
      </c>
      <c r="AC644" s="8" t="str">
        <f ca="1">IFERROR(__xludf.DUMMYFUNCTION("""COMPUTED_VALUE"""),"")</f>
        <v/>
      </c>
      <c r="AD644" s="11" t="str">
        <f ca="1">IFERROR(__xludf.DUMMYFUNCTION("""COMPUTED_VALUE"""),"")</f>
        <v/>
      </c>
      <c r="AE644" t="str">
        <f ca="1">IFERROR(__xludf.DUMMYFUNCTION("""COMPUTED_VALUE"""),"")</f>
        <v/>
      </c>
    </row>
    <row r="645" spans="1:31" ht="12.75" x14ac:dyDescent="0.2">
      <c r="A645">
        <f ca="1">IFERROR(__xludf.DUMMYFUNCTION("""COMPUTED_VALUE"""),32079)</f>
        <v>32079</v>
      </c>
      <c r="B645" t="str">
        <f ca="1">IFERROR(__xludf.DUMMYFUNCTION("""COMPUTED_VALUE"""),"MONTMORILLON")</f>
        <v>MONTMORILLON</v>
      </c>
      <c r="C645" t="str">
        <f ca="1">IFERROR(__xludf.DUMMYFUNCTION("""COMPUTED_VALUE"""),"Super U")</f>
        <v>Super U</v>
      </c>
      <c r="D645" t="str">
        <f ca="1">IFERROR(__xludf.DUMMYFUNCTION("""COMPUTED_VALUE"""),"Coop Atlantique")</f>
        <v>Coop Atlantique</v>
      </c>
      <c r="E645">
        <f ca="1">IFERROR(__xludf.DUMMYFUNCTION("""COMPUTED_VALUE"""),86500)</f>
        <v>86500</v>
      </c>
      <c r="F645" t="str">
        <f ca="1">IFERROR(__xludf.DUMMYFUNCTION("""COMPUTED_VALUE"""),"106, AVENUE VICTOR HUGO")</f>
        <v>106, AVENUE VICTOR HUGO</v>
      </c>
      <c r="G645" t="str">
        <f ca="1">IFERROR(__xludf.DUMMYFUNCTION("""COMPUTED_VALUE"""),"05.49.91.11.74")</f>
        <v>05.49.91.11.74</v>
      </c>
      <c r="H645" t="str">
        <f ca="1">IFERROR(__xludf.DUMMYFUNCTION("""COMPUTED_VALUE"""),"FLAMBARD Hervé")</f>
        <v>FLAMBARD Hervé</v>
      </c>
      <c r="I645" t="str">
        <f ca="1">IFERROR(__xludf.DUMMYFUNCTION("""COMPUTED_VALUE"""),"bertrand.defontaine_coop_su_uex@systeme-u.fr")</f>
        <v>bertrand.defontaine_coop_su_uex@systeme-u.fr</v>
      </c>
      <c r="J645" t="str">
        <f ca="1">IFERROR(__xludf.DUMMYFUNCTION("""COMPUTED_VALUE"""),"Mr GAUTHIER")</f>
        <v>Mr GAUTHIER</v>
      </c>
      <c r="K645" t="str">
        <f ca="1">IFERROR(__xludf.DUMMYFUNCTION("""COMPUTED_VALUE"""),"superu.montmorillon.direction@systeme-u.fr,nbrigant@coop-atlantique.fr,sjaud@coop-atlantique.fr, jfgauthier@coop-atlantique.fr")</f>
        <v>superu.montmorillon.direction@systeme-u.fr,nbrigant@coop-atlantique.fr,sjaud@coop-atlantique.fr, jfgauthier@coop-atlantique.fr</v>
      </c>
      <c r="L645" t="str">
        <f ca="1">IFERROR(__xludf.DUMMYFUNCTION("""COMPUTED_VALUE"""),"")</f>
        <v/>
      </c>
      <c r="M645" t="str">
        <f ca="1">IFERROR(__xludf.DUMMYFUNCTION("""COMPUTED_VALUE"""),"99.Hors Périmetre")</f>
        <v>99.Hors Périmetre</v>
      </c>
      <c r="N645" t="str">
        <f ca="1">IFERROR(__xludf.DUMMYFUNCTION("""COMPUTED_VALUE"""),"")</f>
        <v/>
      </c>
      <c r="O645" t="str">
        <f ca="1">IFERROR(__xludf.DUMMYFUNCTION("""COMPUTED_VALUE"""),"")</f>
        <v/>
      </c>
      <c r="P645" t="str">
        <f ca="1">IFERROR(__xludf.DUMMYFUNCTION("""COMPUTED_VALUE"""),"")</f>
        <v/>
      </c>
      <c r="Q645" s="5" t="str">
        <f ca="1">IFERROR(__xludf.DUMMYFUNCTION("""COMPUTED_VALUE"""),"")</f>
        <v/>
      </c>
      <c r="R645" s="6" t="str">
        <f ca="1">IFERROR(__xludf.DUMMYFUNCTION("""COMPUTED_VALUE"""),"")</f>
        <v/>
      </c>
      <c r="S645" t="str">
        <f ca="1">IFERROR(__xludf.DUMMYFUNCTION("""COMPUTED_VALUE"""),"")</f>
        <v/>
      </c>
      <c r="T645" t="str">
        <f ca="1">IFERROR(__xludf.DUMMYFUNCTION("""COMPUTED_VALUE"""),"")</f>
        <v/>
      </c>
      <c r="U645" t="str">
        <f ca="1">IFERROR(__xludf.DUMMYFUNCTION("""COMPUTED_VALUE"""),"")</f>
        <v/>
      </c>
      <c r="V645" t="str">
        <f ca="1">IFERROR(__xludf.DUMMYFUNCTION("""COMPUTED_VALUE"""),"")</f>
        <v/>
      </c>
      <c r="W645" t="str">
        <f ca="1">IFERROR(__xludf.DUMMYFUNCTION("""COMPUTED_VALUE"""),"")</f>
        <v/>
      </c>
      <c r="X645" t="str">
        <f ca="1">IFERROR(__xludf.DUMMYFUNCTION("""COMPUTED_VALUE"""),"")</f>
        <v/>
      </c>
      <c r="Y645" t="str">
        <f ca="1">IFERROR(__xludf.DUMMYFUNCTION("""COMPUTED_VALUE"""),"")</f>
        <v/>
      </c>
      <c r="Z645" t="str">
        <f ca="1">IFERROR(__xludf.DUMMYFUNCTION("""COMPUTED_VALUE"""),"")</f>
        <v/>
      </c>
      <c r="AA645" t="str">
        <f ca="1">IFERROR(__xludf.DUMMYFUNCTION("""COMPUTED_VALUE"""),"Pas de commande")</f>
        <v>Pas de commande</v>
      </c>
      <c r="AB645" s="8" t="str">
        <f ca="1">IFERROR(__xludf.DUMMYFUNCTION("""COMPUTED_VALUE"""),"")</f>
        <v/>
      </c>
      <c r="AC645" s="8" t="str">
        <f ca="1">IFERROR(__xludf.DUMMYFUNCTION("""COMPUTED_VALUE"""),"")</f>
        <v/>
      </c>
      <c r="AD645" s="11" t="str">
        <f ca="1">IFERROR(__xludf.DUMMYFUNCTION("""COMPUTED_VALUE"""),"")</f>
        <v/>
      </c>
      <c r="AE645" t="str">
        <f ca="1">IFERROR(__xludf.DUMMYFUNCTION("""COMPUTED_VALUE"""),"")</f>
        <v/>
      </c>
    </row>
    <row r="646" spans="1:31" ht="12.75" x14ac:dyDescent="0.2">
      <c r="A646">
        <f ca="1">IFERROR(__xludf.DUMMYFUNCTION("""COMPUTED_VALUE"""),63001)</f>
        <v>63001</v>
      </c>
      <c r="B646" t="str">
        <f ca="1">IFERROR(__xludf.DUMMYFUNCTION("""COMPUTED_VALUE"""),"MONTMOROT")</f>
        <v>MONTMOROT</v>
      </c>
      <c r="C646" t="str">
        <f ca="1">IFERROR(__xludf.DUMMYFUNCTION("""COMPUTED_VALUE"""),"Hyper U")</f>
        <v>Hyper U</v>
      </c>
      <c r="D646" t="str">
        <f ca="1">IFERROR(__xludf.DUMMYFUNCTION("""COMPUTED_VALUE"""),"Coop U Enseigne Est")</f>
        <v>Coop U Enseigne Est</v>
      </c>
      <c r="E646">
        <f ca="1">IFERROR(__xludf.DUMMYFUNCTION("""COMPUTED_VALUE"""),39570)</f>
        <v>39570</v>
      </c>
      <c r="F646" t="str">
        <f ca="1">IFERROR(__xludf.DUMMYFUNCTION("""COMPUTED_VALUE"""),"EN CHANTRANS")</f>
        <v>EN CHANTRANS</v>
      </c>
      <c r="G646" t="str">
        <f ca="1">IFERROR(__xludf.DUMMYFUNCTION("""COMPUTED_VALUE"""),"03.84.24.77.70")</f>
        <v>03.84.24.77.70</v>
      </c>
      <c r="H646" t="str">
        <f ca="1">IFERROR(__xludf.DUMMYFUNCTION("""COMPUTED_VALUE"""),"DELATTE RPT SAS MAJUNI Nicolas")</f>
        <v>DELATTE RPT SAS MAJUNI Nicolas</v>
      </c>
      <c r="I646" t="str">
        <f ca="1">IFERROR(__xludf.DUMMYFUNCTION("""COMPUTED_VALUE"""),"nicolas.delatte@systeme-u.fr")</f>
        <v>nicolas.delatte@systeme-u.fr</v>
      </c>
      <c r="J646" t="str">
        <f ca="1">IFERROR(__xludf.DUMMYFUNCTION("""COMPUTED_VALUE"""),"PAGNOT Marylin")</f>
        <v>PAGNOT Marylin</v>
      </c>
      <c r="K646" t="str">
        <f ca="1">IFERROR(__xludf.DUMMYFUNCTION("""COMPUTED_VALUE"""),"hyperu.montmorot.direction@systeme-u.fr")</f>
        <v>hyperu.montmorot.direction@systeme-u.fr</v>
      </c>
      <c r="L646" t="str">
        <f ca="1">IFERROR(__xludf.DUMMYFUNCTION("""COMPUTED_VALUE"""),"")</f>
        <v/>
      </c>
      <c r="M646" t="str">
        <f ca="1">IFERROR(__xludf.DUMMYFUNCTION("""COMPUTED_VALUE"""),"99.Hors Périmetre")</f>
        <v>99.Hors Périmetre</v>
      </c>
      <c r="N646" t="str">
        <f ca="1">IFERROR(__xludf.DUMMYFUNCTION("""COMPUTED_VALUE"""),"")</f>
        <v/>
      </c>
      <c r="O646" t="str">
        <f ca="1">IFERROR(__xludf.DUMMYFUNCTION("""COMPUTED_VALUE"""),"")</f>
        <v/>
      </c>
      <c r="P646" t="str">
        <f ca="1">IFERROR(__xludf.DUMMYFUNCTION("""COMPUTED_VALUE"""),"")</f>
        <v/>
      </c>
      <c r="Q646" s="5" t="str">
        <f ca="1">IFERROR(__xludf.DUMMYFUNCTION("""COMPUTED_VALUE"""),"")</f>
        <v/>
      </c>
      <c r="R646" s="6" t="str">
        <f ca="1">IFERROR(__xludf.DUMMYFUNCTION("""COMPUTED_VALUE"""),"")</f>
        <v/>
      </c>
      <c r="S646" t="str">
        <f ca="1">IFERROR(__xludf.DUMMYFUNCTION("""COMPUTED_VALUE"""),"")</f>
        <v/>
      </c>
      <c r="T646" t="str">
        <f ca="1">IFERROR(__xludf.DUMMYFUNCTION("""COMPUTED_VALUE"""),"")</f>
        <v/>
      </c>
      <c r="U646" t="str">
        <f ca="1">IFERROR(__xludf.DUMMYFUNCTION("""COMPUTED_VALUE"""),"")</f>
        <v/>
      </c>
      <c r="V646" t="str">
        <f ca="1">IFERROR(__xludf.DUMMYFUNCTION("""COMPUTED_VALUE"""),"")</f>
        <v/>
      </c>
      <c r="W646" t="str">
        <f ca="1">IFERROR(__xludf.DUMMYFUNCTION("""COMPUTED_VALUE"""),"")</f>
        <v/>
      </c>
      <c r="X646" t="str">
        <f ca="1">IFERROR(__xludf.DUMMYFUNCTION("""COMPUTED_VALUE"""),"")</f>
        <v/>
      </c>
      <c r="Y646" t="str">
        <f ca="1">IFERROR(__xludf.DUMMYFUNCTION("""COMPUTED_VALUE"""),"")</f>
        <v/>
      </c>
      <c r="Z646" t="str">
        <f ca="1">IFERROR(__xludf.DUMMYFUNCTION("""COMPUTED_VALUE"""),"")</f>
        <v/>
      </c>
      <c r="AA646" t="str">
        <f ca="1">IFERROR(__xludf.DUMMYFUNCTION("""COMPUTED_VALUE"""),"Pas de commande")</f>
        <v>Pas de commande</v>
      </c>
      <c r="AB646" s="8" t="str">
        <f ca="1">IFERROR(__xludf.DUMMYFUNCTION("""COMPUTED_VALUE"""),"")</f>
        <v/>
      </c>
      <c r="AC646" s="8" t="str">
        <f ca="1">IFERROR(__xludf.DUMMYFUNCTION("""COMPUTED_VALUE"""),"")</f>
        <v/>
      </c>
      <c r="AD646" s="11" t="str">
        <f ca="1">IFERROR(__xludf.DUMMYFUNCTION("""COMPUTED_VALUE"""),"")</f>
        <v/>
      </c>
      <c r="AE646" t="str">
        <f ca="1">IFERROR(__xludf.DUMMYFUNCTION("""COMPUTED_VALUE"""),"")</f>
        <v/>
      </c>
    </row>
    <row r="647" spans="1:31" ht="12.75" x14ac:dyDescent="0.2">
      <c r="A647">
        <f ca="1">IFERROR(__xludf.DUMMYFUNCTION("""COMPUTED_VALUE"""),32445)</f>
        <v>32445</v>
      </c>
      <c r="B647" t="str">
        <f ca="1">IFERROR(__xludf.DUMMYFUNCTION("""COMPUTED_VALUE"""),"MONTOIR-DE-BRETAGNE")</f>
        <v>MONTOIR-DE-BRETAGNE</v>
      </c>
      <c r="C647" t="str">
        <f ca="1">IFERROR(__xludf.DUMMYFUNCTION("""COMPUTED_VALUE"""),"Super U")</f>
        <v>Super U</v>
      </c>
      <c r="D647" t="str">
        <f ca="1">IFERROR(__xludf.DUMMYFUNCTION("""COMPUTED_VALUE"""),"Coop U Enseigne Ouest")</f>
        <v>Coop U Enseigne Ouest</v>
      </c>
      <c r="E647">
        <f ca="1">IFERROR(__xludf.DUMMYFUNCTION("""COMPUTED_VALUE"""),44550)</f>
        <v>44550</v>
      </c>
      <c r="F647" t="str">
        <f ca="1">IFERROR(__xludf.DUMMYFUNCTION("""COMPUTED_VALUE"""),"CENTRE COMMERCIAL DE LA BERNUAIS")</f>
        <v>CENTRE COMMERCIAL DE LA BERNUAIS</v>
      </c>
      <c r="G647" t="str">
        <f ca="1">IFERROR(__xludf.DUMMYFUNCTION("""COMPUTED_VALUE"""),"02.40.45.46.10")</f>
        <v>02.40.45.46.10</v>
      </c>
      <c r="H647" t="str">
        <f ca="1">IFERROR(__xludf.DUMMYFUNCTION("""COMPUTED_VALUE"""),"LE BRIS Kévin")</f>
        <v>LE BRIS Kévin</v>
      </c>
      <c r="I647" t="str">
        <f ca="1">IFERROR(__xludf.DUMMYFUNCTION("""COMPUTED_VALUE"""),"kevin.lebris@systeme-u.fr")</f>
        <v>kevin.lebris@systeme-u.fr</v>
      </c>
      <c r="J647" t="str">
        <f ca="1">IFERROR(__xludf.DUMMYFUNCTION("""COMPUTED_VALUE"""),"HELIE Nathalie")</f>
        <v>HELIE Nathalie</v>
      </c>
      <c r="K647" t="str">
        <f ca="1">IFERROR(__xludf.DUMMYFUNCTION("""COMPUTED_VALUE"""),"superu.montoirdebretagne@systeme-u.fr")</f>
        <v>superu.montoirdebretagne@systeme-u.fr</v>
      </c>
      <c r="L647" t="str">
        <f ca="1">IFERROR(__xludf.DUMMYFUNCTION("""COMPUTED_VALUE"""),"")</f>
        <v/>
      </c>
      <c r="M647" t="str">
        <f ca="1">IFERROR(__xludf.DUMMYFUNCTION("""COMPUTED_VALUE"""),"99.Hors Périmetre")</f>
        <v>99.Hors Périmetre</v>
      </c>
      <c r="N647" t="str">
        <f ca="1">IFERROR(__xludf.DUMMYFUNCTION("""COMPUTED_VALUE"""),"")</f>
        <v/>
      </c>
      <c r="O647" t="str">
        <f ca="1">IFERROR(__xludf.DUMMYFUNCTION("""COMPUTED_VALUE"""),"")</f>
        <v/>
      </c>
      <c r="P647" t="str">
        <f ca="1">IFERROR(__xludf.DUMMYFUNCTION("""COMPUTED_VALUE"""),"")</f>
        <v/>
      </c>
      <c r="Q647" s="5" t="str">
        <f ca="1">IFERROR(__xludf.DUMMYFUNCTION("""COMPUTED_VALUE"""),"")</f>
        <v/>
      </c>
      <c r="R647" s="6" t="str">
        <f ca="1">IFERROR(__xludf.DUMMYFUNCTION("""COMPUTED_VALUE"""),"")</f>
        <v/>
      </c>
      <c r="S647" t="str">
        <f ca="1">IFERROR(__xludf.DUMMYFUNCTION("""COMPUTED_VALUE"""),"")</f>
        <v/>
      </c>
      <c r="T647" t="str">
        <f ca="1">IFERROR(__xludf.DUMMYFUNCTION("""COMPUTED_VALUE"""),"")</f>
        <v/>
      </c>
      <c r="U647" t="str">
        <f ca="1">IFERROR(__xludf.DUMMYFUNCTION("""COMPUTED_VALUE"""),"")</f>
        <v/>
      </c>
      <c r="V647" t="str">
        <f ca="1">IFERROR(__xludf.DUMMYFUNCTION("""COMPUTED_VALUE"""),"")</f>
        <v/>
      </c>
      <c r="W647" t="str">
        <f ca="1">IFERROR(__xludf.DUMMYFUNCTION("""COMPUTED_VALUE"""),"")</f>
        <v/>
      </c>
      <c r="X647" t="str">
        <f ca="1">IFERROR(__xludf.DUMMYFUNCTION("""COMPUTED_VALUE"""),"")</f>
        <v/>
      </c>
      <c r="Y647" t="str">
        <f ca="1">IFERROR(__xludf.DUMMYFUNCTION("""COMPUTED_VALUE"""),"")</f>
        <v/>
      </c>
      <c r="Z647" t="str">
        <f ca="1">IFERROR(__xludf.DUMMYFUNCTION("""COMPUTED_VALUE"""),"")</f>
        <v/>
      </c>
      <c r="AA647" t="str">
        <f ca="1">IFERROR(__xludf.DUMMYFUNCTION("""COMPUTED_VALUE"""),"Pas de commande")</f>
        <v>Pas de commande</v>
      </c>
      <c r="AB647" s="8" t="str">
        <f ca="1">IFERROR(__xludf.DUMMYFUNCTION("""COMPUTED_VALUE"""),"")</f>
        <v/>
      </c>
      <c r="AC647" s="8" t="str">
        <f ca="1">IFERROR(__xludf.DUMMYFUNCTION("""COMPUTED_VALUE"""),"")</f>
        <v/>
      </c>
      <c r="AD647" s="11" t="str">
        <f ca="1">IFERROR(__xludf.DUMMYFUNCTION("""COMPUTED_VALUE"""),"")</f>
        <v/>
      </c>
      <c r="AE647" t="str">
        <f ca="1">IFERROR(__xludf.DUMMYFUNCTION("""COMPUTED_VALUE"""),"")</f>
        <v/>
      </c>
    </row>
    <row r="648" spans="1:31" ht="12.75" x14ac:dyDescent="0.2">
      <c r="A648">
        <f ca="1">IFERROR(__xludf.DUMMYFUNCTION("""COMPUTED_VALUE"""),32080)</f>
        <v>32080</v>
      </c>
      <c r="B648" t="str">
        <f ca="1">IFERROR(__xludf.DUMMYFUNCTION("""COMPUTED_VALUE"""),"MONTOIRE SUR LE LOIR")</f>
        <v>MONTOIRE SUR LE LOIR</v>
      </c>
      <c r="C648" t="str">
        <f ca="1">IFERROR(__xludf.DUMMYFUNCTION("""COMPUTED_VALUE"""),"U Express")</f>
        <v>U Express</v>
      </c>
      <c r="D648" t="str">
        <f ca="1">IFERROR(__xludf.DUMMYFUNCTION("""COMPUTED_VALUE"""),"Coop U Enseigne Ouest")</f>
        <v>Coop U Enseigne Ouest</v>
      </c>
      <c r="E648">
        <f ca="1">IFERROR(__xludf.DUMMYFUNCTION("""COMPUTED_VALUE"""),41800)</f>
        <v>41800</v>
      </c>
      <c r="F648" t="str">
        <f ca="1">IFERROR(__xludf.DUMMYFUNCTION("""COMPUTED_VALUE"""),"14 BOULEVARD MERMOZ")</f>
        <v>14 BOULEVARD MERMOZ</v>
      </c>
      <c r="G648" t="str">
        <f ca="1">IFERROR(__xludf.DUMMYFUNCTION("""COMPUTED_VALUE"""),"02.54.85.00.78")</f>
        <v>02.54.85.00.78</v>
      </c>
      <c r="H648" t="str">
        <f ca="1">IFERROR(__xludf.DUMMYFUNCTION("""COMPUTED_VALUE"""),"DEGAND Jérôme")</f>
        <v>DEGAND Jérôme</v>
      </c>
      <c r="I648" t="str">
        <f ca="1">IFERROR(__xludf.DUMMYFUNCTION("""COMPUTED_VALUE"""),"jerome.degand@systeme-u.fr")</f>
        <v>jerome.degand@systeme-u.fr</v>
      </c>
      <c r="J648" t="str">
        <f ca="1">IFERROR(__xludf.DUMMYFUNCTION("""COMPUTED_VALUE"""),"Gérard MARCOWSKY")</f>
        <v>Gérard MARCOWSKY</v>
      </c>
      <c r="K648" t="str">
        <f ca="1">IFERROR(__xludf.DUMMYFUNCTION("""COMPUTED_VALUE"""),"superu.montoire.direction@systeme-u.fr,nbrigant@coop-atlantique.fr,sjaud@coop-atlantique.fr")</f>
        <v>superu.montoire.direction@systeme-u.fr,nbrigant@coop-atlantique.fr,sjaud@coop-atlantique.fr</v>
      </c>
      <c r="L648" t="str">
        <f ca="1">IFERROR(__xludf.DUMMYFUNCTION("""COMPUTED_VALUE"""),"")</f>
        <v/>
      </c>
      <c r="M648" t="str">
        <f ca="1">IFERROR(__xludf.DUMMYFUNCTION("""COMPUTED_VALUE"""),"99.Hors Périmetre")</f>
        <v>99.Hors Périmetre</v>
      </c>
      <c r="N648" t="str">
        <f ca="1">IFERROR(__xludf.DUMMYFUNCTION("""COMPUTED_VALUE"""),"")</f>
        <v/>
      </c>
      <c r="O648" t="str">
        <f ca="1">IFERROR(__xludf.DUMMYFUNCTION("""COMPUTED_VALUE"""),"")</f>
        <v/>
      </c>
      <c r="P648" t="str">
        <f ca="1">IFERROR(__xludf.DUMMYFUNCTION("""COMPUTED_VALUE"""),"")</f>
        <v/>
      </c>
      <c r="Q648" s="5" t="str">
        <f ca="1">IFERROR(__xludf.DUMMYFUNCTION("""COMPUTED_VALUE"""),"")</f>
        <v/>
      </c>
      <c r="R648" s="6" t="str">
        <f ca="1">IFERROR(__xludf.DUMMYFUNCTION("""COMPUTED_VALUE"""),"")</f>
        <v/>
      </c>
      <c r="S648" t="str">
        <f ca="1">IFERROR(__xludf.DUMMYFUNCTION("""COMPUTED_VALUE"""),"")</f>
        <v/>
      </c>
      <c r="T648" t="str">
        <f ca="1">IFERROR(__xludf.DUMMYFUNCTION("""COMPUTED_VALUE"""),"")</f>
        <v/>
      </c>
      <c r="U648" t="str">
        <f ca="1">IFERROR(__xludf.DUMMYFUNCTION("""COMPUTED_VALUE"""),"")</f>
        <v/>
      </c>
      <c r="V648" t="str">
        <f ca="1">IFERROR(__xludf.DUMMYFUNCTION("""COMPUTED_VALUE"""),"")</f>
        <v/>
      </c>
      <c r="W648" t="str">
        <f ca="1">IFERROR(__xludf.DUMMYFUNCTION("""COMPUTED_VALUE"""),"")</f>
        <v/>
      </c>
      <c r="X648" t="str">
        <f ca="1">IFERROR(__xludf.DUMMYFUNCTION("""COMPUTED_VALUE"""),"")</f>
        <v/>
      </c>
      <c r="Y648" t="str">
        <f ca="1">IFERROR(__xludf.DUMMYFUNCTION("""COMPUTED_VALUE"""),"")</f>
        <v/>
      </c>
      <c r="Z648" t="str">
        <f ca="1">IFERROR(__xludf.DUMMYFUNCTION("""COMPUTED_VALUE"""),"")</f>
        <v/>
      </c>
      <c r="AA648" t="str">
        <f ca="1">IFERROR(__xludf.DUMMYFUNCTION("""COMPUTED_VALUE"""),"Pas de commande")</f>
        <v>Pas de commande</v>
      </c>
      <c r="AB648" s="8" t="str">
        <f ca="1">IFERROR(__xludf.DUMMYFUNCTION("""COMPUTED_VALUE"""),"")</f>
        <v/>
      </c>
      <c r="AC648" s="8" t="str">
        <f ca="1">IFERROR(__xludf.DUMMYFUNCTION("""COMPUTED_VALUE"""),"")</f>
        <v/>
      </c>
      <c r="AD648" s="11" t="str">
        <f ca="1">IFERROR(__xludf.DUMMYFUNCTION("""COMPUTED_VALUE"""),"")</f>
        <v/>
      </c>
      <c r="AE648" t="str">
        <f ca="1">IFERROR(__xludf.DUMMYFUNCTION("""COMPUTED_VALUE"""),"")</f>
        <v/>
      </c>
    </row>
    <row r="649" spans="1:31" ht="12.75" x14ac:dyDescent="0.2">
      <c r="A649">
        <f ca="1">IFERROR(__xludf.DUMMYFUNCTION("""COMPUTED_VALUE"""),90568)</f>
        <v>90568</v>
      </c>
      <c r="B649" t="str">
        <f ca="1">IFERROR(__xludf.DUMMYFUNCTION("""COMPUTED_VALUE"""),"MONTPELLIER")</f>
        <v>MONTPELLIER</v>
      </c>
      <c r="C649" t="str">
        <f ca="1">IFERROR(__xludf.DUMMYFUNCTION("""COMPUTED_VALUE"""),"Super U")</f>
        <v>Super U</v>
      </c>
      <c r="D649" t="str">
        <f ca="1">IFERROR(__xludf.DUMMYFUNCTION("""COMPUTED_VALUE"""),"Coop U Enseigne Sud")</f>
        <v>Coop U Enseigne Sud</v>
      </c>
      <c r="E649">
        <f ca="1">IFERROR(__xludf.DUMMYFUNCTION("""COMPUTED_VALUE"""),34070)</f>
        <v>34070</v>
      </c>
      <c r="F649" t="str">
        <f ca="1">IFERROR(__xludf.DUMMYFUNCTION("""COMPUTED_VALUE"""),"203 RUE FERDINAND BARRE")</f>
        <v>203 RUE FERDINAND BARRE</v>
      </c>
      <c r="G649" t="str">
        <f ca="1">IFERROR(__xludf.DUMMYFUNCTION("""COMPUTED_VALUE"""),"04.48.20.16.10")</f>
        <v>04.48.20.16.10</v>
      </c>
      <c r="H649" t="str">
        <f ca="1">IFERROR(__xludf.DUMMYFUNCTION("""COMPUTED_VALUE"""),"GAUBERT Arnaud")</f>
        <v>GAUBERT Arnaud</v>
      </c>
      <c r="I649" t="str">
        <f ca="1">IFERROR(__xludf.DUMMYFUNCTION("""COMPUTED_VALUE"""),"arnaud.gaubert@systeme-u.fr")</f>
        <v>arnaud.gaubert@systeme-u.fr</v>
      </c>
      <c r="J649" t="str">
        <f ca="1">IFERROR(__xludf.DUMMYFUNCTION("""COMPUTED_VALUE"""),"Mr Arnaud Gaubert")</f>
        <v>Mr Arnaud Gaubert</v>
      </c>
      <c r="K649" t="str">
        <f ca="1">IFERROR(__xludf.DUMMYFUNCTION("""COMPUTED_VALUE"""),"")</f>
        <v/>
      </c>
      <c r="L649" t="str">
        <f ca="1">IFERROR(__xludf.DUMMYFUNCTION("""COMPUTED_VALUE"""),"Standard")</f>
        <v>Standard</v>
      </c>
      <c r="M649" t="str">
        <f ca="1">IFERROR(__xludf.DUMMYFUNCTION("""COMPUTED_VALUE"""),"0. Non démarré")</f>
        <v>0. Non démarré</v>
      </c>
      <c r="N649" t="str">
        <f ca="1">IFERROR(__xludf.DUMMYFUNCTION("""COMPUTED_VALUE"""),"")</f>
        <v/>
      </c>
      <c r="O649" t="str">
        <f ca="1">IFERROR(__xludf.DUMMYFUNCTION("""COMPUTED_VALUE"""),"")</f>
        <v/>
      </c>
      <c r="P649" t="str">
        <f ca="1">IFERROR(__xludf.DUMMYFUNCTION("""COMPUTED_VALUE"""),"")</f>
        <v/>
      </c>
      <c r="Q649" s="5" t="str">
        <f ca="1">IFERROR(__xludf.DUMMYFUNCTION("""COMPUTED_VALUE"""),"")</f>
        <v/>
      </c>
      <c r="R649" s="6" t="str">
        <f ca="1">IFERROR(__xludf.DUMMYFUNCTION("""COMPUTED_VALUE"""),"")</f>
        <v/>
      </c>
      <c r="S649" t="str">
        <f ca="1">IFERROR(__xludf.DUMMYFUNCTION("""COMPUTED_VALUE"""),"")</f>
        <v/>
      </c>
      <c r="T649" t="str">
        <f ca="1">IFERROR(__xludf.DUMMYFUNCTION("""COMPUTED_VALUE"""),"")</f>
        <v/>
      </c>
      <c r="U649" t="str">
        <f ca="1">IFERROR(__xludf.DUMMYFUNCTION("""COMPUTED_VALUE"""),"")</f>
        <v/>
      </c>
      <c r="V649" t="str">
        <f ca="1">IFERROR(__xludf.DUMMYFUNCTION("""COMPUTED_VALUE"""),"")</f>
        <v/>
      </c>
      <c r="W649" t="str">
        <f ca="1">IFERROR(__xludf.DUMMYFUNCTION("""COMPUTED_VALUE"""),"R5")</f>
        <v>R5</v>
      </c>
      <c r="X649" t="str">
        <f ca="1">IFERROR(__xludf.DUMMYFUNCTION("""COMPUTED_VALUE"""),"Pricer")</f>
        <v>Pricer</v>
      </c>
      <c r="Y649" t="str">
        <f ca="1">IFERROR(__xludf.DUMMYFUNCTION("""COMPUTED_VALUE"""),"")</f>
        <v/>
      </c>
      <c r="Z649" t="str">
        <f ca="1">IFERROR(__xludf.DUMMYFUNCTION("""COMPUTED_VALUE"""),"")</f>
        <v/>
      </c>
      <c r="AA649" t="str">
        <f ca="1">IFERROR(__xludf.DUMMYFUNCTION("""COMPUTED_VALUE"""),"Pas de commande")</f>
        <v>Pas de commande</v>
      </c>
      <c r="AB649" s="8" t="str">
        <f ca="1">IFERROR(__xludf.DUMMYFUNCTION("""COMPUTED_VALUE"""),"")</f>
        <v/>
      </c>
      <c r="AC649" s="8" t="str">
        <f ca="1">IFERROR(__xludf.DUMMYFUNCTION("""COMPUTED_VALUE"""),"")</f>
        <v/>
      </c>
      <c r="AD649" s="11" t="str">
        <f ca="1">IFERROR(__xludf.DUMMYFUNCTION("""COMPUTED_VALUE"""),"")</f>
        <v/>
      </c>
      <c r="AE649" t="str">
        <f ca="1">IFERROR(__xludf.DUMMYFUNCTION("""COMPUTED_VALUE"""),"")</f>
        <v/>
      </c>
    </row>
    <row r="650" spans="1:31" ht="12.75" x14ac:dyDescent="0.2">
      <c r="A650">
        <f ca="1">IFERROR(__xludf.DUMMYFUNCTION("""COMPUTED_VALUE"""),95163)</f>
        <v>95163</v>
      </c>
      <c r="B650" t="str">
        <f ca="1">IFERROR(__xludf.DUMMYFUNCTION("""COMPUTED_VALUE"""),"MONTRABE")</f>
        <v>MONTRABE</v>
      </c>
      <c r="C650" t="str">
        <f ca="1">IFERROR(__xludf.DUMMYFUNCTION("""COMPUTED_VALUE"""),"Super U")</f>
        <v>Super U</v>
      </c>
      <c r="D650" t="str">
        <f ca="1">IFERROR(__xludf.DUMMYFUNCTION("""COMPUTED_VALUE"""),"Coop U Enseigne Sud")</f>
        <v>Coop U Enseigne Sud</v>
      </c>
      <c r="E650">
        <f ca="1">IFERROR(__xludf.DUMMYFUNCTION("""COMPUTED_VALUE"""),31850)</f>
        <v>31850</v>
      </c>
      <c r="F650" t="str">
        <f ca="1">IFERROR(__xludf.DUMMYFUNCTION("""COMPUTED_VALUE"""),"Zone de MARIGNAC")</f>
        <v>Zone de MARIGNAC</v>
      </c>
      <c r="G650" t="str">
        <f ca="1">IFERROR(__xludf.DUMMYFUNCTION("""COMPUTED_VALUE"""),"05.62.10.70.30")</f>
        <v>05.62.10.70.30</v>
      </c>
      <c r="H650" t="str">
        <f ca="1">IFERROR(__xludf.DUMMYFUNCTION("""COMPUTED_VALUE"""),"ROBERT-VERD Sebastien")</f>
        <v>ROBERT-VERD Sebastien</v>
      </c>
      <c r="I650" t="str">
        <f ca="1">IFERROR(__xludf.DUMMYFUNCTION("""COMPUTED_VALUE"""),"sebastien.robert-verd@systeme-u.fr")</f>
        <v>sebastien.robert-verd@systeme-u.fr</v>
      </c>
      <c r="J650" t="str">
        <f ca="1">IFERROR(__xludf.DUMMYFUNCTION("""COMPUTED_VALUE"""),"THIEBAULT SITTER")</f>
        <v>THIEBAULT SITTER</v>
      </c>
      <c r="K650" t="str">
        <f ca="1">IFERROR(__xludf.DUMMYFUNCTION("""COMPUTED_VALUE"""),"superu.montrabe.fl@systeme-u.fr")</f>
        <v>superu.montrabe.fl@systeme-u.fr</v>
      </c>
      <c r="L650" t="str">
        <f ca="1">IFERROR(__xludf.DUMMYFUNCTION("""COMPUTED_VALUE"""),"Standard")</f>
        <v>Standard</v>
      </c>
      <c r="M650" t="str">
        <f ca="1">IFERROR(__xludf.DUMMYFUNCTION("""COMPUTED_VALUE"""),"0. Non démarré")</f>
        <v>0. Non démarré</v>
      </c>
      <c r="N650" t="str">
        <f ca="1">IFERROR(__xludf.DUMMYFUNCTION("""COMPUTED_VALUE"""),"")</f>
        <v/>
      </c>
      <c r="O650" t="str">
        <f ca="1">IFERROR(__xludf.DUMMYFUNCTION("""COMPUTED_VALUE"""),"")</f>
        <v/>
      </c>
      <c r="P650" t="str">
        <f ca="1">IFERROR(__xludf.DUMMYFUNCTION("""COMPUTED_VALUE"""),"")</f>
        <v/>
      </c>
      <c r="Q650" s="5" t="str">
        <f ca="1">IFERROR(__xludf.DUMMYFUNCTION("""COMPUTED_VALUE"""),"")</f>
        <v/>
      </c>
      <c r="R650" s="6" t="str">
        <f ca="1">IFERROR(__xludf.DUMMYFUNCTION("""COMPUTED_VALUE"""),"")</f>
        <v/>
      </c>
      <c r="S650" t="str">
        <f ca="1">IFERROR(__xludf.DUMMYFUNCTION("""COMPUTED_VALUE"""),"")</f>
        <v/>
      </c>
      <c r="T650" t="str">
        <f ca="1">IFERROR(__xludf.DUMMYFUNCTION("""COMPUTED_VALUE"""),"")</f>
        <v/>
      </c>
      <c r="U650" t="str">
        <f ca="1">IFERROR(__xludf.DUMMYFUNCTION("""COMPUTED_VALUE"""),"")</f>
        <v/>
      </c>
      <c r="V650" t="str">
        <f ca="1">IFERROR(__xludf.DUMMYFUNCTION("""COMPUTED_VALUE"""),"")</f>
        <v/>
      </c>
      <c r="W650" t="str">
        <f ca="1">IFERROR(__xludf.DUMMYFUNCTION("""COMPUTED_VALUE"""),"R5")</f>
        <v>R5</v>
      </c>
      <c r="X650" t="str">
        <f ca="1">IFERROR(__xludf.DUMMYFUNCTION("""COMPUTED_VALUE"""),"Pricer")</f>
        <v>Pricer</v>
      </c>
      <c r="Y650" t="str">
        <f ca="1">IFERROR(__xludf.DUMMYFUNCTION("""COMPUTED_VALUE"""),"")</f>
        <v/>
      </c>
      <c r="Z650" t="str">
        <f ca="1">IFERROR(__xludf.DUMMYFUNCTION("""COMPUTED_VALUE"""),"")</f>
        <v/>
      </c>
      <c r="AA650" t="str">
        <f ca="1">IFERROR(__xludf.DUMMYFUNCTION("""COMPUTED_VALUE"""),"Pas de commande")</f>
        <v>Pas de commande</v>
      </c>
      <c r="AB650" s="8" t="str">
        <f ca="1">IFERROR(__xludf.DUMMYFUNCTION("""COMPUTED_VALUE"""),"")</f>
        <v/>
      </c>
      <c r="AC650" s="8" t="str">
        <f ca="1">IFERROR(__xludf.DUMMYFUNCTION("""COMPUTED_VALUE"""),"")</f>
        <v/>
      </c>
      <c r="AD650" s="11" t="str">
        <f ca="1">IFERROR(__xludf.DUMMYFUNCTION("""COMPUTED_VALUE"""),"")</f>
        <v/>
      </c>
      <c r="AE650" t="str">
        <f ca="1">IFERROR(__xludf.DUMMYFUNCTION("""COMPUTED_VALUE"""),"")</f>
        <v/>
      </c>
    </row>
    <row r="651" spans="1:31" ht="12.75" x14ac:dyDescent="0.2">
      <c r="A651">
        <f ca="1">IFERROR(__xludf.DUMMYFUNCTION("""COMPUTED_VALUE"""),22836)</f>
        <v>22836</v>
      </c>
      <c r="B651" t="str">
        <f ca="1">IFERROR(__xludf.DUMMYFUNCTION("""COMPUTED_VALUE"""),"MONTREUIL NVLE FRANCE")</f>
        <v>MONTREUIL NVLE FRANCE</v>
      </c>
      <c r="C651" t="str">
        <f ca="1">IFERROR(__xludf.DUMMYFUNCTION("""COMPUTED_VALUE"""),"Super U")</f>
        <v>Super U</v>
      </c>
      <c r="D651" t="str">
        <f ca="1">IFERROR(__xludf.DUMMYFUNCTION("""COMPUTED_VALUE"""),"Coop U Enseigne NordOuest")</f>
        <v>Coop U Enseigne NordOuest</v>
      </c>
      <c r="E651">
        <f ca="1">IFERROR(__xludf.DUMMYFUNCTION("""COMPUTED_VALUE"""),93100)</f>
        <v>93100</v>
      </c>
      <c r="F651" t="str">
        <f ca="1">IFERROR(__xludf.DUMMYFUNCTION("""COMPUTED_VALUE"""),"170-174 RUE DE LA NOUVELLE FRANCE")</f>
        <v>170-174 RUE DE LA NOUVELLE FRANCE</v>
      </c>
      <c r="G651" t="str">
        <f ca="1">IFERROR(__xludf.DUMMYFUNCTION("""COMPUTED_VALUE"""),"01.48.51.72.06")</f>
        <v>01.48.51.72.06</v>
      </c>
      <c r="H651" t="str">
        <f ca="1">IFERROR(__xludf.DUMMYFUNCTION("""COMPUTED_VALUE"""),"BENZAKINE Jacques")</f>
        <v>BENZAKINE Jacques</v>
      </c>
      <c r="I651" t="str">
        <f ca="1">IFERROR(__xludf.DUMMYFUNCTION("""COMPUTED_VALUE"""),"jacques.benzakine@systeme-u.fr")</f>
        <v>jacques.benzakine@systeme-u.fr</v>
      </c>
      <c r="J651" t="str">
        <f ca="1">IFERROR(__xludf.DUMMYFUNCTION("""COMPUTED_VALUE"""),"")</f>
        <v/>
      </c>
      <c r="K651" t="str">
        <f ca="1">IFERROR(__xludf.DUMMYFUNCTION("""COMPUTED_VALUE"""),"")</f>
        <v/>
      </c>
      <c r="L651" t="str">
        <f ca="1">IFERROR(__xludf.DUMMYFUNCTION("""COMPUTED_VALUE"""),"")</f>
        <v/>
      </c>
      <c r="M651" t="str">
        <f ca="1">IFERROR(__xludf.DUMMYFUNCTION("""COMPUTED_VALUE"""),"99.Hors Périmetre")</f>
        <v>99.Hors Périmetre</v>
      </c>
      <c r="N651" t="str">
        <f ca="1">IFERROR(__xludf.DUMMYFUNCTION("""COMPUTED_VALUE"""),"")</f>
        <v/>
      </c>
      <c r="O651" t="str">
        <f ca="1">IFERROR(__xludf.DUMMYFUNCTION("""COMPUTED_VALUE"""),"")</f>
        <v/>
      </c>
      <c r="P651" t="str">
        <f ca="1">IFERROR(__xludf.DUMMYFUNCTION("""COMPUTED_VALUE"""),"")</f>
        <v/>
      </c>
      <c r="Q651" s="5" t="str">
        <f ca="1">IFERROR(__xludf.DUMMYFUNCTION("""COMPUTED_VALUE"""),"")</f>
        <v/>
      </c>
      <c r="R651" s="6" t="str">
        <f ca="1">IFERROR(__xludf.DUMMYFUNCTION("""COMPUTED_VALUE"""),"")</f>
        <v/>
      </c>
      <c r="S651" t="str">
        <f ca="1">IFERROR(__xludf.DUMMYFUNCTION("""COMPUTED_VALUE"""),"")</f>
        <v/>
      </c>
      <c r="T651" t="str">
        <f ca="1">IFERROR(__xludf.DUMMYFUNCTION("""COMPUTED_VALUE"""),"")</f>
        <v/>
      </c>
      <c r="U651" t="str">
        <f ca="1">IFERROR(__xludf.DUMMYFUNCTION("""COMPUTED_VALUE"""),"")</f>
        <v/>
      </c>
      <c r="V651" t="str">
        <f ca="1">IFERROR(__xludf.DUMMYFUNCTION("""COMPUTED_VALUE"""),"")</f>
        <v/>
      </c>
      <c r="W651" t="str">
        <f ca="1">IFERROR(__xludf.DUMMYFUNCTION("""COMPUTED_VALUE"""),"")</f>
        <v/>
      </c>
      <c r="X651" t="str">
        <f ca="1">IFERROR(__xludf.DUMMYFUNCTION("""COMPUTED_VALUE"""),"")</f>
        <v/>
      </c>
      <c r="Y651" t="str">
        <f ca="1">IFERROR(__xludf.DUMMYFUNCTION("""COMPUTED_VALUE"""),"")</f>
        <v/>
      </c>
      <c r="Z651" t="str">
        <f ca="1">IFERROR(__xludf.DUMMYFUNCTION("""COMPUTED_VALUE"""),"")</f>
        <v/>
      </c>
      <c r="AA651" t="str">
        <f ca="1">IFERROR(__xludf.DUMMYFUNCTION("""COMPUTED_VALUE"""),"Pas de commande")</f>
        <v>Pas de commande</v>
      </c>
      <c r="AB651" s="8" t="str">
        <f ca="1">IFERROR(__xludf.DUMMYFUNCTION("""COMPUTED_VALUE"""),"")</f>
        <v/>
      </c>
      <c r="AC651" s="8" t="str">
        <f ca="1">IFERROR(__xludf.DUMMYFUNCTION("""COMPUTED_VALUE"""),"")</f>
        <v/>
      </c>
      <c r="AD651" s="11" t="str">
        <f ca="1">IFERROR(__xludf.DUMMYFUNCTION("""COMPUTED_VALUE"""),"")</f>
        <v/>
      </c>
      <c r="AE651" t="str">
        <f ca="1">IFERROR(__xludf.DUMMYFUNCTION("""COMPUTED_VALUE"""),"")</f>
        <v/>
      </c>
    </row>
    <row r="652" spans="1:31" ht="12.75" x14ac:dyDescent="0.2">
      <c r="A652">
        <f ca="1">IFERROR(__xludf.DUMMYFUNCTION("""COMPUTED_VALUE"""),23352)</f>
        <v>23352</v>
      </c>
      <c r="B652" t="str">
        <f ca="1">IFERROR(__xludf.DUMMYFUNCTION("""COMPUTED_VALUE"""),"MONTREUIL ROBESPIERRE")</f>
        <v>MONTREUIL ROBESPIERRE</v>
      </c>
      <c r="C652" t="str">
        <f ca="1">IFERROR(__xludf.DUMMYFUNCTION("""COMPUTED_VALUE"""),"U Express")</f>
        <v>U Express</v>
      </c>
      <c r="D652" t="str">
        <f ca="1">IFERROR(__xludf.DUMMYFUNCTION("""COMPUTED_VALUE"""),"Coop U Enseigne NordOuest")</f>
        <v>Coop U Enseigne NordOuest</v>
      </c>
      <c r="E652">
        <f ca="1">IFERROR(__xludf.DUMMYFUNCTION("""COMPUTED_VALUE"""),93100)</f>
        <v>93100</v>
      </c>
      <c r="F652" t="str">
        <f ca="1">IFERROR(__xludf.DUMMYFUNCTION("""COMPUTED_VALUE"""),"46/48 RUE ROBESPIERRE")</f>
        <v>46/48 RUE ROBESPIERRE</v>
      </c>
      <c r="G652" t="str">
        <f ca="1">IFERROR(__xludf.DUMMYFUNCTION("""COMPUTED_VALUE"""),"01.43.62.12.27")</f>
        <v>01.43.62.12.27</v>
      </c>
      <c r="H652" t="str">
        <f ca="1">IFERROR(__xludf.DUMMYFUNCTION("""COMPUTED_VALUE"""),"TOLANI Marc")</f>
        <v>TOLANI Marc</v>
      </c>
      <c r="I652" t="str">
        <f ca="1">IFERROR(__xludf.DUMMYFUNCTION("""COMPUTED_VALUE"""),"marc.tolani@systeme-u.fr")</f>
        <v>marc.tolani@systeme-u.fr</v>
      </c>
      <c r="J652" t="str">
        <f ca="1">IFERROR(__xludf.DUMMYFUNCTION("""COMPUTED_VALUE"""),"")</f>
        <v/>
      </c>
      <c r="K652" t="str">
        <f ca="1">IFERROR(__xludf.DUMMYFUNCTION("""COMPUTED_VALUE"""),"")</f>
        <v/>
      </c>
      <c r="L652" t="str">
        <f ca="1">IFERROR(__xludf.DUMMYFUNCTION("""COMPUTED_VALUE"""),"")</f>
        <v/>
      </c>
      <c r="M652" t="str">
        <f ca="1">IFERROR(__xludf.DUMMYFUNCTION("""COMPUTED_VALUE"""),"99.Hors Périmetre")</f>
        <v>99.Hors Périmetre</v>
      </c>
      <c r="N652" t="str">
        <f ca="1">IFERROR(__xludf.DUMMYFUNCTION("""COMPUTED_VALUE"""),"")</f>
        <v/>
      </c>
      <c r="O652" t="str">
        <f ca="1">IFERROR(__xludf.DUMMYFUNCTION("""COMPUTED_VALUE"""),"")</f>
        <v/>
      </c>
      <c r="P652" t="str">
        <f ca="1">IFERROR(__xludf.DUMMYFUNCTION("""COMPUTED_VALUE"""),"")</f>
        <v/>
      </c>
      <c r="Q652" s="5" t="str">
        <f ca="1">IFERROR(__xludf.DUMMYFUNCTION("""COMPUTED_VALUE"""),"")</f>
        <v/>
      </c>
      <c r="R652" s="6" t="str">
        <f ca="1">IFERROR(__xludf.DUMMYFUNCTION("""COMPUTED_VALUE"""),"")</f>
        <v/>
      </c>
      <c r="S652" t="str">
        <f ca="1">IFERROR(__xludf.DUMMYFUNCTION("""COMPUTED_VALUE"""),"")</f>
        <v/>
      </c>
      <c r="T652" t="str">
        <f ca="1">IFERROR(__xludf.DUMMYFUNCTION("""COMPUTED_VALUE"""),"")</f>
        <v/>
      </c>
      <c r="U652" t="str">
        <f ca="1">IFERROR(__xludf.DUMMYFUNCTION("""COMPUTED_VALUE"""),"")</f>
        <v/>
      </c>
      <c r="V652" t="str">
        <f ca="1">IFERROR(__xludf.DUMMYFUNCTION("""COMPUTED_VALUE"""),"")</f>
        <v/>
      </c>
      <c r="W652" t="str">
        <f ca="1">IFERROR(__xludf.DUMMYFUNCTION("""COMPUTED_VALUE"""),"")</f>
        <v/>
      </c>
      <c r="X652" t="str">
        <f ca="1">IFERROR(__xludf.DUMMYFUNCTION("""COMPUTED_VALUE"""),"")</f>
        <v/>
      </c>
      <c r="Y652" t="str">
        <f ca="1">IFERROR(__xludf.DUMMYFUNCTION("""COMPUTED_VALUE"""),"")</f>
        <v/>
      </c>
      <c r="Z652" t="str">
        <f ca="1">IFERROR(__xludf.DUMMYFUNCTION("""COMPUTED_VALUE"""),"")</f>
        <v/>
      </c>
      <c r="AA652" t="str">
        <f ca="1">IFERROR(__xludf.DUMMYFUNCTION("""COMPUTED_VALUE"""),"Pas de commande")</f>
        <v>Pas de commande</v>
      </c>
      <c r="AB652" s="8" t="str">
        <f ca="1">IFERROR(__xludf.DUMMYFUNCTION("""COMPUTED_VALUE"""),"")</f>
        <v/>
      </c>
      <c r="AC652" s="8" t="str">
        <f ca="1">IFERROR(__xludf.DUMMYFUNCTION("""COMPUTED_VALUE"""),"")</f>
        <v/>
      </c>
      <c r="AD652" s="11" t="str">
        <f ca="1">IFERROR(__xludf.DUMMYFUNCTION("""COMPUTED_VALUE"""),"")</f>
        <v/>
      </c>
      <c r="AE652" t="str">
        <f ca="1">IFERROR(__xludf.DUMMYFUNCTION("""COMPUTED_VALUE"""),"")</f>
        <v/>
      </c>
    </row>
    <row r="653" spans="1:31" ht="12.75" x14ac:dyDescent="0.2">
      <c r="A653">
        <f ca="1">IFERROR(__xludf.DUMMYFUNCTION("""COMPUTED_VALUE"""),23646)</f>
        <v>23646</v>
      </c>
      <c r="B653" t="str">
        <f ca="1">IFERROR(__xludf.DUMMYFUNCTION("""COMPUTED_VALUE"""),"MONTREUIL SIGNAC")</f>
        <v>MONTREUIL SIGNAC</v>
      </c>
      <c r="C653" t="str">
        <f ca="1">IFERROR(__xludf.DUMMYFUNCTION("""COMPUTED_VALUE"""),"U Express")</f>
        <v>U Express</v>
      </c>
      <c r="D653" t="str">
        <f ca="1">IFERROR(__xludf.DUMMYFUNCTION("""COMPUTED_VALUE"""),"Coop U Enseigne NordOuest")</f>
        <v>Coop U Enseigne NordOuest</v>
      </c>
      <c r="E653">
        <f ca="1">IFERROR(__xludf.DUMMYFUNCTION("""COMPUTED_VALUE"""),93100)</f>
        <v>93100</v>
      </c>
      <c r="F653" t="str">
        <f ca="1">IFERROR(__xludf.DUMMYFUNCTION("""COMPUTED_VALUE"""),"4 AVENUE PAUL SIGNAC")</f>
        <v>4 AVENUE PAUL SIGNAC</v>
      </c>
      <c r="G653" t="str">
        <f ca="1">IFERROR(__xludf.DUMMYFUNCTION("""COMPUTED_VALUE"""),"01.41.63.12.90")</f>
        <v>01.41.63.12.90</v>
      </c>
      <c r="H653" t="str">
        <f ca="1">IFERROR(__xludf.DUMMYFUNCTION("""COMPUTED_VALUE"""),"TOLANI Marc")</f>
        <v>TOLANI Marc</v>
      </c>
      <c r="I653" t="str">
        <f ca="1">IFERROR(__xludf.DUMMYFUNCTION("""COMPUTED_VALUE"""),"marc.tolani@systeme-u.fr")</f>
        <v>marc.tolani@systeme-u.fr</v>
      </c>
      <c r="J653" t="str">
        <f ca="1">IFERROR(__xludf.DUMMYFUNCTION("""COMPUTED_VALUE"""),"NIANG Fatou")</f>
        <v>NIANG Fatou</v>
      </c>
      <c r="K653" t="str">
        <f ca="1">IFERROR(__xludf.DUMMYFUNCTION("""COMPUTED_VALUE"""),"uexpress.montreuil@systeme-u.fr")</f>
        <v>uexpress.montreuil@systeme-u.fr</v>
      </c>
      <c r="L653" t="str">
        <f ca="1">IFERROR(__xludf.DUMMYFUNCTION("""COMPUTED_VALUE"""),"")</f>
        <v/>
      </c>
      <c r="M653" t="str">
        <f ca="1">IFERROR(__xludf.DUMMYFUNCTION("""COMPUTED_VALUE"""),"99.Hors Périmetre")</f>
        <v>99.Hors Périmetre</v>
      </c>
      <c r="N653" t="str">
        <f ca="1">IFERROR(__xludf.DUMMYFUNCTION("""COMPUTED_VALUE"""),"")</f>
        <v/>
      </c>
      <c r="O653" t="str">
        <f ca="1">IFERROR(__xludf.DUMMYFUNCTION("""COMPUTED_VALUE"""),"")</f>
        <v/>
      </c>
      <c r="P653" t="str">
        <f ca="1">IFERROR(__xludf.DUMMYFUNCTION("""COMPUTED_VALUE"""),"")</f>
        <v/>
      </c>
      <c r="Q653" s="5" t="str">
        <f ca="1">IFERROR(__xludf.DUMMYFUNCTION("""COMPUTED_VALUE"""),"")</f>
        <v/>
      </c>
      <c r="R653" s="6" t="str">
        <f ca="1">IFERROR(__xludf.DUMMYFUNCTION("""COMPUTED_VALUE"""),"")</f>
        <v/>
      </c>
      <c r="S653" t="str">
        <f ca="1">IFERROR(__xludf.DUMMYFUNCTION("""COMPUTED_VALUE"""),"")</f>
        <v/>
      </c>
      <c r="T653" t="str">
        <f ca="1">IFERROR(__xludf.DUMMYFUNCTION("""COMPUTED_VALUE"""),"")</f>
        <v/>
      </c>
      <c r="U653" t="str">
        <f ca="1">IFERROR(__xludf.DUMMYFUNCTION("""COMPUTED_VALUE"""),"")</f>
        <v/>
      </c>
      <c r="V653" t="str">
        <f ca="1">IFERROR(__xludf.DUMMYFUNCTION("""COMPUTED_VALUE"""),"")</f>
        <v/>
      </c>
      <c r="W653" t="str">
        <f ca="1">IFERROR(__xludf.DUMMYFUNCTION("""COMPUTED_VALUE"""),"")</f>
        <v/>
      </c>
      <c r="X653" t="str">
        <f ca="1">IFERROR(__xludf.DUMMYFUNCTION("""COMPUTED_VALUE"""),"")</f>
        <v/>
      </c>
      <c r="Y653" t="str">
        <f ca="1">IFERROR(__xludf.DUMMYFUNCTION("""COMPUTED_VALUE"""),"")</f>
        <v/>
      </c>
      <c r="Z653" t="str">
        <f ca="1">IFERROR(__xludf.DUMMYFUNCTION("""COMPUTED_VALUE"""),"")</f>
        <v/>
      </c>
      <c r="AA653" t="str">
        <f ca="1">IFERROR(__xludf.DUMMYFUNCTION("""COMPUTED_VALUE"""),"Pas de commande")</f>
        <v>Pas de commande</v>
      </c>
      <c r="AB653" s="8" t="str">
        <f ca="1">IFERROR(__xludf.DUMMYFUNCTION("""COMPUTED_VALUE"""),"")</f>
        <v/>
      </c>
      <c r="AC653" s="8" t="str">
        <f ca="1">IFERROR(__xludf.DUMMYFUNCTION("""COMPUTED_VALUE"""),"")</f>
        <v/>
      </c>
      <c r="AD653" s="11" t="str">
        <f ca="1">IFERROR(__xludf.DUMMYFUNCTION("""COMPUTED_VALUE"""),"")</f>
        <v/>
      </c>
      <c r="AE653" t="str">
        <f ca="1">IFERROR(__xludf.DUMMYFUNCTION("""COMPUTED_VALUE"""),"")</f>
        <v/>
      </c>
    </row>
    <row r="654" spans="1:31" ht="12.75" x14ac:dyDescent="0.2">
      <c r="A654">
        <f ca="1">IFERROR(__xludf.DUMMYFUNCTION("""COMPUTED_VALUE"""),38710)</f>
        <v>38710</v>
      </c>
      <c r="B654" t="str">
        <f ca="1">IFERROR(__xludf.DUMMYFUNCTION("""COMPUTED_VALUE"""),"MONTREUIL-BELLAY")</f>
        <v>MONTREUIL-BELLAY</v>
      </c>
      <c r="C654" t="str">
        <f ca="1">IFERROR(__xludf.DUMMYFUNCTION("""COMPUTED_VALUE"""),"Super U")</f>
        <v>Super U</v>
      </c>
      <c r="D654" t="str">
        <f ca="1">IFERROR(__xludf.DUMMYFUNCTION("""COMPUTED_VALUE"""),"Coop U Enseigne Ouest")</f>
        <v>Coop U Enseigne Ouest</v>
      </c>
      <c r="E654">
        <f ca="1">IFERROR(__xludf.DUMMYFUNCTION("""COMPUTED_VALUE"""),49260)</f>
        <v>49260</v>
      </c>
      <c r="F654" t="str">
        <f ca="1">IFERROR(__xludf.DUMMYFUNCTION("""COMPUTED_VALUE"""),"RUE ESTIENVRIN")</f>
        <v>RUE ESTIENVRIN</v>
      </c>
      <c r="G654" t="str">
        <f ca="1">IFERROR(__xludf.DUMMYFUNCTION("""COMPUTED_VALUE"""),"02.41.83.15.15")</f>
        <v>02.41.83.15.15</v>
      </c>
      <c r="H654" t="str">
        <f ca="1">IFERROR(__xludf.DUMMYFUNCTION("""COMPUTED_VALUE"""),"CHAUVEL RPT SARL MAVA Alain")</f>
        <v>CHAUVEL RPT SARL MAVA Alain</v>
      </c>
      <c r="I654" t="str">
        <f ca="1">IFERROR(__xludf.DUMMYFUNCTION("""COMPUTED_VALUE"""),"")</f>
        <v/>
      </c>
      <c r="J654" t="str">
        <f ca="1">IFERROR(__xludf.DUMMYFUNCTION("""COMPUTED_VALUE"""),"Mme Rocquefelte")</f>
        <v>Mme Rocquefelte</v>
      </c>
      <c r="K654" t="str">
        <f ca="1">IFERROR(__xludf.DUMMYFUNCTION("""COMPUTED_VALUE"""),"superu.montreuilbellay.compta@systeme-u.fr")</f>
        <v>superu.montreuilbellay.compta@systeme-u.fr</v>
      </c>
      <c r="L654" t="str">
        <f ca="1">IFERROR(__xludf.DUMMYFUNCTION("""COMPUTED_VALUE"""),"")</f>
        <v/>
      </c>
      <c r="M654" t="str">
        <f ca="1">IFERROR(__xludf.DUMMYFUNCTION("""COMPUTED_VALUE"""),"99.Hors Périmetre")</f>
        <v>99.Hors Périmetre</v>
      </c>
      <c r="N654" t="str">
        <f ca="1">IFERROR(__xludf.DUMMYFUNCTION("""COMPUTED_VALUE"""),"")</f>
        <v/>
      </c>
      <c r="O654" t="str">
        <f ca="1">IFERROR(__xludf.DUMMYFUNCTION("""COMPUTED_VALUE"""),"")</f>
        <v/>
      </c>
      <c r="P654" t="str">
        <f ca="1">IFERROR(__xludf.DUMMYFUNCTION("""COMPUTED_VALUE"""),"")</f>
        <v/>
      </c>
      <c r="Q654" s="5" t="str">
        <f ca="1">IFERROR(__xludf.DUMMYFUNCTION("""COMPUTED_VALUE"""),"")</f>
        <v/>
      </c>
      <c r="R654" s="6" t="str">
        <f ca="1">IFERROR(__xludf.DUMMYFUNCTION("""COMPUTED_VALUE"""),"")</f>
        <v/>
      </c>
      <c r="S654" t="str">
        <f ca="1">IFERROR(__xludf.DUMMYFUNCTION("""COMPUTED_VALUE"""),"")</f>
        <v/>
      </c>
      <c r="T654" t="str">
        <f ca="1">IFERROR(__xludf.DUMMYFUNCTION("""COMPUTED_VALUE"""),"")</f>
        <v/>
      </c>
      <c r="U654" t="str">
        <f ca="1">IFERROR(__xludf.DUMMYFUNCTION("""COMPUTED_VALUE"""),"")</f>
        <v/>
      </c>
      <c r="V654" t="str">
        <f ca="1">IFERROR(__xludf.DUMMYFUNCTION("""COMPUTED_VALUE"""),"")</f>
        <v/>
      </c>
      <c r="W654" t="str">
        <f ca="1">IFERROR(__xludf.DUMMYFUNCTION("""COMPUTED_VALUE"""),"")</f>
        <v/>
      </c>
      <c r="X654" t="str">
        <f ca="1">IFERROR(__xludf.DUMMYFUNCTION("""COMPUTED_VALUE"""),"")</f>
        <v/>
      </c>
      <c r="Y654" t="str">
        <f ca="1">IFERROR(__xludf.DUMMYFUNCTION("""COMPUTED_VALUE"""),"")</f>
        <v/>
      </c>
      <c r="Z654" t="str">
        <f ca="1">IFERROR(__xludf.DUMMYFUNCTION("""COMPUTED_VALUE"""),"")</f>
        <v/>
      </c>
      <c r="AA654" t="str">
        <f ca="1">IFERROR(__xludf.DUMMYFUNCTION("""COMPUTED_VALUE"""),"Pas de commande")</f>
        <v>Pas de commande</v>
      </c>
      <c r="AB654" s="8" t="str">
        <f ca="1">IFERROR(__xludf.DUMMYFUNCTION("""COMPUTED_VALUE"""),"")</f>
        <v/>
      </c>
      <c r="AC654" s="8" t="str">
        <f ca="1">IFERROR(__xludf.DUMMYFUNCTION("""COMPUTED_VALUE"""),"")</f>
        <v/>
      </c>
      <c r="AD654" s="11" t="str">
        <f ca="1">IFERROR(__xludf.DUMMYFUNCTION("""COMPUTED_VALUE"""),"")</f>
        <v/>
      </c>
      <c r="AE654" t="str">
        <f ca="1">IFERROR(__xludf.DUMMYFUNCTION("""COMPUTED_VALUE"""),"")</f>
        <v/>
      </c>
    </row>
    <row r="655" spans="1:31" ht="12.75" x14ac:dyDescent="0.2">
      <c r="A655">
        <f ca="1">IFERROR(__xludf.DUMMYFUNCTION("""COMPUTED_VALUE"""),24189)</f>
        <v>24189</v>
      </c>
      <c r="B655" t="str">
        <f ca="1">IFERROR(__xludf.DUMMYFUNCTION("""COMPUTED_VALUE"""),"MONTROUGE")</f>
        <v>MONTROUGE</v>
      </c>
      <c r="C655" t="str">
        <f ca="1">IFERROR(__xludf.DUMMYFUNCTION("""COMPUTED_VALUE"""),"U Express")</f>
        <v>U Express</v>
      </c>
      <c r="D655" t="str">
        <f ca="1">IFERROR(__xludf.DUMMYFUNCTION("""COMPUTED_VALUE"""),"Coop U Enseigne NordOuest")</f>
        <v>Coop U Enseigne NordOuest</v>
      </c>
      <c r="E655">
        <f ca="1">IFERROR(__xludf.DUMMYFUNCTION("""COMPUTED_VALUE"""),92120)</f>
        <v>92120</v>
      </c>
      <c r="F655" t="str">
        <f ca="1">IFERROR(__xludf.DUMMYFUNCTION("""COMPUTED_VALUE"""),"69 RUE HENRI GINOUX")</f>
        <v>69 RUE HENRI GINOUX</v>
      </c>
      <c r="G655" t="str">
        <f ca="1">IFERROR(__xludf.DUMMYFUNCTION("""COMPUTED_VALUE"""),"01.40.92.77.60")</f>
        <v>01.40.92.77.60</v>
      </c>
      <c r="H655" t="str">
        <f ca="1">IFERROR(__xludf.DUMMYFUNCTION("""COMPUTED_VALUE"""),"OUAKNINE Salomon")</f>
        <v>OUAKNINE Salomon</v>
      </c>
      <c r="I655" t="str">
        <f ca="1">IFERROR(__xludf.DUMMYFUNCTION("""COMPUTED_VALUE"""),"")</f>
        <v/>
      </c>
      <c r="J655" t="str">
        <f ca="1">IFERROR(__xludf.DUMMYFUNCTION("""COMPUTED_VALUE"""),"Mme Houssière (directrice)")</f>
        <v>Mme Houssière (directrice)</v>
      </c>
      <c r="K655" t="str">
        <f ca="1">IFERROR(__xludf.DUMMYFUNCTION("""COMPUTED_VALUE"""),"uexpress.montrouge@systeme-u.fr")</f>
        <v>uexpress.montrouge@systeme-u.fr</v>
      </c>
      <c r="L655" t="str">
        <f ca="1">IFERROR(__xludf.DUMMYFUNCTION("""COMPUTED_VALUE"""),"Standard")</f>
        <v>Standard</v>
      </c>
      <c r="M655" t="str">
        <f ca="1">IFERROR(__xludf.DUMMYFUNCTION("""COMPUTED_VALUE"""),"4. Refus PDV")</f>
        <v>4. Refus PDV</v>
      </c>
      <c r="N655" t="str">
        <f ca="1">IFERROR(__xludf.DUMMYFUNCTION("""COMPUTED_VALUE"""),"")</f>
        <v/>
      </c>
      <c r="O655" t="str">
        <f ca="1">IFERROR(__xludf.DUMMYFUNCTION("""COMPUTED_VALUE"""),"")</f>
        <v/>
      </c>
      <c r="P655" t="str">
        <f ca="1">IFERROR(__xludf.DUMMYFUNCTION("""COMPUTED_VALUE"""),"")</f>
        <v/>
      </c>
      <c r="Q655" s="5" t="str">
        <f ca="1">IFERROR(__xludf.DUMMYFUNCTION("""COMPUTED_VALUE"""),"")</f>
        <v/>
      </c>
      <c r="R655" s="6" t="str">
        <f ca="1">IFERROR(__xludf.DUMMYFUNCTION("""COMPUTED_VALUE"""),"")</f>
        <v/>
      </c>
      <c r="S655" t="str">
        <f ca="1">IFERROR(__xludf.DUMMYFUNCTION("""COMPUTED_VALUE"""),"")</f>
        <v/>
      </c>
      <c r="T655" t="str">
        <f ca="1">IFERROR(__xludf.DUMMYFUNCTION("""COMPUTED_VALUE"""),"")</f>
        <v/>
      </c>
      <c r="U655" t="str">
        <f ca="1">IFERROR(__xludf.DUMMYFUNCTION("""COMPUTED_VALUE"""),"")</f>
        <v/>
      </c>
      <c r="V655" t="str">
        <f ca="1">IFERROR(__xludf.DUMMYFUNCTION("""COMPUTED_VALUE"""),"")</f>
        <v/>
      </c>
      <c r="W655" t="str">
        <f ca="1">IFERROR(__xludf.DUMMYFUNCTION("""COMPUTED_VALUE"""),"R3")</f>
        <v>R3</v>
      </c>
      <c r="X655" t="str">
        <f ca="1">IFERROR(__xludf.DUMMYFUNCTION("""COMPUTED_VALUE"""),"Pricer &lt;8Go")</f>
        <v>Pricer &lt;8Go</v>
      </c>
      <c r="Y655" t="str">
        <f ca="1">IFERROR(__xludf.DUMMYFUNCTION("""COMPUTED_VALUE"""),"")</f>
        <v/>
      </c>
      <c r="Z655" t="str">
        <f ca="1">IFERROR(__xludf.DUMMYFUNCTION("""COMPUTED_VALUE"""),"")</f>
        <v/>
      </c>
      <c r="AA655" t="str">
        <f ca="1">IFERROR(__xludf.DUMMYFUNCTION("""COMPUTED_VALUE"""),"Pas de commande")</f>
        <v>Pas de commande</v>
      </c>
      <c r="AB655" s="8" t="str">
        <f ca="1">IFERROR(__xludf.DUMMYFUNCTION("""COMPUTED_VALUE"""),"")</f>
        <v/>
      </c>
      <c r="AC655" s="8" t="str">
        <f ca="1">IFERROR(__xludf.DUMMYFUNCTION("""COMPUTED_VALUE"""),"")</f>
        <v/>
      </c>
      <c r="AD655" s="11" t="str">
        <f ca="1">IFERROR(__xludf.DUMMYFUNCTION("""COMPUTED_VALUE"""),"")</f>
        <v/>
      </c>
      <c r="AE655" t="str">
        <f ca="1">IFERROR(__xludf.DUMMYFUNCTION("""COMPUTED_VALUE"""),"")</f>
        <v/>
      </c>
    </row>
    <row r="656" spans="1:31" ht="12.75" x14ac:dyDescent="0.2">
      <c r="A656">
        <f ca="1">IFERROR(__xludf.DUMMYFUNCTION("""COMPUTED_VALUE"""),33506)</f>
        <v>33506</v>
      </c>
      <c r="B656" t="str">
        <f ca="1">IFERROR(__xludf.DUMMYFUNCTION("""COMPUTED_VALUE"""),"MONTS")</f>
        <v>MONTS</v>
      </c>
      <c r="C656" t="str">
        <f ca="1">IFERROR(__xludf.DUMMYFUNCTION("""COMPUTED_VALUE"""),"Super U")</f>
        <v>Super U</v>
      </c>
      <c r="D656" t="str">
        <f ca="1">IFERROR(__xludf.DUMMYFUNCTION("""COMPUTED_VALUE"""),"Coop U Enseigne Ouest")</f>
        <v>Coop U Enseigne Ouest</v>
      </c>
      <c r="E656">
        <f ca="1">IFERROR(__xludf.DUMMYFUNCTION("""COMPUTED_VALUE"""),37260)</f>
        <v>37260</v>
      </c>
      <c r="F656" t="str">
        <f ca="1">IFERROR(__xludf.DUMMYFUNCTION("""COMPUTED_VALUE"""),"9, RUE DE LA VASSELIÈRE")</f>
        <v>9, RUE DE LA VASSELIÈRE</v>
      </c>
      <c r="G656" t="str">
        <f ca="1">IFERROR(__xludf.DUMMYFUNCTION("""COMPUTED_VALUE"""),"02.47.26.70.50")</f>
        <v>02.47.26.70.50</v>
      </c>
      <c r="H656" t="str">
        <f ca="1">IFERROR(__xludf.DUMMYFUNCTION("""COMPUTED_VALUE"""),"BOUANT RPT SAS AMJV Audrey")</f>
        <v>BOUANT RPT SAS AMJV Audrey</v>
      </c>
      <c r="I656" t="str">
        <f ca="1">IFERROR(__xludf.DUMMYFUNCTION("""COMPUTED_VALUE"""),"audrey.humeau@systeme-u.fr")</f>
        <v>audrey.humeau@systeme-u.fr</v>
      </c>
      <c r="J656" t="str">
        <f ca="1">IFERROR(__xludf.DUMMYFUNCTION("""COMPUTED_VALUE"""),"BOUANT Julien")</f>
        <v>BOUANT Julien</v>
      </c>
      <c r="K656" t="str">
        <f ca="1">IFERROR(__xludf.DUMMYFUNCTION("""COMPUTED_VALUE"""),"julien.bouant@systeme-u.fr")</f>
        <v>julien.bouant@systeme-u.fr</v>
      </c>
      <c r="L656" t="str">
        <f ca="1">IFERROR(__xludf.DUMMYFUNCTION("""COMPUTED_VALUE"""),"")</f>
        <v/>
      </c>
      <c r="M656" t="str">
        <f ca="1">IFERROR(__xludf.DUMMYFUNCTION("""COMPUTED_VALUE"""),"99.Hors Périmetre")</f>
        <v>99.Hors Périmetre</v>
      </c>
      <c r="N656" t="str">
        <f ca="1">IFERROR(__xludf.DUMMYFUNCTION("""COMPUTED_VALUE"""),"")</f>
        <v/>
      </c>
      <c r="O656" t="str">
        <f ca="1">IFERROR(__xludf.DUMMYFUNCTION("""COMPUTED_VALUE"""),"")</f>
        <v/>
      </c>
      <c r="P656" t="str">
        <f ca="1">IFERROR(__xludf.DUMMYFUNCTION("""COMPUTED_VALUE"""),"")</f>
        <v/>
      </c>
      <c r="Q656" s="5" t="str">
        <f ca="1">IFERROR(__xludf.DUMMYFUNCTION("""COMPUTED_VALUE"""),"")</f>
        <v/>
      </c>
      <c r="R656" s="6" t="str">
        <f ca="1">IFERROR(__xludf.DUMMYFUNCTION("""COMPUTED_VALUE"""),"")</f>
        <v/>
      </c>
      <c r="S656" t="str">
        <f ca="1">IFERROR(__xludf.DUMMYFUNCTION("""COMPUTED_VALUE"""),"")</f>
        <v/>
      </c>
      <c r="T656" t="str">
        <f ca="1">IFERROR(__xludf.DUMMYFUNCTION("""COMPUTED_VALUE"""),"")</f>
        <v/>
      </c>
      <c r="U656" t="str">
        <f ca="1">IFERROR(__xludf.DUMMYFUNCTION("""COMPUTED_VALUE"""),"")</f>
        <v/>
      </c>
      <c r="V656" t="str">
        <f ca="1">IFERROR(__xludf.DUMMYFUNCTION("""COMPUTED_VALUE"""),"")</f>
        <v/>
      </c>
      <c r="W656" t="str">
        <f ca="1">IFERROR(__xludf.DUMMYFUNCTION("""COMPUTED_VALUE"""),"")</f>
        <v/>
      </c>
      <c r="X656" t="str">
        <f ca="1">IFERROR(__xludf.DUMMYFUNCTION("""COMPUTED_VALUE"""),"")</f>
        <v/>
      </c>
      <c r="Y656" t="str">
        <f ca="1">IFERROR(__xludf.DUMMYFUNCTION("""COMPUTED_VALUE"""),"")</f>
        <v/>
      </c>
      <c r="Z656" t="str">
        <f ca="1">IFERROR(__xludf.DUMMYFUNCTION("""COMPUTED_VALUE"""),"")</f>
        <v/>
      </c>
      <c r="AA656" t="str">
        <f ca="1">IFERROR(__xludf.DUMMYFUNCTION("""COMPUTED_VALUE"""),"Pas de commande")</f>
        <v>Pas de commande</v>
      </c>
      <c r="AB656" s="8" t="str">
        <f ca="1">IFERROR(__xludf.DUMMYFUNCTION("""COMPUTED_VALUE"""),"")</f>
        <v/>
      </c>
      <c r="AC656" s="8" t="str">
        <f ca="1">IFERROR(__xludf.DUMMYFUNCTION("""COMPUTED_VALUE"""),"")</f>
        <v/>
      </c>
      <c r="AD656" s="11" t="str">
        <f ca="1">IFERROR(__xludf.DUMMYFUNCTION("""COMPUTED_VALUE"""),"")</f>
        <v/>
      </c>
      <c r="AE656" t="str">
        <f ca="1">IFERROR(__xludf.DUMMYFUNCTION("""COMPUTED_VALUE"""),"")</f>
        <v/>
      </c>
    </row>
    <row r="657" spans="1:31" ht="12.75" x14ac:dyDescent="0.2">
      <c r="A657">
        <f ca="1">IFERROR(__xludf.DUMMYFUNCTION("""COMPUTED_VALUE"""),96332)</f>
        <v>96332</v>
      </c>
      <c r="B657" t="str">
        <f ca="1">IFERROR(__xludf.DUMMYFUNCTION("""COMPUTED_VALUE"""),"MORCENX")</f>
        <v>MORCENX</v>
      </c>
      <c r="C657" t="str">
        <f ca="1">IFERROR(__xludf.DUMMYFUNCTION("""COMPUTED_VALUE"""),"Super U")</f>
        <v>Super U</v>
      </c>
      <c r="D657" t="str">
        <f ca="1">IFERROR(__xludf.DUMMYFUNCTION("""COMPUTED_VALUE"""),"Coop U Enseigne Sud")</f>
        <v>Coop U Enseigne Sud</v>
      </c>
      <c r="E657">
        <f ca="1">IFERROR(__xludf.DUMMYFUNCTION("""COMPUTED_VALUE"""),40110)</f>
        <v>40110</v>
      </c>
      <c r="F657" t="str">
        <f ca="1">IFERROR(__xludf.DUMMYFUNCTION("""COMPUTED_VALUE"""),"CTRE COMMERCIAL LES GRANDS CAROLINS")</f>
        <v>CTRE COMMERCIAL LES GRANDS CAROLINS</v>
      </c>
      <c r="G657" t="str">
        <f ca="1">IFERROR(__xludf.DUMMYFUNCTION("""COMPUTED_VALUE"""),"05.58.08.11.14")</f>
        <v>05.58.08.11.14</v>
      </c>
      <c r="H657" t="str">
        <f ca="1">IFERROR(__xludf.DUMMYFUNCTION("""COMPUTED_VALUE"""),"DESMARES Xavier")</f>
        <v>DESMARES Xavier</v>
      </c>
      <c r="I657" t="str">
        <f ca="1">IFERROR(__xludf.DUMMYFUNCTION("""COMPUTED_VALUE"""),"xavier.desmares@systeme-u.fr")</f>
        <v>xavier.desmares@systeme-u.fr</v>
      </c>
      <c r="J657" t="str">
        <f ca="1">IFERROR(__xludf.DUMMYFUNCTION("""COMPUTED_VALUE"""),"Frédéric ROGER")</f>
        <v>Frédéric ROGER</v>
      </c>
      <c r="K657" t="str">
        <f ca="1">IFERROR(__xludf.DUMMYFUNCTION("""COMPUTED_VALUE"""),"superu.morcenx.bazar@systeme-u.fr")</f>
        <v>superu.morcenx.bazar@systeme-u.fr</v>
      </c>
      <c r="L657" t="str">
        <f ca="1">IFERROR(__xludf.DUMMYFUNCTION("""COMPUTED_VALUE"""),"")</f>
        <v/>
      </c>
      <c r="M657" t="str">
        <f ca="1">IFERROR(__xludf.DUMMYFUNCTION("""COMPUTED_VALUE"""),"99.Hors Périmetre")</f>
        <v>99.Hors Périmetre</v>
      </c>
      <c r="N657" t="str">
        <f ca="1">IFERROR(__xludf.DUMMYFUNCTION("""COMPUTED_VALUE"""),"")</f>
        <v/>
      </c>
      <c r="O657" t="str">
        <f ca="1">IFERROR(__xludf.DUMMYFUNCTION("""COMPUTED_VALUE"""),"")</f>
        <v/>
      </c>
      <c r="P657" t="str">
        <f ca="1">IFERROR(__xludf.DUMMYFUNCTION("""COMPUTED_VALUE"""),"")</f>
        <v/>
      </c>
      <c r="Q657" s="5" t="str">
        <f ca="1">IFERROR(__xludf.DUMMYFUNCTION("""COMPUTED_VALUE"""),"")</f>
        <v/>
      </c>
      <c r="R657" s="6" t="str">
        <f ca="1">IFERROR(__xludf.DUMMYFUNCTION("""COMPUTED_VALUE"""),"")</f>
        <v/>
      </c>
      <c r="S657" t="str">
        <f ca="1">IFERROR(__xludf.DUMMYFUNCTION("""COMPUTED_VALUE"""),"")</f>
        <v/>
      </c>
      <c r="T657" t="str">
        <f ca="1">IFERROR(__xludf.DUMMYFUNCTION("""COMPUTED_VALUE"""),"")</f>
        <v/>
      </c>
      <c r="U657" t="str">
        <f ca="1">IFERROR(__xludf.DUMMYFUNCTION("""COMPUTED_VALUE"""),"")</f>
        <v/>
      </c>
      <c r="V657" t="str">
        <f ca="1">IFERROR(__xludf.DUMMYFUNCTION("""COMPUTED_VALUE"""),"")</f>
        <v/>
      </c>
      <c r="W657" t="str">
        <f ca="1">IFERROR(__xludf.DUMMYFUNCTION("""COMPUTED_VALUE"""),"")</f>
        <v/>
      </c>
      <c r="X657" t="str">
        <f ca="1">IFERROR(__xludf.DUMMYFUNCTION("""COMPUTED_VALUE"""),"")</f>
        <v/>
      </c>
      <c r="Y657" t="str">
        <f ca="1">IFERROR(__xludf.DUMMYFUNCTION("""COMPUTED_VALUE"""),"")</f>
        <v/>
      </c>
      <c r="Z657" t="str">
        <f ca="1">IFERROR(__xludf.DUMMYFUNCTION("""COMPUTED_VALUE"""),"")</f>
        <v/>
      </c>
      <c r="AA657" t="str">
        <f ca="1">IFERROR(__xludf.DUMMYFUNCTION("""COMPUTED_VALUE"""),"Pas de commande")</f>
        <v>Pas de commande</v>
      </c>
      <c r="AB657" s="8" t="str">
        <f ca="1">IFERROR(__xludf.DUMMYFUNCTION("""COMPUTED_VALUE"""),"")</f>
        <v/>
      </c>
      <c r="AC657" s="8" t="str">
        <f ca="1">IFERROR(__xludf.DUMMYFUNCTION("""COMPUTED_VALUE"""),"")</f>
        <v/>
      </c>
      <c r="AD657" s="11" t="str">
        <f ca="1">IFERROR(__xludf.DUMMYFUNCTION("""COMPUTED_VALUE"""),"")</f>
        <v/>
      </c>
      <c r="AE657" t="str">
        <f ca="1">IFERROR(__xludf.DUMMYFUNCTION("""COMPUTED_VALUE"""),"")</f>
        <v/>
      </c>
    </row>
    <row r="658" spans="1:31" ht="12.75" x14ac:dyDescent="0.2">
      <c r="A658">
        <f ca="1">IFERROR(__xludf.DUMMYFUNCTION("""COMPUTED_VALUE"""),30930)</f>
        <v>30930</v>
      </c>
      <c r="B658" t="str">
        <f ca="1">IFERROR(__xludf.DUMMYFUNCTION("""COMPUTED_VALUE"""),"MORDELLES")</f>
        <v>MORDELLES</v>
      </c>
      <c r="C658" t="str">
        <f ca="1">IFERROR(__xludf.DUMMYFUNCTION("""COMPUTED_VALUE"""),"Super U")</f>
        <v>Super U</v>
      </c>
      <c r="D658" t="str">
        <f ca="1">IFERROR(__xludf.DUMMYFUNCTION("""COMPUTED_VALUE"""),"Coop U Enseigne Ouest")</f>
        <v>Coop U Enseigne Ouest</v>
      </c>
      <c r="E658">
        <f ca="1">IFERROR(__xludf.DUMMYFUNCTION("""COMPUTED_VALUE"""),35310)</f>
        <v>35310</v>
      </c>
      <c r="F658" t="str">
        <f ca="1">IFERROR(__xludf.DUMMYFUNCTION("""COMPUTED_VALUE"""),"AVENUE DES PLATANES")</f>
        <v>AVENUE DES PLATANES</v>
      </c>
      <c r="G658" t="str">
        <f ca="1">IFERROR(__xludf.DUMMYFUNCTION("""COMPUTED_VALUE"""),"02.99.85.13.10")</f>
        <v>02.99.85.13.10</v>
      </c>
      <c r="H658" t="str">
        <f ca="1">IFERROR(__xludf.DUMMYFUNCTION("""COMPUTED_VALUE"""),"PORCHER RPT SARL AJM Marc")</f>
        <v>PORCHER RPT SARL AJM Marc</v>
      </c>
      <c r="I658" t="str">
        <f ca="1">IFERROR(__xludf.DUMMYFUNCTION("""COMPUTED_VALUE"""),"marc.porcher@systeme-u.fr")</f>
        <v>marc.porcher@systeme-u.fr</v>
      </c>
      <c r="J658" t="str">
        <f ca="1">IFERROR(__xludf.DUMMYFUNCTION("""COMPUTED_VALUE"""),"PORCHER Arnaud")</f>
        <v>PORCHER Arnaud</v>
      </c>
      <c r="K658" t="str">
        <f ca="1">IFERROR(__xludf.DUMMYFUNCTION("""COMPUTED_VALUE"""),"arnaud.porcher@systeme-u.fr")</f>
        <v>arnaud.porcher@systeme-u.fr</v>
      </c>
      <c r="L658" t="str">
        <f ca="1">IFERROR(__xludf.DUMMYFUNCTION("""COMPUTED_VALUE"""),"")</f>
        <v/>
      </c>
      <c r="M658" t="str">
        <f ca="1">IFERROR(__xludf.DUMMYFUNCTION("""COMPUTED_VALUE"""),"99.Hors Périmetre")</f>
        <v>99.Hors Périmetre</v>
      </c>
      <c r="N658" t="str">
        <f ca="1">IFERROR(__xludf.DUMMYFUNCTION("""COMPUTED_VALUE"""),"")</f>
        <v/>
      </c>
      <c r="O658" t="str">
        <f ca="1">IFERROR(__xludf.DUMMYFUNCTION("""COMPUTED_VALUE"""),"")</f>
        <v/>
      </c>
      <c r="P658" t="str">
        <f ca="1">IFERROR(__xludf.DUMMYFUNCTION("""COMPUTED_VALUE"""),"")</f>
        <v/>
      </c>
      <c r="Q658" s="5" t="str">
        <f ca="1">IFERROR(__xludf.DUMMYFUNCTION("""COMPUTED_VALUE"""),"")</f>
        <v/>
      </c>
      <c r="R658" s="6" t="str">
        <f ca="1">IFERROR(__xludf.DUMMYFUNCTION("""COMPUTED_VALUE"""),"")</f>
        <v/>
      </c>
      <c r="S658" t="str">
        <f ca="1">IFERROR(__xludf.DUMMYFUNCTION("""COMPUTED_VALUE"""),"")</f>
        <v/>
      </c>
      <c r="T658" t="str">
        <f ca="1">IFERROR(__xludf.DUMMYFUNCTION("""COMPUTED_VALUE"""),"")</f>
        <v/>
      </c>
      <c r="U658" t="str">
        <f ca="1">IFERROR(__xludf.DUMMYFUNCTION("""COMPUTED_VALUE"""),"")</f>
        <v/>
      </c>
      <c r="V658" t="str">
        <f ca="1">IFERROR(__xludf.DUMMYFUNCTION("""COMPUTED_VALUE"""),"")</f>
        <v/>
      </c>
      <c r="W658" t="str">
        <f ca="1">IFERROR(__xludf.DUMMYFUNCTION("""COMPUTED_VALUE"""),"")</f>
        <v/>
      </c>
      <c r="X658" t="str">
        <f ca="1">IFERROR(__xludf.DUMMYFUNCTION("""COMPUTED_VALUE"""),"")</f>
        <v/>
      </c>
      <c r="Y658" t="str">
        <f ca="1">IFERROR(__xludf.DUMMYFUNCTION("""COMPUTED_VALUE"""),"")</f>
        <v/>
      </c>
      <c r="Z658" t="str">
        <f ca="1">IFERROR(__xludf.DUMMYFUNCTION("""COMPUTED_VALUE"""),"")</f>
        <v/>
      </c>
      <c r="AA658" t="str">
        <f ca="1">IFERROR(__xludf.DUMMYFUNCTION("""COMPUTED_VALUE"""),"Pas de commande")</f>
        <v>Pas de commande</v>
      </c>
      <c r="AB658" s="8" t="str">
        <f ca="1">IFERROR(__xludf.DUMMYFUNCTION("""COMPUTED_VALUE"""),"")</f>
        <v/>
      </c>
      <c r="AC658" s="8" t="str">
        <f ca="1">IFERROR(__xludf.DUMMYFUNCTION("""COMPUTED_VALUE"""),"")</f>
        <v/>
      </c>
      <c r="AD658" s="11" t="str">
        <f ca="1">IFERROR(__xludf.DUMMYFUNCTION("""COMPUTED_VALUE"""),"")</f>
        <v/>
      </c>
      <c r="AE658" t="str">
        <f ca="1">IFERROR(__xludf.DUMMYFUNCTION("""COMPUTED_VALUE"""),"")</f>
        <v/>
      </c>
    </row>
    <row r="659" spans="1:31" ht="12.75" x14ac:dyDescent="0.2">
      <c r="A659">
        <f ca="1">IFERROR(__xludf.DUMMYFUNCTION("""COMPUTED_VALUE"""),97503)</f>
        <v>97503</v>
      </c>
      <c r="B659" t="str">
        <f ca="1">IFERROR(__xludf.DUMMYFUNCTION("""COMPUTED_VALUE"""),"MORLAAS")</f>
        <v>MORLAAS</v>
      </c>
      <c r="C659" t="str">
        <f ca="1">IFERROR(__xludf.DUMMYFUNCTION("""COMPUTED_VALUE"""),"U Express")</f>
        <v>U Express</v>
      </c>
      <c r="D659" t="str">
        <f ca="1">IFERROR(__xludf.DUMMYFUNCTION("""COMPUTED_VALUE"""),"Coop U Enseigne Sud")</f>
        <v>Coop U Enseigne Sud</v>
      </c>
      <c r="E659">
        <f ca="1">IFERROR(__xludf.DUMMYFUNCTION("""COMPUTED_VALUE"""),64160)</f>
        <v>64160</v>
      </c>
      <c r="F659" t="str">
        <f ca="1">IFERROR(__xludf.DUMMYFUNCTION("""COMPUTED_VALUE"""),"22 RUE DE LA BASTIDE")</f>
        <v>22 RUE DE LA BASTIDE</v>
      </c>
      <c r="G659" t="str">
        <f ca="1">IFERROR(__xludf.DUMMYFUNCTION("""COMPUTED_VALUE"""),"05.59.33.62.95")</f>
        <v>05.59.33.62.95</v>
      </c>
      <c r="H659" t="str">
        <f ca="1">IFERROR(__xludf.DUMMYFUNCTION("""COMPUTED_VALUE"""),"BEE Jerome")</f>
        <v>BEE Jerome</v>
      </c>
      <c r="I659" t="str">
        <f ca="1">IFERROR(__xludf.DUMMYFUNCTION("""COMPUTED_VALUE"""),"jerome.bee@systeme-u.fr")</f>
        <v>jerome.bee@systeme-u.fr</v>
      </c>
      <c r="J659" t="str">
        <f ca="1">IFERROR(__xludf.DUMMYFUNCTION("""COMPUTED_VALUE"""),"Jayle Myriam")</f>
        <v>Jayle Myriam</v>
      </c>
      <c r="K659" t="str">
        <f ca="1">IFERROR(__xludf.DUMMYFUNCTION("""COMPUTED_VALUE"""),"uexpress.morlaas@systeme-u.fr")</f>
        <v>uexpress.morlaas@systeme-u.fr</v>
      </c>
      <c r="L659" t="str">
        <f ca="1">IFERROR(__xludf.DUMMYFUNCTION("""COMPUTED_VALUE"""),"")</f>
        <v/>
      </c>
      <c r="M659" t="str">
        <f ca="1">IFERROR(__xludf.DUMMYFUNCTION("""COMPUTED_VALUE"""),"99.Hors Périmetre")</f>
        <v>99.Hors Périmetre</v>
      </c>
      <c r="N659" t="str">
        <f ca="1">IFERROR(__xludf.DUMMYFUNCTION("""COMPUTED_VALUE"""),"")</f>
        <v/>
      </c>
      <c r="O659" t="str">
        <f ca="1">IFERROR(__xludf.DUMMYFUNCTION("""COMPUTED_VALUE"""),"")</f>
        <v/>
      </c>
      <c r="P659" t="str">
        <f ca="1">IFERROR(__xludf.DUMMYFUNCTION("""COMPUTED_VALUE"""),"")</f>
        <v/>
      </c>
      <c r="Q659" s="5" t="str">
        <f ca="1">IFERROR(__xludf.DUMMYFUNCTION("""COMPUTED_VALUE"""),"")</f>
        <v/>
      </c>
      <c r="R659" s="6" t="str">
        <f ca="1">IFERROR(__xludf.DUMMYFUNCTION("""COMPUTED_VALUE"""),"")</f>
        <v/>
      </c>
      <c r="S659" t="str">
        <f ca="1">IFERROR(__xludf.DUMMYFUNCTION("""COMPUTED_VALUE"""),"")</f>
        <v/>
      </c>
      <c r="T659" t="str">
        <f ca="1">IFERROR(__xludf.DUMMYFUNCTION("""COMPUTED_VALUE"""),"")</f>
        <v/>
      </c>
      <c r="U659" t="str">
        <f ca="1">IFERROR(__xludf.DUMMYFUNCTION("""COMPUTED_VALUE"""),"")</f>
        <v/>
      </c>
      <c r="V659" t="str">
        <f ca="1">IFERROR(__xludf.DUMMYFUNCTION("""COMPUTED_VALUE"""),"")</f>
        <v/>
      </c>
      <c r="W659" t="str">
        <f ca="1">IFERROR(__xludf.DUMMYFUNCTION("""COMPUTED_VALUE"""),"")</f>
        <v/>
      </c>
      <c r="X659" t="str">
        <f ca="1">IFERROR(__xludf.DUMMYFUNCTION("""COMPUTED_VALUE"""),"")</f>
        <v/>
      </c>
      <c r="Y659" t="str">
        <f ca="1">IFERROR(__xludf.DUMMYFUNCTION("""COMPUTED_VALUE"""),"")</f>
        <v/>
      </c>
      <c r="Z659" t="str">
        <f ca="1">IFERROR(__xludf.DUMMYFUNCTION("""COMPUTED_VALUE"""),"")</f>
        <v/>
      </c>
      <c r="AA659" t="str">
        <f ca="1">IFERROR(__xludf.DUMMYFUNCTION("""COMPUTED_VALUE"""),"Pas de commande")</f>
        <v>Pas de commande</v>
      </c>
      <c r="AB659" s="8" t="str">
        <f ca="1">IFERROR(__xludf.DUMMYFUNCTION("""COMPUTED_VALUE"""),"")</f>
        <v/>
      </c>
      <c r="AC659" s="8" t="str">
        <f ca="1">IFERROR(__xludf.DUMMYFUNCTION("""COMPUTED_VALUE"""),"")</f>
        <v/>
      </c>
      <c r="AD659" s="11" t="str">
        <f ca="1">IFERROR(__xludf.DUMMYFUNCTION("""COMPUTED_VALUE"""),"")</f>
        <v/>
      </c>
      <c r="AE659" t="str">
        <f ca="1">IFERROR(__xludf.DUMMYFUNCTION("""COMPUTED_VALUE"""),"")</f>
        <v/>
      </c>
    </row>
    <row r="660" spans="1:31" ht="12.75" x14ac:dyDescent="0.2">
      <c r="A660">
        <f ca="1">IFERROR(__xludf.DUMMYFUNCTION("""COMPUTED_VALUE"""),38217)</f>
        <v>38217</v>
      </c>
      <c r="B660" t="str">
        <f ca="1">IFERROR(__xludf.DUMMYFUNCTION("""COMPUTED_VALUE"""),"MORNE CENTRE VILLE")</f>
        <v>MORNE CENTRE VILLE</v>
      </c>
      <c r="C660" t="str">
        <f ca="1">IFERROR(__xludf.DUMMYFUNCTION("""COMPUTED_VALUE"""),"U Express")</f>
        <v>U Express</v>
      </c>
      <c r="D660" t="str">
        <f ca="1">IFERROR(__xludf.DUMMYFUNCTION("""COMPUTED_VALUE"""),"Coop U Enseigne Ouest")</f>
        <v>Coop U Enseigne Ouest</v>
      </c>
      <c r="E660">
        <f ca="1">IFERROR(__xludf.DUMMYFUNCTION("""COMPUTED_VALUE"""),97111)</f>
        <v>97111</v>
      </c>
      <c r="F660" t="str">
        <f ca="1">IFERROR(__xludf.DUMMYFUNCTION("""COMPUTED_VALUE"""),"17, RUE DÉBARCADÈRE")</f>
        <v>17, RUE DÉBARCADÈRE</v>
      </c>
      <c r="G660" t="str">
        <f ca="1">IFERROR(__xludf.DUMMYFUNCTION("""COMPUTED_VALUE"""),"05.90.24.41.99")</f>
        <v>05.90.24.41.99</v>
      </c>
      <c r="H660" t="str">
        <f ca="1">IFERROR(__xludf.DUMMYFUNCTION("""COMPUTED_VALUE"""),"LUCE Raymond")</f>
        <v>LUCE Raymond</v>
      </c>
      <c r="I660" t="str">
        <f ca="1">IFERROR(__xludf.DUMMYFUNCTION("""COMPUTED_VALUE"""),"")</f>
        <v/>
      </c>
      <c r="J660" t="str">
        <f ca="1">IFERROR(__xludf.DUMMYFUNCTION("""COMPUTED_VALUE"""),"Julie Luce")</f>
        <v>Julie Luce</v>
      </c>
      <c r="K660" t="str">
        <f ca="1">IFERROR(__xludf.DUMMYFUNCTION("""COMPUTED_VALUE"""),"julie.luce@hotmail.fr,martine.crevecoeur@systeme-u.fr")</f>
        <v>julie.luce@hotmail.fr,martine.crevecoeur@systeme-u.fr</v>
      </c>
      <c r="L660" t="str">
        <f ca="1">IFERROR(__xludf.DUMMYFUNCTION("""COMPUTED_VALUE"""),"")</f>
        <v/>
      </c>
      <c r="M660" t="str">
        <f ca="1">IFERROR(__xludf.DUMMYFUNCTION("""COMPUTED_VALUE"""),"99.Hors Périmetre")</f>
        <v>99.Hors Périmetre</v>
      </c>
      <c r="N660" t="str">
        <f ca="1">IFERROR(__xludf.DUMMYFUNCTION("""COMPUTED_VALUE"""),"")</f>
        <v/>
      </c>
      <c r="O660" t="str">
        <f ca="1">IFERROR(__xludf.DUMMYFUNCTION("""COMPUTED_VALUE"""),"")</f>
        <v/>
      </c>
      <c r="P660" t="str">
        <f ca="1">IFERROR(__xludf.DUMMYFUNCTION("""COMPUTED_VALUE"""),"")</f>
        <v/>
      </c>
      <c r="Q660" s="5" t="str">
        <f ca="1">IFERROR(__xludf.DUMMYFUNCTION("""COMPUTED_VALUE"""),"")</f>
        <v/>
      </c>
      <c r="R660" s="6" t="str">
        <f ca="1">IFERROR(__xludf.DUMMYFUNCTION("""COMPUTED_VALUE"""),"")</f>
        <v/>
      </c>
      <c r="S660" t="str">
        <f ca="1">IFERROR(__xludf.DUMMYFUNCTION("""COMPUTED_VALUE"""),"")</f>
        <v/>
      </c>
      <c r="T660" t="str">
        <f ca="1">IFERROR(__xludf.DUMMYFUNCTION("""COMPUTED_VALUE"""),"")</f>
        <v/>
      </c>
      <c r="U660" t="str">
        <f ca="1">IFERROR(__xludf.DUMMYFUNCTION("""COMPUTED_VALUE"""),"")</f>
        <v/>
      </c>
      <c r="V660" t="str">
        <f ca="1">IFERROR(__xludf.DUMMYFUNCTION("""COMPUTED_VALUE"""),"")</f>
        <v/>
      </c>
      <c r="W660" t="str">
        <f ca="1">IFERROR(__xludf.DUMMYFUNCTION("""COMPUTED_VALUE"""),"")</f>
        <v/>
      </c>
      <c r="X660" t="str">
        <f ca="1">IFERROR(__xludf.DUMMYFUNCTION("""COMPUTED_VALUE"""),"")</f>
        <v/>
      </c>
      <c r="Y660" t="str">
        <f ca="1">IFERROR(__xludf.DUMMYFUNCTION("""COMPUTED_VALUE"""),"")</f>
        <v/>
      </c>
      <c r="Z660" t="str">
        <f ca="1">IFERROR(__xludf.DUMMYFUNCTION("""COMPUTED_VALUE"""),"")</f>
        <v/>
      </c>
      <c r="AA660" t="str">
        <f ca="1">IFERROR(__xludf.DUMMYFUNCTION("""COMPUTED_VALUE"""),"Pas de commande")</f>
        <v>Pas de commande</v>
      </c>
      <c r="AB660" s="8" t="str">
        <f ca="1">IFERROR(__xludf.DUMMYFUNCTION("""COMPUTED_VALUE"""),"")</f>
        <v/>
      </c>
      <c r="AC660" s="8" t="str">
        <f ca="1">IFERROR(__xludf.DUMMYFUNCTION("""COMPUTED_VALUE"""),"")</f>
        <v/>
      </c>
      <c r="AD660" s="11" t="str">
        <f ca="1">IFERROR(__xludf.DUMMYFUNCTION("""COMPUTED_VALUE"""),"")</f>
        <v/>
      </c>
      <c r="AE660" t="str">
        <f ca="1">IFERROR(__xludf.DUMMYFUNCTION("""COMPUTED_VALUE"""),"")</f>
        <v/>
      </c>
    </row>
    <row r="661" spans="1:31" ht="12.75" x14ac:dyDescent="0.2">
      <c r="A661">
        <f ca="1">IFERROR(__xludf.DUMMYFUNCTION("""COMPUTED_VALUE"""),37966)</f>
        <v>37966</v>
      </c>
      <c r="B661" t="str">
        <f ca="1">IFERROR(__xludf.DUMMYFUNCTION("""COMPUTED_VALUE"""),"MORNE ESPERANCE")</f>
        <v>MORNE ESPERANCE</v>
      </c>
      <c r="C661" t="str">
        <f ca="1">IFERROR(__xludf.DUMMYFUNCTION("""COMPUTED_VALUE"""),"U Express")</f>
        <v>U Express</v>
      </c>
      <c r="D661" t="str">
        <f ca="1">IFERROR(__xludf.DUMMYFUNCTION("""COMPUTED_VALUE"""),"Coop U Enseigne Ouest")</f>
        <v>Coop U Enseigne Ouest</v>
      </c>
      <c r="E661">
        <f ca="1">IFERROR(__xludf.DUMMYFUNCTION("""COMPUTED_VALUE"""),97111)</f>
        <v>97111</v>
      </c>
      <c r="F661" t="str">
        <f ca="1">IFERROR(__xludf.DUMMYFUNCTION("""COMPUTED_VALUE"""),"QUARTIER ESPÉRANCE RN 5")</f>
        <v>QUARTIER ESPÉRANCE RN 5</v>
      </c>
      <c r="G661" t="str">
        <f ca="1">IFERROR(__xludf.DUMMYFUNCTION("""COMPUTED_VALUE"""),"05.90.90.03.08")</f>
        <v>05.90.90.03.08</v>
      </c>
      <c r="H661" t="str">
        <f ca="1">IFERROR(__xludf.DUMMYFUNCTION("""COMPUTED_VALUE"""),"LUCE Raymond")</f>
        <v>LUCE Raymond</v>
      </c>
      <c r="I661" t="str">
        <f ca="1">IFERROR(__xludf.DUMMYFUNCTION("""COMPUTED_VALUE"""),"yohann.luce@systeme-u.fr")</f>
        <v>yohann.luce@systeme-u.fr</v>
      </c>
      <c r="J661" t="str">
        <f ca="1">IFERROR(__xludf.DUMMYFUNCTION("""COMPUTED_VALUE"""),"freddy kantaparedy")</f>
        <v>freddy kantaparedy</v>
      </c>
      <c r="K661" t="str">
        <f ca="1">IFERROR(__xludf.DUMMYFUNCTION("""COMPUTED_VALUE"""),"freddy.kdcm@yahoo.fr,martine.crevecoeur@systeme-u.fr")</f>
        <v>freddy.kdcm@yahoo.fr,martine.crevecoeur@systeme-u.fr</v>
      </c>
      <c r="L661" t="str">
        <f ca="1">IFERROR(__xludf.DUMMYFUNCTION("""COMPUTED_VALUE"""),"")</f>
        <v/>
      </c>
      <c r="M661" t="str">
        <f ca="1">IFERROR(__xludf.DUMMYFUNCTION("""COMPUTED_VALUE"""),"99.Hors Périmetre")</f>
        <v>99.Hors Périmetre</v>
      </c>
      <c r="N661" t="str">
        <f ca="1">IFERROR(__xludf.DUMMYFUNCTION("""COMPUTED_VALUE"""),"")</f>
        <v/>
      </c>
      <c r="O661" t="str">
        <f ca="1">IFERROR(__xludf.DUMMYFUNCTION("""COMPUTED_VALUE"""),"")</f>
        <v/>
      </c>
      <c r="P661" t="str">
        <f ca="1">IFERROR(__xludf.DUMMYFUNCTION("""COMPUTED_VALUE"""),"")</f>
        <v/>
      </c>
      <c r="Q661" s="5" t="str">
        <f ca="1">IFERROR(__xludf.DUMMYFUNCTION("""COMPUTED_VALUE"""),"")</f>
        <v/>
      </c>
      <c r="R661" s="6" t="str">
        <f ca="1">IFERROR(__xludf.DUMMYFUNCTION("""COMPUTED_VALUE"""),"")</f>
        <v/>
      </c>
      <c r="S661" t="str">
        <f ca="1">IFERROR(__xludf.DUMMYFUNCTION("""COMPUTED_VALUE"""),"")</f>
        <v/>
      </c>
      <c r="T661" t="str">
        <f ca="1">IFERROR(__xludf.DUMMYFUNCTION("""COMPUTED_VALUE"""),"")</f>
        <v/>
      </c>
      <c r="U661" t="str">
        <f ca="1">IFERROR(__xludf.DUMMYFUNCTION("""COMPUTED_VALUE"""),"")</f>
        <v/>
      </c>
      <c r="V661" t="str">
        <f ca="1">IFERROR(__xludf.DUMMYFUNCTION("""COMPUTED_VALUE"""),"")</f>
        <v/>
      </c>
      <c r="W661" t="str">
        <f ca="1">IFERROR(__xludf.DUMMYFUNCTION("""COMPUTED_VALUE"""),"")</f>
        <v/>
      </c>
      <c r="X661" t="str">
        <f ca="1">IFERROR(__xludf.DUMMYFUNCTION("""COMPUTED_VALUE"""),"")</f>
        <v/>
      </c>
      <c r="Y661" t="str">
        <f ca="1">IFERROR(__xludf.DUMMYFUNCTION("""COMPUTED_VALUE"""),"")</f>
        <v/>
      </c>
      <c r="Z661" t="str">
        <f ca="1">IFERROR(__xludf.DUMMYFUNCTION("""COMPUTED_VALUE"""),"")</f>
        <v/>
      </c>
      <c r="AA661" t="str">
        <f ca="1">IFERROR(__xludf.DUMMYFUNCTION("""COMPUTED_VALUE"""),"Pas de commande")</f>
        <v>Pas de commande</v>
      </c>
      <c r="AB661" s="8" t="str">
        <f ca="1">IFERROR(__xludf.DUMMYFUNCTION("""COMPUTED_VALUE"""),"")</f>
        <v/>
      </c>
      <c r="AC661" s="8" t="str">
        <f ca="1">IFERROR(__xludf.DUMMYFUNCTION("""COMPUTED_VALUE"""),"")</f>
        <v/>
      </c>
      <c r="AD661" s="11" t="str">
        <f ca="1">IFERROR(__xludf.DUMMYFUNCTION("""COMPUTED_VALUE"""),"")</f>
        <v/>
      </c>
      <c r="AE661" t="str">
        <f ca="1">IFERROR(__xludf.DUMMYFUNCTION("""COMPUTED_VALUE"""),"")</f>
        <v/>
      </c>
    </row>
    <row r="662" spans="1:31" ht="12.75" x14ac:dyDescent="0.2">
      <c r="A662">
        <f ca="1">IFERROR(__xludf.DUMMYFUNCTION("""COMPUTED_VALUE"""),32828)</f>
        <v>32828</v>
      </c>
      <c r="B662" t="str">
        <f ca="1">IFERROR(__xludf.DUMMYFUNCTION("""COMPUTED_VALUE"""),"MORTAGNE-SUR-SEVRE")</f>
        <v>MORTAGNE-SUR-SEVRE</v>
      </c>
      <c r="C662" t="str">
        <f ca="1">IFERROR(__xludf.DUMMYFUNCTION("""COMPUTED_VALUE"""),"Super U")</f>
        <v>Super U</v>
      </c>
      <c r="D662" t="str">
        <f ca="1">IFERROR(__xludf.DUMMYFUNCTION("""COMPUTED_VALUE"""),"Coop U Enseigne Ouest")</f>
        <v>Coop U Enseigne Ouest</v>
      </c>
      <c r="E662">
        <f ca="1">IFERROR(__xludf.DUMMYFUNCTION("""COMPUTED_VALUE"""),85290)</f>
        <v>85290</v>
      </c>
      <c r="F662" t="str">
        <f ca="1">IFERROR(__xludf.DUMMYFUNCTION("""COMPUTED_VALUE"""),"PLACE DE LA ROSERAIE")</f>
        <v>PLACE DE LA ROSERAIE</v>
      </c>
      <c r="G662" t="str">
        <f ca="1">IFERROR(__xludf.DUMMYFUNCTION("""COMPUTED_VALUE"""),"02.51.63.04.04")</f>
        <v>02.51.63.04.04</v>
      </c>
      <c r="H662" t="str">
        <f ca="1">IFERROR(__xludf.DUMMYFUNCTION("""COMPUTED_VALUE"""),"COUPRIE MACE Marina")</f>
        <v>COUPRIE MACE Marina</v>
      </c>
      <c r="I662" t="str">
        <f ca="1">IFERROR(__xludf.DUMMYFUNCTION("""COMPUTED_VALUE"""),"marina.couprie-mace@systeme-u.fr")</f>
        <v>marina.couprie-mace@systeme-u.fr</v>
      </c>
      <c r="J662" t="str">
        <f ca="1">IFERROR(__xludf.DUMMYFUNCTION("""COMPUTED_VALUE"""),"LAURE GUITTON")</f>
        <v>LAURE GUITTON</v>
      </c>
      <c r="K662" t="str">
        <f ca="1">IFERROR(__xludf.DUMMYFUNCTION("""COMPUTED_VALUE"""),"superu.mortagnesursevre@systeme-u.fr")</f>
        <v>superu.mortagnesursevre@systeme-u.fr</v>
      </c>
      <c r="L662" t="str">
        <f ca="1">IFERROR(__xludf.DUMMYFUNCTION("""COMPUTED_VALUE"""),"")</f>
        <v/>
      </c>
      <c r="M662" t="str">
        <f ca="1">IFERROR(__xludf.DUMMYFUNCTION("""COMPUTED_VALUE"""),"99.Hors Périmetre")</f>
        <v>99.Hors Périmetre</v>
      </c>
      <c r="N662" t="str">
        <f ca="1">IFERROR(__xludf.DUMMYFUNCTION("""COMPUTED_VALUE"""),"")</f>
        <v/>
      </c>
      <c r="O662" t="str">
        <f ca="1">IFERROR(__xludf.DUMMYFUNCTION("""COMPUTED_VALUE"""),"")</f>
        <v/>
      </c>
      <c r="P662" t="str">
        <f ca="1">IFERROR(__xludf.DUMMYFUNCTION("""COMPUTED_VALUE"""),"")</f>
        <v/>
      </c>
      <c r="Q662" s="5" t="str">
        <f ca="1">IFERROR(__xludf.DUMMYFUNCTION("""COMPUTED_VALUE"""),"")</f>
        <v/>
      </c>
      <c r="R662" s="6" t="str">
        <f ca="1">IFERROR(__xludf.DUMMYFUNCTION("""COMPUTED_VALUE"""),"")</f>
        <v/>
      </c>
      <c r="S662" t="str">
        <f ca="1">IFERROR(__xludf.DUMMYFUNCTION("""COMPUTED_VALUE"""),"")</f>
        <v/>
      </c>
      <c r="T662" t="str">
        <f ca="1">IFERROR(__xludf.DUMMYFUNCTION("""COMPUTED_VALUE"""),"")</f>
        <v/>
      </c>
      <c r="U662" t="str">
        <f ca="1">IFERROR(__xludf.DUMMYFUNCTION("""COMPUTED_VALUE"""),"")</f>
        <v/>
      </c>
      <c r="V662" t="str">
        <f ca="1">IFERROR(__xludf.DUMMYFUNCTION("""COMPUTED_VALUE"""),"")</f>
        <v/>
      </c>
      <c r="W662" t="str">
        <f ca="1">IFERROR(__xludf.DUMMYFUNCTION("""COMPUTED_VALUE"""),"")</f>
        <v/>
      </c>
      <c r="X662" t="str">
        <f ca="1">IFERROR(__xludf.DUMMYFUNCTION("""COMPUTED_VALUE"""),"")</f>
        <v/>
      </c>
      <c r="Y662" t="str">
        <f ca="1">IFERROR(__xludf.DUMMYFUNCTION("""COMPUTED_VALUE"""),"")</f>
        <v/>
      </c>
      <c r="Z662" t="str">
        <f ca="1">IFERROR(__xludf.DUMMYFUNCTION("""COMPUTED_VALUE"""),"")</f>
        <v/>
      </c>
      <c r="AA662" t="str">
        <f ca="1">IFERROR(__xludf.DUMMYFUNCTION("""COMPUTED_VALUE"""),"Pas de commande")</f>
        <v>Pas de commande</v>
      </c>
      <c r="AB662" s="8" t="str">
        <f ca="1">IFERROR(__xludf.DUMMYFUNCTION("""COMPUTED_VALUE"""),"")</f>
        <v/>
      </c>
      <c r="AC662" s="8" t="str">
        <f ca="1">IFERROR(__xludf.DUMMYFUNCTION("""COMPUTED_VALUE"""),"")</f>
        <v/>
      </c>
      <c r="AD662" s="11" t="str">
        <f ca="1">IFERROR(__xludf.DUMMYFUNCTION("""COMPUTED_VALUE"""),"")</f>
        <v/>
      </c>
      <c r="AE662" t="str">
        <f ca="1">IFERROR(__xludf.DUMMYFUNCTION("""COMPUTED_VALUE"""),"")</f>
        <v/>
      </c>
    </row>
    <row r="663" spans="1:31" ht="12.75" x14ac:dyDescent="0.2">
      <c r="A663">
        <f ca="1">IFERROR(__xludf.DUMMYFUNCTION("""COMPUTED_VALUE"""),60055)</f>
        <v>60055</v>
      </c>
      <c r="B663" t="str">
        <f ca="1">IFERROR(__xludf.DUMMYFUNCTION("""COMPUTED_VALUE"""),"MULHOUSE")</f>
        <v>MULHOUSE</v>
      </c>
      <c r="C663" t="str">
        <f ca="1">IFERROR(__xludf.DUMMYFUNCTION("""COMPUTED_VALUE"""),"Super U")</f>
        <v>Super U</v>
      </c>
      <c r="D663" t="str">
        <f ca="1">IFERROR(__xludf.DUMMYFUNCTION("""COMPUTED_VALUE"""),"Coop U Enseigne Est")</f>
        <v>Coop U Enseigne Est</v>
      </c>
      <c r="E663">
        <f ca="1">IFERROR(__xludf.DUMMYFUNCTION("""COMPUTED_VALUE"""),68200)</f>
        <v>68200</v>
      </c>
      <c r="F663" t="str">
        <f ca="1">IFERROR(__xludf.DUMMYFUNCTION("""COMPUTED_VALUE"""),"11 RUE JOSUE HOFER")</f>
        <v>11 RUE JOSUE HOFER</v>
      </c>
      <c r="G663" t="str">
        <f ca="1">IFERROR(__xludf.DUMMYFUNCTION("""COMPUTED_VALUE"""),"03.89.42.21.00")</f>
        <v>03.89.42.21.00</v>
      </c>
      <c r="H663" t="str">
        <f ca="1">IFERROR(__xludf.DUMMYFUNCTION("""COMPUTED_VALUE"""),"LAWITSCHKA Christophe")</f>
        <v>LAWITSCHKA Christophe</v>
      </c>
      <c r="I663" t="str">
        <f ca="1">IFERROR(__xludf.DUMMYFUNCTION("""COMPUTED_VALUE"""),"christophe.lawitschka@systeme-u.fr")</f>
        <v>christophe.lawitschka@systeme-u.fr</v>
      </c>
      <c r="J663" t="str">
        <f ca="1">IFERROR(__xludf.DUMMYFUNCTION("""COMPUTED_VALUE"""),"")</f>
        <v/>
      </c>
      <c r="K663" t="str">
        <f ca="1">IFERROR(__xludf.DUMMYFUNCTION("""COMPUTED_VALUE"""),"")</f>
        <v/>
      </c>
      <c r="L663" t="str">
        <f ca="1">IFERROR(__xludf.DUMMYFUNCTION("""COMPUTED_VALUE"""),"")</f>
        <v/>
      </c>
      <c r="M663" t="str">
        <f ca="1">IFERROR(__xludf.DUMMYFUNCTION("""COMPUTED_VALUE"""),"99.Hors Périmetre")</f>
        <v>99.Hors Périmetre</v>
      </c>
      <c r="N663" t="str">
        <f ca="1">IFERROR(__xludf.DUMMYFUNCTION("""COMPUTED_VALUE"""),"")</f>
        <v/>
      </c>
      <c r="O663" t="str">
        <f ca="1">IFERROR(__xludf.DUMMYFUNCTION("""COMPUTED_VALUE"""),"")</f>
        <v/>
      </c>
      <c r="P663" t="str">
        <f ca="1">IFERROR(__xludf.DUMMYFUNCTION("""COMPUTED_VALUE"""),"")</f>
        <v/>
      </c>
      <c r="Q663" s="5" t="str">
        <f ca="1">IFERROR(__xludf.DUMMYFUNCTION("""COMPUTED_VALUE"""),"")</f>
        <v/>
      </c>
      <c r="R663" s="6" t="str">
        <f ca="1">IFERROR(__xludf.DUMMYFUNCTION("""COMPUTED_VALUE"""),"")</f>
        <v/>
      </c>
      <c r="S663" t="str">
        <f ca="1">IFERROR(__xludf.DUMMYFUNCTION("""COMPUTED_VALUE"""),"")</f>
        <v/>
      </c>
      <c r="T663" t="str">
        <f ca="1">IFERROR(__xludf.DUMMYFUNCTION("""COMPUTED_VALUE"""),"")</f>
        <v/>
      </c>
      <c r="U663" t="str">
        <f ca="1">IFERROR(__xludf.DUMMYFUNCTION("""COMPUTED_VALUE"""),"")</f>
        <v/>
      </c>
      <c r="V663" t="str">
        <f ca="1">IFERROR(__xludf.DUMMYFUNCTION("""COMPUTED_VALUE"""),"")</f>
        <v/>
      </c>
      <c r="W663" t="str">
        <f ca="1">IFERROR(__xludf.DUMMYFUNCTION("""COMPUTED_VALUE"""),"")</f>
        <v/>
      </c>
      <c r="X663" t="str">
        <f ca="1">IFERROR(__xludf.DUMMYFUNCTION("""COMPUTED_VALUE"""),"")</f>
        <v/>
      </c>
      <c r="Y663" t="str">
        <f ca="1">IFERROR(__xludf.DUMMYFUNCTION("""COMPUTED_VALUE"""),"")</f>
        <v/>
      </c>
      <c r="Z663" t="str">
        <f ca="1">IFERROR(__xludf.DUMMYFUNCTION("""COMPUTED_VALUE"""),"")</f>
        <v/>
      </c>
      <c r="AA663" t="str">
        <f ca="1">IFERROR(__xludf.DUMMYFUNCTION("""COMPUTED_VALUE"""),"Pas de commande")</f>
        <v>Pas de commande</v>
      </c>
      <c r="AB663" s="8" t="str">
        <f ca="1">IFERROR(__xludf.DUMMYFUNCTION("""COMPUTED_VALUE"""),"")</f>
        <v/>
      </c>
      <c r="AC663" s="8" t="str">
        <f ca="1">IFERROR(__xludf.DUMMYFUNCTION("""COMPUTED_VALUE"""),"")</f>
        <v/>
      </c>
      <c r="AD663" s="11" t="str">
        <f ca="1">IFERROR(__xludf.DUMMYFUNCTION("""COMPUTED_VALUE"""),"")</f>
        <v/>
      </c>
      <c r="AE663" t="str">
        <f ca="1">IFERROR(__xludf.DUMMYFUNCTION("""COMPUTED_VALUE"""),"")</f>
        <v/>
      </c>
    </row>
    <row r="664" spans="1:31" ht="12.75" x14ac:dyDescent="0.2">
      <c r="A664">
        <f ca="1">IFERROR(__xludf.DUMMYFUNCTION("""COMPUTED_VALUE"""),60035)</f>
        <v>60035</v>
      </c>
      <c r="B664" t="str">
        <f ca="1">IFERROR(__xludf.DUMMYFUNCTION("""COMPUTED_VALUE"""),"MUNSTER")</f>
        <v>MUNSTER</v>
      </c>
      <c r="C664" t="str">
        <f ca="1">IFERROR(__xludf.DUMMYFUNCTION("""COMPUTED_VALUE"""),"Super U")</f>
        <v>Super U</v>
      </c>
      <c r="D664" t="str">
        <f ca="1">IFERROR(__xludf.DUMMYFUNCTION("""COMPUTED_VALUE"""),"Coop U Enseigne Est")</f>
        <v>Coop U Enseigne Est</v>
      </c>
      <c r="E664">
        <f ca="1">IFERROR(__xludf.DUMMYFUNCTION("""COMPUTED_VALUE"""),68140)</f>
        <v>68140</v>
      </c>
      <c r="F664" t="str">
        <f ca="1">IFERROR(__xludf.DUMMYFUNCTION("""COMPUTED_VALUE"""),"ZONE INDUSTRIELLE")</f>
        <v>ZONE INDUSTRIELLE</v>
      </c>
      <c r="G664" t="str">
        <f ca="1">IFERROR(__xludf.DUMMYFUNCTION("""COMPUTED_VALUE"""),"03.89.77.15.00")</f>
        <v>03.89.77.15.00</v>
      </c>
      <c r="H664" t="str">
        <f ca="1">IFERROR(__xludf.DUMMYFUNCTION("""COMPUTED_VALUE"""),"MENDELEWSKI RPT SAS FI KOHLER Isabelle")</f>
        <v>MENDELEWSKI RPT SAS FI KOHLER Isabelle</v>
      </c>
      <c r="I664" t="str">
        <f ca="1">IFERROR(__xludf.DUMMYFUNCTION("""COMPUTED_VALUE"""),"isabelle.mendelewski@systeme-u.fr")</f>
        <v>isabelle.mendelewski@systeme-u.fr</v>
      </c>
      <c r="J664" t="str">
        <f ca="1">IFERROR(__xludf.DUMMYFUNCTION("""COMPUTED_VALUE"""),"Gehin Alain")</f>
        <v>Gehin Alain</v>
      </c>
      <c r="K664" t="str">
        <f ca="1">IFERROR(__xludf.DUMMYFUNCTION("""COMPUTED_VALUE"""),"superu.munster.managerderayon@systeme-u.fr")</f>
        <v>superu.munster.managerderayon@systeme-u.fr</v>
      </c>
      <c r="L664" t="str">
        <f ca="1">IFERROR(__xludf.DUMMYFUNCTION("""COMPUTED_VALUE"""),"")</f>
        <v/>
      </c>
      <c r="M664" t="str">
        <f ca="1">IFERROR(__xludf.DUMMYFUNCTION("""COMPUTED_VALUE"""),"99.Hors Périmetre")</f>
        <v>99.Hors Périmetre</v>
      </c>
      <c r="N664" t="str">
        <f ca="1">IFERROR(__xludf.DUMMYFUNCTION("""COMPUTED_VALUE"""),"")</f>
        <v/>
      </c>
      <c r="O664" t="str">
        <f ca="1">IFERROR(__xludf.DUMMYFUNCTION("""COMPUTED_VALUE"""),"")</f>
        <v/>
      </c>
      <c r="P664" t="str">
        <f ca="1">IFERROR(__xludf.DUMMYFUNCTION("""COMPUTED_VALUE"""),"")</f>
        <v/>
      </c>
      <c r="Q664" s="5" t="str">
        <f ca="1">IFERROR(__xludf.DUMMYFUNCTION("""COMPUTED_VALUE"""),"")</f>
        <v/>
      </c>
      <c r="R664" s="6" t="str">
        <f ca="1">IFERROR(__xludf.DUMMYFUNCTION("""COMPUTED_VALUE"""),"")</f>
        <v/>
      </c>
      <c r="S664" t="str">
        <f ca="1">IFERROR(__xludf.DUMMYFUNCTION("""COMPUTED_VALUE"""),"")</f>
        <v/>
      </c>
      <c r="T664" t="str">
        <f ca="1">IFERROR(__xludf.DUMMYFUNCTION("""COMPUTED_VALUE"""),"")</f>
        <v/>
      </c>
      <c r="U664" t="str">
        <f ca="1">IFERROR(__xludf.DUMMYFUNCTION("""COMPUTED_VALUE"""),"")</f>
        <v/>
      </c>
      <c r="V664" t="str">
        <f ca="1">IFERROR(__xludf.DUMMYFUNCTION("""COMPUTED_VALUE"""),"")</f>
        <v/>
      </c>
      <c r="W664" t="str">
        <f ca="1">IFERROR(__xludf.DUMMYFUNCTION("""COMPUTED_VALUE"""),"")</f>
        <v/>
      </c>
      <c r="X664" t="str">
        <f ca="1">IFERROR(__xludf.DUMMYFUNCTION("""COMPUTED_VALUE"""),"")</f>
        <v/>
      </c>
      <c r="Y664" t="str">
        <f ca="1">IFERROR(__xludf.DUMMYFUNCTION("""COMPUTED_VALUE"""),"")</f>
        <v/>
      </c>
      <c r="Z664" t="str">
        <f ca="1">IFERROR(__xludf.DUMMYFUNCTION("""COMPUTED_VALUE"""),"")</f>
        <v/>
      </c>
      <c r="AA664" t="str">
        <f ca="1">IFERROR(__xludf.DUMMYFUNCTION("""COMPUTED_VALUE"""),"Pas de commande")</f>
        <v>Pas de commande</v>
      </c>
      <c r="AB664" s="8" t="str">
        <f ca="1">IFERROR(__xludf.DUMMYFUNCTION("""COMPUTED_VALUE"""),"")</f>
        <v/>
      </c>
      <c r="AC664" s="8" t="str">
        <f ca="1">IFERROR(__xludf.DUMMYFUNCTION("""COMPUTED_VALUE"""),"")</f>
        <v/>
      </c>
      <c r="AD664" s="11" t="str">
        <f ca="1">IFERROR(__xludf.DUMMYFUNCTION("""COMPUTED_VALUE"""),"")</f>
        <v/>
      </c>
      <c r="AE664" t="str">
        <f ca="1">IFERROR(__xludf.DUMMYFUNCTION("""COMPUTED_VALUE"""),"")</f>
        <v/>
      </c>
    </row>
    <row r="665" spans="1:31" ht="12.75" x14ac:dyDescent="0.2">
      <c r="A665">
        <f ca="1">IFERROR(__xludf.DUMMYFUNCTION("""COMPUTED_VALUE"""),60744)</f>
        <v>60744</v>
      </c>
      <c r="B665" t="str">
        <f ca="1">IFERROR(__xludf.DUMMYFUNCTION("""COMPUTED_VALUE"""),"MUNSTER")</f>
        <v>MUNSTER</v>
      </c>
      <c r="C665" t="str">
        <f ca="1">IFERROR(__xludf.DUMMYFUNCTION("""COMPUTED_VALUE"""),"U Express")</f>
        <v>U Express</v>
      </c>
      <c r="D665" t="str">
        <f ca="1">IFERROR(__xludf.DUMMYFUNCTION("""COMPUTED_VALUE"""),"Coop U Enseigne Est")</f>
        <v>Coop U Enseigne Est</v>
      </c>
      <c r="E665">
        <f ca="1">IFERROR(__xludf.DUMMYFUNCTION("""COMPUTED_VALUE"""),68140)</f>
        <v>68140</v>
      </c>
      <c r="F665" t="str">
        <f ca="1">IFERROR(__xludf.DUMMYFUNCTION("""COMPUTED_VALUE"""),"13 RUE DU 9ÈME ZOUAVE")</f>
        <v>13 RUE DU 9ÈME ZOUAVE</v>
      </c>
      <c r="G665" t="str">
        <f ca="1">IFERROR(__xludf.DUMMYFUNCTION("""COMPUTED_VALUE"""),"03.89.77.20.02")</f>
        <v>03.89.77.20.02</v>
      </c>
      <c r="H665" t="str">
        <f ca="1">IFERROR(__xludf.DUMMYFUNCTION("""COMPUTED_VALUE"""),"MENDELEWSKI Isabelle")</f>
        <v>MENDELEWSKI Isabelle</v>
      </c>
      <c r="I665" t="str">
        <f ca="1">IFERROR(__xludf.DUMMYFUNCTION("""COMPUTED_VALUE"""),"isabelle.mendelewski@systeme-u.fr")</f>
        <v>isabelle.mendelewski@systeme-u.fr</v>
      </c>
      <c r="J665" t="str">
        <f ca="1">IFERROR(__xludf.DUMMYFUNCTION("""COMPUTED_VALUE"""),"GEHIN Alain")</f>
        <v>GEHIN Alain</v>
      </c>
      <c r="K665" t="str">
        <f ca="1">IFERROR(__xludf.DUMMYFUNCTION("""COMPUTED_VALUE"""),"superu.munster.managerderayon@systeme-u.fr, uexpress.munster@systeme-u.fr")</f>
        <v>superu.munster.managerderayon@systeme-u.fr, uexpress.munster@systeme-u.fr</v>
      </c>
      <c r="L665" t="str">
        <f ca="1">IFERROR(__xludf.DUMMYFUNCTION("""COMPUTED_VALUE"""),"")</f>
        <v/>
      </c>
      <c r="M665" t="str">
        <f ca="1">IFERROR(__xludf.DUMMYFUNCTION("""COMPUTED_VALUE"""),"99.Hors Périmetre")</f>
        <v>99.Hors Périmetre</v>
      </c>
      <c r="N665" t="str">
        <f ca="1">IFERROR(__xludf.DUMMYFUNCTION("""COMPUTED_VALUE"""),"")</f>
        <v/>
      </c>
      <c r="O665" t="str">
        <f ca="1">IFERROR(__xludf.DUMMYFUNCTION("""COMPUTED_VALUE"""),"")</f>
        <v/>
      </c>
      <c r="P665" t="str">
        <f ca="1">IFERROR(__xludf.DUMMYFUNCTION("""COMPUTED_VALUE"""),"")</f>
        <v/>
      </c>
      <c r="Q665" s="5" t="str">
        <f ca="1">IFERROR(__xludf.DUMMYFUNCTION("""COMPUTED_VALUE"""),"")</f>
        <v/>
      </c>
      <c r="R665" s="6" t="str">
        <f ca="1">IFERROR(__xludf.DUMMYFUNCTION("""COMPUTED_VALUE"""),"")</f>
        <v/>
      </c>
      <c r="S665" t="str">
        <f ca="1">IFERROR(__xludf.DUMMYFUNCTION("""COMPUTED_VALUE"""),"")</f>
        <v/>
      </c>
      <c r="T665" t="str">
        <f ca="1">IFERROR(__xludf.DUMMYFUNCTION("""COMPUTED_VALUE"""),"")</f>
        <v/>
      </c>
      <c r="U665" t="str">
        <f ca="1">IFERROR(__xludf.DUMMYFUNCTION("""COMPUTED_VALUE"""),"")</f>
        <v/>
      </c>
      <c r="V665" t="str">
        <f ca="1">IFERROR(__xludf.DUMMYFUNCTION("""COMPUTED_VALUE"""),"")</f>
        <v/>
      </c>
      <c r="W665" t="str">
        <f ca="1">IFERROR(__xludf.DUMMYFUNCTION("""COMPUTED_VALUE"""),"")</f>
        <v/>
      </c>
      <c r="X665" t="str">
        <f ca="1">IFERROR(__xludf.DUMMYFUNCTION("""COMPUTED_VALUE"""),"")</f>
        <v/>
      </c>
      <c r="Y665" t="str">
        <f ca="1">IFERROR(__xludf.DUMMYFUNCTION("""COMPUTED_VALUE"""),"")</f>
        <v/>
      </c>
      <c r="Z665" t="str">
        <f ca="1">IFERROR(__xludf.DUMMYFUNCTION("""COMPUTED_VALUE"""),"")</f>
        <v/>
      </c>
      <c r="AA665" t="str">
        <f ca="1">IFERROR(__xludf.DUMMYFUNCTION("""COMPUTED_VALUE"""),"Pas de commande")</f>
        <v>Pas de commande</v>
      </c>
      <c r="AB665" s="8" t="str">
        <f ca="1">IFERROR(__xludf.DUMMYFUNCTION("""COMPUTED_VALUE"""),"")</f>
        <v/>
      </c>
      <c r="AC665" s="8" t="str">
        <f ca="1">IFERROR(__xludf.DUMMYFUNCTION("""COMPUTED_VALUE"""),"")</f>
        <v/>
      </c>
      <c r="AD665" s="11" t="str">
        <f ca="1">IFERROR(__xludf.DUMMYFUNCTION("""COMPUTED_VALUE"""),"")</f>
        <v/>
      </c>
      <c r="AE665" t="str">
        <f ca="1">IFERROR(__xludf.DUMMYFUNCTION("""COMPUTED_VALUE"""),"")</f>
        <v/>
      </c>
    </row>
    <row r="666" spans="1:31" ht="12.75" x14ac:dyDescent="0.2">
      <c r="A666">
        <f ca="1">IFERROR(__xludf.DUMMYFUNCTION("""COMPUTED_VALUE"""),37544)</f>
        <v>37544</v>
      </c>
      <c r="B666" t="str">
        <f ca="1">IFERROR(__xludf.DUMMYFUNCTION("""COMPUTED_VALUE"""),"MURS-ERIGNE")</f>
        <v>MURS-ERIGNE</v>
      </c>
      <c r="C666" t="str">
        <f ca="1">IFERROR(__xludf.DUMMYFUNCTION("""COMPUTED_VALUE"""),"Hyper U")</f>
        <v>Hyper U</v>
      </c>
      <c r="D666" t="str">
        <f ca="1">IFERROR(__xludf.DUMMYFUNCTION("""COMPUTED_VALUE"""),"Coop U Enseigne Ouest")</f>
        <v>Coop U Enseigne Ouest</v>
      </c>
      <c r="E666">
        <f ca="1">IFERROR(__xludf.DUMMYFUNCTION("""COMPUTED_VALUE"""),49610)</f>
        <v>49610</v>
      </c>
      <c r="F666" t="str">
        <f ca="1">IFERROR(__xludf.DUMMYFUNCTION("""COMPUTED_VALUE"""),"26 RUE VALENTIN DES ORMEAUX")</f>
        <v>26 RUE VALENTIN DES ORMEAUX</v>
      </c>
      <c r="G666" t="str">
        <f ca="1">IFERROR(__xludf.DUMMYFUNCTION("""COMPUTED_VALUE"""),"02.41.79.45.45")</f>
        <v>02.41.79.45.45</v>
      </c>
      <c r="H666" t="str">
        <f ca="1">IFERROR(__xludf.DUMMYFUNCTION("""COMPUTED_VALUE"""),"CHOPLAIN Benoit")</f>
        <v>CHOPLAIN Benoit</v>
      </c>
      <c r="I666" t="str">
        <f ca="1">IFERROR(__xludf.DUMMYFUNCTION("""COMPUTED_VALUE"""),"benoit.choplain@systeme-u.fr")</f>
        <v>benoit.choplain@systeme-u.fr</v>
      </c>
      <c r="J666" t="str">
        <f ca="1">IFERROR(__xludf.DUMMYFUNCTION("""COMPUTED_VALUE"""),"Mr Lionel Poupard Md Castillon")</f>
        <v>Mr Lionel Poupard Md Castillon</v>
      </c>
      <c r="K666" t="str">
        <f ca="1">IFERROR(__xludf.DUMMYFUNCTION("""COMPUTED_VALUE"""),"hyperu.murserigne.accueil@systeme-u.fr")</f>
        <v>hyperu.murserigne.accueil@systeme-u.fr</v>
      </c>
      <c r="L666" t="str">
        <f ca="1">IFERROR(__xludf.DUMMYFUNCTION("""COMPUTED_VALUE"""),"")</f>
        <v/>
      </c>
      <c r="M666" t="str">
        <f ca="1">IFERROR(__xludf.DUMMYFUNCTION("""COMPUTED_VALUE"""),"3.3 Migration hors USB")</f>
        <v>3.3 Migration hors USB</v>
      </c>
      <c r="N666" t="str">
        <f ca="1">IFERROR(__xludf.DUMMYFUNCTION("""COMPUTED_VALUE"""),"")</f>
        <v/>
      </c>
      <c r="O666" t="str">
        <f ca="1">IFERROR(__xludf.DUMMYFUNCTION("""COMPUTED_VALUE"""),"")</f>
        <v/>
      </c>
      <c r="P666" t="str">
        <f ca="1">IFERROR(__xludf.DUMMYFUNCTION("""COMPUTED_VALUE"""),"")</f>
        <v/>
      </c>
      <c r="Q666" s="5" t="str">
        <f ca="1">IFERROR(__xludf.DUMMYFUNCTION("""COMPUTED_VALUE"""),"")</f>
        <v/>
      </c>
      <c r="R666" s="6" t="str">
        <f ca="1">IFERROR(__xludf.DUMMYFUNCTION("""COMPUTED_VALUE"""),"")</f>
        <v/>
      </c>
      <c r="S666" t="str">
        <f ca="1">IFERROR(__xludf.DUMMYFUNCTION("""COMPUTED_VALUE"""),"")</f>
        <v/>
      </c>
      <c r="T666" t="str">
        <f ca="1">IFERROR(__xludf.DUMMYFUNCTION("""COMPUTED_VALUE"""),"")</f>
        <v/>
      </c>
      <c r="U666" t="str">
        <f ca="1">IFERROR(__xludf.DUMMYFUNCTION("""COMPUTED_VALUE"""),"")</f>
        <v/>
      </c>
      <c r="V666" t="str">
        <f ca="1">IFERROR(__xludf.DUMMYFUNCTION("""COMPUTED_VALUE"""),"")</f>
        <v/>
      </c>
      <c r="W666" t="str">
        <f ca="1">IFERROR(__xludf.DUMMYFUNCTION("""COMPUTED_VALUE"""),"")</f>
        <v/>
      </c>
      <c r="X666" t="str">
        <f ca="1">IFERROR(__xludf.DUMMYFUNCTION("""COMPUTED_VALUE"""),"")</f>
        <v/>
      </c>
      <c r="Y666" t="str">
        <f ca="1">IFERROR(__xludf.DUMMYFUNCTION("""COMPUTED_VALUE"""),"")</f>
        <v/>
      </c>
      <c r="Z666" t="str">
        <f ca="1">IFERROR(__xludf.DUMMYFUNCTION("""COMPUTED_VALUE"""),"")</f>
        <v/>
      </c>
      <c r="AA666" t="str">
        <f ca="1">IFERROR(__xludf.DUMMYFUNCTION("""COMPUTED_VALUE"""),"Pas de commande")</f>
        <v>Pas de commande</v>
      </c>
      <c r="AB666" s="8" t="str">
        <f ca="1">IFERROR(__xludf.DUMMYFUNCTION("""COMPUTED_VALUE"""),"")</f>
        <v/>
      </c>
      <c r="AC666" s="8" t="str">
        <f ca="1">IFERROR(__xludf.DUMMYFUNCTION("""COMPUTED_VALUE"""),"")</f>
        <v/>
      </c>
      <c r="AD666" s="11" t="str">
        <f ca="1">IFERROR(__xludf.DUMMYFUNCTION("""COMPUTED_VALUE"""),"")</f>
        <v/>
      </c>
      <c r="AE666" t="str">
        <f ca="1">IFERROR(__xludf.DUMMYFUNCTION("""COMPUTED_VALUE"""),"")</f>
        <v/>
      </c>
    </row>
    <row r="667" spans="1:31" ht="12.75" x14ac:dyDescent="0.2">
      <c r="A667">
        <f ca="1">IFERROR(__xludf.DUMMYFUNCTION("""COMPUTED_VALUE"""),60037)</f>
        <v>60037</v>
      </c>
      <c r="B667" t="str">
        <f ca="1">IFERROR(__xludf.DUMMYFUNCTION("""COMPUTED_VALUE"""),"MUTZIG")</f>
        <v>MUTZIG</v>
      </c>
      <c r="C667" t="str">
        <f ca="1">IFERROR(__xludf.DUMMYFUNCTION("""COMPUTED_VALUE"""),"Super U")</f>
        <v>Super U</v>
      </c>
      <c r="D667" t="str">
        <f ca="1">IFERROR(__xludf.DUMMYFUNCTION("""COMPUTED_VALUE"""),"Coop U Enseigne Est")</f>
        <v>Coop U Enseigne Est</v>
      </c>
      <c r="E667">
        <f ca="1">IFERROR(__xludf.DUMMYFUNCTION("""COMPUTED_VALUE"""),67190)</f>
        <v>67190</v>
      </c>
      <c r="F667" t="str">
        <f ca="1">IFERROR(__xludf.DUMMYFUNCTION("""COMPUTED_VALUE"""),"ZAC DE MITTELFELD")</f>
        <v>ZAC DE MITTELFELD</v>
      </c>
      <c r="G667" t="str">
        <f ca="1">IFERROR(__xludf.DUMMYFUNCTION("""COMPUTED_VALUE"""),"03.88.38.56.51")</f>
        <v>03.88.38.56.51</v>
      </c>
      <c r="H667" t="str">
        <f ca="1">IFERROR(__xludf.DUMMYFUNCTION("""COMPUTED_VALUE"""),"ROUSSILLON Olivier")</f>
        <v>ROUSSILLON Olivier</v>
      </c>
      <c r="I667" t="str">
        <f ca="1">IFERROR(__xludf.DUMMYFUNCTION("""COMPUTED_VALUE"""),"olivier.roussillon@systeme-u.fr")</f>
        <v>olivier.roussillon@systeme-u.fr</v>
      </c>
      <c r="J667" t="str">
        <f ca="1">IFERROR(__xludf.DUMMYFUNCTION("""COMPUTED_VALUE"""),"Mme Sophie KUGLER")</f>
        <v>Mme Sophie KUGLER</v>
      </c>
      <c r="K667" t="str">
        <f ca="1">IFERROR(__xludf.DUMMYFUNCTION("""COMPUTED_VALUE"""),"superu.mutzig.compta@systeme-u.fr")</f>
        <v>superu.mutzig.compta@systeme-u.fr</v>
      </c>
      <c r="L667" t="str">
        <f ca="1">IFERROR(__xludf.DUMMYFUNCTION("""COMPUTED_VALUE"""),"")</f>
        <v/>
      </c>
      <c r="M667" t="str">
        <f ca="1">IFERROR(__xludf.DUMMYFUNCTION("""COMPUTED_VALUE"""),"99.Hors Périmetre")</f>
        <v>99.Hors Périmetre</v>
      </c>
      <c r="N667" t="str">
        <f ca="1">IFERROR(__xludf.DUMMYFUNCTION("""COMPUTED_VALUE"""),"")</f>
        <v/>
      </c>
      <c r="O667" t="str">
        <f ca="1">IFERROR(__xludf.DUMMYFUNCTION("""COMPUTED_VALUE"""),"")</f>
        <v/>
      </c>
      <c r="P667" t="str">
        <f ca="1">IFERROR(__xludf.DUMMYFUNCTION("""COMPUTED_VALUE"""),"")</f>
        <v/>
      </c>
      <c r="Q667" s="5" t="str">
        <f ca="1">IFERROR(__xludf.DUMMYFUNCTION("""COMPUTED_VALUE"""),"")</f>
        <v/>
      </c>
      <c r="R667" s="6" t="str">
        <f ca="1">IFERROR(__xludf.DUMMYFUNCTION("""COMPUTED_VALUE"""),"")</f>
        <v/>
      </c>
      <c r="S667" t="str">
        <f ca="1">IFERROR(__xludf.DUMMYFUNCTION("""COMPUTED_VALUE"""),"")</f>
        <v/>
      </c>
      <c r="T667" t="str">
        <f ca="1">IFERROR(__xludf.DUMMYFUNCTION("""COMPUTED_VALUE"""),"")</f>
        <v/>
      </c>
      <c r="U667" t="str">
        <f ca="1">IFERROR(__xludf.DUMMYFUNCTION("""COMPUTED_VALUE"""),"")</f>
        <v/>
      </c>
      <c r="V667" t="str">
        <f ca="1">IFERROR(__xludf.DUMMYFUNCTION("""COMPUTED_VALUE"""),"")</f>
        <v/>
      </c>
      <c r="W667" t="str">
        <f ca="1">IFERROR(__xludf.DUMMYFUNCTION("""COMPUTED_VALUE"""),"")</f>
        <v/>
      </c>
      <c r="X667" t="str">
        <f ca="1">IFERROR(__xludf.DUMMYFUNCTION("""COMPUTED_VALUE"""),"")</f>
        <v/>
      </c>
      <c r="Y667" t="str">
        <f ca="1">IFERROR(__xludf.DUMMYFUNCTION("""COMPUTED_VALUE"""),"")</f>
        <v/>
      </c>
      <c r="Z667" t="str">
        <f ca="1">IFERROR(__xludf.DUMMYFUNCTION("""COMPUTED_VALUE"""),"")</f>
        <v/>
      </c>
      <c r="AA667" t="str">
        <f ca="1">IFERROR(__xludf.DUMMYFUNCTION("""COMPUTED_VALUE"""),"Pas de commande")</f>
        <v>Pas de commande</v>
      </c>
      <c r="AB667" s="8" t="str">
        <f ca="1">IFERROR(__xludf.DUMMYFUNCTION("""COMPUTED_VALUE"""),"")</f>
        <v/>
      </c>
      <c r="AC667" s="8" t="str">
        <f ca="1">IFERROR(__xludf.DUMMYFUNCTION("""COMPUTED_VALUE"""),"")</f>
        <v/>
      </c>
      <c r="AD667" s="11" t="str">
        <f ca="1">IFERROR(__xludf.DUMMYFUNCTION("""COMPUTED_VALUE"""),"")</f>
        <v/>
      </c>
      <c r="AE667" t="str">
        <f ca="1">IFERROR(__xludf.DUMMYFUNCTION("""COMPUTED_VALUE"""),"")</f>
        <v/>
      </c>
    </row>
    <row r="668" spans="1:31" ht="12.75" x14ac:dyDescent="0.2">
      <c r="A668">
        <f ca="1">IFERROR(__xludf.DUMMYFUNCTION("""COMPUTED_VALUE"""),30817)</f>
        <v>30817</v>
      </c>
      <c r="B668" t="str">
        <f ca="1">IFERROR(__xludf.DUMMYFUNCTION("""COMPUTED_VALUE"""),"MUZILLAC")</f>
        <v>MUZILLAC</v>
      </c>
      <c r="C668" t="str">
        <f ca="1">IFERROR(__xludf.DUMMYFUNCTION("""COMPUTED_VALUE"""),"Super U")</f>
        <v>Super U</v>
      </c>
      <c r="D668" t="str">
        <f ca="1">IFERROR(__xludf.DUMMYFUNCTION("""COMPUTED_VALUE"""),"Coop U Enseigne Ouest")</f>
        <v>Coop U Enseigne Ouest</v>
      </c>
      <c r="E668">
        <f ca="1">IFERROR(__xludf.DUMMYFUNCTION("""COMPUTED_VALUE"""),56190)</f>
        <v>56190</v>
      </c>
      <c r="F668" t="str">
        <f ca="1">IFERROR(__xludf.DUMMYFUNCTION("""COMPUTED_VALUE"""),"ZONE COMMERCIALE ESPACE LITTORAL")</f>
        <v>ZONE COMMERCIALE ESPACE LITTORAL</v>
      </c>
      <c r="G668" t="str">
        <f ca="1">IFERROR(__xludf.DUMMYFUNCTION("""COMPUTED_VALUE"""),"02.97.41.48.48")</f>
        <v>02.97.41.48.48</v>
      </c>
      <c r="H668" t="str">
        <f ca="1">IFERROR(__xludf.DUMMYFUNCTION("""COMPUTED_VALUE"""),"TROADEC RPT SARL ALTRORIA Alexandre")</f>
        <v>TROADEC RPT SARL ALTRORIA Alexandre</v>
      </c>
      <c r="I668" t="str">
        <f ca="1">IFERROR(__xludf.DUMMYFUNCTION("""COMPUTED_VALUE"""),"alexandre.troadec@systeme-u.fr")</f>
        <v>alexandre.troadec@systeme-u.fr</v>
      </c>
      <c r="J668" t="str">
        <f ca="1">IFERROR(__xludf.DUMMYFUNCTION("""COMPUTED_VALUE"""),"Dayon Catherine")</f>
        <v>Dayon Catherine</v>
      </c>
      <c r="K668" t="str">
        <f ca="1">IFERROR(__xludf.DUMMYFUNCTION("""COMPUTED_VALUE"""),"superu.muzillac@systeme-u.fr")</f>
        <v>superu.muzillac@systeme-u.fr</v>
      </c>
      <c r="L668" t="str">
        <f ca="1">IFERROR(__xludf.DUMMYFUNCTION("""COMPUTED_VALUE"""),"")</f>
        <v/>
      </c>
      <c r="M668" t="str">
        <f ca="1">IFERROR(__xludf.DUMMYFUNCTION("""COMPUTED_VALUE"""),"99.Hors Périmetre")</f>
        <v>99.Hors Périmetre</v>
      </c>
      <c r="N668" t="str">
        <f ca="1">IFERROR(__xludf.DUMMYFUNCTION("""COMPUTED_VALUE"""),"")</f>
        <v/>
      </c>
      <c r="O668" t="str">
        <f ca="1">IFERROR(__xludf.DUMMYFUNCTION("""COMPUTED_VALUE"""),"")</f>
        <v/>
      </c>
      <c r="P668" t="str">
        <f ca="1">IFERROR(__xludf.DUMMYFUNCTION("""COMPUTED_VALUE"""),"")</f>
        <v/>
      </c>
      <c r="Q668" s="5" t="str">
        <f ca="1">IFERROR(__xludf.DUMMYFUNCTION("""COMPUTED_VALUE"""),"")</f>
        <v/>
      </c>
      <c r="R668" s="6" t="str">
        <f ca="1">IFERROR(__xludf.DUMMYFUNCTION("""COMPUTED_VALUE"""),"")</f>
        <v/>
      </c>
      <c r="S668" t="str">
        <f ca="1">IFERROR(__xludf.DUMMYFUNCTION("""COMPUTED_VALUE"""),"")</f>
        <v/>
      </c>
      <c r="T668" t="str">
        <f ca="1">IFERROR(__xludf.DUMMYFUNCTION("""COMPUTED_VALUE"""),"")</f>
        <v/>
      </c>
      <c r="U668" t="str">
        <f ca="1">IFERROR(__xludf.DUMMYFUNCTION("""COMPUTED_VALUE"""),"")</f>
        <v/>
      </c>
      <c r="V668" t="str">
        <f ca="1">IFERROR(__xludf.DUMMYFUNCTION("""COMPUTED_VALUE"""),"")</f>
        <v/>
      </c>
      <c r="W668" t="str">
        <f ca="1">IFERROR(__xludf.DUMMYFUNCTION("""COMPUTED_VALUE"""),"")</f>
        <v/>
      </c>
      <c r="X668" t="str">
        <f ca="1">IFERROR(__xludf.DUMMYFUNCTION("""COMPUTED_VALUE"""),"")</f>
        <v/>
      </c>
      <c r="Y668" t="str">
        <f ca="1">IFERROR(__xludf.DUMMYFUNCTION("""COMPUTED_VALUE"""),"")</f>
        <v/>
      </c>
      <c r="Z668" t="str">
        <f ca="1">IFERROR(__xludf.DUMMYFUNCTION("""COMPUTED_VALUE"""),"")</f>
        <v/>
      </c>
      <c r="AA668" t="str">
        <f ca="1">IFERROR(__xludf.DUMMYFUNCTION("""COMPUTED_VALUE"""),"Pas de commande")</f>
        <v>Pas de commande</v>
      </c>
      <c r="AB668" s="8" t="str">
        <f ca="1">IFERROR(__xludf.DUMMYFUNCTION("""COMPUTED_VALUE"""),"")</f>
        <v/>
      </c>
      <c r="AC668" s="8" t="str">
        <f ca="1">IFERROR(__xludf.DUMMYFUNCTION("""COMPUTED_VALUE"""),"")</f>
        <v/>
      </c>
      <c r="AD668" s="11" t="str">
        <f ca="1">IFERROR(__xludf.DUMMYFUNCTION("""COMPUTED_VALUE"""),"")</f>
        <v/>
      </c>
      <c r="AE668" t="str">
        <f ca="1">IFERROR(__xludf.DUMMYFUNCTION("""COMPUTED_VALUE"""),"")</f>
        <v/>
      </c>
    </row>
    <row r="669" spans="1:31" ht="12.75" x14ac:dyDescent="0.2">
      <c r="A669">
        <f ca="1">IFERROR(__xludf.DUMMYFUNCTION("""COMPUTED_VALUE"""),38325)</f>
        <v>38325</v>
      </c>
      <c r="B669" t="str">
        <f ca="1">IFERROR(__xludf.DUMMYFUNCTION("""COMPUTED_VALUE"""),"NANTES BEAUJOIRE")</f>
        <v>NANTES BEAUJOIRE</v>
      </c>
      <c r="C669" t="str">
        <f ca="1">IFERROR(__xludf.DUMMYFUNCTION("""COMPUTED_VALUE"""),"U Express")</f>
        <v>U Express</v>
      </c>
      <c r="D669" t="str">
        <f ca="1">IFERROR(__xludf.DUMMYFUNCTION("""COMPUTED_VALUE"""),"Coop U Enseigne Ouest")</f>
        <v>Coop U Enseigne Ouest</v>
      </c>
      <c r="E669">
        <f ca="1">IFERROR(__xludf.DUMMYFUNCTION("""COMPUTED_VALUE"""),44300)</f>
        <v>44300</v>
      </c>
      <c r="F669" t="str">
        <f ca="1">IFERROR(__xludf.DUMMYFUNCTION("""COMPUTED_VALUE"""),"36 BOULEVARD DE LA BEAUJOIRE")</f>
        <v>36 BOULEVARD DE LA BEAUJOIRE</v>
      </c>
      <c r="G669" t="str">
        <f ca="1">IFERROR(__xludf.DUMMYFUNCTION("""COMPUTED_VALUE"""),"02.40.30.21.80")</f>
        <v>02.40.30.21.80</v>
      </c>
      <c r="H669" t="str">
        <f ca="1">IFERROR(__xludf.DUMMYFUNCTION("""COMPUTED_VALUE"""),"LEROYER JEAN")</f>
        <v>LEROYER JEAN</v>
      </c>
      <c r="I669" t="str">
        <f ca="1">IFERROR(__xludf.DUMMYFUNCTION("""COMPUTED_VALUE"""),"sybille.leroyer@systeme-u.fr")</f>
        <v>sybille.leroyer@systeme-u.fr</v>
      </c>
      <c r="J669" t="str">
        <f ca="1">IFERROR(__xludf.DUMMYFUNCTION("""COMPUTED_VALUE"""),"LEROYER Sybille")</f>
        <v>LEROYER Sybille</v>
      </c>
      <c r="K669" t="str">
        <f ca="1">IFERROR(__xludf.DUMMYFUNCTION("""COMPUTED_VALUE"""),"sybille.leroyer@systeme-u.fr")</f>
        <v>sybille.leroyer@systeme-u.fr</v>
      </c>
      <c r="L669" t="str">
        <f ca="1">IFERROR(__xludf.DUMMYFUNCTION("""COMPUTED_VALUE"""),"")</f>
        <v/>
      </c>
      <c r="M669" t="str">
        <f ca="1">IFERROR(__xludf.DUMMYFUNCTION("""COMPUTED_VALUE"""),"99.Hors Périmetre")</f>
        <v>99.Hors Périmetre</v>
      </c>
      <c r="N669" t="str">
        <f ca="1">IFERROR(__xludf.DUMMYFUNCTION("""COMPUTED_VALUE"""),"")</f>
        <v/>
      </c>
      <c r="O669" t="str">
        <f ca="1">IFERROR(__xludf.DUMMYFUNCTION("""COMPUTED_VALUE"""),"")</f>
        <v/>
      </c>
      <c r="P669" t="str">
        <f ca="1">IFERROR(__xludf.DUMMYFUNCTION("""COMPUTED_VALUE"""),"")</f>
        <v/>
      </c>
      <c r="Q669" s="5" t="str">
        <f ca="1">IFERROR(__xludf.DUMMYFUNCTION("""COMPUTED_VALUE"""),"")</f>
        <v/>
      </c>
      <c r="R669" s="6" t="str">
        <f ca="1">IFERROR(__xludf.DUMMYFUNCTION("""COMPUTED_VALUE"""),"")</f>
        <v/>
      </c>
      <c r="S669" t="str">
        <f ca="1">IFERROR(__xludf.DUMMYFUNCTION("""COMPUTED_VALUE"""),"")</f>
        <v/>
      </c>
      <c r="T669" t="str">
        <f ca="1">IFERROR(__xludf.DUMMYFUNCTION("""COMPUTED_VALUE"""),"")</f>
        <v/>
      </c>
      <c r="U669" t="str">
        <f ca="1">IFERROR(__xludf.DUMMYFUNCTION("""COMPUTED_VALUE"""),"")</f>
        <v/>
      </c>
      <c r="V669" t="str">
        <f ca="1">IFERROR(__xludf.DUMMYFUNCTION("""COMPUTED_VALUE"""),"")</f>
        <v/>
      </c>
      <c r="W669" t="str">
        <f ca="1">IFERROR(__xludf.DUMMYFUNCTION("""COMPUTED_VALUE"""),"")</f>
        <v/>
      </c>
      <c r="X669" t="str">
        <f ca="1">IFERROR(__xludf.DUMMYFUNCTION("""COMPUTED_VALUE"""),"")</f>
        <v/>
      </c>
      <c r="Y669" t="str">
        <f ca="1">IFERROR(__xludf.DUMMYFUNCTION("""COMPUTED_VALUE"""),"")</f>
        <v/>
      </c>
      <c r="Z669" t="str">
        <f ca="1">IFERROR(__xludf.DUMMYFUNCTION("""COMPUTED_VALUE"""),"")</f>
        <v/>
      </c>
      <c r="AA669" t="str">
        <f ca="1">IFERROR(__xludf.DUMMYFUNCTION("""COMPUTED_VALUE"""),"Pas de commande")</f>
        <v>Pas de commande</v>
      </c>
      <c r="AB669" s="8" t="str">
        <f ca="1">IFERROR(__xludf.DUMMYFUNCTION("""COMPUTED_VALUE"""),"")</f>
        <v/>
      </c>
      <c r="AC669" s="8" t="str">
        <f ca="1">IFERROR(__xludf.DUMMYFUNCTION("""COMPUTED_VALUE"""),"")</f>
        <v/>
      </c>
      <c r="AD669" s="11" t="str">
        <f ca="1">IFERROR(__xludf.DUMMYFUNCTION("""COMPUTED_VALUE"""),"")</f>
        <v/>
      </c>
      <c r="AE669" t="str">
        <f ca="1">IFERROR(__xludf.DUMMYFUNCTION("""COMPUTED_VALUE"""),"")</f>
        <v/>
      </c>
    </row>
    <row r="670" spans="1:31" ht="12.75" x14ac:dyDescent="0.2">
      <c r="A670">
        <f ca="1">IFERROR(__xludf.DUMMYFUNCTION("""COMPUTED_VALUE"""),35608)</f>
        <v>35608</v>
      </c>
      <c r="B670" t="str">
        <f ca="1">IFERROR(__xludf.DUMMYFUNCTION("""COMPUTED_VALUE"""),"NANTES LAFAYETTE")</f>
        <v>NANTES LAFAYETTE</v>
      </c>
      <c r="C670" t="str">
        <f ca="1">IFERROR(__xludf.DUMMYFUNCTION("""COMPUTED_VALUE"""),"U Express")</f>
        <v>U Express</v>
      </c>
      <c r="D670" t="str">
        <f ca="1">IFERROR(__xludf.DUMMYFUNCTION("""COMPUTED_VALUE"""),"Coop U Enseigne Ouest")</f>
        <v>Coop U Enseigne Ouest</v>
      </c>
      <c r="E670">
        <f ca="1">IFERROR(__xludf.DUMMYFUNCTION("""COMPUTED_VALUE"""),44000)</f>
        <v>44000</v>
      </c>
      <c r="F670" t="str">
        <f ca="1">IFERROR(__xludf.DUMMYFUNCTION("""COMPUTED_VALUE"""),"3 RUE LAFAYETTE")</f>
        <v>3 RUE LAFAYETTE</v>
      </c>
      <c r="G670" t="str">
        <f ca="1">IFERROR(__xludf.DUMMYFUNCTION("""COMPUTED_VALUE"""),"02.40.44.64.64")</f>
        <v>02.40.44.64.64</v>
      </c>
      <c r="H670" t="str">
        <f ca="1">IFERROR(__xludf.DUMMYFUNCTION("""COMPUTED_VALUE"""),"PAHAUT RPT MAP FINANCES Aymeric")</f>
        <v>PAHAUT RPT MAP FINANCES Aymeric</v>
      </c>
      <c r="I670" t="str">
        <f ca="1">IFERROR(__xludf.DUMMYFUNCTION("""COMPUTED_VALUE"""),"aymeric.pahaut@systeme-u.fr")</f>
        <v>aymeric.pahaut@systeme-u.fr</v>
      </c>
      <c r="J670" t="str">
        <f ca="1">IFERROR(__xludf.DUMMYFUNCTION("""COMPUTED_VALUE"""),"PAHAUT Aymeric")</f>
        <v>PAHAUT Aymeric</v>
      </c>
      <c r="K670" t="str">
        <f ca="1">IFERROR(__xludf.DUMMYFUNCTION("""COMPUTED_VALUE"""),"aymeric.pahaut@systeme-u.fr")</f>
        <v>aymeric.pahaut@systeme-u.fr</v>
      </c>
      <c r="L670" t="str">
        <f ca="1">IFERROR(__xludf.DUMMYFUNCTION("""COMPUTED_VALUE"""),"")</f>
        <v/>
      </c>
      <c r="M670" t="str">
        <f ca="1">IFERROR(__xludf.DUMMYFUNCTION("""COMPUTED_VALUE"""),"3. Migration réalisée")</f>
        <v>3. Migration réalisée</v>
      </c>
      <c r="N670" t="str">
        <f ca="1">IFERROR(__xludf.DUMMYFUNCTION("""COMPUTED_VALUE"""),"")</f>
        <v/>
      </c>
      <c r="O670" t="str">
        <f ca="1">IFERROR(__xludf.DUMMYFUNCTION("""COMPUTED_VALUE"""),"18/02 FMR MP le 28/02/2019 9H contact M Pahaut
28/02 RLO : Migration réalisée vu avec Mme Pahaut")</f>
        <v>18/02 FMR MP le 28/02/2019 9H contact M Pahaut
28/02 RLO : Migration réalisée vu avec Mme Pahaut</v>
      </c>
      <c r="P670">
        <f ca="1">IFERROR(__xludf.DUMMYFUNCTION("""COMPUTED_VALUE"""),9)</f>
        <v>9</v>
      </c>
      <c r="Q670" s="5" t="str">
        <f ca="1">IFERROR(__xludf.DUMMYFUNCTION("""COMPUTED_VALUE"""),"")</f>
        <v/>
      </c>
      <c r="R670" s="6">
        <f ca="1">IFERROR(__xludf.DUMMYFUNCTION("""COMPUTED_VALUE"""),43524.375)</f>
        <v>43524.375</v>
      </c>
      <c r="S670" t="str">
        <f ca="1">IFERROR(__xludf.DUMMYFUNCTION("""COMPUTED_VALUE"""),"MEP8519896")</f>
        <v>MEP8519896</v>
      </c>
      <c r="T670" t="str">
        <f ca="1">IFERROR(__xludf.DUMMYFUNCTION("""COMPUTED_VALUE"""),"MEP8519897")</f>
        <v>MEP8519897</v>
      </c>
      <c r="U670" t="str">
        <f ca="1">IFERROR(__xludf.DUMMYFUNCTION("""COMPUTED_VALUE"""),"")</f>
        <v/>
      </c>
      <c r="V670" t="str">
        <f ca="1">IFERROR(__xludf.DUMMYFUNCTION("""COMPUTED_VALUE"""),"10.191.8.237")</f>
        <v>10.191.8.237</v>
      </c>
      <c r="W670" t="str">
        <f ca="1">IFERROR(__xludf.DUMMYFUNCTION("""COMPUTED_VALUE"""),"R5")</f>
        <v>R5</v>
      </c>
      <c r="X670" t="str">
        <f ca="1">IFERROR(__xludf.DUMMYFUNCTION("""COMPUTED_VALUE"""),"U StoreBox")</f>
        <v>U StoreBox</v>
      </c>
      <c r="Y670" t="str">
        <f ca="1">IFERROR(__xludf.DUMMYFUNCTION("""COMPUTED_VALUE"""),"Primo")</f>
        <v>Primo</v>
      </c>
      <c r="Z670" t="str">
        <f ca="1">IFERROR(__xludf.DUMMYFUNCTION("""COMPUTED_VALUE"""),"")</f>
        <v/>
      </c>
      <c r="AA670" t="str">
        <f ca="1">IFERROR(__xludf.DUMMYFUNCTION("""COMPUTED_VALUE"""),"Terminé")</f>
        <v>Terminé</v>
      </c>
      <c r="AB670" s="8">
        <f ca="1">IFERROR(__xludf.DUMMYFUNCTION("""COMPUTED_VALUE"""),43510)</f>
        <v>43510</v>
      </c>
      <c r="AC670" s="8">
        <f ca="1">IFERROR(__xludf.DUMMYFUNCTION("""COMPUTED_VALUE"""),43523)</f>
        <v>43523</v>
      </c>
      <c r="AD670" s="11">
        <f ca="1">IFERROR(__xludf.DUMMYFUNCTION("""COMPUTED_VALUE"""),43528)</f>
        <v>43528</v>
      </c>
      <c r="AE670" t="str">
        <f ca="1">IFERROR(__xludf.DUMMYFUNCTION("""COMPUTED_VALUE"""),"Problème de connexion VM coté Pricer")</f>
        <v>Problème de connexion VM coté Pricer</v>
      </c>
    </row>
    <row r="671" spans="1:31" ht="12.75" x14ac:dyDescent="0.2">
      <c r="A671">
        <f ca="1">IFERROR(__xludf.DUMMYFUNCTION("""COMPUTED_VALUE"""),35746)</f>
        <v>35746</v>
      </c>
      <c r="B671" t="str">
        <f ca="1">IFERROR(__xludf.DUMMYFUNCTION("""COMPUTED_VALUE"""),"NANTES LELASSEUR")</f>
        <v>NANTES LELASSEUR</v>
      </c>
      <c r="C671" t="str">
        <f ca="1">IFERROR(__xludf.DUMMYFUNCTION("""COMPUTED_VALUE"""),"U Express")</f>
        <v>U Express</v>
      </c>
      <c r="D671" t="str">
        <f ca="1">IFERROR(__xludf.DUMMYFUNCTION("""COMPUTED_VALUE"""),"Coop U Enseigne Ouest")</f>
        <v>Coop U Enseigne Ouest</v>
      </c>
      <c r="E671">
        <f ca="1">IFERROR(__xludf.DUMMYFUNCTION("""COMPUTED_VALUE"""),44000)</f>
        <v>44000</v>
      </c>
      <c r="F671" t="str">
        <f ca="1">IFERROR(__xludf.DUMMYFUNCTION("""COMPUTED_VALUE"""),"8 BOULEVARD LELASSEUR")</f>
        <v>8 BOULEVARD LELASSEUR</v>
      </c>
      <c r="G671" t="str">
        <f ca="1">IFERROR(__xludf.DUMMYFUNCTION("""COMPUTED_VALUE"""),"02.40.40.09.37")</f>
        <v>02.40.40.09.37</v>
      </c>
      <c r="H671" t="str">
        <f ca="1">IFERROR(__xludf.DUMMYFUNCTION("""COMPUTED_VALUE"""),"ALLAIS RPT SARL DVA FINANCES Didier")</f>
        <v>ALLAIS RPT SARL DVA FINANCES Didier</v>
      </c>
      <c r="I671" t="str">
        <f ca="1">IFERROR(__xludf.DUMMYFUNCTION("""COMPUTED_VALUE"""),"didier.allais@systeme-u.fr")</f>
        <v>didier.allais@systeme-u.fr</v>
      </c>
      <c r="J671" t="str">
        <f ca="1">IFERROR(__xludf.DUMMYFUNCTION("""COMPUTED_VALUE"""),"TIREL Fabrice")</f>
        <v>TIREL Fabrice</v>
      </c>
      <c r="K671" t="str">
        <f ca="1">IFERROR(__xludf.DUMMYFUNCTION("""COMPUTED_VALUE"""),"uexpress.nanteslelasseur.direction@systeme-u.fr")</f>
        <v>uexpress.nanteslelasseur.direction@systeme-u.fr</v>
      </c>
      <c r="L671" t="str">
        <f ca="1">IFERROR(__xludf.DUMMYFUNCTION("""COMPUTED_VALUE"""),"")</f>
        <v/>
      </c>
      <c r="M671" t="str">
        <f ca="1">IFERROR(__xludf.DUMMYFUNCTION("""COMPUTED_VALUE"""),"99.Hors Périmetre")</f>
        <v>99.Hors Périmetre</v>
      </c>
      <c r="N671" t="str">
        <f ca="1">IFERROR(__xludf.DUMMYFUNCTION("""COMPUTED_VALUE"""),"")</f>
        <v/>
      </c>
      <c r="O671" t="str">
        <f ca="1">IFERROR(__xludf.DUMMYFUNCTION("""COMPUTED_VALUE"""),"")</f>
        <v/>
      </c>
      <c r="P671" t="str">
        <f ca="1">IFERROR(__xludf.DUMMYFUNCTION("""COMPUTED_VALUE"""),"")</f>
        <v/>
      </c>
      <c r="Q671" s="5" t="str">
        <f ca="1">IFERROR(__xludf.DUMMYFUNCTION("""COMPUTED_VALUE"""),"")</f>
        <v/>
      </c>
      <c r="R671" s="6" t="str">
        <f ca="1">IFERROR(__xludf.DUMMYFUNCTION("""COMPUTED_VALUE"""),"")</f>
        <v/>
      </c>
      <c r="S671" t="str">
        <f ca="1">IFERROR(__xludf.DUMMYFUNCTION("""COMPUTED_VALUE"""),"")</f>
        <v/>
      </c>
      <c r="T671" t="str">
        <f ca="1">IFERROR(__xludf.DUMMYFUNCTION("""COMPUTED_VALUE"""),"")</f>
        <v/>
      </c>
      <c r="U671" t="str">
        <f ca="1">IFERROR(__xludf.DUMMYFUNCTION("""COMPUTED_VALUE"""),"")</f>
        <v/>
      </c>
      <c r="V671" t="str">
        <f ca="1">IFERROR(__xludf.DUMMYFUNCTION("""COMPUTED_VALUE"""),"")</f>
        <v/>
      </c>
      <c r="W671" t="str">
        <f ca="1">IFERROR(__xludf.DUMMYFUNCTION("""COMPUTED_VALUE"""),"")</f>
        <v/>
      </c>
      <c r="X671" t="str">
        <f ca="1">IFERROR(__xludf.DUMMYFUNCTION("""COMPUTED_VALUE"""),"")</f>
        <v/>
      </c>
      <c r="Y671" t="str">
        <f ca="1">IFERROR(__xludf.DUMMYFUNCTION("""COMPUTED_VALUE"""),"")</f>
        <v/>
      </c>
      <c r="Z671" t="str">
        <f ca="1">IFERROR(__xludf.DUMMYFUNCTION("""COMPUTED_VALUE"""),"")</f>
        <v/>
      </c>
      <c r="AA671" t="str">
        <f ca="1">IFERROR(__xludf.DUMMYFUNCTION("""COMPUTED_VALUE"""),"Pas de commande")</f>
        <v>Pas de commande</v>
      </c>
      <c r="AB671" s="8" t="str">
        <f ca="1">IFERROR(__xludf.DUMMYFUNCTION("""COMPUTED_VALUE"""),"")</f>
        <v/>
      </c>
      <c r="AC671" s="8" t="str">
        <f ca="1">IFERROR(__xludf.DUMMYFUNCTION("""COMPUTED_VALUE"""),"")</f>
        <v/>
      </c>
      <c r="AD671" s="11" t="str">
        <f ca="1">IFERROR(__xludf.DUMMYFUNCTION("""COMPUTED_VALUE"""),"")</f>
        <v/>
      </c>
      <c r="AE671" t="str">
        <f ca="1">IFERROR(__xludf.DUMMYFUNCTION("""COMPUTED_VALUE"""),"")</f>
        <v/>
      </c>
    </row>
    <row r="672" spans="1:31" ht="12.75" x14ac:dyDescent="0.2">
      <c r="A672">
        <f ca="1">IFERROR(__xludf.DUMMYFUNCTION("""COMPUTED_VALUE"""),38923)</f>
        <v>38923</v>
      </c>
      <c r="B672" t="str">
        <f ca="1">IFERROR(__xludf.DUMMYFUNCTION("""COMPUTED_VALUE"""),"NANTES PETIT PORT")</f>
        <v>NANTES PETIT PORT</v>
      </c>
      <c r="C672" t="str">
        <f ca="1">IFERROR(__xludf.DUMMYFUNCTION("""COMPUTED_VALUE"""),"U Express")</f>
        <v>U Express</v>
      </c>
      <c r="D672" t="str">
        <f ca="1">IFERROR(__xludf.DUMMYFUNCTION("""COMPUTED_VALUE"""),"Coop U Enseigne Ouest")</f>
        <v>Coop U Enseigne Ouest</v>
      </c>
      <c r="E672">
        <f ca="1">IFERROR(__xludf.DUMMYFUNCTION("""COMPUTED_VALUE"""),44300)</f>
        <v>44300</v>
      </c>
      <c r="F672" t="str">
        <f ca="1">IFERROR(__xludf.DUMMYFUNCTION("""COMPUTED_VALUE"""),"94 , RUE DE LA BOURGEONNIÈRE")</f>
        <v>94 , RUE DE LA BOURGEONNIÈRE</v>
      </c>
      <c r="G672" t="str">
        <f ca="1">IFERROR(__xludf.DUMMYFUNCTION("""COMPUTED_VALUE"""),"02.40.76.72.30")</f>
        <v>02.40.76.72.30</v>
      </c>
      <c r="H672" t="str">
        <f ca="1">IFERROR(__xludf.DUMMYFUNCTION("""COMPUTED_VALUE"""),"BELAUD RPT CORIDIS Corinne")</f>
        <v>BELAUD RPT CORIDIS Corinne</v>
      </c>
      <c r="I672" t="str">
        <f ca="1">IFERROR(__xludf.DUMMYFUNCTION("""COMPUTED_VALUE"""),"corinne.belaud@systeme-u.fr")</f>
        <v>corinne.belaud@systeme-u.fr</v>
      </c>
      <c r="J672" t="str">
        <f ca="1">IFERROR(__xludf.DUMMYFUNCTION("""COMPUTED_VALUE"""),"")</f>
        <v/>
      </c>
      <c r="K672" t="str">
        <f ca="1">IFERROR(__xludf.DUMMYFUNCTION("""COMPUTED_VALUE"""),"")</f>
        <v/>
      </c>
      <c r="L672" t="str">
        <f ca="1">IFERROR(__xludf.DUMMYFUNCTION("""COMPUTED_VALUE"""),"")</f>
        <v/>
      </c>
      <c r="M672" t="str">
        <f ca="1">IFERROR(__xludf.DUMMYFUNCTION("""COMPUTED_VALUE"""),"99.Hors Périmetre")</f>
        <v>99.Hors Périmetre</v>
      </c>
      <c r="N672" t="str">
        <f ca="1">IFERROR(__xludf.DUMMYFUNCTION("""COMPUTED_VALUE"""),"")</f>
        <v/>
      </c>
      <c r="O672" t="str">
        <f ca="1">IFERROR(__xludf.DUMMYFUNCTION("""COMPUTED_VALUE"""),"")</f>
        <v/>
      </c>
      <c r="P672" t="str">
        <f ca="1">IFERROR(__xludf.DUMMYFUNCTION("""COMPUTED_VALUE"""),"")</f>
        <v/>
      </c>
      <c r="Q672" s="5" t="str">
        <f ca="1">IFERROR(__xludf.DUMMYFUNCTION("""COMPUTED_VALUE"""),"")</f>
        <v/>
      </c>
      <c r="R672" s="6" t="str">
        <f ca="1">IFERROR(__xludf.DUMMYFUNCTION("""COMPUTED_VALUE"""),"")</f>
        <v/>
      </c>
      <c r="S672" t="str">
        <f ca="1">IFERROR(__xludf.DUMMYFUNCTION("""COMPUTED_VALUE"""),"")</f>
        <v/>
      </c>
      <c r="T672" t="str">
        <f ca="1">IFERROR(__xludf.DUMMYFUNCTION("""COMPUTED_VALUE"""),"")</f>
        <v/>
      </c>
      <c r="U672" t="str">
        <f ca="1">IFERROR(__xludf.DUMMYFUNCTION("""COMPUTED_VALUE"""),"")</f>
        <v/>
      </c>
      <c r="V672" t="str">
        <f ca="1">IFERROR(__xludf.DUMMYFUNCTION("""COMPUTED_VALUE"""),"")</f>
        <v/>
      </c>
      <c r="W672" t="str">
        <f ca="1">IFERROR(__xludf.DUMMYFUNCTION("""COMPUTED_VALUE"""),"")</f>
        <v/>
      </c>
      <c r="X672" t="str">
        <f ca="1">IFERROR(__xludf.DUMMYFUNCTION("""COMPUTED_VALUE"""),"")</f>
        <v/>
      </c>
      <c r="Y672" t="str">
        <f ca="1">IFERROR(__xludf.DUMMYFUNCTION("""COMPUTED_VALUE"""),"")</f>
        <v/>
      </c>
      <c r="Z672" t="str">
        <f ca="1">IFERROR(__xludf.DUMMYFUNCTION("""COMPUTED_VALUE"""),"")</f>
        <v/>
      </c>
      <c r="AA672" t="str">
        <f ca="1">IFERROR(__xludf.DUMMYFUNCTION("""COMPUTED_VALUE"""),"Pas de commande")</f>
        <v>Pas de commande</v>
      </c>
      <c r="AB672" s="8" t="str">
        <f ca="1">IFERROR(__xludf.DUMMYFUNCTION("""COMPUTED_VALUE"""),"")</f>
        <v/>
      </c>
      <c r="AC672" s="8" t="str">
        <f ca="1">IFERROR(__xludf.DUMMYFUNCTION("""COMPUTED_VALUE"""),"")</f>
        <v/>
      </c>
      <c r="AD672" s="11" t="str">
        <f ca="1">IFERROR(__xludf.DUMMYFUNCTION("""COMPUTED_VALUE"""),"")</f>
        <v/>
      </c>
      <c r="AE672" t="str">
        <f ca="1">IFERROR(__xludf.DUMMYFUNCTION("""COMPUTED_VALUE"""),"")</f>
        <v/>
      </c>
    </row>
    <row r="673" spans="1:31" ht="12.75" x14ac:dyDescent="0.2">
      <c r="A673">
        <f ca="1">IFERROR(__xludf.DUMMYFUNCTION("""COMPUTED_VALUE"""),35800)</f>
        <v>35800</v>
      </c>
      <c r="B673" t="str">
        <f ca="1">IFERROR(__xludf.DUMMYFUNCTION("""COMPUTED_VALUE"""),"NANTES SCHUMANN")</f>
        <v>NANTES SCHUMANN</v>
      </c>
      <c r="C673" t="str">
        <f ca="1">IFERROR(__xludf.DUMMYFUNCTION("""COMPUTED_VALUE"""),"U Express")</f>
        <v>U Express</v>
      </c>
      <c r="D673" t="str">
        <f ca="1">IFERROR(__xludf.DUMMYFUNCTION("""COMPUTED_VALUE"""),"Coop U Enseigne Ouest")</f>
        <v>Coop U Enseigne Ouest</v>
      </c>
      <c r="E673">
        <f ca="1">IFERROR(__xludf.DUMMYFUNCTION("""COMPUTED_VALUE"""),44000)</f>
        <v>44000</v>
      </c>
      <c r="F673" t="str">
        <f ca="1">IFERROR(__xludf.DUMMYFUNCTION("""COMPUTED_VALUE"""),"100 BOULEVARD SCHUMANN")</f>
        <v>100 BOULEVARD SCHUMANN</v>
      </c>
      <c r="G673" t="str">
        <f ca="1">IFERROR(__xludf.DUMMYFUNCTION("""COMPUTED_VALUE"""),"02.40.76.41.66")</f>
        <v>02.40.76.41.66</v>
      </c>
      <c r="H673" t="str">
        <f ca="1">IFERROR(__xludf.DUMMYFUNCTION("""COMPUTED_VALUE"""),"ALLAIS RPT SARL DVA FINANCES Didier")</f>
        <v>ALLAIS RPT SARL DVA FINANCES Didier</v>
      </c>
      <c r="I673" t="str">
        <f ca="1">IFERROR(__xludf.DUMMYFUNCTION("""COMPUTED_VALUE"""),"mathilde.allais@systeme-u.fr")</f>
        <v>mathilde.allais@systeme-u.fr</v>
      </c>
      <c r="J673" t="str">
        <f ca="1">IFERROR(__xludf.DUMMYFUNCTION("""COMPUTED_VALUE"""),"LE BOURNE YANNICK")</f>
        <v>LE BOURNE YANNICK</v>
      </c>
      <c r="K673" t="str">
        <f ca="1">IFERROR(__xludf.DUMMYFUNCTION("""COMPUTED_VALUE"""),"uexpress.nantesschuman@systeme-u.fr")</f>
        <v>uexpress.nantesschuman@systeme-u.fr</v>
      </c>
      <c r="L673" t="str">
        <f ca="1">IFERROR(__xludf.DUMMYFUNCTION("""COMPUTED_VALUE"""),"")</f>
        <v/>
      </c>
      <c r="M673" t="str">
        <f ca="1">IFERROR(__xludf.DUMMYFUNCTION("""COMPUTED_VALUE"""),"99.Hors Périmetre")</f>
        <v>99.Hors Périmetre</v>
      </c>
      <c r="N673" t="str">
        <f ca="1">IFERROR(__xludf.DUMMYFUNCTION("""COMPUTED_VALUE"""),"")</f>
        <v/>
      </c>
      <c r="O673" t="str">
        <f ca="1">IFERROR(__xludf.DUMMYFUNCTION("""COMPUTED_VALUE"""),"")</f>
        <v/>
      </c>
      <c r="P673" t="str">
        <f ca="1">IFERROR(__xludf.DUMMYFUNCTION("""COMPUTED_VALUE"""),"")</f>
        <v/>
      </c>
      <c r="Q673" s="5" t="str">
        <f ca="1">IFERROR(__xludf.DUMMYFUNCTION("""COMPUTED_VALUE"""),"")</f>
        <v/>
      </c>
      <c r="R673" s="6" t="str">
        <f ca="1">IFERROR(__xludf.DUMMYFUNCTION("""COMPUTED_VALUE"""),"")</f>
        <v/>
      </c>
      <c r="S673" t="str">
        <f ca="1">IFERROR(__xludf.DUMMYFUNCTION("""COMPUTED_VALUE"""),"")</f>
        <v/>
      </c>
      <c r="T673" t="str">
        <f ca="1">IFERROR(__xludf.DUMMYFUNCTION("""COMPUTED_VALUE"""),"")</f>
        <v/>
      </c>
      <c r="U673" t="str">
        <f ca="1">IFERROR(__xludf.DUMMYFUNCTION("""COMPUTED_VALUE"""),"")</f>
        <v/>
      </c>
      <c r="V673" t="str">
        <f ca="1">IFERROR(__xludf.DUMMYFUNCTION("""COMPUTED_VALUE"""),"")</f>
        <v/>
      </c>
      <c r="W673" t="str">
        <f ca="1">IFERROR(__xludf.DUMMYFUNCTION("""COMPUTED_VALUE"""),"")</f>
        <v/>
      </c>
      <c r="X673" t="str">
        <f ca="1">IFERROR(__xludf.DUMMYFUNCTION("""COMPUTED_VALUE"""),"")</f>
        <v/>
      </c>
      <c r="Y673" t="str">
        <f ca="1">IFERROR(__xludf.DUMMYFUNCTION("""COMPUTED_VALUE"""),"")</f>
        <v/>
      </c>
      <c r="Z673" t="str">
        <f ca="1">IFERROR(__xludf.DUMMYFUNCTION("""COMPUTED_VALUE"""),"")</f>
        <v/>
      </c>
      <c r="AA673" t="str">
        <f ca="1">IFERROR(__xludf.DUMMYFUNCTION("""COMPUTED_VALUE"""),"Pas de commande")</f>
        <v>Pas de commande</v>
      </c>
      <c r="AB673" s="8" t="str">
        <f ca="1">IFERROR(__xludf.DUMMYFUNCTION("""COMPUTED_VALUE"""),"")</f>
        <v/>
      </c>
      <c r="AC673" s="8" t="str">
        <f ca="1">IFERROR(__xludf.DUMMYFUNCTION("""COMPUTED_VALUE"""),"")</f>
        <v/>
      </c>
      <c r="AD673" s="11" t="str">
        <f ca="1">IFERROR(__xludf.DUMMYFUNCTION("""COMPUTED_VALUE"""),"")</f>
        <v/>
      </c>
      <c r="AE673" t="str">
        <f ca="1">IFERROR(__xludf.DUMMYFUNCTION("""COMPUTED_VALUE"""),"")</f>
        <v/>
      </c>
    </row>
    <row r="674" spans="1:31" ht="12.75" x14ac:dyDescent="0.2">
      <c r="A674">
        <f ca="1">IFERROR(__xludf.DUMMYFUNCTION("""COMPUTED_VALUE"""),38139)</f>
        <v>38139</v>
      </c>
      <c r="B674" t="str">
        <f ca="1">IFERROR(__xludf.DUMMYFUNCTION("""COMPUTED_VALUE"""),"NANTIAT")</f>
        <v>NANTIAT</v>
      </c>
      <c r="C674" t="str">
        <f ca="1">IFERROR(__xludf.DUMMYFUNCTION("""COMPUTED_VALUE"""),"U Express")</f>
        <v>U Express</v>
      </c>
      <c r="D674" t="str">
        <f ca="1">IFERROR(__xludf.DUMMYFUNCTION("""COMPUTED_VALUE"""),"Coop U Enseigne Ouest")</f>
        <v>Coop U Enseigne Ouest</v>
      </c>
      <c r="E674">
        <f ca="1">IFERROR(__xludf.DUMMYFUNCTION("""COMPUTED_VALUE"""),87140)</f>
        <v>87140</v>
      </c>
      <c r="F674" t="str">
        <f ca="1">IFERROR(__xludf.DUMMYFUNCTION("""COMPUTED_VALUE"""),"17, RUE DU COLLÈGE")</f>
        <v>17, RUE DU COLLÈGE</v>
      </c>
      <c r="G674" t="str">
        <f ca="1">IFERROR(__xludf.DUMMYFUNCTION("""COMPUTED_VALUE"""),"05.55.53.53.00")</f>
        <v>05.55.53.53.00</v>
      </c>
      <c r="H674" t="str">
        <f ca="1">IFERROR(__xludf.DUMMYFUNCTION("""COMPUTED_VALUE"""),"AUPETIT Nicolas")</f>
        <v>AUPETIT Nicolas</v>
      </c>
      <c r="I674" t="str">
        <f ca="1">IFERROR(__xludf.DUMMYFUNCTION("""COMPUTED_VALUE"""),"nicolas.aupetit@systeme-u.fr")</f>
        <v>nicolas.aupetit@systeme-u.fr</v>
      </c>
      <c r="J674" t="str">
        <f ca="1">IFERROR(__xludf.DUMMYFUNCTION("""COMPUTED_VALUE"""),"")</f>
        <v/>
      </c>
      <c r="K674" t="str">
        <f ca="1">IFERROR(__xludf.DUMMYFUNCTION("""COMPUTED_VALUE"""),"")</f>
        <v/>
      </c>
      <c r="L674" t="str">
        <f ca="1">IFERROR(__xludf.DUMMYFUNCTION("""COMPUTED_VALUE"""),"")</f>
        <v/>
      </c>
      <c r="M674" t="str">
        <f ca="1">IFERROR(__xludf.DUMMYFUNCTION("""COMPUTED_VALUE"""),"99.Hors Périmetre")</f>
        <v>99.Hors Périmetre</v>
      </c>
      <c r="N674" t="str">
        <f ca="1">IFERROR(__xludf.DUMMYFUNCTION("""COMPUTED_VALUE"""),"")</f>
        <v/>
      </c>
      <c r="O674" t="str">
        <f ca="1">IFERROR(__xludf.DUMMYFUNCTION("""COMPUTED_VALUE"""),"")</f>
        <v/>
      </c>
      <c r="P674" t="str">
        <f ca="1">IFERROR(__xludf.DUMMYFUNCTION("""COMPUTED_VALUE"""),"")</f>
        <v/>
      </c>
      <c r="Q674" s="5" t="str">
        <f ca="1">IFERROR(__xludf.DUMMYFUNCTION("""COMPUTED_VALUE"""),"")</f>
        <v/>
      </c>
      <c r="R674" s="6" t="str">
        <f ca="1">IFERROR(__xludf.DUMMYFUNCTION("""COMPUTED_VALUE"""),"")</f>
        <v/>
      </c>
      <c r="S674" t="str">
        <f ca="1">IFERROR(__xludf.DUMMYFUNCTION("""COMPUTED_VALUE"""),"")</f>
        <v/>
      </c>
      <c r="T674" t="str">
        <f ca="1">IFERROR(__xludf.DUMMYFUNCTION("""COMPUTED_VALUE"""),"")</f>
        <v/>
      </c>
      <c r="U674" t="str">
        <f ca="1">IFERROR(__xludf.DUMMYFUNCTION("""COMPUTED_VALUE"""),"")</f>
        <v/>
      </c>
      <c r="V674" t="str">
        <f ca="1">IFERROR(__xludf.DUMMYFUNCTION("""COMPUTED_VALUE"""),"")</f>
        <v/>
      </c>
      <c r="W674" t="str">
        <f ca="1">IFERROR(__xludf.DUMMYFUNCTION("""COMPUTED_VALUE"""),"")</f>
        <v/>
      </c>
      <c r="X674" t="str">
        <f ca="1">IFERROR(__xludf.DUMMYFUNCTION("""COMPUTED_VALUE"""),"")</f>
        <v/>
      </c>
      <c r="Y674" t="str">
        <f ca="1">IFERROR(__xludf.DUMMYFUNCTION("""COMPUTED_VALUE"""),"")</f>
        <v/>
      </c>
      <c r="Z674" t="str">
        <f ca="1">IFERROR(__xludf.DUMMYFUNCTION("""COMPUTED_VALUE"""),"")</f>
        <v/>
      </c>
      <c r="AA674" t="str">
        <f ca="1">IFERROR(__xludf.DUMMYFUNCTION("""COMPUTED_VALUE"""),"Pas de commande")</f>
        <v>Pas de commande</v>
      </c>
      <c r="AB674" s="8" t="str">
        <f ca="1">IFERROR(__xludf.DUMMYFUNCTION("""COMPUTED_VALUE"""),"")</f>
        <v/>
      </c>
      <c r="AC674" s="8" t="str">
        <f ca="1">IFERROR(__xludf.DUMMYFUNCTION("""COMPUTED_VALUE"""),"")</f>
        <v/>
      </c>
      <c r="AD674" s="11" t="str">
        <f ca="1">IFERROR(__xludf.DUMMYFUNCTION("""COMPUTED_VALUE"""),"")</f>
        <v/>
      </c>
      <c r="AE674" t="str">
        <f ca="1">IFERROR(__xludf.DUMMYFUNCTION("""COMPUTED_VALUE"""),"")</f>
        <v/>
      </c>
    </row>
    <row r="675" spans="1:31" ht="12.75" x14ac:dyDescent="0.2">
      <c r="A675">
        <f ca="1">IFERROR(__xludf.DUMMYFUNCTION("""COMPUTED_VALUE"""),90204)</f>
        <v>90204</v>
      </c>
      <c r="B675" t="str">
        <f ca="1">IFERROR(__xludf.DUMMYFUNCTION("""COMPUTED_VALUE"""),"NARBONNE PRIMEVERES")</f>
        <v>NARBONNE PRIMEVERES</v>
      </c>
      <c r="C675" t="str">
        <f ca="1">IFERROR(__xludf.DUMMYFUNCTION("""COMPUTED_VALUE"""),"Utile")</f>
        <v>Utile</v>
      </c>
      <c r="D675" t="str">
        <f ca="1">IFERROR(__xludf.DUMMYFUNCTION("""COMPUTED_VALUE"""),"Coop MISTRAL")</f>
        <v>Coop MISTRAL</v>
      </c>
      <c r="E675">
        <f ca="1">IFERROR(__xludf.DUMMYFUNCTION("""COMPUTED_VALUE"""),11100)</f>
        <v>11100</v>
      </c>
      <c r="F675" t="str">
        <f ca="1">IFERROR(__xludf.DUMMYFUNCTION("""COMPUTED_VALUE"""),"11 RUE DES PRIMEVERES")</f>
        <v>11 RUE DES PRIMEVERES</v>
      </c>
      <c r="G675" t="str">
        <f ca="1">IFERROR(__xludf.DUMMYFUNCTION("""COMPUTED_VALUE"""),"0")</f>
        <v>0</v>
      </c>
      <c r="H675" t="str">
        <f ca="1">IFERROR(__xludf.DUMMYFUNCTION("""COMPUTED_VALUE"""),"MONTAGNE Christophe")</f>
        <v>MONTAGNE Christophe</v>
      </c>
      <c r="I675" t="str">
        <f ca="1">IFERROR(__xludf.DUMMYFUNCTION("""COMPUTED_VALUE"""),"")</f>
        <v/>
      </c>
      <c r="J675" t="str">
        <f ca="1">IFERROR(__xludf.DUMMYFUNCTION("""COMPUTED_VALUE"""),"Mr MONTAGNER")</f>
        <v>Mr MONTAGNER</v>
      </c>
      <c r="K675" t="str">
        <f ca="1">IFERROR(__xludf.DUMMYFUNCTION("""COMPUTED_VALUE"""),"utile.narbonneprimeveres@mistral-u.fr")</f>
        <v>utile.narbonneprimeveres@mistral-u.fr</v>
      </c>
      <c r="L675" t="str">
        <f ca="1">IFERROR(__xludf.DUMMYFUNCTION("""COMPUTED_VALUE"""),"")</f>
        <v/>
      </c>
      <c r="M675" t="str">
        <f ca="1">IFERROR(__xludf.DUMMYFUNCTION("""COMPUTED_VALUE"""),"99.Hors Périmetre")</f>
        <v>99.Hors Périmetre</v>
      </c>
      <c r="N675" t="str">
        <f ca="1">IFERROR(__xludf.DUMMYFUNCTION("""COMPUTED_VALUE"""),"")</f>
        <v/>
      </c>
      <c r="O675" t="str">
        <f ca="1">IFERROR(__xludf.DUMMYFUNCTION("""COMPUTED_VALUE"""),"")</f>
        <v/>
      </c>
      <c r="P675" t="str">
        <f ca="1">IFERROR(__xludf.DUMMYFUNCTION("""COMPUTED_VALUE"""),"")</f>
        <v/>
      </c>
      <c r="Q675" s="5" t="str">
        <f ca="1">IFERROR(__xludf.DUMMYFUNCTION("""COMPUTED_VALUE"""),"")</f>
        <v/>
      </c>
      <c r="R675" s="6" t="str">
        <f ca="1">IFERROR(__xludf.DUMMYFUNCTION("""COMPUTED_VALUE"""),"")</f>
        <v/>
      </c>
      <c r="S675" t="str">
        <f ca="1">IFERROR(__xludf.DUMMYFUNCTION("""COMPUTED_VALUE"""),"")</f>
        <v/>
      </c>
      <c r="T675" t="str">
        <f ca="1">IFERROR(__xludf.DUMMYFUNCTION("""COMPUTED_VALUE"""),"")</f>
        <v/>
      </c>
      <c r="U675" t="str">
        <f ca="1">IFERROR(__xludf.DUMMYFUNCTION("""COMPUTED_VALUE"""),"")</f>
        <v/>
      </c>
      <c r="V675" t="str">
        <f ca="1">IFERROR(__xludf.DUMMYFUNCTION("""COMPUTED_VALUE"""),"")</f>
        <v/>
      </c>
      <c r="W675" t="str">
        <f ca="1">IFERROR(__xludf.DUMMYFUNCTION("""COMPUTED_VALUE"""),"")</f>
        <v/>
      </c>
      <c r="X675" t="str">
        <f ca="1">IFERROR(__xludf.DUMMYFUNCTION("""COMPUTED_VALUE"""),"")</f>
        <v/>
      </c>
      <c r="Y675" t="str">
        <f ca="1">IFERROR(__xludf.DUMMYFUNCTION("""COMPUTED_VALUE"""),"")</f>
        <v/>
      </c>
      <c r="Z675" t="str">
        <f ca="1">IFERROR(__xludf.DUMMYFUNCTION("""COMPUTED_VALUE"""),"")</f>
        <v/>
      </c>
      <c r="AA675" t="str">
        <f ca="1">IFERROR(__xludf.DUMMYFUNCTION("""COMPUTED_VALUE"""),"Pas de commande")</f>
        <v>Pas de commande</v>
      </c>
      <c r="AB675" s="8" t="str">
        <f ca="1">IFERROR(__xludf.DUMMYFUNCTION("""COMPUTED_VALUE"""),"")</f>
        <v/>
      </c>
      <c r="AC675" s="8" t="str">
        <f ca="1">IFERROR(__xludf.DUMMYFUNCTION("""COMPUTED_VALUE"""),"")</f>
        <v/>
      </c>
      <c r="AD675" s="11" t="str">
        <f ca="1">IFERROR(__xludf.DUMMYFUNCTION("""COMPUTED_VALUE"""),"")</f>
        <v/>
      </c>
      <c r="AE675" t="str">
        <f ca="1">IFERROR(__xludf.DUMMYFUNCTION("""COMPUTED_VALUE"""),"")</f>
        <v/>
      </c>
    </row>
    <row r="676" spans="1:31" ht="12.75" x14ac:dyDescent="0.2">
      <c r="A676">
        <f ca="1">IFERROR(__xludf.DUMMYFUNCTION("""COMPUTED_VALUE"""),96419)</f>
        <v>96419</v>
      </c>
      <c r="B676" t="str">
        <f ca="1">IFERROR(__xludf.DUMMYFUNCTION("""COMPUTED_VALUE"""),"NEGREPELISSE")</f>
        <v>NEGREPELISSE</v>
      </c>
      <c r="C676" t="str">
        <f ca="1">IFERROR(__xludf.DUMMYFUNCTION("""COMPUTED_VALUE"""),"Super U")</f>
        <v>Super U</v>
      </c>
      <c r="D676" t="str">
        <f ca="1">IFERROR(__xludf.DUMMYFUNCTION("""COMPUTED_VALUE"""),"Coop U Enseigne Sud")</f>
        <v>Coop U Enseigne Sud</v>
      </c>
      <c r="E676">
        <f ca="1">IFERROR(__xludf.DUMMYFUNCTION("""COMPUTED_VALUE"""),82800)</f>
        <v>82800</v>
      </c>
      <c r="F676" t="str">
        <f ca="1">IFERROR(__xludf.DUMMYFUNCTION("""COMPUTED_VALUE"""),"Lieu dit NAFINE ZI DU PORT")</f>
        <v>Lieu dit NAFINE ZI DU PORT</v>
      </c>
      <c r="G676" t="str">
        <f ca="1">IFERROR(__xludf.DUMMYFUNCTION("""COMPUTED_VALUE"""),"05.63.64.27.44")</f>
        <v>05.63.64.27.44</v>
      </c>
      <c r="H676" t="str">
        <f ca="1">IFERROR(__xludf.DUMMYFUNCTION("""COMPUTED_VALUE"""),"JOCQUEVIEL Jean")</f>
        <v>JOCQUEVIEL Jean</v>
      </c>
      <c r="I676" t="str">
        <f ca="1">IFERROR(__xludf.DUMMYFUNCTION("""COMPUTED_VALUE"""),"vincent.jocqueviel@systeme-u.fr")</f>
        <v>vincent.jocqueviel@systeme-u.fr</v>
      </c>
      <c r="J676" t="str">
        <f ca="1">IFERROR(__xludf.DUMMYFUNCTION("""COMPUTED_VALUE"""),"JOCQUEVIEL Vincent")</f>
        <v>JOCQUEVIEL Vincent</v>
      </c>
      <c r="K676" t="str">
        <f ca="1">IFERROR(__xludf.DUMMYFUNCTION("""COMPUTED_VALUE"""),"vincent.jocqueviel@systeme-u.fr ")</f>
        <v xml:space="preserve">vincent.jocqueviel@systeme-u.fr </v>
      </c>
      <c r="L676" t="str">
        <f ca="1">IFERROR(__xludf.DUMMYFUNCTION("""COMPUTED_VALUE"""),"")</f>
        <v/>
      </c>
      <c r="M676" t="str">
        <f ca="1">IFERROR(__xludf.DUMMYFUNCTION("""COMPUTED_VALUE"""),"99.Hors Périmetre")</f>
        <v>99.Hors Périmetre</v>
      </c>
      <c r="N676" t="str">
        <f ca="1">IFERROR(__xludf.DUMMYFUNCTION("""COMPUTED_VALUE"""),"")</f>
        <v/>
      </c>
      <c r="O676" t="str">
        <f ca="1">IFERROR(__xludf.DUMMYFUNCTION("""COMPUTED_VALUE"""),"")</f>
        <v/>
      </c>
      <c r="P676" t="str">
        <f ca="1">IFERROR(__xludf.DUMMYFUNCTION("""COMPUTED_VALUE"""),"")</f>
        <v/>
      </c>
      <c r="Q676" s="5" t="str">
        <f ca="1">IFERROR(__xludf.DUMMYFUNCTION("""COMPUTED_VALUE"""),"")</f>
        <v/>
      </c>
      <c r="R676" s="6" t="str">
        <f ca="1">IFERROR(__xludf.DUMMYFUNCTION("""COMPUTED_VALUE"""),"")</f>
        <v/>
      </c>
      <c r="S676" t="str">
        <f ca="1">IFERROR(__xludf.DUMMYFUNCTION("""COMPUTED_VALUE"""),"")</f>
        <v/>
      </c>
      <c r="T676" t="str">
        <f ca="1">IFERROR(__xludf.DUMMYFUNCTION("""COMPUTED_VALUE"""),"")</f>
        <v/>
      </c>
      <c r="U676" t="str">
        <f ca="1">IFERROR(__xludf.DUMMYFUNCTION("""COMPUTED_VALUE"""),"")</f>
        <v/>
      </c>
      <c r="V676" t="str">
        <f ca="1">IFERROR(__xludf.DUMMYFUNCTION("""COMPUTED_VALUE"""),"")</f>
        <v/>
      </c>
      <c r="W676" t="str">
        <f ca="1">IFERROR(__xludf.DUMMYFUNCTION("""COMPUTED_VALUE"""),"")</f>
        <v/>
      </c>
      <c r="X676" t="str">
        <f ca="1">IFERROR(__xludf.DUMMYFUNCTION("""COMPUTED_VALUE"""),"")</f>
        <v/>
      </c>
      <c r="Y676" t="str">
        <f ca="1">IFERROR(__xludf.DUMMYFUNCTION("""COMPUTED_VALUE"""),"")</f>
        <v/>
      </c>
      <c r="Z676" t="str">
        <f ca="1">IFERROR(__xludf.DUMMYFUNCTION("""COMPUTED_VALUE"""),"")</f>
        <v/>
      </c>
      <c r="AA676" t="str">
        <f ca="1">IFERROR(__xludf.DUMMYFUNCTION("""COMPUTED_VALUE"""),"Pas de commande")</f>
        <v>Pas de commande</v>
      </c>
      <c r="AB676" s="8" t="str">
        <f ca="1">IFERROR(__xludf.DUMMYFUNCTION("""COMPUTED_VALUE"""),"")</f>
        <v/>
      </c>
      <c r="AC676" s="8" t="str">
        <f ca="1">IFERROR(__xludf.DUMMYFUNCTION("""COMPUTED_VALUE"""),"")</f>
        <v/>
      </c>
      <c r="AD676" s="11" t="str">
        <f ca="1">IFERROR(__xludf.DUMMYFUNCTION("""COMPUTED_VALUE"""),"")</f>
        <v/>
      </c>
      <c r="AE676" t="str">
        <f ca="1">IFERROR(__xludf.DUMMYFUNCTION("""COMPUTED_VALUE"""),"")</f>
        <v/>
      </c>
    </row>
    <row r="677" spans="1:31" ht="12.75" x14ac:dyDescent="0.2">
      <c r="A677">
        <f ca="1">IFERROR(__xludf.DUMMYFUNCTION("""COMPUTED_VALUE"""),33271)</f>
        <v>33271</v>
      </c>
      <c r="B677" t="str">
        <f ca="1">IFERROR(__xludf.DUMMYFUNCTION("""COMPUTED_VALUE"""),"NEUILLE-PONT-PIERRE")</f>
        <v>NEUILLE-PONT-PIERRE</v>
      </c>
      <c r="C677" t="str">
        <f ca="1">IFERROR(__xludf.DUMMYFUNCTION("""COMPUTED_VALUE"""),"Super U")</f>
        <v>Super U</v>
      </c>
      <c r="D677" t="str">
        <f ca="1">IFERROR(__xludf.DUMMYFUNCTION("""COMPUTED_VALUE"""),"Coop U Enseigne Ouest")</f>
        <v>Coop U Enseigne Ouest</v>
      </c>
      <c r="E677">
        <f ca="1">IFERROR(__xludf.DUMMYFUNCTION("""COMPUTED_VALUE"""),37360)</f>
        <v>37360</v>
      </c>
      <c r="F677" t="str">
        <f ca="1">IFERROR(__xludf.DUMMYFUNCTION("""COMPUTED_VALUE"""),"CENTRE COMMERCIAL DE L'HIPPODROME")</f>
        <v>CENTRE COMMERCIAL DE L'HIPPODROME</v>
      </c>
      <c r="G677" t="str">
        <f ca="1">IFERROR(__xludf.DUMMYFUNCTION("""COMPUTED_VALUE"""),"02.47.24.32.70")</f>
        <v>02.47.24.32.70</v>
      </c>
      <c r="H677" t="str">
        <f ca="1">IFERROR(__xludf.DUMMYFUNCTION("""COMPUTED_VALUE"""),"MARCHESSEAU RPT SARL SEMAFI Manuel")</f>
        <v>MARCHESSEAU RPT SARL SEMAFI Manuel</v>
      </c>
      <c r="I677" t="str">
        <f ca="1">IFERROR(__xludf.DUMMYFUNCTION("""COMPUTED_VALUE"""),"manuel.marchesseau@systeme-u.fr")</f>
        <v>manuel.marchesseau@systeme-u.fr</v>
      </c>
      <c r="J677" t="str">
        <f ca="1">IFERROR(__xludf.DUMMYFUNCTION("""COMPUTED_VALUE"""),"Mr Wolff (directeur)")</f>
        <v>Mr Wolff (directeur)</v>
      </c>
      <c r="K677" t="str">
        <f ca="1">IFERROR(__xludf.DUMMYFUNCTION("""COMPUTED_VALUE"""),"superu.neuillepontpierre.direction@systeme-u.fr")</f>
        <v>superu.neuillepontpierre.direction@systeme-u.fr</v>
      </c>
      <c r="L677" t="str">
        <f ca="1">IFERROR(__xludf.DUMMYFUNCTION("""COMPUTED_VALUE"""),"")</f>
        <v/>
      </c>
      <c r="M677" t="str">
        <f ca="1">IFERROR(__xludf.DUMMYFUNCTION("""COMPUTED_VALUE"""),"99.Hors Périmetre")</f>
        <v>99.Hors Périmetre</v>
      </c>
      <c r="N677" t="str">
        <f ca="1">IFERROR(__xludf.DUMMYFUNCTION("""COMPUTED_VALUE"""),"")</f>
        <v/>
      </c>
      <c r="O677" t="str">
        <f ca="1">IFERROR(__xludf.DUMMYFUNCTION("""COMPUTED_VALUE"""),"")</f>
        <v/>
      </c>
      <c r="P677" t="str">
        <f ca="1">IFERROR(__xludf.DUMMYFUNCTION("""COMPUTED_VALUE"""),"")</f>
        <v/>
      </c>
      <c r="Q677" s="5" t="str">
        <f ca="1">IFERROR(__xludf.DUMMYFUNCTION("""COMPUTED_VALUE"""),"")</f>
        <v/>
      </c>
      <c r="R677" s="6" t="str">
        <f ca="1">IFERROR(__xludf.DUMMYFUNCTION("""COMPUTED_VALUE"""),"")</f>
        <v/>
      </c>
      <c r="S677" t="str">
        <f ca="1">IFERROR(__xludf.DUMMYFUNCTION("""COMPUTED_VALUE"""),"")</f>
        <v/>
      </c>
      <c r="T677" t="str">
        <f ca="1">IFERROR(__xludf.DUMMYFUNCTION("""COMPUTED_VALUE"""),"")</f>
        <v/>
      </c>
      <c r="U677" t="str">
        <f ca="1">IFERROR(__xludf.DUMMYFUNCTION("""COMPUTED_VALUE"""),"")</f>
        <v/>
      </c>
      <c r="V677" t="str">
        <f ca="1">IFERROR(__xludf.DUMMYFUNCTION("""COMPUTED_VALUE"""),"")</f>
        <v/>
      </c>
      <c r="W677" t="str">
        <f ca="1">IFERROR(__xludf.DUMMYFUNCTION("""COMPUTED_VALUE"""),"")</f>
        <v/>
      </c>
      <c r="X677" t="str">
        <f ca="1">IFERROR(__xludf.DUMMYFUNCTION("""COMPUTED_VALUE"""),"")</f>
        <v/>
      </c>
      <c r="Y677" t="str">
        <f ca="1">IFERROR(__xludf.DUMMYFUNCTION("""COMPUTED_VALUE"""),"")</f>
        <v/>
      </c>
      <c r="Z677" t="str">
        <f ca="1">IFERROR(__xludf.DUMMYFUNCTION("""COMPUTED_VALUE"""),"")</f>
        <v/>
      </c>
      <c r="AA677" t="str">
        <f ca="1">IFERROR(__xludf.DUMMYFUNCTION("""COMPUTED_VALUE"""),"Pas de commande")</f>
        <v>Pas de commande</v>
      </c>
      <c r="AB677" s="8" t="str">
        <f ca="1">IFERROR(__xludf.DUMMYFUNCTION("""COMPUTED_VALUE"""),"")</f>
        <v/>
      </c>
      <c r="AC677" s="8" t="str">
        <f ca="1">IFERROR(__xludf.DUMMYFUNCTION("""COMPUTED_VALUE"""),"")</f>
        <v/>
      </c>
      <c r="AD677" s="11" t="str">
        <f ca="1">IFERROR(__xludf.DUMMYFUNCTION("""COMPUTED_VALUE"""),"")</f>
        <v/>
      </c>
      <c r="AE677" t="str">
        <f ca="1">IFERROR(__xludf.DUMMYFUNCTION("""COMPUTED_VALUE"""),"")</f>
        <v/>
      </c>
    </row>
    <row r="678" spans="1:31" ht="12.75" x14ac:dyDescent="0.2">
      <c r="A678">
        <f ca="1">IFERROR(__xludf.DUMMYFUNCTION("""COMPUTED_VALUE"""),23824)</f>
        <v>23824</v>
      </c>
      <c r="B678" t="str">
        <f ca="1">IFERROR(__xludf.DUMMYFUNCTION("""COMPUTED_VALUE"""),"NEUILLY S/M")</f>
        <v>NEUILLY S/M</v>
      </c>
      <c r="C678" t="str">
        <f ca="1">IFERROR(__xludf.DUMMYFUNCTION("""COMPUTED_VALUE"""),"Hyper U")</f>
        <v>Hyper U</v>
      </c>
      <c r="D678" t="str">
        <f ca="1">IFERROR(__xludf.DUMMYFUNCTION("""COMPUTED_VALUE"""),"Coop U Enseigne NordOuest")</f>
        <v>Coop U Enseigne NordOuest</v>
      </c>
      <c r="E678">
        <f ca="1">IFERROR(__xludf.DUMMYFUNCTION("""COMPUTED_VALUE"""),93330)</f>
        <v>93330</v>
      </c>
      <c r="F678" t="str">
        <f ca="1">IFERROR(__xludf.DUMMYFUNCTION("""COMPUTED_VALUE"""),"25 AVENUE JEAN JAURES")</f>
        <v>25 AVENUE JEAN JAURES</v>
      </c>
      <c r="G678" t="str">
        <f ca="1">IFERROR(__xludf.DUMMYFUNCTION("""COMPUTED_VALUE"""),"01.43.09.40.40")</f>
        <v>01.43.09.40.40</v>
      </c>
      <c r="H678" t="str">
        <f ca="1">IFERROR(__xludf.DUMMYFUNCTION("""COMPUTED_VALUE"""),"BOUCLET Bruno")</f>
        <v>BOUCLET Bruno</v>
      </c>
      <c r="I678" t="str">
        <f ca="1">IFERROR(__xludf.DUMMYFUNCTION("""COMPUTED_VALUE"""),"bruno.bouclet@systeme-u.fr")</f>
        <v>bruno.bouclet@systeme-u.fr</v>
      </c>
      <c r="J678" t="str">
        <f ca="1">IFERROR(__xludf.DUMMYFUNCTION("""COMPUTED_VALUE"""),"LEMAIRE Sandrine")</f>
        <v>LEMAIRE Sandrine</v>
      </c>
      <c r="K678" t="str">
        <f ca="1">IFERROR(__xludf.DUMMYFUNCTION("""COMPUTED_VALUE"""),"sandrine.lemaire@systeme-u.fr")</f>
        <v>sandrine.lemaire@systeme-u.fr</v>
      </c>
      <c r="L678" t="str">
        <f ca="1">IFERROR(__xludf.DUMMYFUNCTION("""COMPUTED_VALUE"""),"")</f>
        <v/>
      </c>
      <c r="M678" t="str">
        <f ca="1">IFERROR(__xludf.DUMMYFUNCTION("""COMPUTED_VALUE"""),"99.Hors Périmetre")</f>
        <v>99.Hors Périmetre</v>
      </c>
      <c r="N678" t="str">
        <f ca="1">IFERROR(__xludf.DUMMYFUNCTION("""COMPUTED_VALUE"""),"")</f>
        <v/>
      </c>
      <c r="O678" t="str">
        <f ca="1">IFERROR(__xludf.DUMMYFUNCTION("""COMPUTED_VALUE"""),"")</f>
        <v/>
      </c>
      <c r="P678" t="str">
        <f ca="1">IFERROR(__xludf.DUMMYFUNCTION("""COMPUTED_VALUE"""),"")</f>
        <v/>
      </c>
      <c r="Q678" s="5" t="str">
        <f ca="1">IFERROR(__xludf.DUMMYFUNCTION("""COMPUTED_VALUE"""),"")</f>
        <v/>
      </c>
      <c r="R678" s="6" t="str">
        <f ca="1">IFERROR(__xludf.DUMMYFUNCTION("""COMPUTED_VALUE"""),"")</f>
        <v/>
      </c>
      <c r="S678" t="str">
        <f ca="1">IFERROR(__xludf.DUMMYFUNCTION("""COMPUTED_VALUE"""),"")</f>
        <v/>
      </c>
      <c r="T678" t="str">
        <f ca="1">IFERROR(__xludf.DUMMYFUNCTION("""COMPUTED_VALUE"""),"")</f>
        <v/>
      </c>
      <c r="U678" t="str">
        <f ca="1">IFERROR(__xludf.DUMMYFUNCTION("""COMPUTED_VALUE"""),"")</f>
        <v/>
      </c>
      <c r="V678" t="str">
        <f ca="1">IFERROR(__xludf.DUMMYFUNCTION("""COMPUTED_VALUE"""),"")</f>
        <v/>
      </c>
      <c r="W678" t="str">
        <f ca="1">IFERROR(__xludf.DUMMYFUNCTION("""COMPUTED_VALUE"""),"")</f>
        <v/>
      </c>
      <c r="X678" t="str">
        <f ca="1">IFERROR(__xludf.DUMMYFUNCTION("""COMPUTED_VALUE"""),"")</f>
        <v/>
      </c>
      <c r="Y678" t="str">
        <f ca="1">IFERROR(__xludf.DUMMYFUNCTION("""COMPUTED_VALUE"""),"")</f>
        <v/>
      </c>
      <c r="Z678" t="str">
        <f ca="1">IFERROR(__xludf.DUMMYFUNCTION("""COMPUTED_VALUE"""),"")</f>
        <v/>
      </c>
      <c r="AA678" t="str">
        <f ca="1">IFERROR(__xludf.DUMMYFUNCTION("""COMPUTED_VALUE"""),"Pas de commande")</f>
        <v>Pas de commande</v>
      </c>
      <c r="AB678" s="8" t="str">
        <f ca="1">IFERROR(__xludf.DUMMYFUNCTION("""COMPUTED_VALUE"""),"")</f>
        <v/>
      </c>
      <c r="AC678" s="8" t="str">
        <f ca="1">IFERROR(__xludf.DUMMYFUNCTION("""COMPUTED_VALUE"""),"")</f>
        <v/>
      </c>
      <c r="AD678" s="11" t="str">
        <f ca="1">IFERROR(__xludf.DUMMYFUNCTION("""COMPUTED_VALUE"""),"")</f>
        <v/>
      </c>
      <c r="AE678" t="str">
        <f ca="1">IFERROR(__xludf.DUMMYFUNCTION("""COMPUTED_VALUE"""),"")</f>
        <v/>
      </c>
    </row>
    <row r="679" spans="1:31" ht="12.75" x14ac:dyDescent="0.2">
      <c r="A679">
        <f ca="1">IFERROR(__xludf.DUMMYFUNCTION("""COMPUTED_VALUE"""),23654)</f>
        <v>23654</v>
      </c>
      <c r="B679" t="str">
        <f ca="1">IFERROR(__xludf.DUMMYFUNCTION("""COMPUTED_VALUE"""),"NEUILLY S/M PATINOIRE")</f>
        <v>NEUILLY S/M PATINOIRE</v>
      </c>
      <c r="C679" t="str">
        <f ca="1">IFERROR(__xludf.DUMMYFUNCTION("""COMPUTED_VALUE"""),"U Express")</f>
        <v>U Express</v>
      </c>
      <c r="D679" t="str">
        <f ca="1">IFERROR(__xludf.DUMMYFUNCTION("""COMPUTED_VALUE"""),"Coop U Enseigne NordOuest")</f>
        <v>Coop U Enseigne NordOuest</v>
      </c>
      <c r="E679">
        <f ca="1">IFERROR(__xludf.DUMMYFUNCTION("""COMPUTED_VALUE"""),93330)</f>
        <v>93330</v>
      </c>
      <c r="F679" t="str">
        <f ca="1">IFERROR(__xludf.DUMMYFUNCTION("""COMPUTED_VALUE"""),"CENTRE COMMERCIAL DE LA PATINOIRE")</f>
        <v>CENTRE COMMERCIAL DE LA PATINOIRE</v>
      </c>
      <c r="G679" t="str">
        <f ca="1">IFERROR(__xludf.DUMMYFUNCTION("""COMPUTED_VALUE"""),"01.43.00.82.55")</f>
        <v>01.43.00.82.55</v>
      </c>
      <c r="H679" t="str">
        <f ca="1">IFERROR(__xludf.DUMMYFUNCTION("""COMPUTED_VALUE"""),"DANIEL Raphaël")</f>
        <v>DANIEL Raphaël</v>
      </c>
      <c r="I679" t="str">
        <f ca="1">IFERROR(__xludf.DUMMYFUNCTION("""COMPUTED_VALUE"""),"raphael.daniel@systeme-u.fr")</f>
        <v>raphael.daniel@systeme-u.fr</v>
      </c>
      <c r="J679" t="str">
        <f ca="1">IFERROR(__xludf.DUMMYFUNCTION("""COMPUTED_VALUE"""),"Cuznir Olga")</f>
        <v>Cuznir Olga</v>
      </c>
      <c r="K679" t="str">
        <f ca="1">IFERROR(__xludf.DUMMYFUNCTION("""COMPUTED_VALUE"""),"uexpress.neuillysurmarne@systeme-u.fr")</f>
        <v>uexpress.neuillysurmarne@systeme-u.fr</v>
      </c>
      <c r="L679" t="str">
        <f ca="1">IFERROR(__xludf.DUMMYFUNCTION("""COMPUTED_VALUE"""),"")</f>
        <v/>
      </c>
      <c r="M679" t="str">
        <f ca="1">IFERROR(__xludf.DUMMYFUNCTION("""COMPUTED_VALUE"""),"99.Hors Périmetre")</f>
        <v>99.Hors Périmetre</v>
      </c>
      <c r="N679" t="str">
        <f ca="1">IFERROR(__xludf.DUMMYFUNCTION("""COMPUTED_VALUE"""),"")</f>
        <v/>
      </c>
      <c r="O679" t="str">
        <f ca="1">IFERROR(__xludf.DUMMYFUNCTION("""COMPUTED_VALUE"""),"")</f>
        <v/>
      </c>
      <c r="P679" t="str">
        <f ca="1">IFERROR(__xludf.DUMMYFUNCTION("""COMPUTED_VALUE"""),"")</f>
        <v/>
      </c>
      <c r="Q679" s="5" t="str">
        <f ca="1">IFERROR(__xludf.DUMMYFUNCTION("""COMPUTED_VALUE"""),"")</f>
        <v/>
      </c>
      <c r="R679" s="6" t="str">
        <f ca="1">IFERROR(__xludf.DUMMYFUNCTION("""COMPUTED_VALUE"""),"")</f>
        <v/>
      </c>
      <c r="S679" t="str">
        <f ca="1">IFERROR(__xludf.DUMMYFUNCTION("""COMPUTED_VALUE"""),"")</f>
        <v/>
      </c>
      <c r="T679" t="str">
        <f ca="1">IFERROR(__xludf.DUMMYFUNCTION("""COMPUTED_VALUE"""),"")</f>
        <v/>
      </c>
      <c r="U679" t="str">
        <f ca="1">IFERROR(__xludf.DUMMYFUNCTION("""COMPUTED_VALUE"""),"")</f>
        <v/>
      </c>
      <c r="V679" t="str">
        <f ca="1">IFERROR(__xludf.DUMMYFUNCTION("""COMPUTED_VALUE"""),"")</f>
        <v/>
      </c>
      <c r="W679" t="str">
        <f ca="1">IFERROR(__xludf.DUMMYFUNCTION("""COMPUTED_VALUE"""),"")</f>
        <v/>
      </c>
      <c r="X679" t="str">
        <f ca="1">IFERROR(__xludf.DUMMYFUNCTION("""COMPUTED_VALUE"""),"")</f>
        <v/>
      </c>
      <c r="Y679" t="str">
        <f ca="1">IFERROR(__xludf.DUMMYFUNCTION("""COMPUTED_VALUE"""),"")</f>
        <v/>
      </c>
      <c r="Z679" t="str">
        <f ca="1">IFERROR(__xludf.DUMMYFUNCTION("""COMPUTED_VALUE"""),"")</f>
        <v/>
      </c>
      <c r="AA679" t="str">
        <f ca="1">IFERROR(__xludf.DUMMYFUNCTION("""COMPUTED_VALUE"""),"Pas de commande")</f>
        <v>Pas de commande</v>
      </c>
      <c r="AB679" s="8" t="str">
        <f ca="1">IFERROR(__xludf.DUMMYFUNCTION("""COMPUTED_VALUE"""),"")</f>
        <v/>
      </c>
      <c r="AC679" s="8" t="str">
        <f ca="1">IFERROR(__xludf.DUMMYFUNCTION("""COMPUTED_VALUE"""),"")</f>
        <v/>
      </c>
      <c r="AD679" s="11" t="str">
        <f ca="1">IFERROR(__xludf.DUMMYFUNCTION("""COMPUTED_VALUE"""),"")</f>
        <v/>
      </c>
      <c r="AE679" t="str">
        <f ca="1">IFERROR(__xludf.DUMMYFUNCTION("""COMPUTED_VALUE"""),"")</f>
        <v/>
      </c>
    </row>
    <row r="680" spans="1:31" ht="12.75" x14ac:dyDescent="0.2">
      <c r="A680">
        <f ca="1">IFERROR(__xludf.DUMMYFUNCTION("""COMPUTED_VALUE"""),23883)</f>
        <v>23883</v>
      </c>
      <c r="B680" t="str">
        <f ca="1">IFERROR(__xludf.DUMMYFUNCTION("""COMPUTED_VALUE"""),"NEUILLY SUR SEINE")</f>
        <v>NEUILLY SUR SEINE</v>
      </c>
      <c r="C680" t="str">
        <f ca="1">IFERROR(__xludf.DUMMYFUNCTION("""COMPUTED_VALUE"""),"U Express")</f>
        <v>U Express</v>
      </c>
      <c r="D680" t="str">
        <f ca="1">IFERROR(__xludf.DUMMYFUNCTION("""COMPUTED_VALUE"""),"Coop U Enseigne NordOuest")</f>
        <v>Coop U Enseigne NordOuest</v>
      </c>
      <c r="E680">
        <f ca="1">IFERROR(__xludf.DUMMYFUNCTION("""COMPUTED_VALUE"""),92200)</f>
        <v>92200</v>
      </c>
      <c r="F680" t="str">
        <f ca="1">IFERROR(__xludf.DUMMYFUNCTION("""COMPUTED_VALUE"""),"83 AVENUE DU ROULE")</f>
        <v>83 AVENUE DU ROULE</v>
      </c>
      <c r="G680" t="str">
        <f ca="1">IFERROR(__xludf.DUMMYFUNCTION("""COMPUTED_VALUE"""),"01.47.38.27.62")</f>
        <v>01.47.38.27.62</v>
      </c>
      <c r="H680" t="str">
        <f ca="1">IFERROR(__xludf.DUMMYFUNCTION("""COMPUTED_VALUE"""),"LEVY Sacha")</f>
        <v>LEVY Sacha</v>
      </c>
      <c r="I680" t="str">
        <f ca="1">IFERROR(__xludf.DUMMYFUNCTION("""COMPUTED_VALUE"""),"sacha.levy@systeme-u.fr")</f>
        <v>sacha.levy@systeme-u.fr</v>
      </c>
      <c r="J680" t="str">
        <f ca="1">IFERROR(__xludf.DUMMYFUNCTION("""COMPUTED_VALUE"""),"")</f>
        <v/>
      </c>
      <c r="K680" t="str">
        <f ca="1">IFERROR(__xludf.DUMMYFUNCTION("""COMPUTED_VALUE"""),"uexpress.neuillysurseine@systeme-u.fr")</f>
        <v>uexpress.neuillysurseine@systeme-u.fr</v>
      </c>
      <c r="L680" t="str">
        <f ca="1">IFERROR(__xludf.DUMMYFUNCTION("""COMPUTED_VALUE"""),"")</f>
        <v/>
      </c>
      <c r="M680" t="str">
        <f ca="1">IFERROR(__xludf.DUMMYFUNCTION("""COMPUTED_VALUE"""),"99.Hors Périmetre")</f>
        <v>99.Hors Périmetre</v>
      </c>
      <c r="N680" t="str">
        <f ca="1">IFERROR(__xludf.DUMMYFUNCTION("""COMPUTED_VALUE"""),"")</f>
        <v/>
      </c>
      <c r="O680" t="str">
        <f ca="1">IFERROR(__xludf.DUMMYFUNCTION("""COMPUTED_VALUE"""),"")</f>
        <v/>
      </c>
      <c r="P680" t="str">
        <f ca="1">IFERROR(__xludf.DUMMYFUNCTION("""COMPUTED_VALUE"""),"")</f>
        <v/>
      </c>
      <c r="Q680" s="5" t="str">
        <f ca="1">IFERROR(__xludf.DUMMYFUNCTION("""COMPUTED_VALUE"""),"")</f>
        <v/>
      </c>
      <c r="R680" s="6" t="str">
        <f ca="1">IFERROR(__xludf.DUMMYFUNCTION("""COMPUTED_VALUE"""),"")</f>
        <v/>
      </c>
      <c r="S680" t="str">
        <f ca="1">IFERROR(__xludf.DUMMYFUNCTION("""COMPUTED_VALUE"""),"")</f>
        <v/>
      </c>
      <c r="T680" t="str">
        <f ca="1">IFERROR(__xludf.DUMMYFUNCTION("""COMPUTED_VALUE"""),"")</f>
        <v/>
      </c>
      <c r="U680" t="str">
        <f ca="1">IFERROR(__xludf.DUMMYFUNCTION("""COMPUTED_VALUE"""),"")</f>
        <v/>
      </c>
      <c r="V680" t="str">
        <f ca="1">IFERROR(__xludf.DUMMYFUNCTION("""COMPUTED_VALUE"""),"")</f>
        <v/>
      </c>
      <c r="W680" t="str">
        <f ca="1">IFERROR(__xludf.DUMMYFUNCTION("""COMPUTED_VALUE"""),"")</f>
        <v/>
      </c>
      <c r="X680" t="str">
        <f ca="1">IFERROR(__xludf.DUMMYFUNCTION("""COMPUTED_VALUE"""),"")</f>
        <v/>
      </c>
      <c r="Y680" t="str">
        <f ca="1">IFERROR(__xludf.DUMMYFUNCTION("""COMPUTED_VALUE"""),"")</f>
        <v/>
      </c>
      <c r="Z680" t="str">
        <f ca="1">IFERROR(__xludf.DUMMYFUNCTION("""COMPUTED_VALUE"""),"")</f>
        <v/>
      </c>
      <c r="AA680" t="str">
        <f ca="1">IFERROR(__xludf.DUMMYFUNCTION("""COMPUTED_VALUE"""),"Pas de commande")</f>
        <v>Pas de commande</v>
      </c>
      <c r="AB680" s="8" t="str">
        <f ca="1">IFERROR(__xludf.DUMMYFUNCTION("""COMPUTED_VALUE"""),"")</f>
        <v/>
      </c>
      <c r="AC680" s="8" t="str">
        <f ca="1">IFERROR(__xludf.DUMMYFUNCTION("""COMPUTED_VALUE"""),"")</f>
        <v/>
      </c>
      <c r="AD680" s="11" t="str">
        <f ca="1">IFERROR(__xludf.DUMMYFUNCTION("""COMPUTED_VALUE"""),"")</f>
        <v/>
      </c>
      <c r="AE680" t="str">
        <f ca="1">IFERROR(__xludf.DUMMYFUNCTION("""COMPUTED_VALUE"""),"")</f>
        <v/>
      </c>
    </row>
    <row r="681" spans="1:31" ht="12.75" x14ac:dyDescent="0.2">
      <c r="A681">
        <f ca="1">IFERROR(__xludf.DUMMYFUNCTION("""COMPUTED_VALUE"""),32100)</f>
        <v>32100</v>
      </c>
      <c r="B681" t="str">
        <f ca="1">IFERROR(__xludf.DUMMYFUNCTION("""COMPUTED_VALUE"""),"NEUVILLE DE POITOU")</f>
        <v>NEUVILLE DE POITOU</v>
      </c>
      <c r="C681" t="str">
        <f ca="1">IFERROR(__xludf.DUMMYFUNCTION("""COMPUTED_VALUE"""),"Super U")</f>
        <v>Super U</v>
      </c>
      <c r="D681" t="str">
        <f ca="1">IFERROR(__xludf.DUMMYFUNCTION("""COMPUTED_VALUE"""),"Coop U Enseigne Ouest")</f>
        <v>Coop U Enseigne Ouest</v>
      </c>
      <c r="E681">
        <f ca="1">IFERROR(__xludf.DUMMYFUNCTION("""COMPUTED_VALUE"""),86170)</f>
        <v>86170</v>
      </c>
      <c r="F681" t="str">
        <f ca="1">IFERROR(__xludf.DUMMYFUNCTION("""COMPUTED_VALUE"""),"41 ALLEE JEAN MONNET")</f>
        <v>41 ALLEE JEAN MONNET</v>
      </c>
      <c r="G681" t="str">
        <f ca="1">IFERROR(__xludf.DUMMYFUNCTION("""COMPUTED_VALUE"""),"05.49.54.53.64")</f>
        <v>05.49.54.53.64</v>
      </c>
      <c r="H681" t="str">
        <f ca="1">IFERROR(__xludf.DUMMYFUNCTION("""COMPUTED_VALUE"""),"DALLIER Patrice")</f>
        <v>DALLIER Patrice</v>
      </c>
      <c r="I681" t="str">
        <f ca="1">IFERROR(__xludf.DUMMYFUNCTION("""COMPUTED_VALUE"""),"patrice.dallier@systeme-u.fr")</f>
        <v>patrice.dallier@systeme-u.fr</v>
      </c>
      <c r="J681" t="str">
        <f ca="1">IFERROR(__xludf.DUMMYFUNCTION("""COMPUTED_VALUE"""),"Cindy ")</f>
        <v xml:space="preserve">Cindy </v>
      </c>
      <c r="K681" t="str">
        <f ca="1">IFERROR(__xludf.DUMMYFUNCTION("""COMPUTED_VALUE"""),"superu.neuvilledepoitou.affichage@systeme-u.fr")</f>
        <v>superu.neuvilledepoitou.affichage@systeme-u.fr</v>
      </c>
      <c r="L681" t="str">
        <f ca="1">IFERROR(__xludf.DUMMYFUNCTION("""COMPUTED_VALUE"""),"")</f>
        <v/>
      </c>
      <c r="M681" t="str">
        <f ca="1">IFERROR(__xludf.DUMMYFUNCTION("""COMPUTED_VALUE"""),"99.Hors Périmetre")</f>
        <v>99.Hors Périmetre</v>
      </c>
      <c r="N681" t="str">
        <f ca="1">IFERROR(__xludf.DUMMYFUNCTION("""COMPUTED_VALUE"""),"")</f>
        <v/>
      </c>
      <c r="O681" t="str">
        <f ca="1">IFERROR(__xludf.DUMMYFUNCTION("""COMPUTED_VALUE"""),"")</f>
        <v/>
      </c>
      <c r="P681" t="str">
        <f ca="1">IFERROR(__xludf.DUMMYFUNCTION("""COMPUTED_VALUE"""),"")</f>
        <v/>
      </c>
      <c r="Q681" s="5" t="str">
        <f ca="1">IFERROR(__xludf.DUMMYFUNCTION("""COMPUTED_VALUE"""),"")</f>
        <v/>
      </c>
      <c r="R681" s="6" t="str">
        <f ca="1">IFERROR(__xludf.DUMMYFUNCTION("""COMPUTED_VALUE"""),"")</f>
        <v/>
      </c>
      <c r="S681" t="str">
        <f ca="1">IFERROR(__xludf.DUMMYFUNCTION("""COMPUTED_VALUE"""),"")</f>
        <v/>
      </c>
      <c r="T681" t="str">
        <f ca="1">IFERROR(__xludf.DUMMYFUNCTION("""COMPUTED_VALUE"""),"")</f>
        <v/>
      </c>
      <c r="U681" t="str">
        <f ca="1">IFERROR(__xludf.DUMMYFUNCTION("""COMPUTED_VALUE"""),"")</f>
        <v/>
      </c>
      <c r="V681" t="str">
        <f ca="1">IFERROR(__xludf.DUMMYFUNCTION("""COMPUTED_VALUE"""),"")</f>
        <v/>
      </c>
      <c r="W681" t="str">
        <f ca="1">IFERROR(__xludf.DUMMYFUNCTION("""COMPUTED_VALUE"""),"")</f>
        <v/>
      </c>
      <c r="X681" t="str">
        <f ca="1">IFERROR(__xludf.DUMMYFUNCTION("""COMPUTED_VALUE"""),"")</f>
        <v/>
      </c>
      <c r="Y681" t="str">
        <f ca="1">IFERROR(__xludf.DUMMYFUNCTION("""COMPUTED_VALUE"""),"")</f>
        <v/>
      </c>
      <c r="Z681" t="str">
        <f ca="1">IFERROR(__xludf.DUMMYFUNCTION("""COMPUTED_VALUE"""),"")</f>
        <v/>
      </c>
      <c r="AA681" t="str">
        <f ca="1">IFERROR(__xludf.DUMMYFUNCTION("""COMPUTED_VALUE"""),"Pas de commande")</f>
        <v>Pas de commande</v>
      </c>
      <c r="AB681" s="8" t="str">
        <f ca="1">IFERROR(__xludf.DUMMYFUNCTION("""COMPUTED_VALUE"""),"")</f>
        <v/>
      </c>
      <c r="AC681" s="8" t="str">
        <f ca="1">IFERROR(__xludf.DUMMYFUNCTION("""COMPUTED_VALUE"""),"")</f>
        <v/>
      </c>
      <c r="AD681" s="11" t="str">
        <f ca="1">IFERROR(__xludf.DUMMYFUNCTION("""COMPUTED_VALUE"""),"")</f>
        <v/>
      </c>
      <c r="AE681" t="str">
        <f ca="1">IFERROR(__xludf.DUMMYFUNCTION("""COMPUTED_VALUE"""),"")</f>
        <v/>
      </c>
    </row>
    <row r="682" spans="1:31" ht="12.75" x14ac:dyDescent="0.2">
      <c r="A682">
        <f ca="1">IFERROR(__xludf.DUMMYFUNCTION("""COMPUTED_VALUE"""),25789)</f>
        <v>25789</v>
      </c>
      <c r="B682" t="str">
        <f ca="1">IFERROR(__xludf.DUMMYFUNCTION("""COMPUTED_VALUE"""),"NEUVILLE FERRIERES")</f>
        <v>NEUVILLE FERRIERES</v>
      </c>
      <c r="C682" t="str">
        <f ca="1">IFERROR(__xludf.DUMMYFUNCTION("""COMPUTED_VALUE"""),"Super U")</f>
        <v>Super U</v>
      </c>
      <c r="D682" t="str">
        <f ca="1">IFERROR(__xludf.DUMMYFUNCTION("""COMPUTED_VALUE"""),"Coop U Enseigne NordOuest")</f>
        <v>Coop U Enseigne NordOuest</v>
      </c>
      <c r="E682">
        <f ca="1">IFERROR(__xludf.DUMMYFUNCTION("""COMPUTED_VALUE"""),76270)</f>
        <v>76270</v>
      </c>
      <c r="F682" t="str">
        <f ca="1">IFERROR(__xludf.DUMMYFUNCTION("""COMPUTED_VALUE"""),"DEPARTEMENTALE 1314")</f>
        <v>DEPARTEMENTALE 1314</v>
      </c>
      <c r="G682" t="str">
        <f ca="1">IFERROR(__xludf.DUMMYFUNCTION("""COMPUTED_VALUE"""),"02.35.94.04.34")</f>
        <v>02.35.94.04.34</v>
      </c>
      <c r="H682" t="str">
        <f ca="1">IFERROR(__xludf.DUMMYFUNCTION("""COMPUTED_VALUE"""),"DIERICK (SUNO) Sébastien")</f>
        <v>DIERICK (SUNO) Sébastien</v>
      </c>
      <c r="I682" t="str">
        <f ca="1">IFERROR(__xludf.DUMMYFUNCTION("""COMPUTED_VALUE"""),"sebastien.dierick@systeme-u.fr")</f>
        <v>sebastien.dierick@systeme-u.fr</v>
      </c>
      <c r="J682" t="str">
        <f ca="1">IFERROR(__xludf.DUMMYFUNCTION("""COMPUTED_VALUE"""),"Roland HENRY")</f>
        <v>Roland HENRY</v>
      </c>
      <c r="K682" t="str">
        <f ca="1">IFERROR(__xludf.DUMMYFUNCTION("""COMPUTED_VALUE"""),"roland.henry@systeme-u.fr")</f>
        <v>roland.henry@systeme-u.fr</v>
      </c>
      <c r="L682" t="str">
        <f ca="1">IFERROR(__xludf.DUMMYFUNCTION("""COMPUTED_VALUE"""),"")</f>
        <v/>
      </c>
      <c r="M682" t="str">
        <f ca="1">IFERROR(__xludf.DUMMYFUNCTION("""COMPUTED_VALUE"""),"99.Hors Périmetre")</f>
        <v>99.Hors Périmetre</v>
      </c>
      <c r="N682" t="str">
        <f ca="1">IFERROR(__xludf.DUMMYFUNCTION("""COMPUTED_VALUE"""),"")</f>
        <v/>
      </c>
      <c r="O682" t="str">
        <f ca="1">IFERROR(__xludf.DUMMYFUNCTION("""COMPUTED_VALUE"""),"")</f>
        <v/>
      </c>
      <c r="P682" t="str">
        <f ca="1">IFERROR(__xludf.DUMMYFUNCTION("""COMPUTED_VALUE"""),"")</f>
        <v/>
      </c>
      <c r="Q682" s="5" t="str">
        <f ca="1">IFERROR(__xludf.DUMMYFUNCTION("""COMPUTED_VALUE"""),"")</f>
        <v/>
      </c>
      <c r="R682" s="6" t="str">
        <f ca="1">IFERROR(__xludf.DUMMYFUNCTION("""COMPUTED_VALUE"""),"")</f>
        <v/>
      </c>
      <c r="S682" t="str">
        <f ca="1">IFERROR(__xludf.DUMMYFUNCTION("""COMPUTED_VALUE"""),"")</f>
        <v/>
      </c>
      <c r="T682" t="str">
        <f ca="1">IFERROR(__xludf.DUMMYFUNCTION("""COMPUTED_VALUE"""),"")</f>
        <v/>
      </c>
      <c r="U682" t="str">
        <f ca="1">IFERROR(__xludf.DUMMYFUNCTION("""COMPUTED_VALUE"""),"")</f>
        <v/>
      </c>
      <c r="V682" t="str">
        <f ca="1">IFERROR(__xludf.DUMMYFUNCTION("""COMPUTED_VALUE"""),"")</f>
        <v/>
      </c>
      <c r="W682" t="str">
        <f ca="1">IFERROR(__xludf.DUMMYFUNCTION("""COMPUTED_VALUE"""),"")</f>
        <v/>
      </c>
      <c r="X682" t="str">
        <f ca="1">IFERROR(__xludf.DUMMYFUNCTION("""COMPUTED_VALUE"""),"")</f>
        <v/>
      </c>
      <c r="Y682" t="str">
        <f ca="1">IFERROR(__xludf.DUMMYFUNCTION("""COMPUTED_VALUE"""),"")</f>
        <v/>
      </c>
      <c r="Z682" t="str">
        <f ca="1">IFERROR(__xludf.DUMMYFUNCTION("""COMPUTED_VALUE"""),"")</f>
        <v/>
      </c>
      <c r="AA682" t="str">
        <f ca="1">IFERROR(__xludf.DUMMYFUNCTION("""COMPUTED_VALUE"""),"Pas de commande")</f>
        <v>Pas de commande</v>
      </c>
      <c r="AB682" s="8" t="str">
        <f ca="1">IFERROR(__xludf.DUMMYFUNCTION("""COMPUTED_VALUE"""),"")</f>
        <v/>
      </c>
      <c r="AC682" s="8" t="str">
        <f ca="1">IFERROR(__xludf.DUMMYFUNCTION("""COMPUTED_VALUE"""),"")</f>
        <v/>
      </c>
      <c r="AD682" s="11" t="str">
        <f ca="1">IFERROR(__xludf.DUMMYFUNCTION("""COMPUTED_VALUE"""),"")</f>
        <v/>
      </c>
      <c r="AE682" t="str">
        <f ca="1">IFERROR(__xludf.DUMMYFUNCTION("""COMPUTED_VALUE"""),"")</f>
        <v/>
      </c>
    </row>
    <row r="683" spans="1:31" ht="12.75" x14ac:dyDescent="0.2">
      <c r="A683">
        <f ca="1">IFERROR(__xludf.DUMMYFUNCTION("""COMPUTED_VALUE"""),31198)</f>
        <v>31198</v>
      </c>
      <c r="B683" t="str">
        <f ca="1">IFERROR(__xludf.DUMMYFUNCTION("""COMPUTED_VALUE"""),"NEUVILLE-AUX-BOIS")</f>
        <v>NEUVILLE-AUX-BOIS</v>
      </c>
      <c r="C683" t="str">
        <f ca="1">IFERROR(__xludf.DUMMYFUNCTION("""COMPUTED_VALUE"""),"Super U")</f>
        <v>Super U</v>
      </c>
      <c r="D683" t="str">
        <f ca="1">IFERROR(__xludf.DUMMYFUNCTION("""COMPUTED_VALUE"""),"Coop U Enseigne Ouest")</f>
        <v>Coop U Enseigne Ouest</v>
      </c>
      <c r="E683">
        <f ca="1">IFERROR(__xludf.DUMMYFUNCTION("""COMPUTED_VALUE"""),45170)</f>
        <v>45170</v>
      </c>
      <c r="F683" t="str">
        <f ca="1">IFERROR(__xludf.DUMMYFUNCTION("""COMPUTED_VALUE"""),"RUE DE MONTFORT")</f>
        <v>RUE DE MONTFORT</v>
      </c>
      <c r="G683" t="str">
        <f ca="1">IFERROR(__xludf.DUMMYFUNCTION("""COMPUTED_VALUE"""),"02.38.91.83.87")</f>
        <v>02.38.91.83.87</v>
      </c>
      <c r="H683" t="str">
        <f ca="1">IFERROR(__xludf.DUMMYFUNCTION("""COMPUTED_VALUE"""),"DESHAYES RPT SAS DESHAYES Philippe")</f>
        <v>DESHAYES RPT SAS DESHAYES Philippe</v>
      </c>
      <c r="I683" t="str">
        <f ca="1">IFERROR(__xludf.DUMMYFUNCTION("""COMPUTED_VALUE"""),"philippe.deshayes@systeme-u.fr")</f>
        <v>philippe.deshayes@systeme-u.fr</v>
      </c>
      <c r="J683" t="str">
        <f ca="1">IFERROR(__xludf.DUMMYFUNCTION("""COMPUTED_VALUE"""),"DESHAYES Edouard
Mme Alluard (UPLV)")</f>
        <v>DESHAYES Edouard
Mme Alluard (UPLV)</v>
      </c>
      <c r="K683" t="str">
        <f ca="1">IFERROR(__xludf.DUMMYFUNCTION("""COMPUTED_VALUE"""),"edouard.deshayes@systeme-u.fr, superu.neuvilleauxbois.affichage@systeme-u.fr")</f>
        <v>edouard.deshayes@systeme-u.fr, superu.neuvilleauxbois.affichage@systeme-u.fr</v>
      </c>
      <c r="L683" t="str">
        <f ca="1">IFERROR(__xludf.DUMMYFUNCTION("""COMPUTED_VALUE"""),"")</f>
        <v/>
      </c>
      <c r="M683" t="str">
        <f ca="1">IFERROR(__xludf.DUMMYFUNCTION("""COMPUTED_VALUE"""),"99.Hors Périmetre")</f>
        <v>99.Hors Périmetre</v>
      </c>
      <c r="N683" t="str">
        <f ca="1">IFERROR(__xludf.DUMMYFUNCTION("""COMPUTED_VALUE"""),"")</f>
        <v/>
      </c>
      <c r="O683" t="str">
        <f ca="1">IFERROR(__xludf.DUMMYFUNCTION("""COMPUTED_VALUE"""),"")</f>
        <v/>
      </c>
      <c r="P683" t="str">
        <f ca="1">IFERROR(__xludf.DUMMYFUNCTION("""COMPUTED_VALUE"""),"")</f>
        <v/>
      </c>
      <c r="Q683" s="5" t="str">
        <f ca="1">IFERROR(__xludf.DUMMYFUNCTION("""COMPUTED_VALUE"""),"")</f>
        <v/>
      </c>
      <c r="R683" s="6" t="str">
        <f ca="1">IFERROR(__xludf.DUMMYFUNCTION("""COMPUTED_VALUE"""),"")</f>
        <v/>
      </c>
      <c r="S683" t="str">
        <f ca="1">IFERROR(__xludf.DUMMYFUNCTION("""COMPUTED_VALUE"""),"")</f>
        <v/>
      </c>
      <c r="T683" t="str">
        <f ca="1">IFERROR(__xludf.DUMMYFUNCTION("""COMPUTED_VALUE"""),"")</f>
        <v/>
      </c>
      <c r="U683" t="str">
        <f ca="1">IFERROR(__xludf.DUMMYFUNCTION("""COMPUTED_VALUE"""),"")</f>
        <v/>
      </c>
      <c r="V683" t="str">
        <f ca="1">IFERROR(__xludf.DUMMYFUNCTION("""COMPUTED_VALUE"""),"")</f>
        <v/>
      </c>
      <c r="W683" t="str">
        <f ca="1">IFERROR(__xludf.DUMMYFUNCTION("""COMPUTED_VALUE"""),"")</f>
        <v/>
      </c>
      <c r="X683" t="str">
        <f ca="1">IFERROR(__xludf.DUMMYFUNCTION("""COMPUTED_VALUE"""),"")</f>
        <v/>
      </c>
      <c r="Y683" t="str">
        <f ca="1">IFERROR(__xludf.DUMMYFUNCTION("""COMPUTED_VALUE"""),"")</f>
        <v/>
      </c>
      <c r="Z683" t="str">
        <f ca="1">IFERROR(__xludf.DUMMYFUNCTION("""COMPUTED_VALUE"""),"")</f>
        <v/>
      </c>
      <c r="AA683" t="str">
        <f ca="1">IFERROR(__xludf.DUMMYFUNCTION("""COMPUTED_VALUE"""),"Pas de commande")</f>
        <v>Pas de commande</v>
      </c>
      <c r="AB683" s="8" t="str">
        <f ca="1">IFERROR(__xludf.DUMMYFUNCTION("""COMPUTED_VALUE"""),"")</f>
        <v/>
      </c>
      <c r="AC683" s="8" t="str">
        <f ca="1">IFERROR(__xludf.DUMMYFUNCTION("""COMPUTED_VALUE"""),"")</f>
        <v/>
      </c>
      <c r="AD683" s="11" t="str">
        <f ca="1">IFERROR(__xludf.DUMMYFUNCTION("""COMPUTED_VALUE"""),"")</f>
        <v/>
      </c>
      <c r="AE683" t="str">
        <f ca="1">IFERROR(__xludf.DUMMYFUNCTION("""COMPUTED_VALUE"""),"")</f>
        <v/>
      </c>
    </row>
    <row r="684" spans="1:31" ht="12.75" x14ac:dyDescent="0.2">
      <c r="A684">
        <f ca="1">IFERROR(__xludf.DUMMYFUNCTION("""COMPUTED_VALUE"""),39819)</f>
        <v>39819</v>
      </c>
      <c r="B684" t="str">
        <f ca="1">IFERROR(__xludf.DUMMYFUNCTION("""COMPUTED_VALUE"""),"NEUVY-ST-SEPULCHRE")</f>
        <v>NEUVY-ST-SEPULCHRE</v>
      </c>
      <c r="C684" t="str">
        <f ca="1">IFERROR(__xludf.DUMMYFUNCTION("""COMPUTED_VALUE"""),"U Express")</f>
        <v>U Express</v>
      </c>
      <c r="D684" t="str">
        <f ca="1">IFERROR(__xludf.DUMMYFUNCTION("""COMPUTED_VALUE"""),"Coop U Enseigne Ouest")</f>
        <v>Coop U Enseigne Ouest</v>
      </c>
      <c r="E684">
        <f ca="1">IFERROR(__xludf.DUMMYFUNCTION("""COMPUTED_VALUE"""),36230)</f>
        <v>36230</v>
      </c>
      <c r="F684" t="str">
        <f ca="1">IFERROR(__xludf.DUMMYFUNCTION("""COMPUTED_VALUE"""),"Z.A LE FAY")</f>
        <v>Z.A LE FAY</v>
      </c>
      <c r="G684" t="str">
        <f ca="1">IFERROR(__xludf.DUMMYFUNCTION("""COMPUTED_VALUE"""),"02.54.30.87.99")</f>
        <v>02.54.30.87.99</v>
      </c>
      <c r="H684" t="str">
        <f ca="1">IFERROR(__xludf.DUMMYFUNCTION("""COMPUTED_VALUE"""),"HERVE Gaétan")</f>
        <v>HERVE Gaétan</v>
      </c>
      <c r="I684" t="str">
        <f ca="1">IFERROR(__xludf.DUMMYFUNCTION("""COMPUTED_VALUE"""),"gaetan.herve@systeme-u.fr")</f>
        <v>gaetan.herve@systeme-u.fr</v>
      </c>
      <c r="J684" t="str">
        <f ca="1">IFERROR(__xludf.DUMMYFUNCTION("""COMPUTED_VALUE"""),"BERTHELOT Steve")</f>
        <v>BERTHELOT Steve</v>
      </c>
      <c r="K684" t="str">
        <f ca="1">IFERROR(__xludf.DUMMYFUNCTION("""COMPUTED_VALUE"""),"berthelot.steve36@gmail.com")</f>
        <v>berthelot.steve36@gmail.com</v>
      </c>
      <c r="L684" t="str">
        <f ca="1">IFERROR(__xludf.DUMMYFUNCTION("""COMPUTED_VALUE"""),"")</f>
        <v/>
      </c>
      <c r="M684" t="str">
        <f ca="1">IFERROR(__xludf.DUMMYFUNCTION("""COMPUTED_VALUE"""),"99.Hors Périmetre")</f>
        <v>99.Hors Périmetre</v>
      </c>
      <c r="N684" t="str">
        <f ca="1">IFERROR(__xludf.DUMMYFUNCTION("""COMPUTED_VALUE"""),"")</f>
        <v/>
      </c>
      <c r="O684" t="str">
        <f ca="1">IFERROR(__xludf.DUMMYFUNCTION("""COMPUTED_VALUE"""),"")</f>
        <v/>
      </c>
      <c r="P684" t="str">
        <f ca="1">IFERROR(__xludf.DUMMYFUNCTION("""COMPUTED_VALUE"""),"")</f>
        <v/>
      </c>
      <c r="Q684" s="5" t="str">
        <f ca="1">IFERROR(__xludf.DUMMYFUNCTION("""COMPUTED_VALUE"""),"")</f>
        <v/>
      </c>
      <c r="R684" s="6" t="str">
        <f ca="1">IFERROR(__xludf.DUMMYFUNCTION("""COMPUTED_VALUE"""),"")</f>
        <v/>
      </c>
      <c r="S684" t="str">
        <f ca="1">IFERROR(__xludf.DUMMYFUNCTION("""COMPUTED_VALUE"""),"")</f>
        <v/>
      </c>
      <c r="T684" t="str">
        <f ca="1">IFERROR(__xludf.DUMMYFUNCTION("""COMPUTED_VALUE"""),"")</f>
        <v/>
      </c>
      <c r="U684" t="str">
        <f ca="1">IFERROR(__xludf.DUMMYFUNCTION("""COMPUTED_VALUE"""),"")</f>
        <v/>
      </c>
      <c r="V684" t="str">
        <f ca="1">IFERROR(__xludf.DUMMYFUNCTION("""COMPUTED_VALUE"""),"")</f>
        <v/>
      </c>
      <c r="W684" t="str">
        <f ca="1">IFERROR(__xludf.DUMMYFUNCTION("""COMPUTED_VALUE"""),"")</f>
        <v/>
      </c>
      <c r="X684" t="str">
        <f ca="1">IFERROR(__xludf.DUMMYFUNCTION("""COMPUTED_VALUE"""),"")</f>
        <v/>
      </c>
      <c r="Y684" t="str">
        <f ca="1">IFERROR(__xludf.DUMMYFUNCTION("""COMPUTED_VALUE"""),"")</f>
        <v/>
      </c>
      <c r="Z684" t="str">
        <f ca="1">IFERROR(__xludf.DUMMYFUNCTION("""COMPUTED_VALUE"""),"")</f>
        <v/>
      </c>
      <c r="AA684" t="str">
        <f ca="1">IFERROR(__xludf.DUMMYFUNCTION("""COMPUTED_VALUE"""),"Pas de commande")</f>
        <v>Pas de commande</v>
      </c>
      <c r="AB684" s="8" t="str">
        <f ca="1">IFERROR(__xludf.DUMMYFUNCTION("""COMPUTED_VALUE"""),"")</f>
        <v/>
      </c>
      <c r="AC684" s="8" t="str">
        <f ca="1">IFERROR(__xludf.DUMMYFUNCTION("""COMPUTED_VALUE"""),"")</f>
        <v/>
      </c>
      <c r="AD684" s="11" t="str">
        <f ca="1">IFERROR(__xludf.DUMMYFUNCTION("""COMPUTED_VALUE"""),"")</f>
        <v/>
      </c>
      <c r="AE684" t="str">
        <f ca="1">IFERROR(__xludf.DUMMYFUNCTION("""COMPUTED_VALUE"""),"")</f>
        <v/>
      </c>
    </row>
    <row r="685" spans="1:31" ht="12.75" x14ac:dyDescent="0.2">
      <c r="A685">
        <f ca="1">IFERROR(__xludf.DUMMYFUNCTION("""COMPUTED_VALUE"""),35495)</f>
        <v>35495</v>
      </c>
      <c r="B685" t="str">
        <f ca="1">IFERROR(__xludf.DUMMYFUNCTION("""COMPUTED_VALUE"""),"NEXON")</f>
        <v>NEXON</v>
      </c>
      <c r="C685" t="str">
        <f ca="1">IFERROR(__xludf.DUMMYFUNCTION("""COMPUTED_VALUE"""),"Super U")</f>
        <v>Super U</v>
      </c>
      <c r="D685" t="str">
        <f ca="1">IFERROR(__xludf.DUMMYFUNCTION("""COMPUTED_VALUE"""),"Coop U Enseigne Ouest")</f>
        <v>Coop U Enseigne Ouest</v>
      </c>
      <c r="E685">
        <f ca="1">IFERROR(__xludf.DUMMYFUNCTION("""COMPUTED_VALUE"""),87800)</f>
        <v>87800</v>
      </c>
      <c r="F685" t="str">
        <f ca="1">IFERROR(__xludf.DUMMYFUNCTION("""COMPUTED_VALUE"""),"ROUTE DE LA MEYZE")</f>
        <v>ROUTE DE LA MEYZE</v>
      </c>
      <c r="G685" t="str">
        <f ca="1">IFERROR(__xludf.DUMMYFUNCTION("""COMPUTED_VALUE"""),"05.55.58.32.32")</f>
        <v>05.55.58.32.32</v>
      </c>
      <c r="H685" t="str">
        <f ca="1">IFERROR(__xludf.DUMMYFUNCTION("""COMPUTED_VALUE"""),"ONILLION Guillaume")</f>
        <v>ONILLION Guillaume</v>
      </c>
      <c r="I685" t="str">
        <f ca="1">IFERROR(__xludf.DUMMYFUNCTION("""COMPUTED_VALUE"""),"guillaume.onillion@systeme-u.fr")</f>
        <v>guillaume.onillion@systeme-u.fr</v>
      </c>
      <c r="J685" t="str">
        <f ca="1">IFERROR(__xludf.DUMMYFUNCTION("""COMPUTED_VALUE"""),"BUISSON Laurence")</f>
        <v>BUISSON Laurence</v>
      </c>
      <c r="K685" t="str">
        <f ca="1">IFERROR(__xludf.DUMMYFUNCTION("""COMPUTED_VALUE"""),"superu.nexon.compta@systeme-u.fr")</f>
        <v>superu.nexon.compta@systeme-u.fr</v>
      </c>
      <c r="L685" t="str">
        <f ca="1">IFERROR(__xludf.DUMMYFUNCTION("""COMPUTED_VALUE"""),"")</f>
        <v/>
      </c>
      <c r="M685" t="str">
        <f ca="1">IFERROR(__xludf.DUMMYFUNCTION("""COMPUTED_VALUE"""),"99.Hors Périmetre")</f>
        <v>99.Hors Périmetre</v>
      </c>
      <c r="N685" t="str">
        <f ca="1">IFERROR(__xludf.DUMMYFUNCTION("""COMPUTED_VALUE"""),"")</f>
        <v/>
      </c>
      <c r="O685" t="str">
        <f ca="1">IFERROR(__xludf.DUMMYFUNCTION("""COMPUTED_VALUE"""),"")</f>
        <v/>
      </c>
      <c r="P685" t="str">
        <f ca="1">IFERROR(__xludf.DUMMYFUNCTION("""COMPUTED_VALUE"""),"")</f>
        <v/>
      </c>
      <c r="Q685" s="5" t="str">
        <f ca="1">IFERROR(__xludf.DUMMYFUNCTION("""COMPUTED_VALUE"""),"")</f>
        <v/>
      </c>
      <c r="R685" s="6" t="str">
        <f ca="1">IFERROR(__xludf.DUMMYFUNCTION("""COMPUTED_VALUE"""),"")</f>
        <v/>
      </c>
      <c r="S685" t="str">
        <f ca="1">IFERROR(__xludf.DUMMYFUNCTION("""COMPUTED_VALUE"""),"")</f>
        <v/>
      </c>
      <c r="T685" t="str">
        <f ca="1">IFERROR(__xludf.DUMMYFUNCTION("""COMPUTED_VALUE"""),"")</f>
        <v/>
      </c>
      <c r="U685" t="str">
        <f ca="1">IFERROR(__xludf.DUMMYFUNCTION("""COMPUTED_VALUE"""),"")</f>
        <v/>
      </c>
      <c r="V685" t="str">
        <f ca="1">IFERROR(__xludf.DUMMYFUNCTION("""COMPUTED_VALUE"""),"")</f>
        <v/>
      </c>
      <c r="W685" t="str">
        <f ca="1">IFERROR(__xludf.DUMMYFUNCTION("""COMPUTED_VALUE"""),"")</f>
        <v/>
      </c>
      <c r="X685" t="str">
        <f ca="1">IFERROR(__xludf.DUMMYFUNCTION("""COMPUTED_VALUE"""),"")</f>
        <v/>
      </c>
      <c r="Y685" t="str">
        <f ca="1">IFERROR(__xludf.DUMMYFUNCTION("""COMPUTED_VALUE"""),"")</f>
        <v/>
      </c>
      <c r="Z685" t="str">
        <f ca="1">IFERROR(__xludf.DUMMYFUNCTION("""COMPUTED_VALUE"""),"")</f>
        <v/>
      </c>
      <c r="AA685" t="str">
        <f ca="1">IFERROR(__xludf.DUMMYFUNCTION("""COMPUTED_VALUE"""),"Pas de commande")</f>
        <v>Pas de commande</v>
      </c>
      <c r="AB685" s="8" t="str">
        <f ca="1">IFERROR(__xludf.DUMMYFUNCTION("""COMPUTED_VALUE"""),"")</f>
        <v/>
      </c>
      <c r="AC685" s="8" t="str">
        <f ca="1">IFERROR(__xludf.DUMMYFUNCTION("""COMPUTED_VALUE"""),"")</f>
        <v/>
      </c>
      <c r="AD685" s="11" t="str">
        <f ca="1">IFERROR(__xludf.DUMMYFUNCTION("""COMPUTED_VALUE"""),"")</f>
        <v/>
      </c>
      <c r="AE685" t="str">
        <f ca="1">IFERROR(__xludf.DUMMYFUNCTION("""COMPUTED_VALUE"""),"")</f>
        <v/>
      </c>
    </row>
    <row r="686" spans="1:31" ht="12.75" x14ac:dyDescent="0.2">
      <c r="A686">
        <f ca="1">IFERROR(__xludf.DUMMYFUNCTION("""COMPUTED_VALUE"""),90725)</f>
        <v>90725</v>
      </c>
      <c r="B686" t="str">
        <f ca="1">IFERROR(__xludf.DUMMYFUNCTION("""COMPUTED_VALUE"""),"NICE ALPES")</f>
        <v>NICE ALPES</v>
      </c>
      <c r="C686" t="str">
        <f ca="1">IFERROR(__xludf.DUMMYFUNCTION("""COMPUTED_VALUE"""),"U Express")</f>
        <v>U Express</v>
      </c>
      <c r="D686" t="str">
        <f ca="1">IFERROR(__xludf.DUMMYFUNCTION("""COMPUTED_VALUE"""),"Coop MISTRAL")</f>
        <v>Coop MISTRAL</v>
      </c>
      <c r="E686">
        <f ca="1">IFERROR(__xludf.DUMMYFUNCTION("""COMPUTED_VALUE"""),6300)</f>
        <v>6300</v>
      </c>
      <c r="F686" t="str">
        <f ca="1">IFERROR(__xludf.DUMMYFUNCTION("""COMPUTED_VALUE"""),"13 BD ARMEE DES ALPES")</f>
        <v>13 BD ARMEE DES ALPES</v>
      </c>
      <c r="G686" t="str">
        <f ca="1">IFERROR(__xludf.DUMMYFUNCTION("""COMPUTED_VALUE"""),"04.93.31.88.91")</f>
        <v>04.93.31.88.91</v>
      </c>
      <c r="H686" t="str">
        <f ca="1">IFERROR(__xludf.DUMMYFUNCTION("""COMPUTED_VALUE"""),"DEJONCKHEERE Fabien")</f>
        <v>DEJONCKHEERE Fabien</v>
      </c>
      <c r="I686" t="str">
        <f ca="1">IFERROR(__xludf.DUMMYFUNCTION("""COMPUTED_VALUE"""),"")</f>
        <v/>
      </c>
      <c r="J686" t="str">
        <f ca="1">IFERROR(__xludf.DUMMYFUNCTION("""COMPUTED_VALUE"""),"")</f>
        <v/>
      </c>
      <c r="K686" t="str">
        <f ca="1">IFERROR(__xludf.DUMMYFUNCTION("""COMPUTED_VALUE"""),"delphine.damian@lemistral.fr,helene.mina@lemistral.fr")</f>
        <v>delphine.damian@lemistral.fr,helene.mina@lemistral.fr</v>
      </c>
      <c r="L686" t="str">
        <f ca="1">IFERROR(__xludf.DUMMYFUNCTION("""COMPUTED_VALUE"""),"")</f>
        <v/>
      </c>
      <c r="M686" t="str">
        <f ca="1">IFERROR(__xludf.DUMMYFUNCTION("""COMPUTED_VALUE"""),"99.Hors Périmetre")</f>
        <v>99.Hors Périmetre</v>
      </c>
      <c r="N686" t="str">
        <f ca="1">IFERROR(__xludf.DUMMYFUNCTION("""COMPUTED_VALUE"""),"")</f>
        <v/>
      </c>
      <c r="O686" t="str">
        <f ca="1">IFERROR(__xludf.DUMMYFUNCTION("""COMPUTED_VALUE"""),"")</f>
        <v/>
      </c>
      <c r="P686" t="str">
        <f ca="1">IFERROR(__xludf.DUMMYFUNCTION("""COMPUTED_VALUE"""),"")</f>
        <v/>
      </c>
      <c r="Q686" s="5" t="str">
        <f ca="1">IFERROR(__xludf.DUMMYFUNCTION("""COMPUTED_VALUE"""),"")</f>
        <v/>
      </c>
      <c r="R686" s="6" t="str">
        <f ca="1">IFERROR(__xludf.DUMMYFUNCTION("""COMPUTED_VALUE"""),"")</f>
        <v/>
      </c>
      <c r="S686" t="str">
        <f ca="1">IFERROR(__xludf.DUMMYFUNCTION("""COMPUTED_VALUE"""),"")</f>
        <v/>
      </c>
      <c r="T686" t="str">
        <f ca="1">IFERROR(__xludf.DUMMYFUNCTION("""COMPUTED_VALUE"""),"")</f>
        <v/>
      </c>
      <c r="U686" t="str">
        <f ca="1">IFERROR(__xludf.DUMMYFUNCTION("""COMPUTED_VALUE"""),"")</f>
        <v/>
      </c>
      <c r="V686" t="str">
        <f ca="1">IFERROR(__xludf.DUMMYFUNCTION("""COMPUTED_VALUE"""),"")</f>
        <v/>
      </c>
      <c r="W686" t="str">
        <f ca="1">IFERROR(__xludf.DUMMYFUNCTION("""COMPUTED_VALUE"""),"")</f>
        <v/>
      </c>
      <c r="X686" t="str">
        <f ca="1">IFERROR(__xludf.DUMMYFUNCTION("""COMPUTED_VALUE"""),"")</f>
        <v/>
      </c>
      <c r="Y686" t="str">
        <f ca="1">IFERROR(__xludf.DUMMYFUNCTION("""COMPUTED_VALUE"""),"")</f>
        <v/>
      </c>
      <c r="Z686" t="str">
        <f ca="1">IFERROR(__xludf.DUMMYFUNCTION("""COMPUTED_VALUE"""),"")</f>
        <v/>
      </c>
      <c r="AA686" t="str">
        <f ca="1">IFERROR(__xludf.DUMMYFUNCTION("""COMPUTED_VALUE"""),"Pas de commande")</f>
        <v>Pas de commande</v>
      </c>
      <c r="AB686" s="8" t="str">
        <f ca="1">IFERROR(__xludf.DUMMYFUNCTION("""COMPUTED_VALUE"""),"")</f>
        <v/>
      </c>
      <c r="AC686" s="8" t="str">
        <f ca="1">IFERROR(__xludf.DUMMYFUNCTION("""COMPUTED_VALUE"""),"")</f>
        <v/>
      </c>
      <c r="AD686" s="11" t="str">
        <f ca="1">IFERROR(__xludf.DUMMYFUNCTION("""COMPUTED_VALUE"""),"")</f>
        <v/>
      </c>
      <c r="AE686" t="str">
        <f ca="1">IFERROR(__xludf.DUMMYFUNCTION("""COMPUTED_VALUE"""),"")</f>
        <v/>
      </c>
    </row>
    <row r="687" spans="1:31" ht="12.75" x14ac:dyDescent="0.2">
      <c r="A687">
        <f ca="1">IFERROR(__xludf.DUMMYFUNCTION("""COMPUTED_VALUE"""),90622)</f>
        <v>90622</v>
      </c>
      <c r="B687" t="str">
        <f ca="1">IFERROR(__xludf.DUMMYFUNCTION("""COMPUTED_VALUE"""),"NICE BAQUIS")</f>
        <v>NICE BAQUIS</v>
      </c>
      <c r="C687" t="str">
        <f ca="1">IFERROR(__xludf.DUMMYFUNCTION("""COMPUTED_VALUE"""),"U Express")</f>
        <v>U Express</v>
      </c>
      <c r="D687" t="str">
        <f ca="1">IFERROR(__xludf.DUMMYFUNCTION("""COMPUTED_VALUE"""),"Coop MISTRAL")</f>
        <v>Coop MISTRAL</v>
      </c>
      <c r="E687">
        <f ca="1">IFERROR(__xludf.DUMMYFUNCTION("""COMPUTED_VALUE"""),6000)</f>
        <v>6000</v>
      </c>
      <c r="F687" t="str">
        <f ca="1">IFERROR(__xludf.DUMMYFUNCTION("""COMPUTED_VALUE"""),"11 RUE BAQUIS")</f>
        <v>11 RUE BAQUIS</v>
      </c>
      <c r="G687" t="str">
        <f ca="1">IFERROR(__xludf.DUMMYFUNCTION("""COMPUTED_VALUE"""),"04.93.87.49.53")</f>
        <v>04.93.87.49.53</v>
      </c>
      <c r="H687" t="str">
        <f ca="1">IFERROR(__xludf.DUMMYFUNCTION("""COMPUTED_VALUE"""),"POULAIN Stephane")</f>
        <v>POULAIN Stephane</v>
      </c>
      <c r="I687" t="str">
        <f ca="1">IFERROR(__xludf.DUMMYFUNCTION("""COMPUTED_VALUE"""),"")</f>
        <v/>
      </c>
      <c r="J687" t="str">
        <f ca="1">IFERROR(__xludf.DUMMYFUNCTION("""COMPUTED_VALUE"""),"")</f>
        <v/>
      </c>
      <c r="K687" t="str">
        <f ca="1">IFERROR(__xludf.DUMMYFUNCTION("""COMPUTED_VALUE"""),"delphine.damian@lemistral.fr,helene.mina@lemistral.fr")</f>
        <v>delphine.damian@lemistral.fr,helene.mina@lemistral.fr</v>
      </c>
      <c r="L687" t="str">
        <f ca="1">IFERROR(__xludf.DUMMYFUNCTION("""COMPUTED_VALUE"""),"")</f>
        <v/>
      </c>
      <c r="M687" t="str">
        <f ca="1">IFERROR(__xludf.DUMMYFUNCTION("""COMPUTED_VALUE"""),"99.Hors Périmetre")</f>
        <v>99.Hors Périmetre</v>
      </c>
      <c r="N687" t="str">
        <f ca="1">IFERROR(__xludf.DUMMYFUNCTION("""COMPUTED_VALUE"""),"")</f>
        <v/>
      </c>
      <c r="O687" t="str">
        <f ca="1">IFERROR(__xludf.DUMMYFUNCTION("""COMPUTED_VALUE"""),"")</f>
        <v/>
      </c>
      <c r="P687" t="str">
        <f ca="1">IFERROR(__xludf.DUMMYFUNCTION("""COMPUTED_VALUE"""),"")</f>
        <v/>
      </c>
      <c r="Q687" s="5" t="str">
        <f ca="1">IFERROR(__xludf.DUMMYFUNCTION("""COMPUTED_VALUE"""),"")</f>
        <v/>
      </c>
      <c r="R687" s="6" t="str">
        <f ca="1">IFERROR(__xludf.DUMMYFUNCTION("""COMPUTED_VALUE"""),"")</f>
        <v/>
      </c>
      <c r="S687" t="str">
        <f ca="1">IFERROR(__xludf.DUMMYFUNCTION("""COMPUTED_VALUE"""),"")</f>
        <v/>
      </c>
      <c r="T687" t="str">
        <f ca="1">IFERROR(__xludf.DUMMYFUNCTION("""COMPUTED_VALUE"""),"")</f>
        <v/>
      </c>
      <c r="U687" t="str">
        <f ca="1">IFERROR(__xludf.DUMMYFUNCTION("""COMPUTED_VALUE"""),"")</f>
        <v/>
      </c>
      <c r="V687" t="str">
        <f ca="1">IFERROR(__xludf.DUMMYFUNCTION("""COMPUTED_VALUE"""),"")</f>
        <v/>
      </c>
      <c r="W687" t="str">
        <f ca="1">IFERROR(__xludf.DUMMYFUNCTION("""COMPUTED_VALUE"""),"")</f>
        <v/>
      </c>
      <c r="X687" t="str">
        <f ca="1">IFERROR(__xludf.DUMMYFUNCTION("""COMPUTED_VALUE"""),"")</f>
        <v/>
      </c>
      <c r="Y687" t="str">
        <f ca="1">IFERROR(__xludf.DUMMYFUNCTION("""COMPUTED_VALUE"""),"")</f>
        <v/>
      </c>
      <c r="Z687" t="str">
        <f ca="1">IFERROR(__xludf.DUMMYFUNCTION("""COMPUTED_VALUE"""),"")</f>
        <v/>
      </c>
      <c r="AA687" t="str">
        <f ca="1">IFERROR(__xludf.DUMMYFUNCTION("""COMPUTED_VALUE"""),"Pas de commande")</f>
        <v>Pas de commande</v>
      </c>
      <c r="AB687" s="8" t="str">
        <f ca="1">IFERROR(__xludf.DUMMYFUNCTION("""COMPUTED_VALUE"""),"")</f>
        <v/>
      </c>
      <c r="AC687" s="8" t="str">
        <f ca="1">IFERROR(__xludf.DUMMYFUNCTION("""COMPUTED_VALUE"""),"")</f>
        <v/>
      </c>
      <c r="AD687" s="11" t="str">
        <f ca="1">IFERROR(__xludf.DUMMYFUNCTION("""COMPUTED_VALUE"""),"")</f>
        <v/>
      </c>
      <c r="AE687" t="str">
        <f ca="1">IFERROR(__xludf.DUMMYFUNCTION("""COMPUTED_VALUE"""),"")</f>
        <v/>
      </c>
    </row>
    <row r="688" spans="1:31" ht="12.75" x14ac:dyDescent="0.2">
      <c r="A688">
        <f ca="1">IFERROR(__xludf.DUMMYFUNCTION("""COMPUTED_VALUE"""),90515)</f>
        <v>90515</v>
      </c>
      <c r="B688" t="str">
        <f ca="1">IFERROR(__xludf.DUMMYFUNCTION("""COMPUTED_VALUE"""),"NICE DUNANT")</f>
        <v>NICE DUNANT</v>
      </c>
      <c r="C688" t="str">
        <f ca="1">IFERROR(__xludf.DUMMYFUNCTION("""COMPUTED_VALUE"""),"U Express")</f>
        <v>U Express</v>
      </c>
      <c r="D688" t="str">
        <f ca="1">IFERROR(__xludf.DUMMYFUNCTION("""COMPUTED_VALUE"""),"Coop U Enseigne Sud")</f>
        <v>Coop U Enseigne Sud</v>
      </c>
      <c r="E688">
        <f ca="1">IFERROR(__xludf.DUMMYFUNCTION("""COMPUTED_VALUE"""),6000)</f>
        <v>6000</v>
      </c>
      <c r="F688" t="str">
        <f ca="1">IFERROR(__xludf.DUMMYFUNCTION("""COMPUTED_VALUE"""),"106 AVENUE HENRI DUNANT")</f>
        <v>106 AVENUE HENRI DUNANT</v>
      </c>
      <c r="G688" t="str">
        <f ca="1">IFERROR(__xludf.DUMMYFUNCTION("""COMPUTED_VALUE"""),"04.92.07.04.85")</f>
        <v>04.92.07.04.85</v>
      </c>
      <c r="H688" t="str">
        <f ca="1">IFERROR(__xludf.DUMMYFUNCTION("""COMPUTED_VALUE"""),"CHAMBELLANT Jean Claude")</f>
        <v>CHAMBELLANT Jean Claude</v>
      </c>
      <c r="I688" t="str">
        <f ca="1">IFERROR(__xludf.DUMMYFUNCTION("""COMPUTED_VALUE"""),"jean-claude.chambellant@systeme-u.fr")</f>
        <v>jean-claude.chambellant@systeme-u.fr</v>
      </c>
      <c r="J688" t="str">
        <f ca="1">IFERROR(__xludf.DUMMYFUNCTION("""COMPUTED_VALUE"""),"Alexandre Chambellant")</f>
        <v>Alexandre Chambellant</v>
      </c>
      <c r="K688" t="str">
        <f ca="1">IFERROR(__xludf.DUMMYFUNCTION("""COMPUTED_VALUE"""),"")</f>
        <v/>
      </c>
      <c r="L688" t="str">
        <f ca="1">IFERROR(__xludf.DUMMYFUNCTION("""COMPUTED_VALUE"""),"")</f>
        <v/>
      </c>
      <c r="M688" t="str">
        <f ca="1">IFERROR(__xludf.DUMMYFUNCTION("""COMPUTED_VALUE"""),"99.Hors Périmetre")</f>
        <v>99.Hors Périmetre</v>
      </c>
      <c r="N688" t="str">
        <f ca="1">IFERROR(__xludf.DUMMYFUNCTION("""COMPUTED_VALUE"""),"")</f>
        <v/>
      </c>
      <c r="O688" t="str">
        <f ca="1">IFERROR(__xludf.DUMMYFUNCTION("""COMPUTED_VALUE"""),"")</f>
        <v/>
      </c>
      <c r="P688" t="str">
        <f ca="1">IFERROR(__xludf.DUMMYFUNCTION("""COMPUTED_VALUE"""),"")</f>
        <v/>
      </c>
      <c r="Q688" s="5" t="str">
        <f ca="1">IFERROR(__xludf.DUMMYFUNCTION("""COMPUTED_VALUE"""),"")</f>
        <v/>
      </c>
      <c r="R688" s="6" t="str">
        <f ca="1">IFERROR(__xludf.DUMMYFUNCTION("""COMPUTED_VALUE"""),"")</f>
        <v/>
      </c>
      <c r="S688" t="str">
        <f ca="1">IFERROR(__xludf.DUMMYFUNCTION("""COMPUTED_VALUE"""),"")</f>
        <v/>
      </c>
      <c r="T688" t="str">
        <f ca="1">IFERROR(__xludf.DUMMYFUNCTION("""COMPUTED_VALUE"""),"")</f>
        <v/>
      </c>
      <c r="U688" t="str">
        <f ca="1">IFERROR(__xludf.DUMMYFUNCTION("""COMPUTED_VALUE"""),"")</f>
        <v/>
      </c>
      <c r="V688" t="str">
        <f ca="1">IFERROR(__xludf.DUMMYFUNCTION("""COMPUTED_VALUE"""),"")</f>
        <v/>
      </c>
      <c r="W688" t="str">
        <f ca="1">IFERROR(__xludf.DUMMYFUNCTION("""COMPUTED_VALUE"""),"")</f>
        <v/>
      </c>
      <c r="X688" t="str">
        <f ca="1">IFERROR(__xludf.DUMMYFUNCTION("""COMPUTED_VALUE"""),"")</f>
        <v/>
      </c>
      <c r="Y688" t="str">
        <f ca="1">IFERROR(__xludf.DUMMYFUNCTION("""COMPUTED_VALUE"""),"")</f>
        <v/>
      </c>
      <c r="Z688" t="str">
        <f ca="1">IFERROR(__xludf.DUMMYFUNCTION("""COMPUTED_VALUE"""),"")</f>
        <v/>
      </c>
      <c r="AA688" t="str">
        <f ca="1">IFERROR(__xludf.DUMMYFUNCTION("""COMPUTED_VALUE"""),"Pas de commande")</f>
        <v>Pas de commande</v>
      </c>
      <c r="AB688" s="8" t="str">
        <f ca="1">IFERROR(__xludf.DUMMYFUNCTION("""COMPUTED_VALUE"""),"")</f>
        <v/>
      </c>
      <c r="AC688" s="8" t="str">
        <f ca="1">IFERROR(__xludf.DUMMYFUNCTION("""COMPUTED_VALUE"""),"")</f>
        <v/>
      </c>
      <c r="AD688" s="11" t="str">
        <f ca="1">IFERROR(__xludf.DUMMYFUNCTION("""COMPUTED_VALUE"""),"")</f>
        <v/>
      </c>
      <c r="AE688" t="str">
        <f ca="1">IFERROR(__xludf.DUMMYFUNCTION("""COMPUTED_VALUE"""),"")</f>
        <v/>
      </c>
    </row>
    <row r="689" spans="1:31" ht="12.75" x14ac:dyDescent="0.2">
      <c r="A689">
        <f ca="1">IFERROR(__xludf.DUMMYFUNCTION("""COMPUTED_VALUE"""),90540)</f>
        <v>90540</v>
      </c>
      <c r="B689" t="str">
        <f ca="1">IFERROR(__xludf.DUMMYFUNCTION("""COMPUTED_VALUE"""),"NICE FRANCE")</f>
        <v>NICE FRANCE</v>
      </c>
      <c r="C689" t="str">
        <f ca="1">IFERROR(__xludf.DUMMYFUNCTION("""COMPUTED_VALUE"""),"U Express")</f>
        <v>U Express</v>
      </c>
      <c r="D689" t="str">
        <f ca="1">IFERROR(__xludf.DUMMYFUNCTION("""COMPUTED_VALUE"""),"Coop U Enseigne Sud")</f>
        <v>Coop U Enseigne Sud</v>
      </c>
      <c r="E689">
        <f ca="1">IFERROR(__xludf.DUMMYFUNCTION("""COMPUTED_VALUE"""),6000)</f>
        <v>6000</v>
      </c>
      <c r="F689" t="str">
        <f ca="1">IFERROR(__xludf.DUMMYFUNCTION("""COMPUTED_VALUE"""),"85-87 RUE DE FRANCE")</f>
        <v>85-87 RUE DE FRANCE</v>
      </c>
      <c r="G689" t="str">
        <f ca="1">IFERROR(__xludf.DUMMYFUNCTION("""COMPUTED_VALUE"""),"04.92.00.91.30")</f>
        <v>04.92.00.91.30</v>
      </c>
      <c r="H689" t="str">
        <f ca="1">IFERROR(__xludf.DUMMYFUNCTION("""COMPUTED_VALUE"""),"BOURASSIN BENOIT")</f>
        <v>BOURASSIN BENOIT</v>
      </c>
      <c r="I689" t="str">
        <f ca="1">IFERROR(__xludf.DUMMYFUNCTION("""COMPUTED_VALUE"""),"benoit.bourassin@systeme-u.fr")</f>
        <v>benoit.bourassin@systeme-u.fr</v>
      </c>
      <c r="J689" t="str">
        <f ca="1">IFERROR(__xludf.DUMMYFUNCTION("""COMPUTED_VALUE"""),"M Blachère Arnaud")</f>
        <v>M Blachère Arnaud</v>
      </c>
      <c r="K689" t="str">
        <f ca="1">IFERROR(__xludf.DUMMYFUNCTION("""COMPUTED_VALUE"""),"uexpress.nicefrance@systeme-u.fr")</f>
        <v>uexpress.nicefrance@systeme-u.fr</v>
      </c>
      <c r="L689" t="str">
        <f ca="1">IFERROR(__xludf.DUMMYFUNCTION("""COMPUTED_VALUE"""),"")</f>
        <v/>
      </c>
      <c r="M689" t="str">
        <f ca="1">IFERROR(__xludf.DUMMYFUNCTION("""COMPUTED_VALUE"""),"99.Hors Périmetre")</f>
        <v>99.Hors Périmetre</v>
      </c>
      <c r="N689" t="str">
        <f ca="1">IFERROR(__xludf.DUMMYFUNCTION("""COMPUTED_VALUE"""),"")</f>
        <v/>
      </c>
      <c r="O689" t="str">
        <f ca="1">IFERROR(__xludf.DUMMYFUNCTION("""COMPUTED_VALUE"""),"")</f>
        <v/>
      </c>
      <c r="P689" t="str">
        <f ca="1">IFERROR(__xludf.DUMMYFUNCTION("""COMPUTED_VALUE"""),"")</f>
        <v/>
      </c>
      <c r="Q689" s="5" t="str">
        <f ca="1">IFERROR(__xludf.DUMMYFUNCTION("""COMPUTED_VALUE"""),"")</f>
        <v/>
      </c>
      <c r="R689" s="6" t="str">
        <f ca="1">IFERROR(__xludf.DUMMYFUNCTION("""COMPUTED_VALUE"""),"")</f>
        <v/>
      </c>
      <c r="S689" t="str">
        <f ca="1">IFERROR(__xludf.DUMMYFUNCTION("""COMPUTED_VALUE"""),"")</f>
        <v/>
      </c>
      <c r="T689" t="str">
        <f ca="1">IFERROR(__xludf.DUMMYFUNCTION("""COMPUTED_VALUE"""),"")</f>
        <v/>
      </c>
      <c r="U689" t="str">
        <f ca="1">IFERROR(__xludf.DUMMYFUNCTION("""COMPUTED_VALUE"""),"")</f>
        <v/>
      </c>
      <c r="V689" t="str">
        <f ca="1">IFERROR(__xludf.DUMMYFUNCTION("""COMPUTED_VALUE"""),"")</f>
        <v/>
      </c>
      <c r="W689" t="str">
        <f ca="1">IFERROR(__xludf.DUMMYFUNCTION("""COMPUTED_VALUE"""),"")</f>
        <v/>
      </c>
      <c r="X689" t="str">
        <f ca="1">IFERROR(__xludf.DUMMYFUNCTION("""COMPUTED_VALUE"""),"")</f>
        <v/>
      </c>
      <c r="Y689" t="str">
        <f ca="1">IFERROR(__xludf.DUMMYFUNCTION("""COMPUTED_VALUE"""),"")</f>
        <v/>
      </c>
      <c r="Z689" t="str">
        <f ca="1">IFERROR(__xludf.DUMMYFUNCTION("""COMPUTED_VALUE"""),"")</f>
        <v/>
      </c>
      <c r="AA689" t="str">
        <f ca="1">IFERROR(__xludf.DUMMYFUNCTION("""COMPUTED_VALUE"""),"Pas de commande")</f>
        <v>Pas de commande</v>
      </c>
      <c r="AB689" s="8" t="str">
        <f ca="1">IFERROR(__xludf.DUMMYFUNCTION("""COMPUTED_VALUE"""),"")</f>
        <v/>
      </c>
      <c r="AC689" s="8" t="str">
        <f ca="1">IFERROR(__xludf.DUMMYFUNCTION("""COMPUTED_VALUE"""),"")</f>
        <v/>
      </c>
      <c r="AD689" s="11" t="str">
        <f ca="1">IFERROR(__xludf.DUMMYFUNCTION("""COMPUTED_VALUE"""),"")</f>
        <v/>
      </c>
      <c r="AE689" t="str">
        <f ca="1">IFERROR(__xludf.DUMMYFUNCTION("""COMPUTED_VALUE"""),"")</f>
        <v/>
      </c>
    </row>
    <row r="690" spans="1:31" ht="12.75" x14ac:dyDescent="0.2">
      <c r="A690">
        <f ca="1">IFERROR(__xludf.DUMMYFUNCTION("""COMPUTED_VALUE"""),90438)</f>
        <v>90438</v>
      </c>
      <c r="B690" t="str">
        <f ca="1">IFERROR(__xludf.DUMMYFUNCTION("""COMPUTED_VALUE"""),"NICE MADELEINE")</f>
        <v>NICE MADELEINE</v>
      </c>
      <c r="C690" t="str">
        <f ca="1">IFERROR(__xludf.DUMMYFUNCTION("""COMPUTED_VALUE"""),"Super U")</f>
        <v>Super U</v>
      </c>
      <c r="D690" t="str">
        <f ca="1">IFERROR(__xludf.DUMMYFUNCTION("""COMPUTED_VALUE"""),"Coop U Enseigne Sud")</f>
        <v>Coop U Enseigne Sud</v>
      </c>
      <c r="E690">
        <f ca="1">IFERROR(__xludf.DUMMYFUNCTION("""COMPUTED_VALUE"""),6000)</f>
        <v>6000</v>
      </c>
      <c r="F690" t="str">
        <f ca="1">IFERROR(__xludf.DUMMYFUNCTION("""COMPUTED_VALUE"""),"85 BD DE LA MADELEINE")</f>
        <v>85 BD DE LA MADELEINE</v>
      </c>
      <c r="G690" t="str">
        <f ca="1">IFERROR(__xludf.DUMMYFUNCTION("""COMPUTED_VALUE"""),"04.92.15.90.00")</f>
        <v>04.92.15.90.00</v>
      </c>
      <c r="H690" t="str">
        <f ca="1">IFERROR(__xludf.DUMMYFUNCTION("""COMPUTED_VALUE"""),"GANAYE Jean-Michel")</f>
        <v>GANAYE Jean-Michel</v>
      </c>
      <c r="I690" t="str">
        <f ca="1">IFERROR(__xludf.DUMMYFUNCTION("""COMPUTED_VALUE"""),"jean-michel.ganaye@systeme-u.fr")</f>
        <v>jean-michel.ganaye@systeme-u.fr</v>
      </c>
      <c r="J690" t="str">
        <f ca="1">IFERROR(__xludf.DUMMYFUNCTION("""COMPUTED_VALUE"""),"GANAYE GREGORY")</f>
        <v>GANAYE GREGORY</v>
      </c>
      <c r="K690" t="str">
        <f ca="1">IFERROR(__xludf.DUMMYFUNCTION("""COMPUTED_VALUE"""),"gregory.ganaye@systeme-u.fr")</f>
        <v>gregory.ganaye@systeme-u.fr</v>
      </c>
      <c r="L690" t="str">
        <f ca="1">IFERROR(__xludf.DUMMYFUNCTION("""COMPUTED_VALUE"""),"")</f>
        <v/>
      </c>
      <c r="M690" t="str">
        <f ca="1">IFERROR(__xludf.DUMMYFUNCTION("""COMPUTED_VALUE"""),"99.Hors Périmetre")</f>
        <v>99.Hors Périmetre</v>
      </c>
      <c r="N690" t="str">
        <f ca="1">IFERROR(__xludf.DUMMYFUNCTION("""COMPUTED_VALUE"""),"")</f>
        <v/>
      </c>
      <c r="O690" t="str">
        <f ca="1">IFERROR(__xludf.DUMMYFUNCTION("""COMPUTED_VALUE"""),"")</f>
        <v/>
      </c>
      <c r="P690" t="str">
        <f ca="1">IFERROR(__xludf.DUMMYFUNCTION("""COMPUTED_VALUE"""),"")</f>
        <v/>
      </c>
      <c r="Q690" s="5" t="str">
        <f ca="1">IFERROR(__xludf.DUMMYFUNCTION("""COMPUTED_VALUE"""),"")</f>
        <v/>
      </c>
      <c r="R690" s="6" t="str">
        <f ca="1">IFERROR(__xludf.DUMMYFUNCTION("""COMPUTED_VALUE"""),"")</f>
        <v/>
      </c>
      <c r="S690" t="str">
        <f ca="1">IFERROR(__xludf.DUMMYFUNCTION("""COMPUTED_VALUE"""),"")</f>
        <v/>
      </c>
      <c r="T690" t="str">
        <f ca="1">IFERROR(__xludf.DUMMYFUNCTION("""COMPUTED_VALUE"""),"")</f>
        <v/>
      </c>
      <c r="U690" t="str">
        <f ca="1">IFERROR(__xludf.DUMMYFUNCTION("""COMPUTED_VALUE"""),"")</f>
        <v/>
      </c>
      <c r="V690" t="str">
        <f ca="1">IFERROR(__xludf.DUMMYFUNCTION("""COMPUTED_VALUE"""),"")</f>
        <v/>
      </c>
      <c r="W690" t="str">
        <f ca="1">IFERROR(__xludf.DUMMYFUNCTION("""COMPUTED_VALUE"""),"")</f>
        <v/>
      </c>
      <c r="X690" t="str">
        <f ca="1">IFERROR(__xludf.DUMMYFUNCTION("""COMPUTED_VALUE"""),"")</f>
        <v/>
      </c>
      <c r="Y690" t="str">
        <f ca="1">IFERROR(__xludf.DUMMYFUNCTION("""COMPUTED_VALUE"""),"")</f>
        <v/>
      </c>
      <c r="Z690" t="str">
        <f ca="1">IFERROR(__xludf.DUMMYFUNCTION("""COMPUTED_VALUE"""),"")</f>
        <v/>
      </c>
      <c r="AA690" t="str">
        <f ca="1">IFERROR(__xludf.DUMMYFUNCTION("""COMPUTED_VALUE"""),"Pas de commande")</f>
        <v>Pas de commande</v>
      </c>
      <c r="AB690" s="8" t="str">
        <f ca="1">IFERROR(__xludf.DUMMYFUNCTION("""COMPUTED_VALUE"""),"")</f>
        <v/>
      </c>
      <c r="AC690" s="8" t="str">
        <f ca="1">IFERROR(__xludf.DUMMYFUNCTION("""COMPUTED_VALUE"""),"")</f>
        <v/>
      </c>
      <c r="AD690" s="11" t="str">
        <f ca="1">IFERROR(__xludf.DUMMYFUNCTION("""COMPUTED_VALUE"""),"")</f>
        <v/>
      </c>
      <c r="AE690" t="str">
        <f ca="1">IFERROR(__xludf.DUMMYFUNCTION("""COMPUTED_VALUE"""),"")</f>
        <v/>
      </c>
    </row>
    <row r="691" spans="1:31" ht="12.75" x14ac:dyDescent="0.2">
      <c r="A691">
        <f ca="1">IFERROR(__xludf.DUMMYFUNCTION("""COMPUTED_VALUE"""),90490)</f>
        <v>90490</v>
      </c>
      <c r="B691" t="str">
        <f ca="1">IFERROR(__xludf.DUMMYFUNCTION("""COMPUTED_VALUE"""),"NICE MARGUERITE")</f>
        <v>NICE MARGUERITE</v>
      </c>
      <c r="C691" t="str">
        <f ca="1">IFERROR(__xludf.DUMMYFUNCTION("""COMPUTED_VALUE"""),"U Express")</f>
        <v>U Express</v>
      </c>
      <c r="D691" t="str">
        <f ca="1">IFERROR(__xludf.DUMMYFUNCTION("""COMPUTED_VALUE"""),"Coop U Enseigne Sud")</f>
        <v>Coop U Enseigne Sud</v>
      </c>
      <c r="E691">
        <f ca="1">IFERROR(__xludf.DUMMYFUNCTION("""COMPUTED_VALUE"""),6200)</f>
        <v>6200</v>
      </c>
      <c r="F691" t="str">
        <f ca="1">IFERROR(__xludf.DUMMYFUNCTION("""COMPUTED_VALUE"""),"57 AVENUE STE MARGUERITE")</f>
        <v>57 AVENUE STE MARGUERITE</v>
      </c>
      <c r="G691" t="str">
        <f ca="1">IFERROR(__xludf.DUMMYFUNCTION("""COMPUTED_VALUE"""),"04.93.83.09.97")</f>
        <v>04.93.83.09.97</v>
      </c>
      <c r="H691" t="str">
        <f ca="1">IFERROR(__xludf.DUMMYFUNCTION("""COMPUTED_VALUE"""),"BOURASSIN Benoit")</f>
        <v>BOURASSIN Benoit</v>
      </c>
      <c r="I691" t="str">
        <f ca="1">IFERROR(__xludf.DUMMYFUNCTION("""COMPUTED_VALUE"""),"benoit.bourassin@systeme-u.fr")</f>
        <v>benoit.bourassin@systeme-u.fr</v>
      </c>
      <c r="J691" t="str">
        <f ca="1">IFERROR(__xludf.DUMMYFUNCTION("""COMPUTED_VALUE"""),"M Thomas Boquet")</f>
        <v>M Thomas Boquet</v>
      </c>
      <c r="K691" t="str">
        <f ca="1">IFERROR(__xludf.DUMMYFUNCTION("""COMPUTED_VALUE"""),"uexpress.nice.directeur@systeme-u.fr")</f>
        <v>uexpress.nice.directeur@systeme-u.fr</v>
      </c>
      <c r="L691" t="str">
        <f ca="1">IFERROR(__xludf.DUMMYFUNCTION("""COMPUTED_VALUE"""),"")</f>
        <v/>
      </c>
      <c r="M691" t="str">
        <f ca="1">IFERROR(__xludf.DUMMYFUNCTION("""COMPUTED_VALUE"""),"99.Hors Périmetre")</f>
        <v>99.Hors Périmetre</v>
      </c>
      <c r="N691" t="str">
        <f ca="1">IFERROR(__xludf.DUMMYFUNCTION("""COMPUTED_VALUE"""),"")</f>
        <v/>
      </c>
      <c r="O691" t="str">
        <f ca="1">IFERROR(__xludf.DUMMYFUNCTION("""COMPUTED_VALUE"""),"")</f>
        <v/>
      </c>
      <c r="P691" t="str">
        <f ca="1">IFERROR(__xludf.DUMMYFUNCTION("""COMPUTED_VALUE"""),"")</f>
        <v/>
      </c>
      <c r="Q691" s="5" t="str">
        <f ca="1">IFERROR(__xludf.DUMMYFUNCTION("""COMPUTED_VALUE"""),"")</f>
        <v/>
      </c>
      <c r="R691" s="6" t="str">
        <f ca="1">IFERROR(__xludf.DUMMYFUNCTION("""COMPUTED_VALUE"""),"")</f>
        <v/>
      </c>
      <c r="S691" t="str">
        <f ca="1">IFERROR(__xludf.DUMMYFUNCTION("""COMPUTED_VALUE"""),"")</f>
        <v/>
      </c>
      <c r="T691" t="str">
        <f ca="1">IFERROR(__xludf.DUMMYFUNCTION("""COMPUTED_VALUE"""),"")</f>
        <v/>
      </c>
      <c r="U691" t="str">
        <f ca="1">IFERROR(__xludf.DUMMYFUNCTION("""COMPUTED_VALUE"""),"")</f>
        <v/>
      </c>
      <c r="V691" t="str">
        <f ca="1">IFERROR(__xludf.DUMMYFUNCTION("""COMPUTED_VALUE"""),"")</f>
        <v/>
      </c>
      <c r="W691" t="str">
        <f ca="1">IFERROR(__xludf.DUMMYFUNCTION("""COMPUTED_VALUE"""),"")</f>
        <v/>
      </c>
      <c r="X691" t="str">
        <f ca="1">IFERROR(__xludf.DUMMYFUNCTION("""COMPUTED_VALUE"""),"")</f>
        <v/>
      </c>
      <c r="Y691" t="str">
        <f ca="1">IFERROR(__xludf.DUMMYFUNCTION("""COMPUTED_VALUE"""),"")</f>
        <v/>
      </c>
      <c r="Z691" t="str">
        <f ca="1">IFERROR(__xludf.DUMMYFUNCTION("""COMPUTED_VALUE"""),"")</f>
        <v/>
      </c>
      <c r="AA691" t="str">
        <f ca="1">IFERROR(__xludf.DUMMYFUNCTION("""COMPUTED_VALUE"""),"Pas de commande")</f>
        <v>Pas de commande</v>
      </c>
      <c r="AB691" s="8" t="str">
        <f ca="1">IFERROR(__xludf.DUMMYFUNCTION("""COMPUTED_VALUE"""),"")</f>
        <v/>
      </c>
      <c r="AC691" s="8" t="str">
        <f ca="1">IFERROR(__xludf.DUMMYFUNCTION("""COMPUTED_VALUE"""),"")</f>
        <v/>
      </c>
      <c r="AD691" s="11" t="str">
        <f ca="1">IFERROR(__xludf.DUMMYFUNCTION("""COMPUTED_VALUE"""),"")</f>
        <v/>
      </c>
      <c r="AE691" t="str">
        <f ca="1">IFERROR(__xludf.DUMMYFUNCTION("""COMPUTED_VALUE"""),"")</f>
        <v/>
      </c>
    </row>
    <row r="692" spans="1:31" ht="12.75" x14ac:dyDescent="0.2">
      <c r="A692">
        <f ca="1">IFERROR(__xludf.DUMMYFUNCTION("""COMPUTED_VALUE"""),25983)</f>
        <v>25983</v>
      </c>
      <c r="B692" t="str">
        <f ca="1">IFERROR(__xludf.DUMMYFUNCTION("""COMPUTED_VALUE"""),"NIEPPE")</f>
        <v>NIEPPE</v>
      </c>
      <c r="C692" t="str">
        <f ca="1">IFERROR(__xludf.DUMMYFUNCTION("""COMPUTED_VALUE"""),"Hyper U")</f>
        <v>Hyper U</v>
      </c>
      <c r="D692" t="str">
        <f ca="1">IFERROR(__xludf.DUMMYFUNCTION("""COMPUTED_VALUE"""),"Coop U Enseigne NordOuest")</f>
        <v>Coop U Enseigne NordOuest</v>
      </c>
      <c r="E692">
        <f ca="1">IFERROR(__xludf.DUMMYFUNCTION("""COMPUTED_VALUE"""),59850)</f>
        <v>59850</v>
      </c>
      <c r="F692" t="str">
        <f ca="1">IFERROR(__xludf.DUMMYFUNCTION("""COMPUTED_VALUE"""),"DREVE DU BAILLY")</f>
        <v>DREVE DU BAILLY</v>
      </c>
      <c r="G692" t="str">
        <f ca="1">IFERROR(__xludf.DUMMYFUNCTION("""COMPUTED_VALUE"""),"03.20.48.53.15")</f>
        <v>03.20.48.53.15</v>
      </c>
      <c r="H692" t="str">
        <f ca="1">IFERROR(__xludf.DUMMYFUNCTION("""COMPUTED_VALUE"""),"WILLEPOTTE Marius-Christophe")</f>
        <v>WILLEPOTTE Marius-Christophe</v>
      </c>
      <c r="I692" t="str">
        <f ca="1">IFERROR(__xludf.DUMMYFUNCTION("""COMPUTED_VALUE"""),"marius.willepotte@systeme-u.fr")</f>
        <v>marius.willepotte@systeme-u.fr</v>
      </c>
      <c r="J692" t="str">
        <f ca="1">IFERROR(__xludf.DUMMYFUNCTION("""COMPUTED_VALUE"""),"DEKEISTER Damien
Mme WILLEPOTTE")</f>
        <v>DEKEISTER Damien
Mme WILLEPOTTE</v>
      </c>
      <c r="K692" t="str">
        <f ca="1">IFERROR(__xludf.DUMMYFUNCTION("""COMPUTED_VALUE"""),"hyperu.nieppe.direction@systeme-u.fr ,c.willepotte@gmail.com")</f>
        <v>hyperu.nieppe.direction@systeme-u.fr ,c.willepotte@gmail.com</v>
      </c>
      <c r="L692" t="str">
        <f ca="1">IFERROR(__xludf.DUMMYFUNCTION("""COMPUTED_VALUE"""),"")</f>
        <v/>
      </c>
      <c r="M692" t="str">
        <f ca="1">IFERROR(__xludf.DUMMYFUNCTION("""COMPUTED_VALUE"""),"99.Hors Périmetre")</f>
        <v>99.Hors Périmetre</v>
      </c>
      <c r="N692" t="str">
        <f ca="1">IFERROR(__xludf.DUMMYFUNCTION("""COMPUTED_VALUE"""),"")</f>
        <v/>
      </c>
      <c r="O692" t="str">
        <f ca="1">IFERROR(__xludf.DUMMYFUNCTION("""COMPUTED_VALUE"""),"")</f>
        <v/>
      </c>
      <c r="P692" t="str">
        <f ca="1">IFERROR(__xludf.DUMMYFUNCTION("""COMPUTED_VALUE"""),"")</f>
        <v/>
      </c>
      <c r="Q692" s="5" t="str">
        <f ca="1">IFERROR(__xludf.DUMMYFUNCTION("""COMPUTED_VALUE"""),"")</f>
        <v/>
      </c>
      <c r="R692" s="6" t="str">
        <f ca="1">IFERROR(__xludf.DUMMYFUNCTION("""COMPUTED_VALUE"""),"")</f>
        <v/>
      </c>
      <c r="S692" t="str">
        <f ca="1">IFERROR(__xludf.DUMMYFUNCTION("""COMPUTED_VALUE"""),"")</f>
        <v/>
      </c>
      <c r="T692" t="str">
        <f ca="1">IFERROR(__xludf.DUMMYFUNCTION("""COMPUTED_VALUE"""),"")</f>
        <v/>
      </c>
      <c r="U692" t="str">
        <f ca="1">IFERROR(__xludf.DUMMYFUNCTION("""COMPUTED_VALUE"""),"")</f>
        <v/>
      </c>
      <c r="V692" t="str">
        <f ca="1">IFERROR(__xludf.DUMMYFUNCTION("""COMPUTED_VALUE"""),"")</f>
        <v/>
      </c>
      <c r="W692" t="str">
        <f ca="1">IFERROR(__xludf.DUMMYFUNCTION("""COMPUTED_VALUE"""),"")</f>
        <v/>
      </c>
      <c r="X692" t="str">
        <f ca="1">IFERROR(__xludf.DUMMYFUNCTION("""COMPUTED_VALUE"""),"")</f>
        <v/>
      </c>
      <c r="Y692" t="str">
        <f ca="1">IFERROR(__xludf.DUMMYFUNCTION("""COMPUTED_VALUE"""),"")</f>
        <v/>
      </c>
      <c r="Z692" t="str">
        <f ca="1">IFERROR(__xludf.DUMMYFUNCTION("""COMPUTED_VALUE"""),"")</f>
        <v/>
      </c>
      <c r="AA692" t="str">
        <f ca="1">IFERROR(__xludf.DUMMYFUNCTION("""COMPUTED_VALUE"""),"Pas de commande")</f>
        <v>Pas de commande</v>
      </c>
      <c r="AB692" s="8" t="str">
        <f ca="1">IFERROR(__xludf.DUMMYFUNCTION("""COMPUTED_VALUE"""),"")</f>
        <v/>
      </c>
      <c r="AC692" s="8" t="str">
        <f ca="1">IFERROR(__xludf.DUMMYFUNCTION("""COMPUTED_VALUE"""),"")</f>
        <v/>
      </c>
      <c r="AD692" s="11" t="str">
        <f ca="1">IFERROR(__xludf.DUMMYFUNCTION("""COMPUTED_VALUE"""),"")</f>
        <v/>
      </c>
      <c r="AE692" t="str">
        <f ca="1">IFERROR(__xludf.DUMMYFUNCTION("""COMPUTED_VALUE"""),"")</f>
        <v/>
      </c>
    </row>
    <row r="693" spans="1:31" ht="12.75" x14ac:dyDescent="0.2">
      <c r="A693">
        <f ca="1">IFERROR(__xludf.DUMMYFUNCTION("""COMPUTED_VALUE"""),36674)</f>
        <v>36674</v>
      </c>
      <c r="B693" t="str">
        <f ca="1">IFERROR(__xludf.DUMMYFUNCTION("""COMPUTED_VALUE"""),"NIEUL")</f>
        <v>NIEUL</v>
      </c>
      <c r="C693" t="str">
        <f ca="1">IFERROR(__xludf.DUMMYFUNCTION("""COMPUTED_VALUE"""),"U Express")</f>
        <v>U Express</v>
      </c>
      <c r="D693" t="str">
        <f ca="1">IFERROR(__xludf.DUMMYFUNCTION("""COMPUTED_VALUE"""),"Coop U Enseigne Ouest")</f>
        <v>Coop U Enseigne Ouest</v>
      </c>
      <c r="E693">
        <f ca="1">IFERROR(__xludf.DUMMYFUNCTION("""COMPUTED_VALUE"""),87510)</f>
        <v>87510</v>
      </c>
      <c r="F693" t="str">
        <f ca="1">IFERROR(__xludf.DUMMYFUNCTION("""COMPUTED_VALUE"""),"LES RIVES")</f>
        <v>LES RIVES</v>
      </c>
      <c r="G693" t="str">
        <f ca="1">IFERROR(__xludf.DUMMYFUNCTION("""COMPUTED_VALUE"""),"05.55.08.00.20")</f>
        <v>05.55.08.00.20</v>
      </c>
      <c r="H693" t="str">
        <f ca="1">IFERROR(__xludf.DUMMYFUNCTION("""COMPUTED_VALUE"""),"PERRIN Nicolas")</f>
        <v>PERRIN Nicolas</v>
      </c>
      <c r="I693" t="str">
        <f ca="1">IFERROR(__xludf.DUMMYFUNCTION("""COMPUTED_VALUE"""),"nicolas.perrin@systeme-u.fr")</f>
        <v>nicolas.perrin@systeme-u.fr</v>
      </c>
      <c r="J693" t="str">
        <f ca="1">IFERROR(__xludf.DUMMYFUNCTION("""COMPUTED_VALUE"""),"Aurélien MONNIER")</f>
        <v>Aurélien MONNIER</v>
      </c>
      <c r="K693" t="str">
        <f ca="1">IFERROR(__xludf.DUMMYFUNCTION("""COMPUTED_VALUE"""),"aurelien.monnier@systeme-u.fr")</f>
        <v>aurelien.monnier@systeme-u.fr</v>
      </c>
      <c r="L693" t="str">
        <f ca="1">IFERROR(__xludf.DUMMYFUNCTION("""COMPUTED_VALUE"""),"")</f>
        <v/>
      </c>
      <c r="M693" t="str">
        <f ca="1">IFERROR(__xludf.DUMMYFUNCTION("""COMPUTED_VALUE"""),"99.Hors Périmetre")</f>
        <v>99.Hors Périmetre</v>
      </c>
      <c r="N693" t="str">
        <f ca="1">IFERROR(__xludf.DUMMYFUNCTION("""COMPUTED_VALUE"""),"")</f>
        <v/>
      </c>
      <c r="O693" t="str">
        <f ca="1">IFERROR(__xludf.DUMMYFUNCTION("""COMPUTED_VALUE"""),"")</f>
        <v/>
      </c>
      <c r="P693" t="str">
        <f ca="1">IFERROR(__xludf.DUMMYFUNCTION("""COMPUTED_VALUE"""),"")</f>
        <v/>
      </c>
      <c r="Q693" s="5" t="str">
        <f ca="1">IFERROR(__xludf.DUMMYFUNCTION("""COMPUTED_VALUE"""),"")</f>
        <v/>
      </c>
      <c r="R693" s="6" t="str">
        <f ca="1">IFERROR(__xludf.DUMMYFUNCTION("""COMPUTED_VALUE"""),"")</f>
        <v/>
      </c>
      <c r="S693" t="str">
        <f ca="1">IFERROR(__xludf.DUMMYFUNCTION("""COMPUTED_VALUE"""),"")</f>
        <v/>
      </c>
      <c r="T693" t="str">
        <f ca="1">IFERROR(__xludf.DUMMYFUNCTION("""COMPUTED_VALUE"""),"")</f>
        <v/>
      </c>
      <c r="U693" t="str">
        <f ca="1">IFERROR(__xludf.DUMMYFUNCTION("""COMPUTED_VALUE"""),"")</f>
        <v/>
      </c>
      <c r="V693" t="str">
        <f ca="1">IFERROR(__xludf.DUMMYFUNCTION("""COMPUTED_VALUE"""),"")</f>
        <v/>
      </c>
      <c r="W693" t="str">
        <f ca="1">IFERROR(__xludf.DUMMYFUNCTION("""COMPUTED_VALUE"""),"")</f>
        <v/>
      </c>
      <c r="X693" t="str">
        <f ca="1">IFERROR(__xludf.DUMMYFUNCTION("""COMPUTED_VALUE"""),"")</f>
        <v/>
      </c>
      <c r="Y693" t="str">
        <f ca="1">IFERROR(__xludf.DUMMYFUNCTION("""COMPUTED_VALUE"""),"")</f>
        <v/>
      </c>
      <c r="Z693" t="str">
        <f ca="1">IFERROR(__xludf.DUMMYFUNCTION("""COMPUTED_VALUE"""),"")</f>
        <v/>
      </c>
      <c r="AA693" t="str">
        <f ca="1">IFERROR(__xludf.DUMMYFUNCTION("""COMPUTED_VALUE"""),"Pas de commande")</f>
        <v>Pas de commande</v>
      </c>
      <c r="AB693" s="8" t="str">
        <f ca="1">IFERROR(__xludf.DUMMYFUNCTION("""COMPUTED_VALUE"""),"")</f>
        <v/>
      </c>
      <c r="AC693" s="8" t="str">
        <f ca="1">IFERROR(__xludf.DUMMYFUNCTION("""COMPUTED_VALUE"""),"")</f>
        <v/>
      </c>
      <c r="AD693" s="11" t="str">
        <f ca="1">IFERROR(__xludf.DUMMYFUNCTION("""COMPUTED_VALUE"""),"")</f>
        <v/>
      </c>
      <c r="AE693" t="str">
        <f ca="1">IFERROR(__xludf.DUMMYFUNCTION("""COMPUTED_VALUE"""),"")</f>
        <v/>
      </c>
    </row>
    <row r="694" spans="1:31" ht="12.75" x14ac:dyDescent="0.2">
      <c r="A694">
        <f ca="1">IFERROR(__xludf.DUMMYFUNCTION("""COMPUTED_VALUE"""),36041)</f>
        <v>36041</v>
      </c>
      <c r="B694" t="str">
        <f ca="1">IFERROR(__xludf.DUMMYFUNCTION("""COMPUTED_VALUE"""),"NIEUL-LE DOLENT")</f>
        <v>NIEUL-LE DOLENT</v>
      </c>
      <c r="C694" t="str">
        <f ca="1">IFERROR(__xludf.DUMMYFUNCTION("""COMPUTED_VALUE"""),"U Express")</f>
        <v>U Express</v>
      </c>
      <c r="D694" t="str">
        <f ca="1">IFERROR(__xludf.DUMMYFUNCTION("""COMPUTED_VALUE"""),"Coop U Enseigne Ouest")</f>
        <v>Coop U Enseigne Ouest</v>
      </c>
      <c r="E694">
        <f ca="1">IFERROR(__xludf.DUMMYFUNCTION("""COMPUTED_VALUE"""),85430)</f>
        <v>85430</v>
      </c>
      <c r="F694" t="str">
        <f ca="1">IFERROR(__xludf.DUMMYFUNCTION("""COMPUTED_VALUE"""),"BELLEVUE")</f>
        <v>BELLEVUE</v>
      </c>
      <c r="G694" t="str">
        <f ca="1">IFERROR(__xludf.DUMMYFUNCTION("""COMPUTED_VALUE"""),"02.51.07.96.81")</f>
        <v>02.51.07.96.81</v>
      </c>
      <c r="H694" t="str">
        <f ca="1">IFERROR(__xludf.DUMMYFUNCTION("""COMPUTED_VALUE"""),"MARISSAL Willy")</f>
        <v>MARISSAL Willy</v>
      </c>
      <c r="I694" t="str">
        <f ca="1">IFERROR(__xludf.DUMMYFUNCTION("""COMPUTED_VALUE"""),"willy.marissal@systeme-u.fr")</f>
        <v>willy.marissal@systeme-u.fr</v>
      </c>
      <c r="J694" t="str">
        <f ca="1">IFERROR(__xludf.DUMMYFUNCTION("""COMPUTED_VALUE"""),"Richard Catherine")</f>
        <v>Richard Catherine</v>
      </c>
      <c r="K694" t="str">
        <f ca="1">IFERROR(__xludf.DUMMYFUNCTION("""COMPUTED_VALUE"""),"uexpress.nieulledolent.compta@systeme-u.fr")</f>
        <v>uexpress.nieulledolent.compta@systeme-u.fr</v>
      </c>
      <c r="L694" t="str">
        <f ca="1">IFERROR(__xludf.DUMMYFUNCTION("""COMPUTED_VALUE"""),"")</f>
        <v/>
      </c>
      <c r="M694" t="str">
        <f ca="1">IFERROR(__xludf.DUMMYFUNCTION("""COMPUTED_VALUE"""),"99.Hors Périmetre")</f>
        <v>99.Hors Périmetre</v>
      </c>
      <c r="N694" t="str">
        <f ca="1">IFERROR(__xludf.DUMMYFUNCTION("""COMPUTED_VALUE"""),"")</f>
        <v/>
      </c>
      <c r="O694" t="str">
        <f ca="1">IFERROR(__xludf.DUMMYFUNCTION("""COMPUTED_VALUE"""),"")</f>
        <v/>
      </c>
      <c r="P694" t="str">
        <f ca="1">IFERROR(__xludf.DUMMYFUNCTION("""COMPUTED_VALUE"""),"")</f>
        <v/>
      </c>
      <c r="Q694" s="5" t="str">
        <f ca="1">IFERROR(__xludf.DUMMYFUNCTION("""COMPUTED_VALUE"""),"")</f>
        <v/>
      </c>
      <c r="R694" s="6" t="str">
        <f ca="1">IFERROR(__xludf.DUMMYFUNCTION("""COMPUTED_VALUE"""),"")</f>
        <v/>
      </c>
      <c r="S694" t="str">
        <f ca="1">IFERROR(__xludf.DUMMYFUNCTION("""COMPUTED_VALUE"""),"")</f>
        <v/>
      </c>
      <c r="T694" t="str">
        <f ca="1">IFERROR(__xludf.DUMMYFUNCTION("""COMPUTED_VALUE"""),"")</f>
        <v/>
      </c>
      <c r="U694" t="str">
        <f ca="1">IFERROR(__xludf.DUMMYFUNCTION("""COMPUTED_VALUE"""),"")</f>
        <v/>
      </c>
      <c r="V694" t="str">
        <f ca="1">IFERROR(__xludf.DUMMYFUNCTION("""COMPUTED_VALUE"""),"")</f>
        <v/>
      </c>
      <c r="W694" t="str">
        <f ca="1">IFERROR(__xludf.DUMMYFUNCTION("""COMPUTED_VALUE"""),"")</f>
        <v/>
      </c>
      <c r="X694" t="str">
        <f ca="1">IFERROR(__xludf.DUMMYFUNCTION("""COMPUTED_VALUE"""),"")</f>
        <v/>
      </c>
      <c r="Y694" t="str">
        <f ca="1">IFERROR(__xludf.DUMMYFUNCTION("""COMPUTED_VALUE"""),"")</f>
        <v/>
      </c>
      <c r="Z694" t="str">
        <f ca="1">IFERROR(__xludf.DUMMYFUNCTION("""COMPUTED_VALUE"""),"")</f>
        <v/>
      </c>
      <c r="AA694" t="str">
        <f ca="1">IFERROR(__xludf.DUMMYFUNCTION("""COMPUTED_VALUE"""),"Pas de commande")</f>
        <v>Pas de commande</v>
      </c>
      <c r="AB694" s="8" t="str">
        <f ca="1">IFERROR(__xludf.DUMMYFUNCTION("""COMPUTED_VALUE"""),"")</f>
        <v/>
      </c>
      <c r="AC694" s="8" t="str">
        <f ca="1">IFERROR(__xludf.DUMMYFUNCTION("""COMPUTED_VALUE"""),"")</f>
        <v/>
      </c>
      <c r="AD694" s="11" t="str">
        <f ca="1">IFERROR(__xludf.DUMMYFUNCTION("""COMPUTED_VALUE"""),"")</f>
        <v/>
      </c>
      <c r="AE694" t="str">
        <f ca="1">IFERROR(__xludf.DUMMYFUNCTION("""COMPUTED_VALUE"""),"")</f>
        <v/>
      </c>
    </row>
    <row r="695" spans="1:31" ht="12.75" x14ac:dyDescent="0.2">
      <c r="A695">
        <f ca="1">IFERROR(__xludf.DUMMYFUNCTION("""COMPUTED_VALUE"""),38181)</f>
        <v>38181</v>
      </c>
      <c r="B695" t="str">
        <f ca="1">IFERROR(__xludf.DUMMYFUNCTION("""COMPUTED_VALUE"""),"NIEUL-SUR-MER")</f>
        <v>NIEUL-SUR-MER</v>
      </c>
      <c r="C695" t="str">
        <f ca="1">IFERROR(__xludf.DUMMYFUNCTION("""COMPUTED_VALUE"""),"Super U")</f>
        <v>Super U</v>
      </c>
      <c r="D695" t="str">
        <f ca="1">IFERROR(__xludf.DUMMYFUNCTION("""COMPUTED_VALUE"""),"Coop U Enseigne Ouest")</f>
        <v>Coop U Enseigne Ouest</v>
      </c>
      <c r="E695">
        <f ca="1">IFERROR(__xludf.DUMMYFUNCTION("""COMPUTED_VALUE"""),17137)</f>
        <v>17137</v>
      </c>
      <c r="F695" t="str">
        <f ca="1">IFERROR(__xludf.DUMMYFUNCTION("""COMPUTED_VALUE"""),"LE FIEF ARNAUD")</f>
        <v>LE FIEF ARNAUD</v>
      </c>
      <c r="G695" t="str">
        <f ca="1">IFERROR(__xludf.DUMMYFUNCTION("""COMPUTED_VALUE"""),"05.46.37.81.12")</f>
        <v>05.46.37.81.12</v>
      </c>
      <c r="H695" t="str">
        <f ca="1">IFERROR(__xludf.DUMMYFUNCTION("""COMPUTED_VALUE"""),"GARREAU Patricia")</f>
        <v>GARREAU Patricia</v>
      </c>
      <c r="I695" t="str">
        <f ca="1">IFERROR(__xludf.DUMMYFUNCTION("""COMPUTED_VALUE"""),"patricia.garreau@systeme-u.fr")</f>
        <v>patricia.garreau@systeme-u.fr</v>
      </c>
      <c r="J695" t="str">
        <f ca="1">IFERROR(__xludf.DUMMYFUNCTION("""COMPUTED_VALUE"""),"GIGON SEVERINE
Emmanuelle (UPLV)")</f>
        <v>GIGON SEVERINE
Emmanuelle (UPLV)</v>
      </c>
      <c r="K695" t="str">
        <f ca="1">IFERROR(__xludf.DUMMYFUNCTION("""COMPUTED_VALUE"""),"superu.nieulsurmer.accueil@systeme-u.fr")</f>
        <v>superu.nieulsurmer.accueil@systeme-u.fr</v>
      </c>
      <c r="L695" t="str">
        <f ca="1">IFERROR(__xludf.DUMMYFUNCTION("""COMPUTED_VALUE"""),"")</f>
        <v/>
      </c>
      <c r="M695" t="str">
        <f ca="1">IFERROR(__xludf.DUMMYFUNCTION("""COMPUTED_VALUE"""),"99.Hors Périmetre")</f>
        <v>99.Hors Périmetre</v>
      </c>
      <c r="N695" t="str">
        <f ca="1">IFERROR(__xludf.DUMMYFUNCTION("""COMPUTED_VALUE"""),"")</f>
        <v/>
      </c>
      <c r="O695" t="str">
        <f ca="1">IFERROR(__xludf.DUMMYFUNCTION("""COMPUTED_VALUE"""),"")</f>
        <v/>
      </c>
      <c r="P695" t="str">
        <f ca="1">IFERROR(__xludf.DUMMYFUNCTION("""COMPUTED_VALUE"""),"")</f>
        <v/>
      </c>
      <c r="Q695" s="5" t="str">
        <f ca="1">IFERROR(__xludf.DUMMYFUNCTION("""COMPUTED_VALUE"""),"")</f>
        <v/>
      </c>
      <c r="R695" s="6" t="str">
        <f ca="1">IFERROR(__xludf.DUMMYFUNCTION("""COMPUTED_VALUE"""),"")</f>
        <v/>
      </c>
      <c r="S695" t="str">
        <f ca="1">IFERROR(__xludf.DUMMYFUNCTION("""COMPUTED_VALUE"""),"")</f>
        <v/>
      </c>
      <c r="T695" t="str">
        <f ca="1">IFERROR(__xludf.DUMMYFUNCTION("""COMPUTED_VALUE"""),"")</f>
        <v/>
      </c>
      <c r="U695" t="str">
        <f ca="1">IFERROR(__xludf.DUMMYFUNCTION("""COMPUTED_VALUE"""),"")</f>
        <v/>
      </c>
      <c r="V695" t="str">
        <f ca="1">IFERROR(__xludf.DUMMYFUNCTION("""COMPUTED_VALUE"""),"")</f>
        <v/>
      </c>
      <c r="W695" t="str">
        <f ca="1">IFERROR(__xludf.DUMMYFUNCTION("""COMPUTED_VALUE"""),"")</f>
        <v/>
      </c>
      <c r="X695" t="str">
        <f ca="1">IFERROR(__xludf.DUMMYFUNCTION("""COMPUTED_VALUE"""),"")</f>
        <v/>
      </c>
      <c r="Y695" t="str">
        <f ca="1">IFERROR(__xludf.DUMMYFUNCTION("""COMPUTED_VALUE"""),"")</f>
        <v/>
      </c>
      <c r="Z695" t="str">
        <f ca="1">IFERROR(__xludf.DUMMYFUNCTION("""COMPUTED_VALUE"""),"")</f>
        <v/>
      </c>
      <c r="AA695" t="str">
        <f ca="1">IFERROR(__xludf.DUMMYFUNCTION("""COMPUTED_VALUE"""),"Pas de commande")</f>
        <v>Pas de commande</v>
      </c>
      <c r="AB695" s="8" t="str">
        <f ca="1">IFERROR(__xludf.DUMMYFUNCTION("""COMPUTED_VALUE"""),"")</f>
        <v/>
      </c>
      <c r="AC695" s="8" t="str">
        <f ca="1">IFERROR(__xludf.DUMMYFUNCTION("""COMPUTED_VALUE"""),"")</f>
        <v/>
      </c>
      <c r="AD695" s="11" t="str">
        <f ca="1">IFERROR(__xludf.DUMMYFUNCTION("""COMPUTED_VALUE"""),"")</f>
        <v/>
      </c>
      <c r="AE695" t="str">
        <f ca="1">IFERROR(__xludf.DUMMYFUNCTION("""COMPUTED_VALUE"""),"")</f>
        <v/>
      </c>
    </row>
    <row r="696" spans="1:31" ht="12.75" x14ac:dyDescent="0.2">
      <c r="A696">
        <f ca="1">IFERROR(__xludf.DUMMYFUNCTION("""COMPUTED_VALUE"""),90313)</f>
        <v>90313</v>
      </c>
      <c r="B696" t="str">
        <f ca="1">IFERROR(__xludf.DUMMYFUNCTION("""COMPUTED_VALUE"""),"NIMES LA CIGALE")</f>
        <v>NIMES LA CIGALE</v>
      </c>
      <c r="C696" t="str">
        <f ca="1">IFERROR(__xludf.DUMMYFUNCTION("""COMPUTED_VALUE"""),"U Express")</f>
        <v>U Express</v>
      </c>
      <c r="D696" t="str">
        <f ca="1">IFERROR(__xludf.DUMMYFUNCTION("""COMPUTED_VALUE"""),"Coop U Enseigne Sud")</f>
        <v>Coop U Enseigne Sud</v>
      </c>
      <c r="E696">
        <f ca="1">IFERROR(__xludf.DUMMYFUNCTION("""COMPUTED_VALUE"""),30000)</f>
        <v>30000</v>
      </c>
      <c r="F696" t="str">
        <f ca="1">IFERROR(__xludf.DUMMYFUNCTION("""COMPUTED_VALUE"""),"19 AVENUE PASTEUR PAUL BRUNEL")</f>
        <v>19 AVENUE PASTEUR PAUL BRUNEL</v>
      </c>
      <c r="G696" t="str">
        <f ca="1">IFERROR(__xludf.DUMMYFUNCTION("""COMPUTED_VALUE"""),"04.66.28.80.80")</f>
        <v>04.66.28.80.80</v>
      </c>
      <c r="H696" t="str">
        <f ca="1">IFERROR(__xludf.DUMMYFUNCTION("""COMPUTED_VALUE"""),"GUENOUN Michel")</f>
        <v>GUENOUN Michel</v>
      </c>
      <c r="I696" t="str">
        <f ca="1">IFERROR(__xludf.DUMMYFUNCTION("""COMPUTED_VALUE"""),"michel.guenoun@systeme-u.fr")</f>
        <v>michel.guenoun@systeme-u.fr</v>
      </c>
      <c r="J696" t="str">
        <f ca="1">IFERROR(__xludf.DUMMYFUNCTION("""COMPUTED_VALUE""")," M. GIBERT (informatique) ")</f>
        <v xml:space="preserve"> M. GIBERT (informatique) </v>
      </c>
      <c r="K696" t="str">
        <f ca="1">IFERROR(__xludf.DUMMYFUNCTION("""COMPUTED_VALUE"""),"uexpress.nimes.direction@systeme-u.fr,uexpress.nimes.informatique@systeme-u.fr")</f>
        <v>uexpress.nimes.direction@systeme-u.fr,uexpress.nimes.informatique@systeme-u.fr</v>
      </c>
      <c r="L696" t="str">
        <f ca="1">IFERROR(__xludf.DUMMYFUNCTION("""COMPUTED_VALUE"""),"")</f>
        <v/>
      </c>
      <c r="M696" t="str">
        <f ca="1">IFERROR(__xludf.DUMMYFUNCTION("""COMPUTED_VALUE"""),"99.Hors Périmetre")</f>
        <v>99.Hors Périmetre</v>
      </c>
      <c r="N696" t="str">
        <f ca="1">IFERROR(__xludf.DUMMYFUNCTION("""COMPUTED_VALUE"""),"")</f>
        <v/>
      </c>
      <c r="O696" t="str">
        <f ca="1">IFERROR(__xludf.DUMMYFUNCTION("""COMPUTED_VALUE"""),"")</f>
        <v/>
      </c>
      <c r="P696" t="str">
        <f ca="1">IFERROR(__xludf.DUMMYFUNCTION("""COMPUTED_VALUE"""),"")</f>
        <v/>
      </c>
      <c r="Q696" s="5" t="str">
        <f ca="1">IFERROR(__xludf.DUMMYFUNCTION("""COMPUTED_VALUE"""),"")</f>
        <v/>
      </c>
      <c r="R696" s="6" t="str">
        <f ca="1">IFERROR(__xludf.DUMMYFUNCTION("""COMPUTED_VALUE"""),"")</f>
        <v/>
      </c>
      <c r="S696" t="str">
        <f ca="1">IFERROR(__xludf.DUMMYFUNCTION("""COMPUTED_VALUE"""),"")</f>
        <v/>
      </c>
      <c r="T696" t="str">
        <f ca="1">IFERROR(__xludf.DUMMYFUNCTION("""COMPUTED_VALUE"""),"")</f>
        <v/>
      </c>
      <c r="U696" t="str">
        <f ca="1">IFERROR(__xludf.DUMMYFUNCTION("""COMPUTED_VALUE"""),"")</f>
        <v/>
      </c>
      <c r="V696" t="str">
        <f ca="1">IFERROR(__xludf.DUMMYFUNCTION("""COMPUTED_VALUE"""),"")</f>
        <v/>
      </c>
      <c r="W696" t="str">
        <f ca="1">IFERROR(__xludf.DUMMYFUNCTION("""COMPUTED_VALUE"""),"")</f>
        <v/>
      </c>
      <c r="X696" t="str">
        <f ca="1">IFERROR(__xludf.DUMMYFUNCTION("""COMPUTED_VALUE"""),"")</f>
        <v/>
      </c>
      <c r="Y696" t="str">
        <f ca="1">IFERROR(__xludf.DUMMYFUNCTION("""COMPUTED_VALUE"""),"")</f>
        <v/>
      </c>
      <c r="Z696" t="str">
        <f ca="1">IFERROR(__xludf.DUMMYFUNCTION("""COMPUTED_VALUE"""),"")</f>
        <v/>
      </c>
      <c r="AA696" t="str">
        <f ca="1">IFERROR(__xludf.DUMMYFUNCTION("""COMPUTED_VALUE"""),"Pas de commande")</f>
        <v>Pas de commande</v>
      </c>
      <c r="AB696" s="8" t="str">
        <f ca="1">IFERROR(__xludf.DUMMYFUNCTION("""COMPUTED_VALUE"""),"")</f>
        <v/>
      </c>
      <c r="AC696" s="8" t="str">
        <f ca="1">IFERROR(__xludf.DUMMYFUNCTION("""COMPUTED_VALUE"""),"")</f>
        <v/>
      </c>
      <c r="AD696" s="11" t="str">
        <f ca="1">IFERROR(__xludf.DUMMYFUNCTION("""COMPUTED_VALUE"""),"")</f>
        <v/>
      </c>
      <c r="AE696" t="str">
        <f ca="1">IFERROR(__xludf.DUMMYFUNCTION("""COMPUTED_VALUE"""),"")</f>
        <v/>
      </c>
    </row>
    <row r="697" spans="1:31" ht="12.75" x14ac:dyDescent="0.2">
      <c r="A697">
        <f ca="1">IFERROR(__xludf.DUMMYFUNCTION("""COMPUTED_VALUE"""),32081)</f>
        <v>32081</v>
      </c>
      <c r="B697" t="str">
        <f ca="1">IFERROR(__xludf.DUMMYFUNCTION("""COMPUTED_VALUE"""),"NIORT")</f>
        <v>NIORT</v>
      </c>
      <c r="C697" t="str">
        <f ca="1">IFERROR(__xludf.DUMMYFUNCTION("""COMPUTED_VALUE"""),"Super U")</f>
        <v>Super U</v>
      </c>
      <c r="D697" t="str">
        <f ca="1">IFERROR(__xludf.DUMMYFUNCTION("""COMPUTED_VALUE"""),"Coop Atlantique")</f>
        <v>Coop Atlantique</v>
      </c>
      <c r="E697">
        <f ca="1">IFERROR(__xludf.DUMMYFUNCTION("""COMPUTED_VALUE"""),79000)</f>
        <v>79000</v>
      </c>
      <c r="F697" t="str">
        <f ca="1">IFERROR(__xludf.DUMMYFUNCTION("""COMPUTED_VALUE"""),"222 AVENUE DE PARIS")</f>
        <v>222 AVENUE DE PARIS</v>
      </c>
      <c r="G697" t="str">
        <f ca="1">IFERROR(__xludf.DUMMYFUNCTION("""COMPUTED_VALUE"""),"05.49.33.09.88")</f>
        <v>05.49.33.09.88</v>
      </c>
      <c r="H697" t="str">
        <f ca="1">IFERROR(__xludf.DUMMYFUNCTION("""COMPUTED_VALUE"""),"FLAMBARD Hervé")</f>
        <v>FLAMBARD Hervé</v>
      </c>
      <c r="I697" t="str">
        <f ca="1">IFERROR(__xludf.DUMMYFUNCTION("""COMPUTED_VALUE"""),"bertrand.defontaine_coop_su_uex@systeme-u.fr")</f>
        <v>bertrand.defontaine_coop_su_uex@systeme-u.fr</v>
      </c>
      <c r="J697" t="str">
        <f ca="1">IFERROR(__xludf.DUMMYFUNCTION("""COMPUTED_VALUE"""),"Mr Lhommeau")</f>
        <v>Mr Lhommeau</v>
      </c>
      <c r="K697" t="str">
        <f ca="1">IFERROR(__xludf.DUMMYFUNCTION("""COMPUTED_VALUE"""),"superu.niort.direction@systeme-u.fr,nbrigant@coop-atlantique.fr,sjaud@coop-atlantique.fr, jmauroux@coop-atlantique.fr")</f>
        <v>superu.niort.direction@systeme-u.fr,nbrigant@coop-atlantique.fr,sjaud@coop-atlantique.fr, jmauroux@coop-atlantique.fr</v>
      </c>
      <c r="L697" t="str">
        <f ca="1">IFERROR(__xludf.DUMMYFUNCTION("""COMPUTED_VALUE"""),"Standard")</f>
        <v>Standard</v>
      </c>
      <c r="M697" t="str">
        <f ca="1">IFERROR(__xludf.DUMMYFUNCTION("""COMPUTED_VALUE"""),"0. Non démarré")</f>
        <v>0. Non démarré</v>
      </c>
      <c r="N697" t="str">
        <f ca="1">IFERROR(__xludf.DUMMYFUNCTION("""COMPUTED_VALUE"""),"")</f>
        <v/>
      </c>
      <c r="O697" t="str">
        <f ca="1">IFERROR(__xludf.DUMMYFUNCTION("""COMPUTED_VALUE"""),"")</f>
        <v/>
      </c>
      <c r="P697" t="str">
        <f ca="1">IFERROR(__xludf.DUMMYFUNCTION("""COMPUTED_VALUE"""),"")</f>
        <v/>
      </c>
      <c r="Q697" s="5" t="str">
        <f ca="1">IFERROR(__xludf.DUMMYFUNCTION("""COMPUTED_VALUE"""),"")</f>
        <v/>
      </c>
      <c r="R697" s="6" t="str">
        <f ca="1">IFERROR(__xludf.DUMMYFUNCTION("""COMPUTED_VALUE"""),"")</f>
        <v/>
      </c>
      <c r="S697" t="str">
        <f ca="1">IFERROR(__xludf.DUMMYFUNCTION("""COMPUTED_VALUE"""),"")</f>
        <v/>
      </c>
      <c r="T697" t="str">
        <f ca="1">IFERROR(__xludf.DUMMYFUNCTION("""COMPUTED_VALUE"""),"")</f>
        <v/>
      </c>
      <c r="U697" t="str">
        <f ca="1">IFERROR(__xludf.DUMMYFUNCTION("""COMPUTED_VALUE"""),"")</f>
        <v/>
      </c>
      <c r="V697" t="str">
        <f ca="1">IFERROR(__xludf.DUMMYFUNCTION("""COMPUTED_VALUE"""),"")</f>
        <v/>
      </c>
      <c r="W697" t="str">
        <f ca="1">IFERROR(__xludf.DUMMYFUNCTION("""COMPUTED_VALUE"""),"R5")</f>
        <v>R5</v>
      </c>
      <c r="X697" t="str">
        <f ca="1">IFERROR(__xludf.DUMMYFUNCTION("""COMPUTED_VALUE"""),"PC mag &lt;8Go")</f>
        <v>PC mag &lt;8Go</v>
      </c>
      <c r="Y697" t="str">
        <f ca="1">IFERROR(__xludf.DUMMYFUNCTION("""COMPUTED_VALUE"""),"")</f>
        <v/>
      </c>
      <c r="Z697" t="str">
        <f ca="1">IFERROR(__xludf.DUMMYFUNCTION("""COMPUTED_VALUE"""),"")</f>
        <v/>
      </c>
      <c r="AA697" t="str">
        <f ca="1">IFERROR(__xludf.DUMMYFUNCTION("""COMPUTED_VALUE"""),"Pas de commande")</f>
        <v>Pas de commande</v>
      </c>
      <c r="AB697" s="8" t="str">
        <f ca="1">IFERROR(__xludf.DUMMYFUNCTION("""COMPUTED_VALUE"""),"")</f>
        <v/>
      </c>
      <c r="AC697" s="8" t="str">
        <f ca="1">IFERROR(__xludf.DUMMYFUNCTION("""COMPUTED_VALUE"""),"")</f>
        <v/>
      </c>
      <c r="AD697" s="11" t="str">
        <f ca="1">IFERROR(__xludf.DUMMYFUNCTION("""COMPUTED_VALUE"""),"")</f>
        <v/>
      </c>
      <c r="AE697" t="str">
        <f ca="1">IFERROR(__xludf.DUMMYFUNCTION("""COMPUTED_VALUE"""),"")</f>
        <v/>
      </c>
    </row>
    <row r="698" spans="1:31" ht="12.75" x14ac:dyDescent="0.2">
      <c r="A698">
        <f ca="1">IFERROR(__xludf.DUMMYFUNCTION("""COMPUTED_VALUE"""),65034)</f>
        <v>65034</v>
      </c>
      <c r="B698" t="str">
        <f ca="1">IFERROR(__xludf.DUMMYFUNCTION("""COMPUTED_VALUE"""),"NOGENT")</f>
        <v>NOGENT</v>
      </c>
      <c r="C698" t="str">
        <f ca="1">IFERROR(__xludf.DUMMYFUNCTION("""COMPUTED_VALUE"""),"Super U")</f>
        <v>Super U</v>
      </c>
      <c r="D698" t="str">
        <f ca="1">IFERROR(__xludf.DUMMYFUNCTION("""COMPUTED_VALUE"""),"Coop U Enseigne Est")</f>
        <v>Coop U Enseigne Est</v>
      </c>
      <c r="E698">
        <f ca="1">IFERROR(__xludf.DUMMYFUNCTION("""COMPUTED_VALUE"""),52800)</f>
        <v>52800</v>
      </c>
      <c r="F698" t="str">
        <f ca="1">IFERROR(__xludf.DUMMYFUNCTION("""COMPUTED_VALUE"""),"RUE AMBROISE PARÉ")</f>
        <v>RUE AMBROISE PARÉ</v>
      </c>
      <c r="G698" t="str">
        <f ca="1">IFERROR(__xludf.DUMMYFUNCTION("""COMPUTED_VALUE"""),"03.25.31.78.79")</f>
        <v>03.25.31.78.79</v>
      </c>
      <c r="H698" t="str">
        <f ca="1">IFERROR(__xludf.DUMMYFUNCTION("""COMPUTED_VALUE"""),"LESSERTEUR Julie")</f>
        <v>LESSERTEUR Julie</v>
      </c>
      <c r="I698" t="str">
        <f ca="1">IFERROR(__xludf.DUMMYFUNCTION("""COMPUTED_VALUE"""),"julie.lesserteur@systeme-u.fr")</f>
        <v>julie.lesserteur@systeme-u.fr</v>
      </c>
      <c r="J698" t="str">
        <f ca="1">IFERROR(__xludf.DUMMYFUNCTION("""COMPUTED_VALUE"""),"LESSERTEUR Raphaël")</f>
        <v>LESSERTEUR Raphaël</v>
      </c>
      <c r="K698" t="str">
        <f ca="1">IFERROR(__xludf.DUMMYFUNCTION("""COMPUTED_VALUE"""),"")</f>
        <v/>
      </c>
      <c r="L698" t="str">
        <f ca="1">IFERROR(__xludf.DUMMYFUNCTION("""COMPUTED_VALUE"""),"")</f>
        <v/>
      </c>
      <c r="M698" t="str">
        <f ca="1">IFERROR(__xludf.DUMMYFUNCTION("""COMPUTED_VALUE"""),"99.Hors Périmetre")</f>
        <v>99.Hors Périmetre</v>
      </c>
      <c r="N698" t="str">
        <f ca="1">IFERROR(__xludf.DUMMYFUNCTION("""COMPUTED_VALUE"""),"")</f>
        <v/>
      </c>
      <c r="O698" t="str">
        <f ca="1">IFERROR(__xludf.DUMMYFUNCTION("""COMPUTED_VALUE"""),"")</f>
        <v/>
      </c>
      <c r="P698" t="str">
        <f ca="1">IFERROR(__xludf.DUMMYFUNCTION("""COMPUTED_VALUE"""),"")</f>
        <v/>
      </c>
      <c r="Q698" s="5" t="str">
        <f ca="1">IFERROR(__xludf.DUMMYFUNCTION("""COMPUTED_VALUE"""),"")</f>
        <v/>
      </c>
      <c r="R698" s="6" t="str">
        <f ca="1">IFERROR(__xludf.DUMMYFUNCTION("""COMPUTED_VALUE"""),"")</f>
        <v/>
      </c>
      <c r="S698" t="str">
        <f ca="1">IFERROR(__xludf.DUMMYFUNCTION("""COMPUTED_VALUE"""),"")</f>
        <v/>
      </c>
      <c r="T698" t="str">
        <f ca="1">IFERROR(__xludf.DUMMYFUNCTION("""COMPUTED_VALUE"""),"")</f>
        <v/>
      </c>
      <c r="U698" t="str">
        <f ca="1">IFERROR(__xludf.DUMMYFUNCTION("""COMPUTED_VALUE"""),"")</f>
        <v/>
      </c>
      <c r="V698" t="str">
        <f ca="1">IFERROR(__xludf.DUMMYFUNCTION("""COMPUTED_VALUE"""),"")</f>
        <v/>
      </c>
      <c r="W698" t="str">
        <f ca="1">IFERROR(__xludf.DUMMYFUNCTION("""COMPUTED_VALUE"""),"")</f>
        <v/>
      </c>
      <c r="X698" t="str">
        <f ca="1">IFERROR(__xludf.DUMMYFUNCTION("""COMPUTED_VALUE"""),"")</f>
        <v/>
      </c>
      <c r="Y698" t="str">
        <f ca="1">IFERROR(__xludf.DUMMYFUNCTION("""COMPUTED_VALUE"""),"")</f>
        <v/>
      </c>
      <c r="Z698" t="str">
        <f ca="1">IFERROR(__xludf.DUMMYFUNCTION("""COMPUTED_VALUE"""),"")</f>
        <v/>
      </c>
      <c r="AA698" t="str">
        <f ca="1">IFERROR(__xludf.DUMMYFUNCTION("""COMPUTED_VALUE"""),"Pas de commande")</f>
        <v>Pas de commande</v>
      </c>
      <c r="AB698" s="8" t="str">
        <f ca="1">IFERROR(__xludf.DUMMYFUNCTION("""COMPUTED_VALUE"""),"")</f>
        <v/>
      </c>
      <c r="AC698" s="8" t="str">
        <f ca="1">IFERROR(__xludf.DUMMYFUNCTION("""COMPUTED_VALUE"""),"")</f>
        <v/>
      </c>
      <c r="AD698" s="11" t="str">
        <f ca="1">IFERROR(__xludf.DUMMYFUNCTION("""COMPUTED_VALUE"""),"")</f>
        <v/>
      </c>
      <c r="AE698" t="str">
        <f ca="1">IFERROR(__xludf.DUMMYFUNCTION("""COMPUTED_VALUE"""),"")</f>
        <v/>
      </c>
    </row>
    <row r="699" spans="1:31" ht="12.75" x14ac:dyDescent="0.2">
      <c r="A699">
        <f ca="1">IFERROR(__xludf.DUMMYFUNCTION("""COMPUTED_VALUE"""),32348)</f>
        <v>32348</v>
      </c>
      <c r="B699" t="str">
        <f ca="1">IFERROR(__xludf.DUMMYFUNCTION("""COMPUTED_VALUE"""),"NOIRMOUTIER")</f>
        <v>NOIRMOUTIER</v>
      </c>
      <c r="C699" t="str">
        <f ca="1">IFERROR(__xludf.DUMMYFUNCTION("""COMPUTED_VALUE"""),"Super U")</f>
        <v>Super U</v>
      </c>
      <c r="D699" t="str">
        <f ca="1">IFERROR(__xludf.DUMMYFUNCTION("""COMPUTED_VALUE"""),"Coop U Enseigne Ouest")</f>
        <v>Coop U Enseigne Ouest</v>
      </c>
      <c r="E699">
        <f ca="1">IFERROR(__xludf.DUMMYFUNCTION("""COMPUTED_VALUE"""),85740)</f>
        <v>85740</v>
      </c>
      <c r="F699" t="str">
        <f ca="1">IFERROR(__xludf.DUMMYFUNCTION("""COMPUTED_VALUE"""),"148, ROUTE NATIONALE")</f>
        <v>148, ROUTE NATIONALE</v>
      </c>
      <c r="G699" t="str">
        <f ca="1">IFERROR(__xludf.DUMMYFUNCTION("""COMPUTED_VALUE"""),"02.51.39.03.94")</f>
        <v>02.51.39.03.94</v>
      </c>
      <c r="H699" t="str">
        <f ca="1">IFERROR(__xludf.DUMMYFUNCTION("""COMPUTED_VALUE"""),"BOIDE RPT SAS LES ETIERS Philippe")</f>
        <v>BOIDE RPT SAS LES ETIERS Philippe</v>
      </c>
      <c r="I699" t="str">
        <f ca="1">IFERROR(__xludf.DUMMYFUNCTION("""COMPUTED_VALUE"""),"philippe.boide@systeme-u.fr")</f>
        <v>philippe.boide@systeme-u.fr</v>
      </c>
      <c r="J699" t="str">
        <f ca="1">IFERROR(__xludf.DUMMYFUNCTION("""COMPUTED_VALUE"""),"DUFIEF Jean-Luc")</f>
        <v>DUFIEF Jean-Luc</v>
      </c>
      <c r="K699" t="str">
        <f ca="1">IFERROR(__xludf.DUMMYFUNCTION("""COMPUTED_VALUE"""),"superu.noirmoutier@systeme-u.fr")</f>
        <v>superu.noirmoutier@systeme-u.fr</v>
      </c>
      <c r="L699" t="str">
        <f ca="1">IFERROR(__xludf.DUMMYFUNCTION("""COMPUTED_VALUE"""),"")</f>
        <v/>
      </c>
      <c r="M699" t="str">
        <f ca="1">IFERROR(__xludf.DUMMYFUNCTION("""COMPUTED_VALUE"""),"99.Hors Périmetre")</f>
        <v>99.Hors Périmetre</v>
      </c>
      <c r="N699" t="str">
        <f ca="1">IFERROR(__xludf.DUMMYFUNCTION("""COMPUTED_VALUE"""),"")</f>
        <v/>
      </c>
      <c r="O699" t="str">
        <f ca="1">IFERROR(__xludf.DUMMYFUNCTION("""COMPUTED_VALUE"""),"")</f>
        <v/>
      </c>
      <c r="P699" t="str">
        <f ca="1">IFERROR(__xludf.DUMMYFUNCTION("""COMPUTED_VALUE"""),"")</f>
        <v/>
      </c>
      <c r="Q699" s="5" t="str">
        <f ca="1">IFERROR(__xludf.DUMMYFUNCTION("""COMPUTED_VALUE"""),"")</f>
        <v/>
      </c>
      <c r="R699" s="6" t="str">
        <f ca="1">IFERROR(__xludf.DUMMYFUNCTION("""COMPUTED_VALUE"""),"")</f>
        <v/>
      </c>
      <c r="S699" t="str">
        <f ca="1">IFERROR(__xludf.DUMMYFUNCTION("""COMPUTED_VALUE"""),"")</f>
        <v/>
      </c>
      <c r="T699" t="str">
        <f ca="1">IFERROR(__xludf.DUMMYFUNCTION("""COMPUTED_VALUE"""),"")</f>
        <v/>
      </c>
      <c r="U699" t="str">
        <f ca="1">IFERROR(__xludf.DUMMYFUNCTION("""COMPUTED_VALUE"""),"")</f>
        <v/>
      </c>
      <c r="V699" t="str">
        <f ca="1">IFERROR(__xludf.DUMMYFUNCTION("""COMPUTED_VALUE"""),"")</f>
        <v/>
      </c>
      <c r="W699" t="str">
        <f ca="1">IFERROR(__xludf.DUMMYFUNCTION("""COMPUTED_VALUE"""),"")</f>
        <v/>
      </c>
      <c r="X699" t="str">
        <f ca="1">IFERROR(__xludf.DUMMYFUNCTION("""COMPUTED_VALUE"""),"")</f>
        <v/>
      </c>
      <c r="Y699" t="str">
        <f ca="1">IFERROR(__xludf.DUMMYFUNCTION("""COMPUTED_VALUE"""),"")</f>
        <v/>
      </c>
      <c r="Z699" t="str">
        <f ca="1">IFERROR(__xludf.DUMMYFUNCTION("""COMPUTED_VALUE"""),"")</f>
        <v/>
      </c>
      <c r="AA699" t="str">
        <f ca="1">IFERROR(__xludf.DUMMYFUNCTION("""COMPUTED_VALUE"""),"Pas de commande")</f>
        <v>Pas de commande</v>
      </c>
      <c r="AB699" s="8" t="str">
        <f ca="1">IFERROR(__xludf.DUMMYFUNCTION("""COMPUTED_VALUE"""),"")</f>
        <v/>
      </c>
      <c r="AC699" s="8" t="str">
        <f ca="1">IFERROR(__xludf.DUMMYFUNCTION("""COMPUTED_VALUE"""),"")</f>
        <v/>
      </c>
      <c r="AD699" s="11" t="str">
        <f ca="1">IFERROR(__xludf.DUMMYFUNCTION("""COMPUTED_VALUE"""),"")</f>
        <v/>
      </c>
      <c r="AE699" t="str">
        <f ca="1">IFERROR(__xludf.DUMMYFUNCTION("""COMPUTED_VALUE"""),"")</f>
        <v/>
      </c>
    </row>
    <row r="700" spans="1:31" ht="12.75" x14ac:dyDescent="0.2">
      <c r="A700">
        <f ca="1">IFERROR(__xludf.DUMMYFUNCTION("""COMPUTED_VALUE"""),38591)</f>
        <v>38591</v>
      </c>
      <c r="B700" t="str">
        <f ca="1">IFERROR(__xludf.DUMMYFUNCTION("""COMPUTED_VALUE"""),"NOIRMOUTIER")</f>
        <v>NOIRMOUTIER</v>
      </c>
      <c r="C700" t="str">
        <f ca="1">IFERROR(__xludf.DUMMYFUNCTION("""COMPUTED_VALUE"""),"U Express")</f>
        <v>U Express</v>
      </c>
      <c r="D700" t="str">
        <f ca="1">IFERROR(__xludf.DUMMYFUNCTION("""COMPUTED_VALUE"""),"Coop U Enseigne Ouest")</f>
        <v>Coop U Enseigne Ouest</v>
      </c>
      <c r="E700">
        <f ca="1">IFERROR(__xludf.DUMMYFUNCTION("""COMPUTED_VALUE"""),85330)</f>
        <v>85330</v>
      </c>
      <c r="F700" t="str">
        <f ca="1">IFERROR(__xludf.DUMMYFUNCTION("""COMPUTED_VALUE"""),"3, RUE DU PRÉE AUX DUCS")</f>
        <v>3, RUE DU PRÉE AUX DUCS</v>
      </c>
      <c r="G700" t="str">
        <f ca="1">IFERROR(__xludf.DUMMYFUNCTION("""COMPUTED_VALUE"""),"02.51.39.77.83")</f>
        <v>02.51.39.77.83</v>
      </c>
      <c r="H700" t="str">
        <f ca="1">IFERROR(__xludf.DUMMYFUNCTION("""COMPUTED_VALUE"""),"BORDERE RPT SAS SAME Stéphane")</f>
        <v>BORDERE RPT SAS SAME Stéphane</v>
      </c>
      <c r="I700" t="str">
        <f ca="1">IFERROR(__xludf.DUMMYFUNCTION("""COMPUTED_VALUE"""),"stephane.bordere@systeme-u.fr")</f>
        <v>stephane.bordere@systeme-u.fr</v>
      </c>
      <c r="J700" t="str">
        <f ca="1">IFERROR(__xludf.DUMMYFUNCTION("""COMPUTED_VALUE"""),"")</f>
        <v/>
      </c>
      <c r="K700" t="str">
        <f ca="1">IFERROR(__xludf.DUMMYFUNCTION("""COMPUTED_VALUE"""),"")</f>
        <v/>
      </c>
      <c r="L700" t="str">
        <f ca="1">IFERROR(__xludf.DUMMYFUNCTION("""COMPUTED_VALUE"""),"")</f>
        <v/>
      </c>
      <c r="M700" t="str">
        <f ca="1">IFERROR(__xludf.DUMMYFUNCTION("""COMPUTED_VALUE"""),"99.Hors Périmetre")</f>
        <v>99.Hors Périmetre</v>
      </c>
      <c r="N700" t="str">
        <f ca="1">IFERROR(__xludf.DUMMYFUNCTION("""COMPUTED_VALUE"""),"")</f>
        <v/>
      </c>
      <c r="O700" t="str">
        <f ca="1">IFERROR(__xludf.DUMMYFUNCTION("""COMPUTED_VALUE"""),"")</f>
        <v/>
      </c>
      <c r="P700" t="str">
        <f ca="1">IFERROR(__xludf.DUMMYFUNCTION("""COMPUTED_VALUE"""),"")</f>
        <v/>
      </c>
      <c r="Q700" s="5" t="str">
        <f ca="1">IFERROR(__xludf.DUMMYFUNCTION("""COMPUTED_VALUE"""),"")</f>
        <v/>
      </c>
      <c r="R700" s="6" t="str">
        <f ca="1">IFERROR(__xludf.DUMMYFUNCTION("""COMPUTED_VALUE"""),"")</f>
        <v/>
      </c>
      <c r="S700" t="str">
        <f ca="1">IFERROR(__xludf.DUMMYFUNCTION("""COMPUTED_VALUE"""),"")</f>
        <v/>
      </c>
      <c r="T700" t="str">
        <f ca="1">IFERROR(__xludf.DUMMYFUNCTION("""COMPUTED_VALUE"""),"")</f>
        <v/>
      </c>
      <c r="U700" t="str">
        <f ca="1">IFERROR(__xludf.DUMMYFUNCTION("""COMPUTED_VALUE"""),"")</f>
        <v/>
      </c>
      <c r="V700" t="str">
        <f ca="1">IFERROR(__xludf.DUMMYFUNCTION("""COMPUTED_VALUE"""),"")</f>
        <v/>
      </c>
      <c r="W700" t="str">
        <f ca="1">IFERROR(__xludf.DUMMYFUNCTION("""COMPUTED_VALUE"""),"")</f>
        <v/>
      </c>
      <c r="X700" t="str">
        <f ca="1">IFERROR(__xludf.DUMMYFUNCTION("""COMPUTED_VALUE"""),"")</f>
        <v/>
      </c>
      <c r="Y700" t="str">
        <f ca="1">IFERROR(__xludf.DUMMYFUNCTION("""COMPUTED_VALUE"""),"")</f>
        <v/>
      </c>
      <c r="Z700" t="str">
        <f ca="1">IFERROR(__xludf.DUMMYFUNCTION("""COMPUTED_VALUE"""),"")</f>
        <v/>
      </c>
      <c r="AA700" t="str">
        <f ca="1">IFERROR(__xludf.DUMMYFUNCTION("""COMPUTED_VALUE"""),"Pas de commande")</f>
        <v>Pas de commande</v>
      </c>
      <c r="AB700" s="8" t="str">
        <f ca="1">IFERROR(__xludf.DUMMYFUNCTION("""COMPUTED_VALUE"""),"")</f>
        <v/>
      </c>
      <c r="AC700" s="8" t="str">
        <f ca="1">IFERROR(__xludf.DUMMYFUNCTION("""COMPUTED_VALUE"""),"")</f>
        <v/>
      </c>
      <c r="AD700" s="11" t="str">
        <f ca="1">IFERROR(__xludf.DUMMYFUNCTION("""COMPUTED_VALUE"""),"")</f>
        <v/>
      </c>
      <c r="AE700" t="str">
        <f ca="1">IFERROR(__xludf.DUMMYFUNCTION("""COMPUTED_VALUE"""),"")</f>
        <v/>
      </c>
    </row>
    <row r="701" spans="1:31" ht="12.75" x14ac:dyDescent="0.2">
      <c r="A701">
        <f ca="1">IFERROR(__xludf.DUMMYFUNCTION("""COMPUTED_VALUE"""),22844)</f>
        <v>22844</v>
      </c>
      <c r="B701" t="str">
        <f ca="1">IFERROR(__xludf.DUMMYFUNCTION("""COMPUTED_VALUE"""),"NOISIEL")</f>
        <v>NOISIEL</v>
      </c>
      <c r="C701" t="str">
        <f ca="1">IFERROR(__xludf.DUMMYFUNCTION("""COMPUTED_VALUE"""),"Super U")</f>
        <v>Super U</v>
      </c>
      <c r="D701" t="str">
        <f ca="1">IFERROR(__xludf.DUMMYFUNCTION("""COMPUTED_VALUE"""),"Coop U Enseigne NordOuest")</f>
        <v>Coop U Enseigne NordOuest</v>
      </c>
      <c r="E701">
        <f ca="1">IFERROR(__xludf.DUMMYFUNCTION("""COMPUTED_VALUE"""),77186)</f>
        <v>77186</v>
      </c>
      <c r="F701" t="str">
        <f ca="1">IFERROR(__xludf.DUMMYFUNCTION("""COMPUTED_VALUE"""),"6 ALLÉE BUISSONNIÈRE")</f>
        <v>6 ALLÉE BUISSONNIÈRE</v>
      </c>
      <c r="G701" t="str">
        <f ca="1">IFERROR(__xludf.DUMMYFUNCTION("""COMPUTED_VALUE"""),"01.60.33.33.33")</f>
        <v>01.60.33.33.33</v>
      </c>
      <c r="H701" t="str">
        <f ca="1">IFERROR(__xludf.DUMMYFUNCTION("""COMPUTED_VALUE"""),"PROUX Stéphane")</f>
        <v>PROUX Stéphane</v>
      </c>
      <c r="I701" t="str">
        <f ca="1">IFERROR(__xludf.DUMMYFUNCTION("""COMPUTED_VALUE"""),"stephane.proux@systeme-u.fr")</f>
        <v>stephane.proux@systeme-u.fr</v>
      </c>
      <c r="J701" t="str">
        <f ca="1">IFERROR(__xludf.DUMMYFUNCTION("""COMPUTED_VALUE"""),"
Mme CROIN
Mme BONATO Gaëlle")</f>
        <v xml:space="preserve">
Mme CROIN
Mme BONATO Gaëlle</v>
      </c>
      <c r="K701" t="str">
        <f ca="1">IFERROR(__xludf.DUMMYFUNCTION("""COMPUTED_VALUE"""),"superu.noisiel.comptabilite@systeme-u.fr,superu.noisiel@systeme-u.fr")</f>
        <v>superu.noisiel.comptabilite@systeme-u.fr,superu.noisiel@systeme-u.fr</v>
      </c>
      <c r="L701" t="str">
        <f ca="1">IFERROR(__xludf.DUMMYFUNCTION("""COMPUTED_VALUE"""),"")</f>
        <v/>
      </c>
      <c r="M701" t="str">
        <f ca="1">IFERROR(__xludf.DUMMYFUNCTION("""COMPUTED_VALUE"""),"99.Hors Périmetre")</f>
        <v>99.Hors Périmetre</v>
      </c>
      <c r="N701" t="str">
        <f ca="1">IFERROR(__xludf.DUMMYFUNCTION("""COMPUTED_VALUE"""),"")</f>
        <v/>
      </c>
      <c r="O701" t="str">
        <f ca="1">IFERROR(__xludf.DUMMYFUNCTION("""COMPUTED_VALUE"""),"")</f>
        <v/>
      </c>
      <c r="P701" t="str">
        <f ca="1">IFERROR(__xludf.DUMMYFUNCTION("""COMPUTED_VALUE"""),"")</f>
        <v/>
      </c>
      <c r="Q701" s="5" t="str">
        <f ca="1">IFERROR(__xludf.DUMMYFUNCTION("""COMPUTED_VALUE"""),"")</f>
        <v/>
      </c>
      <c r="R701" s="6" t="str">
        <f ca="1">IFERROR(__xludf.DUMMYFUNCTION("""COMPUTED_VALUE"""),"")</f>
        <v/>
      </c>
      <c r="S701" t="str">
        <f ca="1">IFERROR(__xludf.DUMMYFUNCTION("""COMPUTED_VALUE"""),"")</f>
        <v/>
      </c>
      <c r="T701" t="str">
        <f ca="1">IFERROR(__xludf.DUMMYFUNCTION("""COMPUTED_VALUE"""),"")</f>
        <v/>
      </c>
      <c r="U701" t="str">
        <f ca="1">IFERROR(__xludf.DUMMYFUNCTION("""COMPUTED_VALUE"""),"")</f>
        <v/>
      </c>
      <c r="V701" t="str">
        <f ca="1">IFERROR(__xludf.DUMMYFUNCTION("""COMPUTED_VALUE"""),"")</f>
        <v/>
      </c>
      <c r="W701" t="str">
        <f ca="1">IFERROR(__xludf.DUMMYFUNCTION("""COMPUTED_VALUE"""),"")</f>
        <v/>
      </c>
      <c r="X701" t="str">
        <f ca="1">IFERROR(__xludf.DUMMYFUNCTION("""COMPUTED_VALUE"""),"")</f>
        <v/>
      </c>
      <c r="Y701" t="str">
        <f ca="1">IFERROR(__xludf.DUMMYFUNCTION("""COMPUTED_VALUE"""),"")</f>
        <v/>
      </c>
      <c r="Z701" t="str">
        <f ca="1">IFERROR(__xludf.DUMMYFUNCTION("""COMPUTED_VALUE"""),"")</f>
        <v/>
      </c>
      <c r="AA701" t="str">
        <f ca="1">IFERROR(__xludf.DUMMYFUNCTION("""COMPUTED_VALUE"""),"Pas de commande")</f>
        <v>Pas de commande</v>
      </c>
      <c r="AB701" s="8" t="str">
        <f ca="1">IFERROR(__xludf.DUMMYFUNCTION("""COMPUTED_VALUE"""),"")</f>
        <v/>
      </c>
      <c r="AC701" s="8" t="str">
        <f ca="1">IFERROR(__xludf.DUMMYFUNCTION("""COMPUTED_VALUE"""),"")</f>
        <v/>
      </c>
      <c r="AD701" s="11" t="str">
        <f ca="1">IFERROR(__xludf.DUMMYFUNCTION("""COMPUTED_VALUE"""),"")</f>
        <v/>
      </c>
      <c r="AE701" t="str">
        <f ca="1">IFERROR(__xludf.DUMMYFUNCTION("""COMPUTED_VALUE"""),"")</f>
        <v/>
      </c>
    </row>
    <row r="702" spans="1:31" ht="12.75" x14ac:dyDescent="0.2">
      <c r="A702">
        <f ca="1">IFERROR(__xludf.DUMMYFUNCTION("""COMPUTED_VALUE"""),26165)</f>
        <v>26165</v>
      </c>
      <c r="B702" t="str">
        <f ca="1">IFERROR(__xludf.DUMMYFUNCTION("""COMPUTED_VALUE"""),"NOISY LE GD CHAMPY")</f>
        <v>NOISY LE GD CHAMPY</v>
      </c>
      <c r="C702" t="str">
        <f ca="1">IFERROR(__xludf.DUMMYFUNCTION("""COMPUTED_VALUE"""),"Super U")</f>
        <v>Super U</v>
      </c>
      <c r="D702" t="str">
        <f ca="1">IFERROR(__xludf.DUMMYFUNCTION("""COMPUTED_VALUE"""),"Coop U Enseigne NordOuest")</f>
        <v>Coop U Enseigne NordOuest</v>
      </c>
      <c r="E702">
        <f ca="1">IFERROR(__xludf.DUMMYFUNCTION("""COMPUTED_VALUE"""),93160)</f>
        <v>93160</v>
      </c>
      <c r="F702" t="str">
        <f ca="1">IFERROR(__xludf.DUMMYFUNCTION("""COMPUTED_VALUE"""),"5 ALLEE DU BATAILLON HILDEVERT")</f>
        <v>5 ALLEE DU BATAILLON HILDEVERT</v>
      </c>
      <c r="G702" t="str">
        <f ca="1">IFERROR(__xludf.DUMMYFUNCTION("""COMPUTED_VALUE"""),"01.43.05.62.19")</f>
        <v>01.43.05.62.19</v>
      </c>
      <c r="H702" t="str">
        <f ca="1">IFERROR(__xludf.DUMMYFUNCTION("""COMPUTED_VALUE"""),"MONFORT Benoit")</f>
        <v>MONFORT Benoit</v>
      </c>
      <c r="I702" t="str">
        <f ca="1">IFERROR(__xludf.DUMMYFUNCTION("""COMPUTED_VALUE"""),"benoit.monfort@systeme-u.fr")</f>
        <v>benoit.monfort@systeme-u.fr</v>
      </c>
      <c r="J702" t="str">
        <f ca="1">IFERROR(__xludf.DUMMYFUNCTION("""COMPUTED_VALUE"""),"M LAVERZE")</f>
        <v>M LAVERZE</v>
      </c>
      <c r="K702" t="str">
        <f ca="1">IFERROR(__xludf.DUMMYFUNCTION("""COMPUTED_VALUE"""),"superu.noisylegrand.champy.direction@systeme-u.fr")</f>
        <v>superu.noisylegrand.champy.direction@systeme-u.fr</v>
      </c>
      <c r="L702" t="str">
        <f ca="1">IFERROR(__xludf.DUMMYFUNCTION("""COMPUTED_VALUE"""),"")</f>
        <v/>
      </c>
      <c r="M702" t="str">
        <f ca="1">IFERROR(__xludf.DUMMYFUNCTION("""COMPUTED_VALUE"""),"99.Hors Périmetre")</f>
        <v>99.Hors Périmetre</v>
      </c>
      <c r="N702" t="str">
        <f ca="1">IFERROR(__xludf.DUMMYFUNCTION("""COMPUTED_VALUE"""),"")</f>
        <v/>
      </c>
      <c r="O702" t="str">
        <f ca="1">IFERROR(__xludf.DUMMYFUNCTION("""COMPUTED_VALUE"""),"")</f>
        <v/>
      </c>
      <c r="P702" t="str">
        <f ca="1">IFERROR(__xludf.DUMMYFUNCTION("""COMPUTED_VALUE"""),"")</f>
        <v/>
      </c>
      <c r="Q702" s="5" t="str">
        <f ca="1">IFERROR(__xludf.DUMMYFUNCTION("""COMPUTED_VALUE"""),"")</f>
        <v/>
      </c>
      <c r="R702" s="6" t="str">
        <f ca="1">IFERROR(__xludf.DUMMYFUNCTION("""COMPUTED_VALUE"""),"")</f>
        <v/>
      </c>
      <c r="S702" t="str">
        <f ca="1">IFERROR(__xludf.DUMMYFUNCTION("""COMPUTED_VALUE"""),"")</f>
        <v/>
      </c>
      <c r="T702" t="str">
        <f ca="1">IFERROR(__xludf.DUMMYFUNCTION("""COMPUTED_VALUE"""),"")</f>
        <v/>
      </c>
      <c r="U702" t="str">
        <f ca="1">IFERROR(__xludf.DUMMYFUNCTION("""COMPUTED_VALUE"""),"")</f>
        <v/>
      </c>
      <c r="V702" t="str">
        <f ca="1">IFERROR(__xludf.DUMMYFUNCTION("""COMPUTED_VALUE"""),"")</f>
        <v/>
      </c>
      <c r="W702" t="str">
        <f ca="1">IFERROR(__xludf.DUMMYFUNCTION("""COMPUTED_VALUE"""),"")</f>
        <v/>
      </c>
      <c r="X702" t="str">
        <f ca="1">IFERROR(__xludf.DUMMYFUNCTION("""COMPUTED_VALUE"""),"")</f>
        <v/>
      </c>
      <c r="Y702" t="str">
        <f ca="1">IFERROR(__xludf.DUMMYFUNCTION("""COMPUTED_VALUE"""),"")</f>
        <v/>
      </c>
      <c r="Z702" t="str">
        <f ca="1">IFERROR(__xludf.DUMMYFUNCTION("""COMPUTED_VALUE"""),"")</f>
        <v/>
      </c>
      <c r="AA702" t="str">
        <f ca="1">IFERROR(__xludf.DUMMYFUNCTION("""COMPUTED_VALUE"""),"Pas de commande")</f>
        <v>Pas de commande</v>
      </c>
      <c r="AB702" s="8" t="str">
        <f ca="1">IFERROR(__xludf.DUMMYFUNCTION("""COMPUTED_VALUE"""),"")</f>
        <v/>
      </c>
      <c r="AC702" s="8" t="str">
        <f ca="1">IFERROR(__xludf.DUMMYFUNCTION("""COMPUTED_VALUE"""),"")</f>
        <v/>
      </c>
      <c r="AD702" s="11" t="str">
        <f ca="1">IFERROR(__xludf.DUMMYFUNCTION("""COMPUTED_VALUE"""),"")</f>
        <v/>
      </c>
      <c r="AE702" t="str">
        <f ca="1">IFERROR(__xludf.DUMMYFUNCTION("""COMPUTED_VALUE"""),"")</f>
        <v/>
      </c>
    </row>
    <row r="703" spans="1:31" ht="12.75" x14ac:dyDescent="0.2">
      <c r="A703">
        <f ca="1">IFERROR(__xludf.DUMMYFUNCTION("""COMPUTED_VALUE"""),26025)</f>
        <v>26025</v>
      </c>
      <c r="B703" t="str">
        <f ca="1">IFERROR(__xludf.DUMMYFUNCTION("""COMPUTED_VALUE"""),"NOISY LE GD COSSONNEAU-")</f>
        <v>NOISY LE GD COSSONNEAU-</v>
      </c>
      <c r="C703" t="str">
        <f ca="1">IFERROR(__xludf.DUMMYFUNCTION("""COMPUTED_VALUE"""),"Super U")</f>
        <v>Super U</v>
      </c>
      <c r="D703" t="str">
        <f ca="1">IFERROR(__xludf.DUMMYFUNCTION("""COMPUTED_VALUE"""),"Coop U Enseigne NordOuest")</f>
        <v>Coop U Enseigne NordOuest</v>
      </c>
      <c r="E703">
        <f ca="1">IFERROR(__xludf.DUMMYFUNCTION("""COMPUTED_VALUE"""),93160)</f>
        <v>93160</v>
      </c>
      <c r="F703" t="str">
        <f ca="1">IFERROR(__xludf.DUMMYFUNCTION("""COMPUTED_VALUE"""),"98 AVENUE EMILE COSSONNEAU")</f>
        <v>98 AVENUE EMILE COSSONNEAU</v>
      </c>
      <c r="G703" t="str">
        <f ca="1">IFERROR(__xludf.DUMMYFUNCTION("""COMPUTED_VALUE"""),"01.43.03.32.25")</f>
        <v>01.43.03.32.25</v>
      </c>
      <c r="H703" t="str">
        <f ca="1">IFERROR(__xludf.DUMMYFUNCTION("""COMPUTED_VALUE"""),"BUR Gérard+Marie-Chantal")</f>
        <v>BUR Gérard+Marie-Chantal</v>
      </c>
      <c r="I703" t="str">
        <f ca="1">IFERROR(__xludf.DUMMYFUNCTION("""COMPUTED_VALUE"""),"gerard.bur@systeme-u.fr")</f>
        <v>gerard.bur@systeme-u.fr</v>
      </c>
      <c r="J703" t="str">
        <f ca="1">IFERROR(__xludf.DUMMYFUNCTION("""COMPUTED_VALUE"""),"Mme HUBLIN")</f>
        <v>Mme HUBLIN</v>
      </c>
      <c r="K703" t="str">
        <f ca="1">IFERROR(__xludf.DUMMYFUNCTION("""COMPUTED_VALUE"""),"superu.noisylegrand.cossonneau.direction@systeme-u.fr")</f>
        <v>superu.noisylegrand.cossonneau.direction@systeme-u.fr</v>
      </c>
      <c r="L703" t="str">
        <f ca="1">IFERROR(__xludf.DUMMYFUNCTION("""COMPUTED_VALUE"""),"")</f>
        <v/>
      </c>
      <c r="M703" t="str">
        <f ca="1">IFERROR(__xludf.DUMMYFUNCTION("""COMPUTED_VALUE"""),"99.Hors Périmetre")</f>
        <v>99.Hors Périmetre</v>
      </c>
      <c r="N703" t="str">
        <f ca="1">IFERROR(__xludf.DUMMYFUNCTION("""COMPUTED_VALUE"""),"")</f>
        <v/>
      </c>
      <c r="O703" t="str">
        <f ca="1">IFERROR(__xludf.DUMMYFUNCTION("""COMPUTED_VALUE"""),"")</f>
        <v/>
      </c>
      <c r="P703" t="str">
        <f ca="1">IFERROR(__xludf.DUMMYFUNCTION("""COMPUTED_VALUE"""),"")</f>
        <v/>
      </c>
      <c r="Q703" s="5" t="str">
        <f ca="1">IFERROR(__xludf.DUMMYFUNCTION("""COMPUTED_VALUE"""),"")</f>
        <v/>
      </c>
      <c r="R703" s="6" t="str">
        <f ca="1">IFERROR(__xludf.DUMMYFUNCTION("""COMPUTED_VALUE"""),"")</f>
        <v/>
      </c>
      <c r="S703" t="str">
        <f ca="1">IFERROR(__xludf.DUMMYFUNCTION("""COMPUTED_VALUE"""),"")</f>
        <v/>
      </c>
      <c r="T703" t="str">
        <f ca="1">IFERROR(__xludf.DUMMYFUNCTION("""COMPUTED_VALUE"""),"")</f>
        <v/>
      </c>
      <c r="U703" t="str">
        <f ca="1">IFERROR(__xludf.DUMMYFUNCTION("""COMPUTED_VALUE"""),"")</f>
        <v/>
      </c>
      <c r="V703" t="str">
        <f ca="1">IFERROR(__xludf.DUMMYFUNCTION("""COMPUTED_VALUE"""),"")</f>
        <v/>
      </c>
      <c r="W703" t="str">
        <f ca="1">IFERROR(__xludf.DUMMYFUNCTION("""COMPUTED_VALUE"""),"")</f>
        <v/>
      </c>
      <c r="X703" t="str">
        <f ca="1">IFERROR(__xludf.DUMMYFUNCTION("""COMPUTED_VALUE"""),"")</f>
        <v/>
      </c>
      <c r="Y703" t="str">
        <f ca="1">IFERROR(__xludf.DUMMYFUNCTION("""COMPUTED_VALUE"""),"")</f>
        <v/>
      </c>
      <c r="Z703" t="str">
        <f ca="1">IFERROR(__xludf.DUMMYFUNCTION("""COMPUTED_VALUE"""),"")</f>
        <v/>
      </c>
      <c r="AA703" t="str">
        <f ca="1">IFERROR(__xludf.DUMMYFUNCTION("""COMPUTED_VALUE"""),"Pas de commande")</f>
        <v>Pas de commande</v>
      </c>
      <c r="AB703" s="8" t="str">
        <f ca="1">IFERROR(__xludf.DUMMYFUNCTION("""COMPUTED_VALUE"""),"")</f>
        <v/>
      </c>
      <c r="AC703" s="8" t="str">
        <f ca="1">IFERROR(__xludf.DUMMYFUNCTION("""COMPUTED_VALUE"""),"")</f>
        <v/>
      </c>
      <c r="AD703" s="11" t="str">
        <f ca="1">IFERROR(__xludf.DUMMYFUNCTION("""COMPUTED_VALUE"""),"")</f>
        <v/>
      </c>
      <c r="AE703" t="str">
        <f ca="1">IFERROR(__xludf.DUMMYFUNCTION("""COMPUTED_VALUE"""),"")</f>
        <v/>
      </c>
    </row>
    <row r="704" spans="1:31" ht="12.75" x14ac:dyDescent="0.2">
      <c r="A704">
        <f ca="1">IFERROR(__xludf.DUMMYFUNCTION("""COMPUTED_VALUE"""),26130)</f>
        <v>26130</v>
      </c>
      <c r="B704" t="str">
        <f ca="1">IFERROR(__xludf.DUMMYFUNCTION("""COMPUTED_VALUE"""),"NOISY LE GD P")</f>
        <v>NOISY LE GD P</v>
      </c>
      <c r="C704" t="str">
        <f ca="1">IFERROR(__xludf.DUMMYFUNCTION("""COMPUTED_VALUE"""),"Super U")</f>
        <v>Super U</v>
      </c>
      <c r="D704" t="str">
        <f ca="1">IFERROR(__xludf.DUMMYFUNCTION("""COMPUTED_VALUE"""),"Coop U Enseigne NordOuest")</f>
        <v>Coop U Enseigne NordOuest</v>
      </c>
      <c r="E704">
        <f ca="1">IFERROR(__xludf.DUMMYFUNCTION("""COMPUTED_VALUE"""),93160)</f>
        <v>93160</v>
      </c>
      <c r="F704" t="str">
        <f ca="1">IFERROR(__xludf.DUMMYFUNCTION("""COMPUTED_VALUE"""),"7 RUE DES HALLES")</f>
        <v>7 RUE DES HALLES</v>
      </c>
      <c r="G704" t="str">
        <f ca="1">IFERROR(__xludf.DUMMYFUNCTION("""COMPUTED_VALUE"""),"01.43.03.02.10")</f>
        <v>01.43.03.02.10</v>
      </c>
      <c r="H704" t="str">
        <f ca="1">IFERROR(__xludf.DUMMYFUNCTION("""COMPUTED_VALUE"""),"DELMOTTE Jérôme")</f>
        <v>DELMOTTE Jérôme</v>
      </c>
      <c r="I704" t="str">
        <f ca="1">IFERROR(__xludf.DUMMYFUNCTION("""COMPUTED_VALUE"""),"jerome.delmotte@systeme-u.fr")</f>
        <v>jerome.delmotte@systeme-u.fr</v>
      </c>
      <c r="J704" t="str">
        <f ca="1">IFERROR(__xludf.DUMMYFUNCTION("""COMPUTED_VALUE"""),"")</f>
        <v/>
      </c>
      <c r="K704" t="str">
        <f ca="1">IFERROR(__xludf.DUMMYFUNCTION("""COMPUTED_VALUE"""),"")</f>
        <v/>
      </c>
      <c r="L704" t="str">
        <f ca="1">IFERROR(__xludf.DUMMYFUNCTION("""COMPUTED_VALUE"""),"")</f>
        <v/>
      </c>
      <c r="M704" t="str">
        <f ca="1">IFERROR(__xludf.DUMMYFUNCTION("""COMPUTED_VALUE"""),"99.Hors Périmetre")</f>
        <v>99.Hors Périmetre</v>
      </c>
      <c r="N704" t="str">
        <f ca="1">IFERROR(__xludf.DUMMYFUNCTION("""COMPUTED_VALUE"""),"")</f>
        <v/>
      </c>
      <c r="O704" t="str">
        <f ca="1">IFERROR(__xludf.DUMMYFUNCTION("""COMPUTED_VALUE"""),"")</f>
        <v/>
      </c>
      <c r="P704" t="str">
        <f ca="1">IFERROR(__xludf.DUMMYFUNCTION("""COMPUTED_VALUE"""),"")</f>
        <v/>
      </c>
      <c r="Q704" s="5" t="str">
        <f ca="1">IFERROR(__xludf.DUMMYFUNCTION("""COMPUTED_VALUE"""),"")</f>
        <v/>
      </c>
      <c r="R704" s="6" t="str">
        <f ca="1">IFERROR(__xludf.DUMMYFUNCTION("""COMPUTED_VALUE"""),"")</f>
        <v/>
      </c>
      <c r="S704" t="str">
        <f ca="1">IFERROR(__xludf.DUMMYFUNCTION("""COMPUTED_VALUE"""),"")</f>
        <v/>
      </c>
      <c r="T704" t="str">
        <f ca="1">IFERROR(__xludf.DUMMYFUNCTION("""COMPUTED_VALUE"""),"")</f>
        <v/>
      </c>
      <c r="U704" t="str">
        <f ca="1">IFERROR(__xludf.DUMMYFUNCTION("""COMPUTED_VALUE"""),"")</f>
        <v/>
      </c>
      <c r="V704" t="str">
        <f ca="1">IFERROR(__xludf.DUMMYFUNCTION("""COMPUTED_VALUE"""),"")</f>
        <v/>
      </c>
      <c r="W704" t="str">
        <f ca="1">IFERROR(__xludf.DUMMYFUNCTION("""COMPUTED_VALUE"""),"")</f>
        <v/>
      </c>
      <c r="X704" t="str">
        <f ca="1">IFERROR(__xludf.DUMMYFUNCTION("""COMPUTED_VALUE"""),"")</f>
        <v/>
      </c>
      <c r="Y704" t="str">
        <f ca="1">IFERROR(__xludf.DUMMYFUNCTION("""COMPUTED_VALUE"""),"")</f>
        <v/>
      </c>
      <c r="Z704" t="str">
        <f ca="1">IFERROR(__xludf.DUMMYFUNCTION("""COMPUTED_VALUE"""),"")</f>
        <v/>
      </c>
      <c r="AA704" t="str">
        <f ca="1">IFERROR(__xludf.DUMMYFUNCTION("""COMPUTED_VALUE"""),"Pas de commande")</f>
        <v>Pas de commande</v>
      </c>
      <c r="AB704" s="8" t="str">
        <f ca="1">IFERROR(__xludf.DUMMYFUNCTION("""COMPUTED_VALUE"""),"")</f>
        <v/>
      </c>
      <c r="AC704" s="8" t="str">
        <f ca="1">IFERROR(__xludf.DUMMYFUNCTION("""COMPUTED_VALUE"""),"")</f>
        <v/>
      </c>
      <c r="AD704" s="11" t="str">
        <f ca="1">IFERROR(__xludf.DUMMYFUNCTION("""COMPUTED_VALUE"""),"")</f>
        <v/>
      </c>
      <c r="AE704" t="str">
        <f ca="1">IFERROR(__xludf.DUMMYFUNCTION("""COMPUTED_VALUE"""),"")</f>
        <v/>
      </c>
    </row>
    <row r="705" spans="1:31" ht="12.75" x14ac:dyDescent="0.2">
      <c r="A705">
        <f ca="1">IFERROR(__xludf.DUMMYFUNCTION("""COMPUTED_VALUE"""),28257)</f>
        <v>28257</v>
      </c>
      <c r="B705" t="str">
        <f ca="1">IFERROR(__xludf.DUMMYFUNCTION("""COMPUTED_VALUE"""),"NOISY LE ROI")</f>
        <v>NOISY LE ROI</v>
      </c>
      <c r="C705" t="str">
        <f ca="1">IFERROR(__xludf.DUMMYFUNCTION("""COMPUTED_VALUE"""),"Super U")</f>
        <v>Super U</v>
      </c>
      <c r="D705" t="str">
        <f ca="1">IFERROR(__xludf.DUMMYFUNCTION("""COMPUTED_VALUE"""),"Coop U Enseigne NordOuest")</f>
        <v>Coop U Enseigne NordOuest</v>
      </c>
      <c r="E705">
        <f ca="1">IFERROR(__xludf.DUMMYFUNCTION("""COMPUTED_VALUE"""),78590)</f>
        <v>78590</v>
      </c>
      <c r="F705" t="str">
        <f ca="1">IFERROR(__xludf.DUMMYFUNCTION("""COMPUTED_VALUE"""),"4 RUE ANDRE LE BOURBLAN")</f>
        <v>4 RUE ANDRE LE BOURBLAN</v>
      </c>
      <c r="G705" t="str">
        <f ca="1">IFERROR(__xludf.DUMMYFUNCTION("""COMPUTED_VALUE"""),"01.34.62.96.56")</f>
        <v>01.34.62.96.56</v>
      </c>
      <c r="H705" t="str">
        <f ca="1">IFERROR(__xludf.DUMMYFUNCTION("""COMPUTED_VALUE"""),"SAGEAU Maxime")</f>
        <v>SAGEAU Maxime</v>
      </c>
      <c r="I705" t="str">
        <f ca="1">IFERROR(__xludf.DUMMYFUNCTION("""COMPUTED_VALUE"""),"maxime.sageau@systeme-u.fr")</f>
        <v>maxime.sageau@systeme-u.fr</v>
      </c>
      <c r="J705" t="str">
        <f ca="1">IFERROR(__xludf.DUMMYFUNCTION("""COMPUTED_VALUE"""),"Mr Bredon
Mme ESTEVES (référent magasin)")</f>
        <v>Mr Bredon
Mme ESTEVES (référent magasin)</v>
      </c>
      <c r="K705" t="str">
        <f ca="1">IFERROR(__xludf.DUMMYFUNCTION("""COMPUTED_VALUE"""),"info.noisyleroi@gmail.com")</f>
        <v>info.noisyleroi@gmail.com</v>
      </c>
      <c r="L705" t="str">
        <f ca="1">IFERROR(__xludf.DUMMYFUNCTION("""COMPUTED_VALUE"""),"")</f>
        <v/>
      </c>
      <c r="M705" t="str">
        <f ca="1">IFERROR(__xludf.DUMMYFUNCTION("""COMPUTED_VALUE"""),"99.Hors Périmetre")</f>
        <v>99.Hors Périmetre</v>
      </c>
      <c r="N705" t="str">
        <f ca="1">IFERROR(__xludf.DUMMYFUNCTION("""COMPUTED_VALUE"""),"")</f>
        <v/>
      </c>
      <c r="O705" t="str">
        <f ca="1">IFERROR(__xludf.DUMMYFUNCTION("""COMPUTED_VALUE"""),"")</f>
        <v/>
      </c>
      <c r="P705" t="str">
        <f ca="1">IFERROR(__xludf.DUMMYFUNCTION("""COMPUTED_VALUE"""),"")</f>
        <v/>
      </c>
      <c r="Q705" s="5" t="str">
        <f ca="1">IFERROR(__xludf.DUMMYFUNCTION("""COMPUTED_VALUE"""),"")</f>
        <v/>
      </c>
      <c r="R705" s="6" t="str">
        <f ca="1">IFERROR(__xludf.DUMMYFUNCTION("""COMPUTED_VALUE"""),"")</f>
        <v/>
      </c>
      <c r="S705" t="str">
        <f ca="1">IFERROR(__xludf.DUMMYFUNCTION("""COMPUTED_VALUE"""),"")</f>
        <v/>
      </c>
      <c r="T705" t="str">
        <f ca="1">IFERROR(__xludf.DUMMYFUNCTION("""COMPUTED_VALUE"""),"")</f>
        <v/>
      </c>
      <c r="U705" t="str">
        <f ca="1">IFERROR(__xludf.DUMMYFUNCTION("""COMPUTED_VALUE"""),"")</f>
        <v/>
      </c>
      <c r="V705" t="str">
        <f ca="1">IFERROR(__xludf.DUMMYFUNCTION("""COMPUTED_VALUE"""),"")</f>
        <v/>
      </c>
      <c r="W705" t="str">
        <f ca="1">IFERROR(__xludf.DUMMYFUNCTION("""COMPUTED_VALUE"""),"")</f>
        <v/>
      </c>
      <c r="X705" t="str">
        <f ca="1">IFERROR(__xludf.DUMMYFUNCTION("""COMPUTED_VALUE"""),"")</f>
        <v/>
      </c>
      <c r="Y705" t="str">
        <f ca="1">IFERROR(__xludf.DUMMYFUNCTION("""COMPUTED_VALUE"""),"")</f>
        <v/>
      </c>
      <c r="Z705" t="str">
        <f ca="1">IFERROR(__xludf.DUMMYFUNCTION("""COMPUTED_VALUE"""),"")</f>
        <v/>
      </c>
      <c r="AA705" t="str">
        <f ca="1">IFERROR(__xludf.DUMMYFUNCTION("""COMPUTED_VALUE"""),"Pas de commande")</f>
        <v>Pas de commande</v>
      </c>
      <c r="AB705" s="8" t="str">
        <f ca="1">IFERROR(__xludf.DUMMYFUNCTION("""COMPUTED_VALUE"""),"")</f>
        <v/>
      </c>
      <c r="AC705" s="8" t="str">
        <f ca="1">IFERROR(__xludf.DUMMYFUNCTION("""COMPUTED_VALUE"""),"")</f>
        <v/>
      </c>
      <c r="AD705" s="11" t="str">
        <f ca="1">IFERROR(__xludf.DUMMYFUNCTION("""COMPUTED_VALUE"""),"")</f>
        <v/>
      </c>
      <c r="AE705" t="str">
        <f ca="1">IFERROR(__xludf.DUMMYFUNCTION("""COMPUTED_VALUE"""),"")</f>
        <v/>
      </c>
    </row>
    <row r="706" spans="1:31" ht="12.75" x14ac:dyDescent="0.2">
      <c r="A706">
        <f ca="1">IFERROR(__xludf.DUMMYFUNCTION("""COMPUTED_VALUE"""),95124)</f>
        <v>95124</v>
      </c>
      <c r="B706" t="str">
        <f ca="1">IFERROR(__xludf.DUMMYFUNCTION("""COMPUTED_VALUE"""),"NONTRON")</f>
        <v>NONTRON</v>
      </c>
      <c r="C706" t="str">
        <f ca="1">IFERROR(__xludf.DUMMYFUNCTION("""COMPUTED_VALUE"""),"Super U")</f>
        <v>Super U</v>
      </c>
      <c r="D706" t="str">
        <f ca="1">IFERROR(__xludf.DUMMYFUNCTION("""COMPUTED_VALUE"""),"Coop U Enseigne Sud")</f>
        <v>Coop U Enseigne Sud</v>
      </c>
      <c r="E706">
        <f ca="1">IFERROR(__xludf.DUMMYFUNCTION("""COMPUTED_VALUE"""),24300)</f>
        <v>24300</v>
      </c>
      <c r="F706" t="str">
        <f ca="1">IFERROR(__xludf.DUMMYFUNCTION("""COMPUTED_VALUE"""),"RUE JULES FERRY BP 3")</f>
        <v>RUE JULES FERRY BP 3</v>
      </c>
      <c r="G706" t="str">
        <f ca="1">IFERROR(__xludf.DUMMYFUNCTION("""COMPUTED_VALUE"""),"05.53.60.93.00")</f>
        <v>05.53.60.93.00</v>
      </c>
      <c r="H706" t="str">
        <f ca="1">IFERROR(__xludf.DUMMYFUNCTION("""COMPUTED_VALUE"""),"ET THOMAS PELISSIER CYRIL TREUIL")</f>
        <v>ET THOMAS PELISSIER CYRIL TREUIL</v>
      </c>
      <c r="I706" t="str">
        <f ca="1">IFERROR(__xludf.DUMMYFUNCTION("""COMPUTED_VALUE"""),"")</f>
        <v/>
      </c>
      <c r="J706" t="str">
        <f ca="1">IFERROR(__xludf.DUMMYFUNCTION("""COMPUTED_VALUE"""),"Cyril TREUIL")</f>
        <v>Cyril TREUIL</v>
      </c>
      <c r="K706" t="str">
        <f ca="1">IFERROR(__xludf.DUMMYFUNCTION("""COMPUTED_VALUE"""),"cyril.treuil@systeme-u.fr")</f>
        <v>cyril.treuil@systeme-u.fr</v>
      </c>
      <c r="L706" t="str">
        <f ca="1">IFERROR(__xludf.DUMMYFUNCTION("""COMPUTED_VALUE"""),"")</f>
        <v/>
      </c>
      <c r="M706" t="str">
        <f ca="1">IFERROR(__xludf.DUMMYFUNCTION("""COMPUTED_VALUE"""),"99.Hors Périmetre")</f>
        <v>99.Hors Périmetre</v>
      </c>
      <c r="N706" t="str">
        <f ca="1">IFERROR(__xludf.DUMMYFUNCTION("""COMPUTED_VALUE"""),"")</f>
        <v/>
      </c>
      <c r="O706" t="str">
        <f ca="1">IFERROR(__xludf.DUMMYFUNCTION("""COMPUTED_VALUE"""),"")</f>
        <v/>
      </c>
      <c r="P706" t="str">
        <f ca="1">IFERROR(__xludf.DUMMYFUNCTION("""COMPUTED_VALUE"""),"")</f>
        <v/>
      </c>
      <c r="Q706" s="5" t="str">
        <f ca="1">IFERROR(__xludf.DUMMYFUNCTION("""COMPUTED_VALUE"""),"")</f>
        <v/>
      </c>
      <c r="R706" s="6" t="str">
        <f ca="1">IFERROR(__xludf.DUMMYFUNCTION("""COMPUTED_VALUE"""),"")</f>
        <v/>
      </c>
      <c r="S706" t="str">
        <f ca="1">IFERROR(__xludf.DUMMYFUNCTION("""COMPUTED_VALUE"""),"")</f>
        <v/>
      </c>
      <c r="T706" t="str">
        <f ca="1">IFERROR(__xludf.DUMMYFUNCTION("""COMPUTED_VALUE"""),"")</f>
        <v/>
      </c>
      <c r="U706" t="str">
        <f ca="1">IFERROR(__xludf.DUMMYFUNCTION("""COMPUTED_VALUE"""),"")</f>
        <v/>
      </c>
      <c r="V706" t="str">
        <f ca="1">IFERROR(__xludf.DUMMYFUNCTION("""COMPUTED_VALUE"""),"")</f>
        <v/>
      </c>
      <c r="W706" t="str">
        <f ca="1">IFERROR(__xludf.DUMMYFUNCTION("""COMPUTED_VALUE"""),"")</f>
        <v/>
      </c>
      <c r="X706" t="str">
        <f ca="1">IFERROR(__xludf.DUMMYFUNCTION("""COMPUTED_VALUE"""),"")</f>
        <v/>
      </c>
      <c r="Y706" t="str">
        <f ca="1">IFERROR(__xludf.DUMMYFUNCTION("""COMPUTED_VALUE"""),"")</f>
        <v/>
      </c>
      <c r="Z706" t="str">
        <f ca="1">IFERROR(__xludf.DUMMYFUNCTION("""COMPUTED_VALUE"""),"")</f>
        <v/>
      </c>
      <c r="AA706" t="str">
        <f ca="1">IFERROR(__xludf.DUMMYFUNCTION("""COMPUTED_VALUE"""),"Pas de commande")</f>
        <v>Pas de commande</v>
      </c>
      <c r="AB706" s="8" t="str">
        <f ca="1">IFERROR(__xludf.DUMMYFUNCTION("""COMPUTED_VALUE"""),"")</f>
        <v/>
      </c>
      <c r="AC706" s="8" t="str">
        <f ca="1">IFERROR(__xludf.DUMMYFUNCTION("""COMPUTED_VALUE"""),"")</f>
        <v/>
      </c>
      <c r="AD706" s="11" t="str">
        <f ca="1">IFERROR(__xludf.DUMMYFUNCTION("""COMPUTED_VALUE"""),"")</f>
        <v/>
      </c>
      <c r="AE706" t="str">
        <f ca="1">IFERROR(__xludf.DUMMYFUNCTION("""COMPUTED_VALUE"""),"")</f>
        <v/>
      </c>
    </row>
    <row r="707" spans="1:31" ht="12.75" x14ac:dyDescent="0.2">
      <c r="A707">
        <f ca="1">IFERROR(__xludf.DUMMYFUNCTION("""COMPUTED_VALUE"""),32593)</f>
        <v>32593</v>
      </c>
      <c r="B707" t="str">
        <f ca="1">IFERROR(__xludf.DUMMYFUNCTION("""COMPUTED_VALUE"""),"NORT-SUR-ERDRE")</f>
        <v>NORT-SUR-ERDRE</v>
      </c>
      <c r="C707" t="str">
        <f ca="1">IFERROR(__xludf.DUMMYFUNCTION("""COMPUTED_VALUE"""),"Super U")</f>
        <v>Super U</v>
      </c>
      <c r="D707" t="str">
        <f ca="1">IFERROR(__xludf.DUMMYFUNCTION("""COMPUTED_VALUE"""),"Coop U Enseigne Ouest")</f>
        <v>Coop U Enseigne Ouest</v>
      </c>
      <c r="E707">
        <f ca="1">IFERROR(__xludf.DUMMYFUNCTION("""COMPUTED_VALUE"""),44390)</f>
        <v>44390</v>
      </c>
      <c r="F707" t="str">
        <f ca="1">IFERROR(__xludf.DUMMYFUNCTION("""COMPUTED_VALUE"""),"5 RUE DE L'ERDRE")</f>
        <v>5 RUE DE L'ERDRE</v>
      </c>
      <c r="G707" t="str">
        <f ca="1">IFERROR(__xludf.DUMMYFUNCTION("""COMPUTED_VALUE"""),"02.51.12.00.20")</f>
        <v>02.51.12.00.20</v>
      </c>
      <c r="H707" t="str">
        <f ca="1">IFERROR(__xludf.DUMMYFUNCTION("""COMPUTED_VALUE"""),"BOURE Christian")</f>
        <v>BOURE Christian</v>
      </c>
      <c r="I707" t="str">
        <f ca="1">IFERROR(__xludf.DUMMYFUNCTION("""COMPUTED_VALUE"""),"christian.boure@systeme-u.fr")</f>
        <v>christian.boure@systeme-u.fr</v>
      </c>
      <c r="J707" t="str">
        <f ca="1">IFERROR(__xludf.DUMMYFUNCTION("""COMPUTED_VALUE"""),"Mr Harouet")</f>
        <v>Mr Harouet</v>
      </c>
      <c r="K707" t="str">
        <f ca="1">IFERROR(__xludf.DUMMYFUNCTION("""COMPUTED_VALUE"""),"superu.nortsurerdre.compta@systeme-u.fr")</f>
        <v>superu.nortsurerdre.compta@systeme-u.fr</v>
      </c>
      <c r="L707" t="str">
        <f ca="1">IFERROR(__xludf.DUMMYFUNCTION("""COMPUTED_VALUE"""),"")</f>
        <v/>
      </c>
      <c r="M707" t="str">
        <f ca="1">IFERROR(__xludf.DUMMYFUNCTION("""COMPUTED_VALUE"""),"99.Hors Périmetre")</f>
        <v>99.Hors Périmetre</v>
      </c>
      <c r="N707" t="str">
        <f ca="1">IFERROR(__xludf.DUMMYFUNCTION("""COMPUTED_VALUE"""),"")</f>
        <v/>
      </c>
      <c r="O707" t="str">
        <f ca="1">IFERROR(__xludf.DUMMYFUNCTION("""COMPUTED_VALUE"""),"")</f>
        <v/>
      </c>
      <c r="P707" t="str">
        <f ca="1">IFERROR(__xludf.DUMMYFUNCTION("""COMPUTED_VALUE"""),"")</f>
        <v/>
      </c>
      <c r="Q707" s="5" t="str">
        <f ca="1">IFERROR(__xludf.DUMMYFUNCTION("""COMPUTED_VALUE"""),"")</f>
        <v/>
      </c>
      <c r="R707" s="6" t="str">
        <f ca="1">IFERROR(__xludf.DUMMYFUNCTION("""COMPUTED_VALUE"""),"")</f>
        <v/>
      </c>
      <c r="S707" t="str">
        <f ca="1">IFERROR(__xludf.DUMMYFUNCTION("""COMPUTED_VALUE"""),"")</f>
        <v/>
      </c>
      <c r="T707" t="str">
        <f ca="1">IFERROR(__xludf.DUMMYFUNCTION("""COMPUTED_VALUE"""),"")</f>
        <v/>
      </c>
      <c r="U707" t="str">
        <f ca="1">IFERROR(__xludf.DUMMYFUNCTION("""COMPUTED_VALUE"""),"")</f>
        <v/>
      </c>
      <c r="V707" t="str">
        <f ca="1">IFERROR(__xludf.DUMMYFUNCTION("""COMPUTED_VALUE"""),"")</f>
        <v/>
      </c>
      <c r="W707" t="str">
        <f ca="1">IFERROR(__xludf.DUMMYFUNCTION("""COMPUTED_VALUE"""),"")</f>
        <v/>
      </c>
      <c r="X707" t="str">
        <f ca="1">IFERROR(__xludf.DUMMYFUNCTION("""COMPUTED_VALUE"""),"")</f>
        <v/>
      </c>
      <c r="Y707" t="str">
        <f ca="1">IFERROR(__xludf.DUMMYFUNCTION("""COMPUTED_VALUE"""),"")</f>
        <v/>
      </c>
      <c r="Z707" t="str">
        <f ca="1">IFERROR(__xludf.DUMMYFUNCTION("""COMPUTED_VALUE"""),"")</f>
        <v/>
      </c>
      <c r="AA707" t="str">
        <f ca="1">IFERROR(__xludf.DUMMYFUNCTION("""COMPUTED_VALUE"""),"Pas de commande")</f>
        <v>Pas de commande</v>
      </c>
      <c r="AB707" s="8" t="str">
        <f ca="1">IFERROR(__xludf.DUMMYFUNCTION("""COMPUTED_VALUE"""),"")</f>
        <v/>
      </c>
      <c r="AC707" s="8" t="str">
        <f ca="1">IFERROR(__xludf.DUMMYFUNCTION("""COMPUTED_VALUE"""),"")</f>
        <v/>
      </c>
      <c r="AD707" s="11" t="str">
        <f ca="1">IFERROR(__xludf.DUMMYFUNCTION("""COMPUTED_VALUE"""),"")</f>
        <v/>
      </c>
      <c r="AE707" t="str">
        <f ca="1">IFERROR(__xludf.DUMMYFUNCTION("""COMPUTED_VALUE"""),"")</f>
        <v/>
      </c>
    </row>
    <row r="708" spans="1:31" ht="12.75" x14ac:dyDescent="0.2">
      <c r="A708">
        <f ca="1">IFERROR(__xludf.DUMMYFUNCTION("""COMPUTED_VALUE"""),95169)</f>
        <v>95169</v>
      </c>
      <c r="B708" t="str">
        <f ca="1">IFERROR(__xludf.DUMMYFUNCTION("""COMPUTED_VALUE"""),"NOTRE DAME DE SANILHAC")</f>
        <v>NOTRE DAME DE SANILHAC</v>
      </c>
      <c r="C708" t="str">
        <f ca="1">IFERROR(__xludf.DUMMYFUNCTION("""COMPUTED_VALUE"""),"Super U")</f>
        <v>Super U</v>
      </c>
      <c r="D708" t="str">
        <f ca="1">IFERROR(__xludf.DUMMYFUNCTION("""COMPUTED_VALUE"""),"Coop U Enseigne Sud")</f>
        <v>Coop U Enseigne Sud</v>
      </c>
      <c r="E708">
        <f ca="1">IFERROR(__xludf.DUMMYFUNCTION("""COMPUTED_VALUE"""),24660)</f>
        <v>24660</v>
      </c>
      <c r="F708" t="str">
        <f ca="1">IFERROR(__xludf.DUMMYFUNCTION("""COMPUTED_VALUE"""),"ZONE DE CREA VALLEE SUD")</f>
        <v>ZONE DE CREA VALLEE SUD</v>
      </c>
      <c r="G708" t="str">
        <f ca="1">IFERROR(__xludf.DUMMYFUNCTION("""COMPUTED_VALUE"""),"05.53.05.52.80")</f>
        <v>05.53.05.52.80</v>
      </c>
      <c r="H708" t="str">
        <f ca="1">IFERROR(__xludf.DUMMYFUNCTION("""COMPUTED_VALUE"""),"PONNELLE David")</f>
        <v>PONNELLE David</v>
      </c>
      <c r="I708" t="str">
        <f ca="1">IFERROR(__xludf.DUMMYFUNCTION("""COMPUTED_VALUE"""),"david.ponnelle@systeme-u.fr")</f>
        <v>david.ponnelle@systeme-u.fr</v>
      </c>
      <c r="J708" t="str">
        <f ca="1">IFERROR(__xludf.DUMMYFUNCTION("""COMPUTED_VALUE"""),"")</f>
        <v/>
      </c>
      <c r="K708" t="str">
        <f ca="1">IFERROR(__xludf.DUMMYFUNCTION("""COMPUTED_VALUE"""),"")</f>
        <v/>
      </c>
      <c r="L708" t="str">
        <f ca="1">IFERROR(__xludf.DUMMYFUNCTION("""COMPUTED_VALUE"""),"")</f>
        <v/>
      </c>
      <c r="M708" t="str">
        <f ca="1">IFERROR(__xludf.DUMMYFUNCTION("""COMPUTED_VALUE"""),"99.Hors Périmetre")</f>
        <v>99.Hors Périmetre</v>
      </c>
      <c r="N708" t="str">
        <f ca="1">IFERROR(__xludf.DUMMYFUNCTION("""COMPUTED_VALUE"""),"")</f>
        <v/>
      </c>
      <c r="O708" t="str">
        <f ca="1">IFERROR(__xludf.DUMMYFUNCTION("""COMPUTED_VALUE"""),"")</f>
        <v/>
      </c>
      <c r="P708" t="str">
        <f ca="1">IFERROR(__xludf.DUMMYFUNCTION("""COMPUTED_VALUE"""),"")</f>
        <v/>
      </c>
      <c r="Q708" s="5" t="str">
        <f ca="1">IFERROR(__xludf.DUMMYFUNCTION("""COMPUTED_VALUE"""),"")</f>
        <v/>
      </c>
      <c r="R708" s="6" t="str">
        <f ca="1">IFERROR(__xludf.DUMMYFUNCTION("""COMPUTED_VALUE"""),"")</f>
        <v/>
      </c>
      <c r="S708" t="str">
        <f ca="1">IFERROR(__xludf.DUMMYFUNCTION("""COMPUTED_VALUE"""),"")</f>
        <v/>
      </c>
      <c r="T708" t="str">
        <f ca="1">IFERROR(__xludf.DUMMYFUNCTION("""COMPUTED_VALUE"""),"")</f>
        <v/>
      </c>
      <c r="U708" t="str">
        <f ca="1">IFERROR(__xludf.DUMMYFUNCTION("""COMPUTED_VALUE"""),"")</f>
        <v/>
      </c>
      <c r="V708" t="str">
        <f ca="1">IFERROR(__xludf.DUMMYFUNCTION("""COMPUTED_VALUE"""),"")</f>
        <v/>
      </c>
      <c r="W708" t="str">
        <f ca="1">IFERROR(__xludf.DUMMYFUNCTION("""COMPUTED_VALUE"""),"")</f>
        <v/>
      </c>
      <c r="X708" t="str">
        <f ca="1">IFERROR(__xludf.DUMMYFUNCTION("""COMPUTED_VALUE"""),"")</f>
        <v/>
      </c>
      <c r="Y708" t="str">
        <f ca="1">IFERROR(__xludf.DUMMYFUNCTION("""COMPUTED_VALUE"""),"")</f>
        <v/>
      </c>
      <c r="Z708" t="str">
        <f ca="1">IFERROR(__xludf.DUMMYFUNCTION("""COMPUTED_VALUE"""),"")</f>
        <v/>
      </c>
      <c r="AA708" t="str">
        <f ca="1">IFERROR(__xludf.DUMMYFUNCTION("""COMPUTED_VALUE"""),"Pas de commande")</f>
        <v>Pas de commande</v>
      </c>
      <c r="AB708" s="8" t="str">
        <f ca="1">IFERROR(__xludf.DUMMYFUNCTION("""COMPUTED_VALUE"""),"")</f>
        <v/>
      </c>
      <c r="AC708" s="8" t="str">
        <f ca="1">IFERROR(__xludf.DUMMYFUNCTION("""COMPUTED_VALUE"""),"")</f>
        <v/>
      </c>
      <c r="AD708" s="11" t="str">
        <f ca="1">IFERROR(__xludf.DUMMYFUNCTION("""COMPUTED_VALUE"""),"")</f>
        <v/>
      </c>
      <c r="AE708" t="str">
        <f ca="1">IFERROR(__xludf.DUMMYFUNCTION("""COMPUTED_VALUE"""),"")</f>
        <v/>
      </c>
    </row>
    <row r="709" spans="1:31" ht="12.75" x14ac:dyDescent="0.2">
      <c r="A709">
        <f ca="1">IFERROR(__xludf.DUMMYFUNCTION("""COMPUTED_VALUE"""),30922)</f>
        <v>30922</v>
      </c>
      <c r="B709" t="str">
        <f ca="1">IFERROR(__xludf.DUMMYFUNCTION("""COMPUTED_VALUE"""),"NOTRE-DAME-DE-MONTS")</f>
        <v>NOTRE-DAME-DE-MONTS</v>
      </c>
      <c r="C709" t="str">
        <f ca="1">IFERROR(__xludf.DUMMYFUNCTION("""COMPUTED_VALUE"""),"U Express")</f>
        <v>U Express</v>
      </c>
      <c r="D709" t="str">
        <f ca="1">IFERROR(__xludf.DUMMYFUNCTION("""COMPUTED_VALUE"""),"Coop U Enseigne Ouest")</f>
        <v>Coop U Enseigne Ouest</v>
      </c>
      <c r="E709">
        <f ca="1">IFERROR(__xludf.DUMMYFUNCTION("""COMPUTED_VALUE"""),85690)</f>
        <v>85690</v>
      </c>
      <c r="F709" t="str">
        <f ca="1">IFERROR(__xludf.DUMMYFUNCTION("""COMPUTED_VALUE"""),"ROUTE DU FIEF NOUMOIS")</f>
        <v>ROUTE DU FIEF NOUMOIS</v>
      </c>
      <c r="G709" t="str">
        <f ca="1">IFERROR(__xludf.DUMMYFUNCTION("""COMPUTED_VALUE"""),"02.51.59.94.94")</f>
        <v>02.51.59.94.94</v>
      </c>
      <c r="H709" t="str">
        <f ca="1">IFERROR(__xludf.DUMMYFUNCTION("""COMPUTED_VALUE"""),"GUERET JéROME")</f>
        <v>GUERET JéROME</v>
      </c>
      <c r="I709" t="str">
        <f ca="1">IFERROR(__xludf.DUMMYFUNCTION("""COMPUTED_VALUE"""),"jerome.gueret@systeme-u.fr")</f>
        <v>jerome.gueret@systeme-u.fr</v>
      </c>
      <c r="J709" t="str">
        <f ca="1">IFERROR(__xludf.DUMMYFUNCTION("""COMPUTED_VALUE"""),"")</f>
        <v/>
      </c>
      <c r="K709" t="str">
        <f ca="1">IFERROR(__xludf.DUMMYFUNCTION("""COMPUTED_VALUE"""),"")</f>
        <v/>
      </c>
      <c r="L709" t="str">
        <f ca="1">IFERROR(__xludf.DUMMYFUNCTION("""COMPUTED_VALUE"""),"")</f>
        <v/>
      </c>
      <c r="M709" t="str">
        <f ca="1">IFERROR(__xludf.DUMMYFUNCTION("""COMPUTED_VALUE"""),"99.Hors Périmetre")</f>
        <v>99.Hors Périmetre</v>
      </c>
      <c r="N709" t="str">
        <f ca="1">IFERROR(__xludf.DUMMYFUNCTION("""COMPUTED_VALUE"""),"")</f>
        <v/>
      </c>
      <c r="O709" t="str">
        <f ca="1">IFERROR(__xludf.DUMMYFUNCTION("""COMPUTED_VALUE"""),"")</f>
        <v/>
      </c>
      <c r="P709" t="str">
        <f ca="1">IFERROR(__xludf.DUMMYFUNCTION("""COMPUTED_VALUE"""),"")</f>
        <v/>
      </c>
      <c r="Q709" s="5" t="str">
        <f ca="1">IFERROR(__xludf.DUMMYFUNCTION("""COMPUTED_VALUE"""),"")</f>
        <v/>
      </c>
      <c r="R709" s="6" t="str">
        <f ca="1">IFERROR(__xludf.DUMMYFUNCTION("""COMPUTED_VALUE"""),"")</f>
        <v/>
      </c>
      <c r="S709" t="str">
        <f ca="1">IFERROR(__xludf.DUMMYFUNCTION("""COMPUTED_VALUE"""),"")</f>
        <v/>
      </c>
      <c r="T709" t="str">
        <f ca="1">IFERROR(__xludf.DUMMYFUNCTION("""COMPUTED_VALUE"""),"")</f>
        <v/>
      </c>
      <c r="U709" t="str">
        <f ca="1">IFERROR(__xludf.DUMMYFUNCTION("""COMPUTED_VALUE"""),"")</f>
        <v/>
      </c>
      <c r="V709" t="str">
        <f ca="1">IFERROR(__xludf.DUMMYFUNCTION("""COMPUTED_VALUE"""),"")</f>
        <v/>
      </c>
      <c r="W709" t="str">
        <f ca="1">IFERROR(__xludf.DUMMYFUNCTION("""COMPUTED_VALUE"""),"")</f>
        <v/>
      </c>
      <c r="X709" t="str">
        <f ca="1">IFERROR(__xludf.DUMMYFUNCTION("""COMPUTED_VALUE"""),"")</f>
        <v/>
      </c>
      <c r="Y709" t="str">
        <f ca="1">IFERROR(__xludf.DUMMYFUNCTION("""COMPUTED_VALUE"""),"")</f>
        <v/>
      </c>
      <c r="Z709" t="str">
        <f ca="1">IFERROR(__xludf.DUMMYFUNCTION("""COMPUTED_VALUE"""),"")</f>
        <v/>
      </c>
      <c r="AA709" t="str">
        <f ca="1">IFERROR(__xludf.DUMMYFUNCTION("""COMPUTED_VALUE"""),"Pas de commande")</f>
        <v>Pas de commande</v>
      </c>
      <c r="AB709" s="8" t="str">
        <f ca="1">IFERROR(__xludf.DUMMYFUNCTION("""COMPUTED_VALUE"""),"")</f>
        <v/>
      </c>
      <c r="AC709" s="8" t="str">
        <f ca="1">IFERROR(__xludf.DUMMYFUNCTION("""COMPUTED_VALUE"""),"")</f>
        <v/>
      </c>
      <c r="AD709" s="11" t="str">
        <f ca="1">IFERROR(__xludf.DUMMYFUNCTION("""COMPUTED_VALUE"""),"")</f>
        <v/>
      </c>
      <c r="AE709" t="str">
        <f ca="1">IFERROR(__xludf.DUMMYFUNCTION("""COMPUTED_VALUE"""),"")</f>
        <v/>
      </c>
    </row>
    <row r="710" spans="1:31" ht="12.75" x14ac:dyDescent="0.2">
      <c r="A710">
        <f ca="1">IFERROR(__xludf.DUMMYFUNCTION("""COMPUTED_VALUE"""),90681)</f>
        <v>90681</v>
      </c>
      <c r="B710" t="str">
        <f ca="1">IFERROR(__xludf.DUMMYFUNCTION("""COMPUTED_VALUE"""),"NOVES")</f>
        <v>NOVES</v>
      </c>
      <c r="C710" t="str">
        <f ca="1">IFERROR(__xludf.DUMMYFUNCTION("""COMPUTED_VALUE"""),"U Express")</f>
        <v>U Express</v>
      </c>
      <c r="D710" t="str">
        <f ca="1">IFERROR(__xludf.DUMMYFUNCTION("""COMPUTED_VALUE"""),"Coop MISTRAL")</f>
        <v>Coop MISTRAL</v>
      </c>
      <c r="E710">
        <f ca="1">IFERROR(__xludf.DUMMYFUNCTION("""COMPUTED_VALUE"""),13550)</f>
        <v>13550</v>
      </c>
      <c r="F710" t="str">
        <f ca="1">IFERROR(__xludf.DUMMYFUNCTION("""COMPUTED_VALUE"""),"PLACE JULES FERRY")</f>
        <v>PLACE JULES FERRY</v>
      </c>
      <c r="G710" t="str">
        <f ca="1">IFERROR(__xludf.DUMMYFUNCTION("""COMPUTED_VALUE"""),"04.32.61.06.91")</f>
        <v>04.32.61.06.91</v>
      </c>
      <c r="H710" t="str">
        <f ca="1">IFERROR(__xludf.DUMMYFUNCTION("""COMPUTED_VALUE"""),"DELATTRE Benoit")</f>
        <v>DELATTRE Benoit</v>
      </c>
      <c r="I710" t="str">
        <f ca="1">IFERROR(__xludf.DUMMYFUNCTION("""COMPUTED_VALUE"""),"")</f>
        <v/>
      </c>
      <c r="J710" t="str">
        <f ca="1">IFERROR(__xludf.DUMMYFUNCTION("""COMPUTED_VALUE"""),"Grégoire Delattre (frère associé)")</f>
        <v>Grégoire Delattre (frère associé)</v>
      </c>
      <c r="K710" t="str">
        <f ca="1">IFERROR(__xludf.DUMMYFUNCTION("""COMPUTED_VALUE"""),"delphine.damian@lemistral.fr,helene.mina@lemistral.fr, uexpress.noves@mistral-u.fr")</f>
        <v>delphine.damian@lemistral.fr,helene.mina@lemistral.fr, uexpress.noves@mistral-u.fr</v>
      </c>
      <c r="L710" t="str">
        <f ca="1">IFERROR(__xludf.DUMMYFUNCTION("""COMPUTED_VALUE"""),"")</f>
        <v/>
      </c>
      <c r="M710" t="str">
        <f ca="1">IFERROR(__xludf.DUMMYFUNCTION("""COMPUTED_VALUE"""),"99.Hors Périmetre")</f>
        <v>99.Hors Périmetre</v>
      </c>
      <c r="N710" t="str">
        <f ca="1">IFERROR(__xludf.DUMMYFUNCTION("""COMPUTED_VALUE"""),"")</f>
        <v/>
      </c>
      <c r="O710" t="str">
        <f ca="1">IFERROR(__xludf.DUMMYFUNCTION("""COMPUTED_VALUE"""),"")</f>
        <v/>
      </c>
      <c r="P710" t="str">
        <f ca="1">IFERROR(__xludf.DUMMYFUNCTION("""COMPUTED_VALUE"""),"")</f>
        <v/>
      </c>
      <c r="Q710" s="5" t="str">
        <f ca="1">IFERROR(__xludf.DUMMYFUNCTION("""COMPUTED_VALUE"""),"")</f>
        <v/>
      </c>
      <c r="R710" s="6" t="str">
        <f ca="1">IFERROR(__xludf.DUMMYFUNCTION("""COMPUTED_VALUE"""),"")</f>
        <v/>
      </c>
      <c r="S710" t="str">
        <f ca="1">IFERROR(__xludf.DUMMYFUNCTION("""COMPUTED_VALUE"""),"")</f>
        <v/>
      </c>
      <c r="T710" t="str">
        <f ca="1">IFERROR(__xludf.DUMMYFUNCTION("""COMPUTED_VALUE"""),"")</f>
        <v/>
      </c>
      <c r="U710" t="str">
        <f ca="1">IFERROR(__xludf.DUMMYFUNCTION("""COMPUTED_VALUE"""),"")</f>
        <v/>
      </c>
      <c r="V710" t="str">
        <f ca="1">IFERROR(__xludf.DUMMYFUNCTION("""COMPUTED_VALUE"""),"")</f>
        <v/>
      </c>
      <c r="W710" t="str">
        <f ca="1">IFERROR(__xludf.DUMMYFUNCTION("""COMPUTED_VALUE"""),"")</f>
        <v/>
      </c>
      <c r="X710" t="str">
        <f ca="1">IFERROR(__xludf.DUMMYFUNCTION("""COMPUTED_VALUE"""),"")</f>
        <v/>
      </c>
      <c r="Y710" t="str">
        <f ca="1">IFERROR(__xludf.DUMMYFUNCTION("""COMPUTED_VALUE"""),"")</f>
        <v/>
      </c>
      <c r="Z710" t="str">
        <f ca="1">IFERROR(__xludf.DUMMYFUNCTION("""COMPUTED_VALUE"""),"")</f>
        <v/>
      </c>
      <c r="AA710" t="str">
        <f ca="1">IFERROR(__xludf.DUMMYFUNCTION("""COMPUTED_VALUE"""),"Pas de commande")</f>
        <v>Pas de commande</v>
      </c>
      <c r="AB710" s="8" t="str">
        <f ca="1">IFERROR(__xludf.DUMMYFUNCTION("""COMPUTED_VALUE"""),"")</f>
        <v/>
      </c>
      <c r="AC710" s="8" t="str">
        <f ca="1">IFERROR(__xludf.DUMMYFUNCTION("""COMPUTED_VALUE"""),"")</f>
        <v/>
      </c>
      <c r="AD710" s="11" t="str">
        <f ca="1">IFERROR(__xludf.DUMMYFUNCTION("""COMPUTED_VALUE"""),"")</f>
        <v/>
      </c>
      <c r="AE710" t="str">
        <f ca="1">IFERROR(__xludf.DUMMYFUNCTION("""COMPUTED_VALUE"""),"")</f>
        <v/>
      </c>
    </row>
    <row r="711" spans="1:31" ht="12.75" x14ac:dyDescent="0.2">
      <c r="A711">
        <f ca="1">IFERROR(__xludf.DUMMYFUNCTION("""COMPUTED_VALUE"""),33166)</f>
        <v>33166</v>
      </c>
      <c r="B711" t="str">
        <f ca="1">IFERROR(__xludf.DUMMYFUNCTION("""COMPUTED_VALUE"""),"NOZAY")</f>
        <v>NOZAY</v>
      </c>
      <c r="C711" t="str">
        <f ca="1">IFERROR(__xludf.DUMMYFUNCTION("""COMPUTED_VALUE"""),"Super U")</f>
        <v>Super U</v>
      </c>
      <c r="D711" t="str">
        <f ca="1">IFERROR(__xludf.DUMMYFUNCTION("""COMPUTED_VALUE"""),"Coop U Enseigne Ouest")</f>
        <v>Coop U Enseigne Ouest</v>
      </c>
      <c r="E711">
        <f ca="1">IFERROR(__xludf.DUMMYFUNCTION("""COMPUTED_VALUE"""),44170)</f>
        <v>44170</v>
      </c>
      <c r="F711" t="str">
        <f ca="1">IFERROR(__xludf.DUMMYFUNCTION("""COMPUTED_VALUE"""),"ZONE DU PONTRAIT")</f>
        <v>ZONE DU PONTRAIT</v>
      </c>
      <c r="G711" t="str">
        <f ca="1">IFERROR(__xludf.DUMMYFUNCTION("""COMPUTED_VALUE"""),"02.40.79.40.90")</f>
        <v>02.40.79.40.90</v>
      </c>
      <c r="H711" t="str">
        <f ca="1">IFERROR(__xludf.DUMMYFUNCTION("""COMPUTED_VALUE"""),"VILLETTE Cedric")</f>
        <v>VILLETTE Cedric</v>
      </c>
      <c r="I711" t="str">
        <f ca="1">IFERROR(__xludf.DUMMYFUNCTION("""COMPUTED_VALUE"""),"cedric.villette@systeme-u.fr")</f>
        <v>cedric.villette@systeme-u.fr</v>
      </c>
      <c r="J711" t="str">
        <f ca="1">IFERROR(__xludf.DUMMYFUNCTION("""COMPUTED_VALUE"""),"")</f>
        <v/>
      </c>
      <c r="K711" t="str">
        <f ca="1">IFERROR(__xludf.DUMMYFUNCTION("""COMPUTED_VALUE"""),"")</f>
        <v/>
      </c>
      <c r="L711" t="str">
        <f ca="1">IFERROR(__xludf.DUMMYFUNCTION("""COMPUTED_VALUE"""),"")</f>
        <v/>
      </c>
      <c r="M711" t="str">
        <f ca="1">IFERROR(__xludf.DUMMYFUNCTION("""COMPUTED_VALUE"""),"99.Hors Périmetre")</f>
        <v>99.Hors Périmetre</v>
      </c>
      <c r="N711" t="str">
        <f ca="1">IFERROR(__xludf.DUMMYFUNCTION("""COMPUTED_VALUE"""),"")</f>
        <v/>
      </c>
      <c r="O711" t="str">
        <f ca="1">IFERROR(__xludf.DUMMYFUNCTION("""COMPUTED_VALUE"""),"")</f>
        <v/>
      </c>
      <c r="P711" t="str">
        <f ca="1">IFERROR(__xludf.DUMMYFUNCTION("""COMPUTED_VALUE"""),"")</f>
        <v/>
      </c>
      <c r="Q711" s="5" t="str">
        <f ca="1">IFERROR(__xludf.DUMMYFUNCTION("""COMPUTED_VALUE"""),"")</f>
        <v/>
      </c>
      <c r="R711" s="6" t="str">
        <f ca="1">IFERROR(__xludf.DUMMYFUNCTION("""COMPUTED_VALUE"""),"")</f>
        <v/>
      </c>
      <c r="S711" t="str">
        <f ca="1">IFERROR(__xludf.DUMMYFUNCTION("""COMPUTED_VALUE"""),"")</f>
        <v/>
      </c>
      <c r="T711" t="str">
        <f ca="1">IFERROR(__xludf.DUMMYFUNCTION("""COMPUTED_VALUE"""),"")</f>
        <v/>
      </c>
      <c r="U711" t="str">
        <f ca="1">IFERROR(__xludf.DUMMYFUNCTION("""COMPUTED_VALUE"""),"")</f>
        <v/>
      </c>
      <c r="V711" t="str">
        <f ca="1">IFERROR(__xludf.DUMMYFUNCTION("""COMPUTED_VALUE"""),"")</f>
        <v/>
      </c>
      <c r="W711" t="str">
        <f ca="1">IFERROR(__xludf.DUMMYFUNCTION("""COMPUTED_VALUE"""),"")</f>
        <v/>
      </c>
      <c r="X711" t="str">
        <f ca="1">IFERROR(__xludf.DUMMYFUNCTION("""COMPUTED_VALUE"""),"")</f>
        <v/>
      </c>
      <c r="Y711" t="str">
        <f ca="1">IFERROR(__xludf.DUMMYFUNCTION("""COMPUTED_VALUE"""),"")</f>
        <v/>
      </c>
      <c r="Z711" t="str">
        <f ca="1">IFERROR(__xludf.DUMMYFUNCTION("""COMPUTED_VALUE"""),"")</f>
        <v/>
      </c>
      <c r="AA711" t="str">
        <f ca="1">IFERROR(__xludf.DUMMYFUNCTION("""COMPUTED_VALUE"""),"Pas de commande")</f>
        <v>Pas de commande</v>
      </c>
      <c r="AB711" s="8" t="str">
        <f ca="1">IFERROR(__xludf.DUMMYFUNCTION("""COMPUTED_VALUE"""),"")</f>
        <v/>
      </c>
      <c r="AC711" s="8" t="str">
        <f ca="1">IFERROR(__xludf.DUMMYFUNCTION("""COMPUTED_VALUE"""),"")</f>
        <v/>
      </c>
      <c r="AD711" s="11" t="str">
        <f ca="1">IFERROR(__xludf.DUMMYFUNCTION("""COMPUTED_VALUE"""),"")</f>
        <v/>
      </c>
      <c r="AE711" t="str">
        <f ca="1">IFERROR(__xludf.DUMMYFUNCTION("""COMPUTED_VALUE"""),"")</f>
        <v/>
      </c>
    </row>
    <row r="712" spans="1:31" ht="12.75" x14ac:dyDescent="0.2">
      <c r="A712">
        <f ca="1">IFERROR(__xludf.DUMMYFUNCTION("""COMPUTED_VALUE"""),90115)</f>
        <v>90115</v>
      </c>
      <c r="B712" t="str">
        <f ca="1">IFERROR(__xludf.DUMMYFUNCTION("""COMPUTED_VALUE"""),"NYONS")</f>
        <v>NYONS</v>
      </c>
      <c r="C712" t="str">
        <f ca="1">IFERROR(__xludf.DUMMYFUNCTION("""COMPUTED_VALUE"""),"Super U")</f>
        <v>Super U</v>
      </c>
      <c r="D712" t="str">
        <f ca="1">IFERROR(__xludf.DUMMYFUNCTION("""COMPUTED_VALUE"""),"Coop U Enseigne Sud")</f>
        <v>Coop U Enseigne Sud</v>
      </c>
      <c r="E712">
        <f ca="1">IFERROR(__xludf.DUMMYFUNCTION("""COMPUTED_VALUE"""),26110)</f>
        <v>26110</v>
      </c>
      <c r="F712" t="str">
        <f ca="1">IFERROR(__xludf.DUMMYFUNCTION("""COMPUTED_VALUE"""),"ROUTE D ORANGE")</f>
        <v>ROUTE D ORANGE</v>
      </c>
      <c r="G712" t="str">
        <f ca="1">IFERROR(__xludf.DUMMYFUNCTION("""COMPUTED_VALUE"""),"04.75.26.01.21")</f>
        <v>04.75.26.01.21</v>
      </c>
      <c r="H712" t="str">
        <f ca="1">IFERROR(__xludf.DUMMYFUNCTION("""COMPUTED_VALUE"""),"RENET Etienne")</f>
        <v>RENET Etienne</v>
      </c>
      <c r="I712" t="str">
        <f ca="1">IFERROR(__xludf.DUMMYFUNCTION("""COMPUTED_VALUE"""),"brigitte.renet@systeme-u.fr")</f>
        <v>brigitte.renet@systeme-u.fr</v>
      </c>
      <c r="J712" t="str">
        <f ca="1">IFERROR(__xludf.DUMMYFUNCTION("""COMPUTED_VALUE"""),"BAYET Alexandra
CLAES Laurent")</f>
        <v>BAYET Alexandra
CLAES Laurent</v>
      </c>
      <c r="K712" t="str">
        <f ca="1">IFERROR(__xludf.DUMMYFUNCTION("""COMPUTED_VALUE"""),"superu.nyons.compta@systeme-u.fr,superu.nyons.direction@systeme-u.fr")</f>
        <v>superu.nyons.compta@systeme-u.fr,superu.nyons.direction@systeme-u.fr</v>
      </c>
      <c r="L712" t="str">
        <f ca="1">IFERROR(__xludf.DUMMYFUNCTION("""COMPUTED_VALUE"""),"")</f>
        <v/>
      </c>
      <c r="M712" t="str">
        <f ca="1">IFERROR(__xludf.DUMMYFUNCTION("""COMPUTED_VALUE"""),"99.Hors Périmetre")</f>
        <v>99.Hors Périmetre</v>
      </c>
      <c r="N712" t="str">
        <f ca="1">IFERROR(__xludf.DUMMYFUNCTION("""COMPUTED_VALUE"""),"")</f>
        <v/>
      </c>
      <c r="O712" t="str">
        <f ca="1">IFERROR(__xludf.DUMMYFUNCTION("""COMPUTED_VALUE"""),"")</f>
        <v/>
      </c>
      <c r="P712" t="str">
        <f ca="1">IFERROR(__xludf.DUMMYFUNCTION("""COMPUTED_VALUE"""),"")</f>
        <v/>
      </c>
      <c r="Q712" s="5" t="str">
        <f ca="1">IFERROR(__xludf.DUMMYFUNCTION("""COMPUTED_VALUE"""),"")</f>
        <v/>
      </c>
      <c r="R712" s="6" t="str">
        <f ca="1">IFERROR(__xludf.DUMMYFUNCTION("""COMPUTED_VALUE"""),"")</f>
        <v/>
      </c>
      <c r="S712" t="str">
        <f ca="1">IFERROR(__xludf.DUMMYFUNCTION("""COMPUTED_VALUE"""),"")</f>
        <v/>
      </c>
      <c r="T712" t="str">
        <f ca="1">IFERROR(__xludf.DUMMYFUNCTION("""COMPUTED_VALUE"""),"")</f>
        <v/>
      </c>
      <c r="U712" t="str">
        <f ca="1">IFERROR(__xludf.DUMMYFUNCTION("""COMPUTED_VALUE"""),"")</f>
        <v/>
      </c>
      <c r="V712" t="str">
        <f ca="1">IFERROR(__xludf.DUMMYFUNCTION("""COMPUTED_VALUE"""),"")</f>
        <v/>
      </c>
      <c r="W712" t="str">
        <f ca="1">IFERROR(__xludf.DUMMYFUNCTION("""COMPUTED_VALUE"""),"")</f>
        <v/>
      </c>
      <c r="X712" t="str">
        <f ca="1">IFERROR(__xludf.DUMMYFUNCTION("""COMPUTED_VALUE"""),"")</f>
        <v/>
      </c>
      <c r="Y712" t="str">
        <f ca="1">IFERROR(__xludf.DUMMYFUNCTION("""COMPUTED_VALUE"""),"")</f>
        <v/>
      </c>
      <c r="Z712" t="str">
        <f ca="1">IFERROR(__xludf.DUMMYFUNCTION("""COMPUTED_VALUE"""),"")</f>
        <v/>
      </c>
      <c r="AA712" t="str">
        <f ca="1">IFERROR(__xludf.DUMMYFUNCTION("""COMPUTED_VALUE"""),"Pas de commande")</f>
        <v>Pas de commande</v>
      </c>
      <c r="AB712" s="8" t="str">
        <f ca="1">IFERROR(__xludf.DUMMYFUNCTION("""COMPUTED_VALUE"""),"")</f>
        <v/>
      </c>
      <c r="AC712" s="8" t="str">
        <f ca="1">IFERROR(__xludf.DUMMYFUNCTION("""COMPUTED_VALUE"""),"")</f>
        <v/>
      </c>
      <c r="AD712" s="11" t="str">
        <f ca="1">IFERROR(__xludf.DUMMYFUNCTION("""COMPUTED_VALUE"""),"")</f>
        <v/>
      </c>
      <c r="AE712" t="str">
        <f ca="1">IFERROR(__xludf.DUMMYFUNCTION("""COMPUTED_VALUE"""),"")</f>
        <v/>
      </c>
    </row>
    <row r="713" spans="1:31" ht="12.75" x14ac:dyDescent="0.2">
      <c r="A713">
        <f ca="1">IFERROR(__xludf.DUMMYFUNCTION("""COMPUTED_VALUE"""),68509)</f>
        <v>68509</v>
      </c>
      <c r="B713" t="str">
        <f ca="1">IFERROR(__xludf.DUMMYFUNCTION("""COMPUTED_VALUE"""),"OETING")</f>
        <v>OETING</v>
      </c>
      <c r="C713" t="str">
        <f ca="1">IFERROR(__xludf.DUMMYFUNCTION("""COMPUTED_VALUE"""),"Super U")</f>
        <v>Super U</v>
      </c>
      <c r="D713" t="str">
        <f ca="1">IFERROR(__xludf.DUMMYFUNCTION("""COMPUTED_VALUE"""),"Coop U Enseigne Est")</f>
        <v>Coop U Enseigne Est</v>
      </c>
      <c r="E713">
        <f ca="1">IFERROR(__xludf.DUMMYFUNCTION("""COMPUTED_VALUE"""),57600)</f>
        <v>57600</v>
      </c>
      <c r="F713" t="str">
        <f ca="1">IFERROR(__xludf.DUMMYFUNCTION("""COMPUTED_VALUE"""),"RD 31")</f>
        <v>RD 31</v>
      </c>
      <c r="G713" t="str">
        <f ca="1">IFERROR(__xludf.DUMMYFUNCTION("""COMPUTED_VALUE"""),"03.87.84.36.10")</f>
        <v>03.87.84.36.10</v>
      </c>
      <c r="H713" t="str">
        <f ca="1">IFERROR(__xludf.DUMMYFUNCTION("""COMPUTED_VALUE"""),"GISSINGER Luc")</f>
        <v>GISSINGER Luc</v>
      </c>
      <c r="I713" t="str">
        <f ca="1">IFERROR(__xludf.DUMMYFUNCTION("""COMPUTED_VALUE"""),"luc.gissinger@systeme-u.fr")</f>
        <v>luc.gissinger@systeme-u.fr</v>
      </c>
      <c r="J713" t="str">
        <f ca="1">IFERROR(__xludf.DUMMYFUNCTION("""COMPUTED_VALUE"""),"M CANDIDO Serge")</f>
        <v>M CANDIDO Serge</v>
      </c>
      <c r="K713" t="str">
        <f ca="1">IFERROR(__xludf.DUMMYFUNCTION("""COMPUTED_VALUE"""),"superu.oeting.direction@systeme-u.fr")</f>
        <v>superu.oeting.direction@systeme-u.fr</v>
      </c>
      <c r="L713" t="str">
        <f ca="1">IFERROR(__xludf.DUMMYFUNCTION("""COMPUTED_VALUE"""),"")</f>
        <v/>
      </c>
      <c r="M713" t="str">
        <f ca="1">IFERROR(__xludf.DUMMYFUNCTION("""COMPUTED_VALUE"""),"99.Hors Périmetre")</f>
        <v>99.Hors Périmetre</v>
      </c>
      <c r="N713" t="str">
        <f ca="1">IFERROR(__xludf.DUMMYFUNCTION("""COMPUTED_VALUE"""),"")</f>
        <v/>
      </c>
      <c r="O713" t="str">
        <f ca="1">IFERROR(__xludf.DUMMYFUNCTION("""COMPUTED_VALUE"""),"")</f>
        <v/>
      </c>
      <c r="P713" t="str">
        <f ca="1">IFERROR(__xludf.DUMMYFUNCTION("""COMPUTED_VALUE"""),"")</f>
        <v/>
      </c>
      <c r="Q713" s="5" t="str">
        <f ca="1">IFERROR(__xludf.DUMMYFUNCTION("""COMPUTED_VALUE"""),"")</f>
        <v/>
      </c>
      <c r="R713" s="6" t="str">
        <f ca="1">IFERROR(__xludf.DUMMYFUNCTION("""COMPUTED_VALUE"""),"")</f>
        <v/>
      </c>
      <c r="S713" t="str">
        <f ca="1">IFERROR(__xludf.DUMMYFUNCTION("""COMPUTED_VALUE"""),"")</f>
        <v/>
      </c>
      <c r="T713" t="str">
        <f ca="1">IFERROR(__xludf.DUMMYFUNCTION("""COMPUTED_VALUE"""),"")</f>
        <v/>
      </c>
      <c r="U713" t="str">
        <f ca="1">IFERROR(__xludf.DUMMYFUNCTION("""COMPUTED_VALUE"""),"")</f>
        <v/>
      </c>
      <c r="V713" t="str">
        <f ca="1">IFERROR(__xludf.DUMMYFUNCTION("""COMPUTED_VALUE"""),"")</f>
        <v/>
      </c>
      <c r="W713" t="str">
        <f ca="1">IFERROR(__xludf.DUMMYFUNCTION("""COMPUTED_VALUE"""),"")</f>
        <v/>
      </c>
      <c r="X713" t="str">
        <f ca="1">IFERROR(__xludf.DUMMYFUNCTION("""COMPUTED_VALUE"""),"")</f>
        <v/>
      </c>
      <c r="Y713" t="str">
        <f ca="1">IFERROR(__xludf.DUMMYFUNCTION("""COMPUTED_VALUE"""),"")</f>
        <v/>
      </c>
      <c r="Z713" t="str">
        <f ca="1">IFERROR(__xludf.DUMMYFUNCTION("""COMPUTED_VALUE"""),"")</f>
        <v/>
      </c>
      <c r="AA713" t="str">
        <f ca="1">IFERROR(__xludf.DUMMYFUNCTION("""COMPUTED_VALUE"""),"Pas de commande")</f>
        <v>Pas de commande</v>
      </c>
      <c r="AB713" s="8" t="str">
        <f ca="1">IFERROR(__xludf.DUMMYFUNCTION("""COMPUTED_VALUE"""),"")</f>
        <v/>
      </c>
      <c r="AC713" s="8" t="str">
        <f ca="1">IFERROR(__xludf.DUMMYFUNCTION("""COMPUTED_VALUE"""),"")</f>
        <v/>
      </c>
      <c r="AD713" s="11" t="str">
        <f ca="1">IFERROR(__xludf.DUMMYFUNCTION("""COMPUTED_VALUE"""),"")</f>
        <v/>
      </c>
      <c r="AE713" t="str">
        <f ca="1">IFERROR(__xludf.DUMMYFUNCTION("""COMPUTED_VALUE"""),"")</f>
        <v/>
      </c>
    </row>
    <row r="714" spans="1:31" ht="12.75" x14ac:dyDescent="0.2">
      <c r="A714">
        <f ca="1">IFERROR(__xludf.DUMMYFUNCTION("""COMPUTED_VALUE"""),25649)</f>
        <v>25649</v>
      </c>
      <c r="B714" t="str">
        <f ca="1">IFERROR(__xludf.DUMMYFUNCTION("""COMPUTED_VALUE"""),"OISSEL")</f>
        <v>OISSEL</v>
      </c>
      <c r="C714" t="str">
        <f ca="1">IFERROR(__xludf.DUMMYFUNCTION("""COMPUTED_VALUE"""),"Super U")</f>
        <v>Super U</v>
      </c>
      <c r="D714" t="str">
        <f ca="1">IFERROR(__xludf.DUMMYFUNCTION("""COMPUTED_VALUE"""),"Coop U Enseigne NordOuest")</f>
        <v>Coop U Enseigne NordOuest</v>
      </c>
      <c r="E714">
        <f ca="1">IFERROR(__xludf.DUMMYFUNCTION("""COMPUTED_VALUE"""),76350)</f>
        <v>76350</v>
      </c>
      <c r="F714" t="str">
        <f ca="1">IFERROR(__xludf.DUMMYFUNCTION("""COMPUTED_VALUE"""),"PLACE FRANCISCO FERRER")</f>
        <v>PLACE FRANCISCO FERRER</v>
      </c>
      <c r="G714" t="str">
        <f ca="1">IFERROR(__xludf.DUMMYFUNCTION("""COMPUTED_VALUE"""),"02.35.64.72.44")</f>
        <v>02.35.64.72.44</v>
      </c>
      <c r="H714" t="str">
        <f ca="1">IFERROR(__xludf.DUMMYFUNCTION("""COMPUTED_VALUE"""),"BARRE Stéphane")</f>
        <v>BARRE Stéphane</v>
      </c>
      <c r="I714" t="str">
        <f ca="1">IFERROR(__xludf.DUMMYFUNCTION("""COMPUTED_VALUE"""),"stephane.barre@systeme-u.fr")</f>
        <v>stephane.barre@systeme-u.fr</v>
      </c>
      <c r="J714" t="str">
        <f ca="1">IFERROR(__xludf.DUMMYFUNCTION("""COMPUTED_VALUE"""),"M. Gouzerh")</f>
        <v>M. Gouzerh</v>
      </c>
      <c r="K714" t="str">
        <f ca="1">IFERROR(__xludf.DUMMYFUNCTION("""COMPUTED_VALUE"""),"superu.oissel@systeme-u.fr,philippe.cappe@coop-cnp.coop")</f>
        <v>superu.oissel@systeme-u.fr,philippe.cappe@coop-cnp.coop</v>
      </c>
      <c r="L714" t="str">
        <f ca="1">IFERROR(__xludf.DUMMYFUNCTION("""COMPUTED_VALUE"""),"Standard")</f>
        <v>Standard</v>
      </c>
      <c r="M714" t="str">
        <f ca="1">IFERROR(__xludf.DUMMYFUNCTION("""COMPUTED_VALUE"""),"0. Non démarré")</f>
        <v>0. Non démarré</v>
      </c>
      <c r="N714" t="str">
        <f ca="1">IFERROR(__xludf.DUMMYFUNCTION("""COMPUTED_VALUE"""),"")</f>
        <v/>
      </c>
      <c r="O714" t="str">
        <f ca="1">IFERROR(__xludf.DUMMYFUNCTION("""COMPUTED_VALUE"""),"")</f>
        <v/>
      </c>
      <c r="P714" t="str">
        <f ca="1">IFERROR(__xludf.DUMMYFUNCTION("""COMPUTED_VALUE"""),"")</f>
        <v/>
      </c>
      <c r="Q714" s="5" t="str">
        <f ca="1">IFERROR(__xludf.DUMMYFUNCTION("""COMPUTED_VALUE"""),"")</f>
        <v/>
      </c>
      <c r="R714" s="6" t="str">
        <f ca="1">IFERROR(__xludf.DUMMYFUNCTION("""COMPUTED_VALUE"""),"")</f>
        <v/>
      </c>
      <c r="S714" t="str">
        <f ca="1">IFERROR(__xludf.DUMMYFUNCTION("""COMPUTED_VALUE"""),"")</f>
        <v/>
      </c>
      <c r="T714" t="str">
        <f ca="1">IFERROR(__xludf.DUMMYFUNCTION("""COMPUTED_VALUE"""),"")</f>
        <v/>
      </c>
      <c r="U714" t="str">
        <f ca="1">IFERROR(__xludf.DUMMYFUNCTION("""COMPUTED_VALUE"""),"")</f>
        <v/>
      </c>
      <c r="V714" t="str">
        <f ca="1">IFERROR(__xludf.DUMMYFUNCTION("""COMPUTED_VALUE"""),"")</f>
        <v/>
      </c>
      <c r="W714" t="str">
        <f ca="1">IFERROR(__xludf.DUMMYFUNCTION("""COMPUTED_VALUE"""),"R3")</f>
        <v>R3</v>
      </c>
      <c r="X714" t="str">
        <f ca="1">IFERROR(__xludf.DUMMYFUNCTION("""COMPUTED_VALUE"""),"Pricer &lt;8Go")</f>
        <v>Pricer &lt;8Go</v>
      </c>
      <c r="Y714" t="str">
        <f ca="1">IFERROR(__xludf.DUMMYFUNCTION("""COMPUTED_VALUE"""),"")</f>
        <v/>
      </c>
      <c r="Z714" t="str">
        <f ca="1">IFERROR(__xludf.DUMMYFUNCTION("""COMPUTED_VALUE"""),"")</f>
        <v/>
      </c>
      <c r="AA714" t="str">
        <f ca="1">IFERROR(__xludf.DUMMYFUNCTION("""COMPUTED_VALUE"""),"Pas de commande")</f>
        <v>Pas de commande</v>
      </c>
      <c r="AB714" s="8" t="str">
        <f ca="1">IFERROR(__xludf.DUMMYFUNCTION("""COMPUTED_VALUE"""),"")</f>
        <v/>
      </c>
      <c r="AC714" s="8" t="str">
        <f ca="1">IFERROR(__xludf.DUMMYFUNCTION("""COMPUTED_VALUE"""),"")</f>
        <v/>
      </c>
      <c r="AD714" s="11" t="str">
        <f ca="1">IFERROR(__xludf.DUMMYFUNCTION("""COMPUTED_VALUE"""),"")</f>
        <v/>
      </c>
      <c r="AE714" t="str">
        <f ca="1">IFERROR(__xludf.DUMMYFUNCTION("""COMPUTED_VALUE"""),"")</f>
        <v/>
      </c>
    </row>
    <row r="715" spans="1:31" ht="12.75" x14ac:dyDescent="0.2">
      <c r="A715">
        <f ca="1">IFERROR(__xludf.DUMMYFUNCTION("""COMPUTED_VALUE"""),90505)</f>
        <v>90505</v>
      </c>
      <c r="B715" t="str">
        <f ca="1">IFERROR(__xludf.DUMMYFUNCTION("""COMPUTED_VALUE"""),"OLEMPS")</f>
        <v>OLEMPS</v>
      </c>
      <c r="C715" t="str">
        <f ca="1">IFERROR(__xludf.DUMMYFUNCTION("""COMPUTED_VALUE"""),"Super U")</f>
        <v>Super U</v>
      </c>
      <c r="D715" t="str">
        <f ca="1">IFERROR(__xludf.DUMMYFUNCTION("""COMPUTED_VALUE"""),"Coop U Enseigne Sud")</f>
        <v>Coop U Enseigne Sud</v>
      </c>
      <c r="E715">
        <f ca="1">IFERROR(__xludf.DUMMYFUNCTION("""COMPUTED_VALUE"""),12510)</f>
        <v>12510</v>
      </c>
      <c r="F715" t="str">
        <f ca="1">IFERROR(__xludf.DUMMYFUNCTION("""COMPUTED_VALUE"""),"LES HAUTS DE LA MOULINE")</f>
        <v>LES HAUTS DE LA MOULINE</v>
      </c>
      <c r="G715" t="str">
        <f ca="1">IFERROR(__xludf.DUMMYFUNCTION("""COMPUTED_VALUE"""),"05.65.73.64.30")</f>
        <v>05.65.73.64.30</v>
      </c>
      <c r="H715" t="str">
        <f ca="1">IFERROR(__xludf.DUMMYFUNCTION("""COMPUTED_VALUE"""),"VOUTERS Grégory")</f>
        <v>VOUTERS Grégory</v>
      </c>
      <c r="I715" t="str">
        <f ca="1">IFERROR(__xludf.DUMMYFUNCTION("""COMPUTED_VALUE"""),"gregory.vouters@systeme-u.fr")</f>
        <v>gregory.vouters@systeme-u.fr</v>
      </c>
      <c r="J715" t="str">
        <f ca="1">IFERROR(__xludf.DUMMYFUNCTION("""COMPUTED_VALUE"""),"De-Nardi  Guy ")</f>
        <v xml:space="preserve">De-Nardi  Guy </v>
      </c>
      <c r="K715" t="str">
        <f ca="1">IFERROR(__xludf.DUMMYFUNCTION("""COMPUTED_VALUE"""),"uexpress.meyssac.compta@systeme-u.fr")</f>
        <v>uexpress.meyssac.compta@systeme-u.fr</v>
      </c>
      <c r="L715" t="str">
        <f ca="1">IFERROR(__xludf.DUMMYFUNCTION("""COMPUTED_VALUE"""),"")</f>
        <v/>
      </c>
      <c r="M715" t="str">
        <f ca="1">IFERROR(__xludf.DUMMYFUNCTION("""COMPUTED_VALUE"""),"")</f>
        <v/>
      </c>
      <c r="N715" t="str">
        <f ca="1">IFERROR(__xludf.DUMMYFUNCTION("""COMPUTED_VALUE"""),"")</f>
        <v/>
      </c>
      <c r="O715" t="str">
        <f ca="1">IFERROR(__xludf.DUMMYFUNCTION("""COMPUTED_VALUE"""),"")</f>
        <v/>
      </c>
      <c r="P715" t="str">
        <f ca="1">IFERROR(__xludf.DUMMYFUNCTION("""COMPUTED_VALUE"""),"")</f>
        <v/>
      </c>
      <c r="Q715" s="5" t="str">
        <f ca="1">IFERROR(__xludf.DUMMYFUNCTION("""COMPUTED_VALUE"""),"")</f>
        <v/>
      </c>
      <c r="R715" s="6" t="str">
        <f ca="1">IFERROR(__xludf.DUMMYFUNCTION("""COMPUTED_VALUE"""),"")</f>
        <v/>
      </c>
      <c r="S715" t="str">
        <f ca="1">IFERROR(__xludf.DUMMYFUNCTION("""COMPUTED_VALUE"""),"")</f>
        <v/>
      </c>
      <c r="T715" t="str">
        <f ca="1">IFERROR(__xludf.DUMMYFUNCTION("""COMPUTED_VALUE"""),"")</f>
        <v/>
      </c>
      <c r="U715" t="str">
        <f ca="1">IFERROR(__xludf.DUMMYFUNCTION("""COMPUTED_VALUE"""),"")</f>
        <v/>
      </c>
      <c r="V715" t="str">
        <f ca="1">IFERROR(__xludf.DUMMYFUNCTION("""COMPUTED_VALUE"""),"")</f>
        <v/>
      </c>
      <c r="W715" t="str">
        <f ca="1">IFERROR(__xludf.DUMMYFUNCTION("""COMPUTED_VALUE"""),"R5")</f>
        <v>R5</v>
      </c>
      <c r="X715" t="str">
        <f ca="1">IFERROR(__xludf.DUMMYFUNCTION("""COMPUTED_VALUE"""),"Pricer")</f>
        <v>Pricer</v>
      </c>
      <c r="Y715" t="str">
        <f ca="1">IFERROR(__xludf.DUMMYFUNCTION("""COMPUTED_VALUE"""),"")</f>
        <v/>
      </c>
      <c r="Z715" t="str">
        <f ca="1">IFERROR(__xludf.DUMMYFUNCTION("""COMPUTED_VALUE"""),"")</f>
        <v/>
      </c>
      <c r="AA715" t="str">
        <f ca="1">IFERROR(__xludf.DUMMYFUNCTION("""COMPUTED_VALUE"""),"Pas de commande")</f>
        <v>Pas de commande</v>
      </c>
      <c r="AB715" s="8" t="str">
        <f ca="1">IFERROR(__xludf.DUMMYFUNCTION("""COMPUTED_VALUE"""),"")</f>
        <v/>
      </c>
      <c r="AC715" s="8" t="str">
        <f ca="1">IFERROR(__xludf.DUMMYFUNCTION("""COMPUTED_VALUE"""),"")</f>
        <v/>
      </c>
      <c r="AD715" s="11" t="str">
        <f ca="1">IFERROR(__xludf.DUMMYFUNCTION("""COMPUTED_VALUE"""),"")</f>
        <v/>
      </c>
      <c r="AE715" t="str">
        <f ca="1">IFERROR(__xludf.DUMMYFUNCTION("""COMPUTED_VALUE"""),"")</f>
        <v/>
      </c>
    </row>
    <row r="716" spans="1:31" ht="12.75" x14ac:dyDescent="0.2">
      <c r="A716">
        <f ca="1">IFERROR(__xludf.DUMMYFUNCTION("""COMPUTED_VALUE"""),30744)</f>
        <v>30744</v>
      </c>
      <c r="B716" t="str">
        <f ca="1">IFERROR(__xludf.DUMMYFUNCTION("""COMPUTED_VALUE"""),"OLONNE-SUR-MER")</f>
        <v>OLONNE-SUR-MER</v>
      </c>
      <c r="C716" t="str">
        <f ca="1">IFERROR(__xludf.DUMMYFUNCTION("""COMPUTED_VALUE"""),"Super U")</f>
        <v>Super U</v>
      </c>
      <c r="D716" t="str">
        <f ca="1">IFERROR(__xludf.DUMMYFUNCTION("""COMPUTED_VALUE"""),"Coop U Enseigne Ouest")</f>
        <v>Coop U Enseigne Ouest</v>
      </c>
      <c r="E716">
        <f ca="1">IFERROR(__xludf.DUMMYFUNCTION("""COMPUTED_VALUE"""),85340)</f>
        <v>85340</v>
      </c>
      <c r="F716" t="str">
        <f ca="1">IFERROR(__xludf.DUMMYFUNCTION("""COMPUTED_VALUE"""),"73 RUE DU 8 MAI 1945")</f>
        <v>73 RUE DU 8 MAI 1945</v>
      </c>
      <c r="G716" t="str">
        <f ca="1">IFERROR(__xludf.DUMMYFUNCTION("""COMPUTED_VALUE"""),"02.51.95.37.25")</f>
        <v>02.51.95.37.25</v>
      </c>
      <c r="H716" t="str">
        <f ca="1">IFERROR(__xludf.DUMMYFUNCTION("""COMPUTED_VALUE"""),"THOUZEAU RPT SAS SO LI FIT Lionel")</f>
        <v>THOUZEAU RPT SAS SO LI FIT Lionel</v>
      </c>
      <c r="I716" t="str">
        <f ca="1">IFERROR(__xludf.DUMMYFUNCTION("""COMPUTED_VALUE"""),"lionel.thouzeau@systeme-u.fr")</f>
        <v>lionel.thouzeau@systeme-u.fr</v>
      </c>
      <c r="J716" t="str">
        <f ca="1">IFERROR(__xludf.DUMMYFUNCTION("""COMPUTED_VALUE"""),"Rosita BOUCARD")</f>
        <v>Rosita BOUCARD</v>
      </c>
      <c r="K716" t="str">
        <f ca="1">IFERROR(__xludf.DUMMYFUNCTION("""COMPUTED_VALUE"""),"superu.olonnesurmer.rh@systeme-u.fr")</f>
        <v>superu.olonnesurmer.rh@systeme-u.fr</v>
      </c>
      <c r="L716" t="str">
        <f ca="1">IFERROR(__xludf.DUMMYFUNCTION("""COMPUTED_VALUE"""),"")</f>
        <v/>
      </c>
      <c r="M716" t="str">
        <f ca="1">IFERROR(__xludf.DUMMYFUNCTION("""COMPUTED_VALUE"""),"99.Hors Périmetre")</f>
        <v>99.Hors Périmetre</v>
      </c>
      <c r="N716" t="str">
        <f ca="1">IFERROR(__xludf.DUMMYFUNCTION("""COMPUTED_VALUE"""),"")</f>
        <v/>
      </c>
      <c r="O716" t="str">
        <f ca="1">IFERROR(__xludf.DUMMYFUNCTION("""COMPUTED_VALUE"""),"")</f>
        <v/>
      </c>
      <c r="P716" t="str">
        <f ca="1">IFERROR(__xludf.DUMMYFUNCTION("""COMPUTED_VALUE"""),"")</f>
        <v/>
      </c>
      <c r="Q716" s="5" t="str">
        <f ca="1">IFERROR(__xludf.DUMMYFUNCTION("""COMPUTED_VALUE"""),"")</f>
        <v/>
      </c>
      <c r="R716" s="6" t="str">
        <f ca="1">IFERROR(__xludf.DUMMYFUNCTION("""COMPUTED_VALUE"""),"")</f>
        <v/>
      </c>
      <c r="S716" t="str">
        <f ca="1">IFERROR(__xludf.DUMMYFUNCTION("""COMPUTED_VALUE"""),"")</f>
        <v/>
      </c>
      <c r="T716" t="str">
        <f ca="1">IFERROR(__xludf.DUMMYFUNCTION("""COMPUTED_VALUE"""),"")</f>
        <v/>
      </c>
      <c r="U716" t="str">
        <f ca="1">IFERROR(__xludf.DUMMYFUNCTION("""COMPUTED_VALUE"""),"")</f>
        <v/>
      </c>
      <c r="V716" t="str">
        <f ca="1">IFERROR(__xludf.DUMMYFUNCTION("""COMPUTED_VALUE"""),"")</f>
        <v/>
      </c>
      <c r="W716" t="str">
        <f ca="1">IFERROR(__xludf.DUMMYFUNCTION("""COMPUTED_VALUE"""),"")</f>
        <v/>
      </c>
      <c r="X716" t="str">
        <f ca="1">IFERROR(__xludf.DUMMYFUNCTION("""COMPUTED_VALUE"""),"")</f>
        <v/>
      </c>
      <c r="Y716" t="str">
        <f ca="1">IFERROR(__xludf.DUMMYFUNCTION("""COMPUTED_VALUE"""),"")</f>
        <v/>
      </c>
      <c r="Z716" t="str">
        <f ca="1">IFERROR(__xludf.DUMMYFUNCTION("""COMPUTED_VALUE"""),"")</f>
        <v/>
      </c>
      <c r="AA716" t="str">
        <f ca="1">IFERROR(__xludf.DUMMYFUNCTION("""COMPUTED_VALUE"""),"Pas de commande")</f>
        <v>Pas de commande</v>
      </c>
      <c r="AB716" s="8" t="str">
        <f ca="1">IFERROR(__xludf.DUMMYFUNCTION("""COMPUTED_VALUE"""),"")</f>
        <v/>
      </c>
      <c r="AC716" s="8" t="str">
        <f ca="1">IFERROR(__xludf.DUMMYFUNCTION("""COMPUTED_VALUE"""),"")</f>
        <v/>
      </c>
      <c r="AD716" s="11" t="str">
        <f ca="1">IFERROR(__xludf.DUMMYFUNCTION("""COMPUTED_VALUE"""),"")</f>
        <v/>
      </c>
      <c r="AE716" t="str">
        <f ca="1">IFERROR(__xludf.DUMMYFUNCTION("""COMPUTED_VALUE"""),"")</f>
        <v/>
      </c>
    </row>
    <row r="717" spans="1:31" ht="12.75" x14ac:dyDescent="0.2">
      <c r="A717">
        <f ca="1">IFERROR(__xludf.DUMMYFUNCTION("""COMPUTED_VALUE"""),38266)</f>
        <v>38266</v>
      </c>
      <c r="B717" t="str">
        <f ca="1">IFERROR(__xludf.DUMMYFUNCTION("""COMPUTED_VALUE"""),"ORADOUR-SUR-GLANE")</f>
        <v>ORADOUR-SUR-GLANE</v>
      </c>
      <c r="C717" t="str">
        <f ca="1">IFERROR(__xludf.DUMMYFUNCTION("""COMPUTED_VALUE"""),"U Express")</f>
        <v>U Express</v>
      </c>
      <c r="D717" t="str">
        <f ca="1">IFERROR(__xludf.DUMMYFUNCTION("""COMPUTED_VALUE"""),"Coop U Enseigne Ouest")</f>
        <v>Coop U Enseigne Ouest</v>
      </c>
      <c r="E717">
        <f ca="1">IFERROR(__xludf.DUMMYFUNCTION("""COMPUTED_VALUE"""),87520)</f>
        <v>87520</v>
      </c>
      <c r="F717" t="str">
        <f ca="1">IFERROR(__xludf.DUMMYFUNCTION("""COMPUTED_VALUE"""),"60, RUE DE LA LANDE")</f>
        <v>60, RUE DE LA LANDE</v>
      </c>
      <c r="G717" t="str">
        <f ca="1">IFERROR(__xludf.DUMMYFUNCTION("""COMPUTED_VALUE"""),"05.55.43.02.10")</f>
        <v>05.55.43.02.10</v>
      </c>
      <c r="H717" t="str">
        <f ca="1">IFERROR(__xludf.DUMMYFUNCTION("""COMPUTED_VALUE"""),"DURIEUX Damien")</f>
        <v>DURIEUX Damien</v>
      </c>
      <c r="I717" t="str">
        <f ca="1">IFERROR(__xludf.DUMMYFUNCTION("""COMPUTED_VALUE"""),"damien.durieux@systeme-u.fr")</f>
        <v>damien.durieux@systeme-u.fr</v>
      </c>
      <c r="J717" t="str">
        <f ca="1">IFERROR(__xludf.DUMMYFUNCTION("""COMPUTED_VALUE"""),"")</f>
        <v/>
      </c>
      <c r="K717" t="str">
        <f ca="1">IFERROR(__xludf.DUMMYFUNCTION("""COMPUTED_VALUE"""),"")</f>
        <v/>
      </c>
      <c r="L717" t="str">
        <f ca="1">IFERROR(__xludf.DUMMYFUNCTION("""COMPUTED_VALUE"""),"")</f>
        <v/>
      </c>
      <c r="M717" t="str">
        <f ca="1">IFERROR(__xludf.DUMMYFUNCTION("""COMPUTED_VALUE"""),"99.Hors Périmetre")</f>
        <v>99.Hors Périmetre</v>
      </c>
      <c r="N717" t="str">
        <f ca="1">IFERROR(__xludf.DUMMYFUNCTION("""COMPUTED_VALUE"""),"")</f>
        <v/>
      </c>
      <c r="O717" t="str">
        <f ca="1">IFERROR(__xludf.DUMMYFUNCTION("""COMPUTED_VALUE"""),"")</f>
        <v/>
      </c>
      <c r="P717" t="str">
        <f ca="1">IFERROR(__xludf.DUMMYFUNCTION("""COMPUTED_VALUE"""),"")</f>
        <v/>
      </c>
      <c r="Q717" s="5" t="str">
        <f ca="1">IFERROR(__xludf.DUMMYFUNCTION("""COMPUTED_VALUE"""),"")</f>
        <v/>
      </c>
      <c r="R717" s="6" t="str">
        <f ca="1">IFERROR(__xludf.DUMMYFUNCTION("""COMPUTED_VALUE"""),"")</f>
        <v/>
      </c>
      <c r="S717" t="str">
        <f ca="1">IFERROR(__xludf.DUMMYFUNCTION("""COMPUTED_VALUE"""),"")</f>
        <v/>
      </c>
      <c r="T717" t="str">
        <f ca="1">IFERROR(__xludf.DUMMYFUNCTION("""COMPUTED_VALUE"""),"")</f>
        <v/>
      </c>
      <c r="U717" t="str">
        <f ca="1">IFERROR(__xludf.DUMMYFUNCTION("""COMPUTED_VALUE"""),"")</f>
        <v/>
      </c>
      <c r="V717" t="str">
        <f ca="1">IFERROR(__xludf.DUMMYFUNCTION("""COMPUTED_VALUE"""),"")</f>
        <v/>
      </c>
      <c r="W717" t="str">
        <f ca="1">IFERROR(__xludf.DUMMYFUNCTION("""COMPUTED_VALUE"""),"")</f>
        <v/>
      </c>
      <c r="X717" t="str">
        <f ca="1">IFERROR(__xludf.DUMMYFUNCTION("""COMPUTED_VALUE"""),"")</f>
        <v/>
      </c>
      <c r="Y717" t="str">
        <f ca="1">IFERROR(__xludf.DUMMYFUNCTION("""COMPUTED_VALUE"""),"")</f>
        <v/>
      </c>
      <c r="Z717" t="str">
        <f ca="1">IFERROR(__xludf.DUMMYFUNCTION("""COMPUTED_VALUE"""),"")</f>
        <v/>
      </c>
      <c r="AA717" t="str">
        <f ca="1">IFERROR(__xludf.DUMMYFUNCTION("""COMPUTED_VALUE"""),"Pas de commande")</f>
        <v>Pas de commande</v>
      </c>
      <c r="AB717" s="8" t="str">
        <f ca="1">IFERROR(__xludf.DUMMYFUNCTION("""COMPUTED_VALUE"""),"")</f>
        <v/>
      </c>
      <c r="AC717" s="8" t="str">
        <f ca="1">IFERROR(__xludf.DUMMYFUNCTION("""COMPUTED_VALUE"""),"")</f>
        <v/>
      </c>
      <c r="AD717" s="11" t="str">
        <f ca="1">IFERROR(__xludf.DUMMYFUNCTION("""COMPUTED_VALUE"""),"")</f>
        <v/>
      </c>
      <c r="AE717" t="str">
        <f ca="1">IFERROR(__xludf.DUMMYFUNCTION("""COMPUTED_VALUE"""),"")</f>
        <v/>
      </c>
    </row>
    <row r="718" spans="1:31" ht="12.75" x14ac:dyDescent="0.2">
      <c r="A718">
        <f ca="1">IFERROR(__xludf.DUMMYFUNCTION("""COMPUTED_VALUE"""),38020)</f>
        <v>38020</v>
      </c>
      <c r="B718" t="str">
        <f ca="1">IFERROR(__xludf.DUMMYFUNCTION("""COMPUTED_VALUE"""),"ORADOUR-SUR-VAYRES")</f>
        <v>ORADOUR-SUR-VAYRES</v>
      </c>
      <c r="C718" t="str">
        <f ca="1">IFERROR(__xludf.DUMMYFUNCTION("""COMPUTED_VALUE"""),"U Express")</f>
        <v>U Express</v>
      </c>
      <c r="D718" t="str">
        <f ca="1">IFERROR(__xludf.DUMMYFUNCTION("""COMPUTED_VALUE"""),"Coop U Enseigne Ouest")</f>
        <v>Coop U Enseigne Ouest</v>
      </c>
      <c r="E718">
        <f ca="1">IFERROR(__xludf.DUMMYFUNCTION("""COMPUTED_VALUE"""),87150)</f>
        <v>87150</v>
      </c>
      <c r="F718" t="str">
        <f ca="1">IFERROR(__xludf.DUMMYFUNCTION("""COMPUTED_VALUE"""),"1, RUE JEAN SEGUREL")</f>
        <v>1, RUE JEAN SEGUREL</v>
      </c>
      <c r="G718" t="str">
        <f ca="1">IFERROR(__xludf.DUMMYFUNCTION("""COMPUTED_VALUE"""),"05.55.48.83.75")</f>
        <v>05.55.48.83.75</v>
      </c>
      <c r="H718" t="str">
        <f ca="1">IFERROR(__xludf.DUMMYFUNCTION("""COMPUTED_VALUE"""),"REMAUD Christian")</f>
        <v>REMAUD Christian</v>
      </c>
      <c r="I718" t="str">
        <f ca="1">IFERROR(__xludf.DUMMYFUNCTION("""COMPUTED_VALUE"""),"christian.remaud@systeme-u.fr")</f>
        <v>christian.remaud@systeme-u.fr</v>
      </c>
      <c r="J718" t="str">
        <f ca="1">IFERROR(__xludf.DUMMYFUNCTION("""COMPUTED_VALUE"""),"FAURE Amélie
VEGNERIE Stéphanie")</f>
        <v>FAURE Amélie
VEGNERIE Stéphanie</v>
      </c>
      <c r="K718" t="str">
        <f ca="1">IFERROR(__xludf.DUMMYFUNCTION("""COMPUTED_VALUE"""),"uexpress.oradoursurvayres@systeme-u.fr,uexpress.oradoursurvayres.compta@systeme-u.fr")</f>
        <v>uexpress.oradoursurvayres@systeme-u.fr,uexpress.oradoursurvayres.compta@systeme-u.fr</v>
      </c>
      <c r="L718" t="str">
        <f ca="1">IFERROR(__xludf.DUMMYFUNCTION("""COMPUTED_VALUE"""),"")</f>
        <v/>
      </c>
      <c r="M718" t="str">
        <f ca="1">IFERROR(__xludf.DUMMYFUNCTION("""COMPUTED_VALUE"""),"99.Hors Périmetre")</f>
        <v>99.Hors Périmetre</v>
      </c>
      <c r="N718" t="str">
        <f ca="1">IFERROR(__xludf.DUMMYFUNCTION("""COMPUTED_VALUE"""),"")</f>
        <v/>
      </c>
      <c r="O718" t="str">
        <f ca="1">IFERROR(__xludf.DUMMYFUNCTION("""COMPUTED_VALUE"""),"")</f>
        <v/>
      </c>
      <c r="P718" t="str">
        <f ca="1">IFERROR(__xludf.DUMMYFUNCTION("""COMPUTED_VALUE"""),"")</f>
        <v/>
      </c>
      <c r="Q718" s="5" t="str">
        <f ca="1">IFERROR(__xludf.DUMMYFUNCTION("""COMPUTED_VALUE"""),"")</f>
        <v/>
      </c>
      <c r="R718" s="6" t="str">
        <f ca="1">IFERROR(__xludf.DUMMYFUNCTION("""COMPUTED_VALUE"""),"")</f>
        <v/>
      </c>
      <c r="S718" t="str">
        <f ca="1">IFERROR(__xludf.DUMMYFUNCTION("""COMPUTED_VALUE"""),"")</f>
        <v/>
      </c>
      <c r="T718" t="str">
        <f ca="1">IFERROR(__xludf.DUMMYFUNCTION("""COMPUTED_VALUE"""),"")</f>
        <v/>
      </c>
      <c r="U718" t="str">
        <f ca="1">IFERROR(__xludf.DUMMYFUNCTION("""COMPUTED_VALUE"""),"")</f>
        <v/>
      </c>
      <c r="V718" t="str">
        <f ca="1">IFERROR(__xludf.DUMMYFUNCTION("""COMPUTED_VALUE"""),"")</f>
        <v/>
      </c>
      <c r="W718" t="str">
        <f ca="1">IFERROR(__xludf.DUMMYFUNCTION("""COMPUTED_VALUE"""),"")</f>
        <v/>
      </c>
      <c r="X718" t="str">
        <f ca="1">IFERROR(__xludf.DUMMYFUNCTION("""COMPUTED_VALUE"""),"")</f>
        <v/>
      </c>
      <c r="Y718" t="str">
        <f ca="1">IFERROR(__xludf.DUMMYFUNCTION("""COMPUTED_VALUE"""),"")</f>
        <v/>
      </c>
      <c r="Z718" t="str">
        <f ca="1">IFERROR(__xludf.DUMMYFUNCTION("""COMPUTED_VALUE"""),"")</f>
        <v/>
      </c>
      <c r="AA718" t="str">
        <f ca="1">IFERROR(__xludf.DUMMYFUNCTION("""COMPUTED_VALUE"""),"Pas de commande")</f>
        <v>Pas de commande</v>
      </c>
      <c r="AB718" s="8" t="str">
        <f ca="1">IFERROR(__xludf.DUMMYFUNCTION("""COMPUTED_VALUE"""),"")</f>
        <v/>
      </c>
      <c r="AC718" s="8" t="str">
        <f ca="1">IFERROR(__xludf.DUMMYFUNCTION("""COMPUTED_VALUE"""),"")</f>
        <v/>
      </c>
      <c r="AD718" s="11" t="str">
        <f ca="1">IFERROR(__xludf.DUMMYFUNCTION("""COMPUTED_VALUE"""),"")</f>
        <v/>
      </c>
      <c r="AE718" t="str">
        <f ca="1">IFERROR(__xludf.DUMMYFUNCTION("""COMPUTED_VALUE"""),"")</f>
        <v/>
      </c>
    </row>
    <row r="719" spans="1:31" ht="12.75" x14ac:dyDescent="0.2">
      <c r="A719">
        <f ca="1">IFERROR(__xludf.DUMMYFUNCTION("""COMPUTED_VALUE"""),64003)</f>
        <v>64003</v>
      </c>
      <c r="B719" t="str">
        <f ca="1">IFERROR(__xludf.DUMMYFUNCTION("""COMPUTED_VALUE"""),"ORCHAMPS-VENNES")</f>
        <v>ORCHAMPS-VENNES</v>
      </c>
      <c r="C719" t="str">
        <f ca="1">IFERROR(__xludf.DUMMYFUNCTION("""COMPUTED_VALUE"""),"U Express")</f>
        <v>U Express</v>
      </c>
      <c r="D719" t="str">
        <f ca="1">IFERROR(__xludf.DUMMYFUNCTION("""COMPUTED_VALUE"""),"Coop U Enseigne Est")</f>
        <v>Coop U Enseigne Est</v>
      </c>
      <c r="E719">
        <f ca="1">IFERROR(__xludf.DUMMYFUNCTION("""COMPUTED_VALUE"""),25390)</f>
        <v>25390</v>
      </c>
      <c r="F719" t="str">
        <f ca="1">IFERROR(__xludf.DUMMYFUNCTION("""COMPUTED_VALUE"""),"2 RUE DE LA VERDOLLE")</f>
        <v>2 RUE DE LA VERDOLLE</v>
      </c>
      <c r="G719" t="str">
        <f ca="1">IFERROR(__xludf.DUMMYFUNCTION("""COMPUTED_VALUE"""),"03.81.43.60.69")</f>
        <v>03.81.43.60.69</v>
      </c>
      <c r="H719" t="str">
        <f ca="1">IFERROR(__xludf.DUMMYFUNCTION("""COMPUTED_VALUE"""),"ROGNON Anne-lise")</f>
        <v>ROGNON Anne-lise</v>
      </c>
      <c r="I719" t="str">
        <f ca="1">IFERROR(__xludf.DUMMYFUNCTION("""COMPUTED_VALUE"""),"anne-lise.rognon@systeme-u.fr")</f>
        <v>anne-lise.rognon@systeme-u.fr</v>
      </c>
      <c r="J719" t="str">
        <f ca="1">IFERROR(__xludf.DUMMYFUNCTION("""COMPUTED_VALUE"""),"")</f>
        <v/>
      </c>
      <c r="K719" t="str">
        <f ca="1">IFERROR(__xludf.DUMMYFUNCTION("""COMPUTED_VALUE"""),"")</f>
        <v/>
      </c>
      <c r="L719" t="str">
        <f ca="1">IFERROR(__xludf.DUMMYFUNCTION("""COMPUTED_VALUE"""),"")</f>
        <v/>
      </c>
      <c r="M719" t="str">
        <f ca="1">IFERROR(__xludf.DUMMYFUNCTION("""COMPUTED_VALUE"""),"99.Hors Périmetre")</f>
        <v>99.Hors Périmetre</v>
      </c>
      <c r="N719" t="str">
        <f ca="1">IFERROR(__xludf.DUMMYFUNCTION("""COMPUTED_VALUE"""),"")</f>
        <v/>
      </c>
      <c r="O719" t="str">
        <f ca="1">IFERROR(__xludf.DUMMYFUNCTION("""COMPUTED_VALUE"""),"")</f>
        <v/>
      </c>
      <c r="P719" t="str">
        <f ca="1">IFERROR(__xludf.DUMMYFUNCTION("""COMPUTED_VALUE"""),"")</f>
        <v/>
      </c>
      <c r="Q719" s="5" t="str">
        <f ca="1">IFERROR(__xludf.DUMMYFUNCTION("""COMPUTED_VALUE"""),"")</f>
        <v/>
      </c>
      <c r="R719" s="6" t="str">
        <f ca="1">IFERROR(__xludf.DUMMYFUNCTION("""COMPUTED_VALUE"""),"")</f>
        <v/>
      </c>
      <c r="S719" t="str">
        <f ca="1">IFERROR(__xludf.DUMMYFUNCTION("""COMPUTED_VALUE"""),"")</f>
        <v/>
      </c>
      <c r="T719" t="str">
        <f ca="1">IFERROR(__xludf.DUMMYFUNCTION("""COMPUTED_VALUE"""),"")</f>
        <v/>
      </c>
      <c r="U719" t="str">
        <f ca="1">IFERROR(__xludf.DUMMYFUNCTION("""COMPUTED_VALUE"""),"")</f>
        <v/>
      </c>
      <c r="V719" t="str">
        <f ca="1">IFERROR(__xludf.DUMMYFUNCTION("""COMPUTED_VALUE"""),"")</f>
        <v/>
      </c>
      <c r="W719" t="str">
        <f ca="1">IFERROR(__xludf.DUMMYFUNCTION("""COMPUTED_VALUE"""),"")</f>
        <v/>
      </c>
      <c r="X719" t="str">
        <f ca="1">IFERROR(__xludf.DUMMYFUNCTION("""COMPUTED_VALUE"""),"")</f>
        <v/>
      </c>
      <c r="Y719" t="str">
        <f ca="1">IFERROR(__xludf.DUMMYFUNCTION("""COMPUTED_VALUE"""),"")</f>
        <v/>
      </c>
      <c r="Z719" t="str">
        <f ca="1">IFERROR(__xludf.DUMMYFUNCTION("""COMPUTED_VALUE"""),"")</f>
        <v/>
      </c>
      <c r="AA719" t="str">
        <f ca="1">IFERROR(__xludf.DUMMYFUNCTION("""COMPUTED_VALUE"""),"Pas de commande")</f>
        <v>Pas de commande</v>
      </c>
      <c r="AB719" s="8" t="str">
        <f ca="1">IFERROR(__xludf.DUMMYFUNCTION("""COMPUTED_VALUE"""),"")</f>
        <v/>
      </c>
      <c r="AC719" s="8" t="str">
        <f ca="1">IFERROR(__xludf.DUMMYFUNCTION("""COMPUTED_VALUE"""),"")</f>
        <v/>
      </c>
      <c r="AD719" s="11" t="str">
        <f ca="1">IFERROR(__xludf.DUMMYFUNCTION("""COMPUTED_VALUE"""),"")</f>
        <v/>
      </c>
      <c r="AE719" t="str">
        <f ca="1">IFERROR(__xludf.DUMMYFUNCTION("""COMPUTED_VALUE"""),"")</f>
        <v/>
      </c>
    </row>
    <row r="720" spans="1:31" ht="12.75" x14ac:dyDescent="0.2">
      <c r="A720">
        <f ca="1">IFERROR(__xludf.DUMMYFUNCTION("""COMPUTED_VALUE"""),66168)</f>
        <v>66168</v>
      </c>
      <c r="B720" t="str">
        <f ca="1">IFERROR(__xludf.DUMMYFUNCTION("""COMPUTED_VALUE"""),"ORGELET")</f>
        <v>ORGELET</v>
      </c>
      <c r="C720" t="str">
        <f ca="1">IFERROR(__xludf.DUMMYFUNCTION("""COMPUTED_VALUE"""),"Super U")</f>
        <v>Super U</v>
      </c>
      <c r="D720" t="str">
        <f ca="1">IFERROR(__xludf.DUMMYFUNCTION("""COMPUTED_VALUE"""),"Coop U Enseigne Est")</f>
        <v>Coop U Enseigne Est</v>
      </c>
      <c r="E720">
        <f ca="1">IFERROR(__xludf.DUMMYFUNCTION("""COMPUTED_VALUE"""),39270)</f>
        <v>39270</v>
      </c>
      <c r="F720" t="str">
        <f ca="1">IFERROR(__xludf.DUMMYFUNCTION("""COMPUTED_VALUE"""),"2, RUE DE L'INDUSTRIE")</f>
        <v>2, RUE DE L'INDUSTRIE</v>
      </c>
      <c r="G720" t="str">
        <f ca="1">IFERROR(__xludf.DUMMYFUNCTION("""COMPUTED_VALUE"""),"03.84.25.46.64")</f>
        <v>03.84.25.46.64</v>
      </c>
      <c r="H720" t="str">
        <f ca="1">IFERROR(__xludf.DUMMYFUNCTION("""COMPUTED_VALUE"""),"VALLEE RPT SAS VALAMOUR FRANCK")</f>
        <v>VALLEE RPT SAS VALAMOUR FRANCK</v>
      </c>
      <c r="I720" t="str">
        <f ca="1">IFERROR(__xludf.DUMMYFUNCTION("""COMPUTED_VALUE"""),"franck.vallee@systeme-u.fr")</f>
        <v>franck.vallee@systeme-u.fr</v>
      </c>
      <c r="J720" t="str">
        <f ca="1">IFERROR(__xludf.DUMMYFUNCTION("""COMPUTED_VALUE"""),"DE MELO ADRIEN ")</f>
        <v xml:space="preserve">DE MELO ADRIEN </v>
      </c>
      <c r="K720" t="str">
        <f ca="1">IFERROR(__xludf.DUMMYFUNCTION("""COMPUTED_VALUE"""),"adrien.demelo@systeme-u.fr")</f>
        <v>adrien.demelo@systeme-u.fr</v>
      </c>
      <c r="L720" t="str">
        <f ca="1">IFERROR(__xludf.DUMMYFUNCTION("""COMPUTED_VALUE"""),"")</f>
        <v/>
      </c>
      <c r="M720" t="str">
        <f ca="1">IFERROR(__xludf.DUMMYFUNCTION("""COMPUTED_VALUE"""),"99.Hors Périmetre")</f>
        <v>99.Hors Périmetre</v>
      </c>
      <c r="N720" t="str">
        <f ca="1">IFERROR(__xludf.DUMMYFUNCTION("""COMPUTED_VALUE"""),"")</f>
        <v/>
      </c>
      <c r="O720" t="str">
        <f ca="1">IFERROR(__xludf.DUMMYFUNCTION("""COMPUTED_VALUE"""),"")</f>
        <v/>
      </c>
      <c r="P720" t="str">
        <f ca="1">IFERROR(__xludf.DUMMYFUNCTION("""COMPUTED_VALUE"""),"")</f>
        <v/>
      </c>
      <c r="Q720" s="5" t="str">
        <f ca="1">IFERROR(__xludf.DUMMYFUNCTION("""COMPUTED_VALUE"""),"")</f>
        <v/>
      </c>
      <c r="R720" s="6" t="str">
        <f ca="1">IFERROR(__xludf.DUMMYFUNCTION("""COMPUTED_VALUE"""),"")</f>
        <v/>
      </c>
      <c r="S720" t="str">
        <f ca="1">IFERROR(__xludf.DUMMYFUNCTION("""COMPUTED_VALUE"""),"")</f>
        <v/>
      </c>
      <c r="T720" t="str">
        <f ca="1">IFERROR(__xludf.DUMMYFUNCTION("""COMPUTED_VALUE"""),"")</f>
        <v/>
      </c>
      <c r="U720" t="str">
        <f ca="1">IFERROR(__xludf.DUMMYFUNCTION("""COMPUTED_VALUE"""),"")</f>
        <v/>
      </c>
      <c r="V720" t="str">
        <f ca="1">IFERROR(__xludf.DUMMYFUNCTION("""COMPUTED_VALUE"""),"")</f>
        <v/>
      </c>
      <c r="W720" t="str">
        <f ca="1">IFERROR(__xludf.DUMMYFUNCTION("""COMPUTED_VALUE"""),"")</f>
        <v/>
      </c>
      <c r="X720" t="str">
        <f ca="1">IFERROR(__xludf.DUMMYFUNCTION("""COMPUTED_VALUE"""),"")</f>
        <v/>
      </c>
      <c r="Y720" t="str">
        <f ca="1">IFERROR(__xludf.DUMMYFUNCTION("""COMPUTED_VALUE"""),"")</f>
        <v/>
      </c>
      <c r="Z720" t="str">
        <f ca="1">IFERROR(__xludf.DUMMYFUNCTION("""COMPUTED_VALUE"""),"")</f>
        <v/>
      </c>
      <c r="AA720" t="str">
        <f ca="1">IFERROR(__xludf.DUMMYFUNCTION("""COMPUTED_VALUE"""),"Pas de commande")</f>
        <v>Pas de commande</v>
      </c>
      <c r="AB720" s="8" t="str">
        <f ca="1">IFERROR(__xludf.DUMMYFUNCTION("""COMPUTED_VALUE"""),"")</f>
        <v/>
      </c>
      <c r="AC720" s="8" t="str">
        <f ca="1">IFERROR(__xludf.DUMMYFUNCTION("""COMPUTED_VALUE"""),"")</f>
        <v/>
      </c>
      <c r="AD720" s="11" t="str">
        <f ca="1">IFERROR(__xludf.DUMMYFUNCTION("""COMPUTED_VALUE"""),"")</f>
        <v/>
      </c>
      <c r="AE720" t="str">
        <f ca="1">IFERROR(__xludf.DUMMYFUNCTION("""COMPUTED_VALUE"""),"")</f>
        <v/>
      </c>
    </row>
    <row r="721" spans="1:31" ht="12.75" x14ac:dyDescent="0.2">
      <c r="A721">
        <f ca="1">IFERROR(__xludf.DUMMYFUNCTION("""COMPUTED_VALUE"""),35692)</f>
        <v>35692</v>
      </c>
      <c r="B721" t="str">
        <f ca="1">IFERROR(__xludf.DUMMYFUNCTION("""COMPUTED_VALUE"""),"ORLEANS")</f>
        <v>ORLEANS</v>
      </c>
      <c r="C721" t="str">
        <f ca="1">IFERROR(__xludf.DUMMYFUNCTION("""COMPUTED_VALUE"""),"U Express")</f>
        <v>U Express</v>
      </c>
      <c r="D721" t="str">
        <f ca="1">IFERROR(__xludf.DUMMYFUNCTION("""COMPUTED_VALUE"""),"Coop U Enseigne Ouest")</f>
        <v>Coop U Enseigne Ouest</v>
      </c>
      <c r="E721">
        <f ca="1">IFERROR(__xludf.DUMMYFUNCTION("""COMPUTED_VALUE"""),45100)</f>
        <v>45100</v>
      </c>
      <c r="F721" t="str">
        <f ca="1">IFERROR(__xludf.DUMMYFUNCTION("""COMPUTED_VALUE"""),"AVENUE DE LA BOLIÈRE")</f>
        <v>AVENUE DE LA BOLIÈRE</v>
      </c>
      <c r="G721" t="str">
        <f ca="1">IFERROR(__xludf.DUMMYFUNCTION("""COMPUTED_VALUE"""),"02.38.24.08.31")</f>
        <v>02.38.24.08.31</v>
      </c>
      <c r="H721" t="str">
        <f ca="1">IFERROR(__xludf.DUMMYFUNCTION("""COMPUTED_VALUE"""),"GIRARD RPT SAS GIRARD Michael")</f>
        <v>GIRARD RPT SAS GIRARD Michael</v>
      </c>
      <c r="I721" t="str">
        <f ca="1">IFERROR(__xludf.DUMMYFUNCTION("""COMPUTED_VALUE"""),"michael.girard@systeme-u.fr")</f>
        <v>michael.girard@systeme-u.fr</v>
      </c>
      <c r="J721" t="str">
        <f ca="1">IFERROR(__xludf.DUMMYFUNCTION("""COMPUTED_VALUE"""),"")</f>
        <v/>
      </c>
      <c r="K721" t="str">
        <f ca="1">IFERROR(__xludf.DUMMYFUNCTION("""COMPUTED_VALUE"""),"")</f>
        <v/>
      </c>
      <c r="L721" t="str">
        <f ca="1">IFERROR(__xludf.DUMMYFUNCTION("""COMPUTED_VALUE"""),"")</f>
        <v/>
      </c>
      <c r="M721" t="str">
        <f ca="1">IFERROR(__xludf.DUMMYFUNCTION("""COMPUTED_VALUE"""),"99.Hors Périmetre")</f>
        <v>99.Hors Périmetre</v>
      </c>
      <c r="N721" t="str">
        <f ca="1">IFERROR(__xludf.DUMMYFUNCTION("""COMPUTED_VALUE"""),"")</f>
        <v/>
      </c>
      <c r="O721" t="str">
        <f ca="1">IFERROR(__xludf.DUMMYFUNCTION("""COMPUTED_VALUE"""),"")</f>
        <v/>
      </c>
      <c r="P721" t="str">
        <f ca="1">IFERROR(__xludf.DUMMYFUNCTION("""COMPUTED_VALUE"""),"")</f>
        <v/>
      </c>
      <c r="Q721" s="5" t="str">
        <f ca="1">IFERROR(__xludf.DUMMYFUNCTION("""COMPUTED_VALUE"""),"")</f>
        <v/>
      </c>
      <c r="R721" s="6" t="str">
        <f ca="1">IFERROR(__xludf.DUMMYFUNCTION("""COMPUTED_VALUE"""),"")</f>
        <v/>
      </c>
      <c r="S721" t="str">
        <f ca="1">IFERROR(__xludf.DUMMYFUNCTION("""COMPUTED_VALUE"""),"")</f>
        <v/>
      </c>
      <c r="T721" t="str">
        <f ca="1">IFERROR(__xludf.DUMMYFUNCTION("""COMPUTED_VALUE"""),"")</f>
        <v/>
      </c>
      <c r="U721" t="str">
        <f ca="1">IFERROR(__xludf.DUMMYFUNCTION("""COMPUTED_VALUE"""),"")</f>
        <v/>
      </c>
      <c r="V721" t="str">
        <f ca="1">IFERROR(__xludf.DUMMYFUNCTION("""COMPUTED_VALUE"""),"")</f>
        <v/>
      </c>
      <c r="W721" t="str">
        <f ca="1">IFERROR(__xludf.DUMMYFUNCTION("""COMPUTED_VALUE"""),"")</f>
        <v/>
      </c>
      <c r="X721" t="str">
        <f ca="1">IFERROR(__xludf.DUMMYFUNCTION("""COMPUTED_VALUE"""),"")</f>
        <v/>
      </c>
      <c r="Y721" t="str">
        <f ca="1">IFERROR(__xludf.DUMMYFUNCTION("""COMPUTED_VALUE"""),"")</f>
        <v/>
      </c>
      <c r="Z721" t="str">
        <f ca="1">IFERROR(__xludf.DUMMYFUNCTION("""COMPUTED_VALUE"""),"")</f>
        <v/>
      </c>
      <c r="AA721" t="str">
        <f ca="1">IFERROR(__xludf.DUMMYFUNCTION("""COMPUTED_VALUE"""),"Pas de commande")</f>
        <v>Pas de commande</v>
      </c>
      <c r="AB721" s="8" t="str">
        <f ca="1">IFERROR(__xludf.DUMMYFUNCTION("""COMPUTED_VALUE"""),"")</f>
        <v/>
      </c>
      <c r="AC721" s="8" t="str">
        <f ca="1">IFERROR(__xludf.DUMMYFUNCTION("""COMPUTED_VALUE"""),"")</f>
        <v/>
      </c>
      <c r="AD721" s="11" t="str">
        <f ca="1">IFERROR(__xludf.DUMMYFUNCTION("""COMPUTED_VALUE"""),"")</f>
        <v/>
      </c>
      <c r="AE721" t="str">
        <f ca="1">IFERROR(__xludf.DUMMYFUNCTION("""COMPUTED_VALUE"""),"")</f>
        <v/>
      </c>
    </row>
    <row r="722" spans="1:31" ht="12.75" x14ac:dyDescent="0.2">
      <c r="A722">
        <f ca="1">IFERROR(__xludf.DUMMYFUNCTION("""COMPUTED_VALUE"""),62110)</f>
        <v>62110</v>
      </c>
      <c r="B722" t="str">
        <f ca="1">IFERROR(__xludf.DUMMYFUNCTION("""COMPUTED_VALUE"""),"ORNANS")</f>
        <v>ORNANS</v>
      </c>
      <c r="C722" t="str">
        <f ca="1">IFERROR(__xludf.DUMMYFUNCTION("""COMPUTED_VALUE"""),"U Express")</f>
        <v>U Express</v>
      </c>
      <c r="D722" t="str">
        <f ca="1">IFERROR(__xludf.DUMMYFUNCTION("""COMPUTED_VALUE"""),"Coop U Enseigne Est")</f>
        <v>Coop U Enseigne Est</v>
      </c>
      <c r="E722">
        <f ca="1">IFERROR(__xludf.DUMMYFUNCTION("""COMPUTED_VALUE"""),25290)</f>
        <v>25290</v>
      </c>
      <c r="F722" t="str">
        <f ca="1">IFERROR(__xludf.DUMMYFUNCTION("""COMPUTED_VALUE"""),"ROUTE DE BESANCON")</f>
        <v>ROUTE DE BESANCON</v>
      </c>
      <c r="G722" t="str">
        <f ca="1">IFERROR(__xludf.DUMMYFUNCTION("""COMPUTED_VALUE"""),"03.81.62.15.50")</f>
        <v>03.81.62.15.50</v>
      </c>
      <c r="H722" t="str">
        <f ca="1">IFERROR(__xludf.DUMMYFUNCTION("""COMPUTED_VALUE"""),"RUDISULI Philippe")</f>
        <v>RUDISULI Philippe</v>
      </c>
      <c r="I722" t="str">
        <f ca="1">IFERROR(__xludf.DUMMYFUNCTION("""COMPUTED_VALUE"""),"philippe.rudisuli@systeme-u.fr")</f>
        <v>philippe.rudisuli@systeme-u.fr</v>
      </c>
      <c r="J722" t="str">
        <f ca="1">IFERROR(__xludf.DUMMYFUNCTION("""COMPUTED_VALUE"""),"KANIA Stéphanie")</f>
        <v>KANIA Stéphanie</v>
      </c>
      <c r="K722" t="str">
        <f ca="1">IFERROR(__xludf.DUMMYFUNCTION("""COMPUTED_VALUE"""),"uexpress.ornans@systeme-u.fr")</f>
        <v>uexpress.ornans@systeme-u.fr</v>
      </c>
      <c r="L722" t="str">
        <f ca="1">IFERROR(__xludf.DUMMYFUNCTION("""COMPUTED_VALUE"""),"")</f>
        <v/>
      </c>
      <c r="M722" t="str">
        <f ca="1">IFERROR(__xludf.DUMMYFUNCTION("""COMPUTED_VALUE"""),"99.Hors Périmetre")</f>
        <v>99.Hors Périmetre</v>
      </c>
      <c r="N722" t="str">
        <f ca="1">IFERROR(__xludf.DUMMYFUNCTION("""COMPUTED_VALUE"""),"")</f>
        <v/>
      </c>
      <c r="O722" t="str">
        <f ca="1">IFERROR(__xludf.DUMMYFUNCTION("""COMPUTED_VALUE"""),"")</f>
        <v/>
      </c>
      <c r="P722" t="str">
        <f ca="1">IFERROR(__xludf.DUMMYFUNCTION("""COMPUTED_VALUE"""),"")</f>
        <v/>
      </c>
      <c r="Q722" s="5" t="str">
        <f ca="1">IFERROR(__xludf.DUMMYFUNCTION("""COMPUTED_VALUE"""),"")</f>
        <v/>
      </c>
      <c r="R722" s="6" t="str">
        <f ca="1">IFERROR(__xludf.DUMMYFUNCTION("""COMPUTED_VALUE"""),"")</f>
        <v/>
      </c>
      <c r="S722" t="str">
        <f ca="1">IFERROR(__xludf.DUMMYFUNCTION("""COMPUTED_VALUE"""),"")</f>
        <v/>
      </c>
      <c r="T722" t="str">
        <f ca="1">IFERROR(__xludf.DUMMYFUNCTION("""COMPUTED_VALUE"""),"")</f>
        <v/>
      </c>
      <c r="U722" t="str">
        <f ca="1">IFERROR(__xludf.DUMMYFUNCTION("""COMPUTED_VALUE"""),"")</f>
        <v/>
      </c>
      <c r="V722" t="str">
        <f ca="1">IFERROR(__xludf.DUMMYFUNCTION("""COMPUTED_VALUE"""),"")</f>
        <v/>
      </c>
      <c r="W722" t="str">
        <f ca="1">IFERROR(__xludf.DUMMYFUNCTION("""COMPUTED_VALUE"""),"")</f>
        <v/>
      </c>
      <c r="X722" t="str">
        <f ca="1">IFERROR(__xludf.DUMMYFUNCTION("""COMPUTED_VALUE"""),"")</f>
        <v/>
      </c>
      <c r="Y722" t="str">
        <f ca="1">IFERROR(__xludf.DUMMYFUNCTION("""COMPUTED_VALUE"""),"")</f>
        <v/>
      </c>
      <c r="Z722" t="str">
        <f ca="1">IFERROR(__xludf.DUMMYFUNCTION("""COMPUTED_VALUE"""),"")</f>
        <v/>
      </c>
      <c r="AA722" t="str">
        <f ca="1">IFERROR(__xludf.DUMMYFUNCTION("""COMPUTED_VALUE"""),"Pas de commande")</f>
        <v>Pas de commande</v>
      </c>
      <c r="AB722" s="8" t="str">
        <f ca="1">IFERROR(__xludf.DUMMYFUNCTION("""COMPUTED_VALUE"""),"")</f>
        <v/>
      </c>
      <c r="AC722" s="8" t="str">
        <f ca="1">IFERROR(__xludf.DUMMYFUNCTION("""COMPUTED_VALUE"""),"")</f>
        <v/>
      </c>
      <c r="AD722" s="11" t="str">
        <f ca="1">IFERROR(__xludf.DUMMYFUNCTION("""COMPUTED_VALUE"""),"")</f>
        <v/>
      </c>
      <c r="AE722" t="str">
        <f ca="1">IFERROR(__xludf.DUMMYFUNCTION("""COMPUTED_VALUE"""),"")</f>
        <v/>
      </c>
    </row>
    <row r="723" spans="1:31" ht="12.75" x14ac:dyDescent="0.2">
      <c r="A723">
        <f ca="1">IFERROR(__xludf.DUMMYFUNCTION("""COMPUTED_VALUE"""),95197)</f>
        <v>95197</v>
      </c>
      <c r="B723" t="str">
        <f ca="1">IFERROR(__xludf.DUMMYFUNCTION("""COMPUTED_VALUE"""),"ORTHEZ")</f>
        <v>ORTHEZ</v>
      </c>
      <c r="C723" t="str">
        <f ca="1">IFERROR(__xludf.DUMMYFUNCTION("""COMPUTED_VALUE"""),"Super U")</f>
        <v>Super U</v>
      </c>
      <c r="D723" t="str">
        <f ca="1">IFERROR(__xludf.DUMMYFUNCTION("""COMPUTED_VALUE"""),"Coop U Enseigne Sud")</f>
        <v>Coop U Enseigne Sud</v>
      </c>
      <c r="E723">
        <f ca="1">IFERROR(__xludf.DUMMYFUNCTION("""COMPUTED_VALUE"""),64300)</f>
        <v>64300</v>
      </c>
      <c r="F723" t="str">
        <f ca="1">IFERROR(__xludf.DUMMYFUNCTION("""COMPUTED_VALUE"""),"ROUTE DE PAU - RN117")</f>
        <v>ROUTE DE PAU - RN117</v>
      </c>
      <c r="G723" t="str">
        <f ca="1">IFERROR(__xludf.DUMMYFUNCTION("""COMPUTED_VALUE"""),"05.59.69.30.31")</f>
        <v>05.59.69.30.31</v>
      </c>
      <c r="H723" t="str">
        <f ca="1">IFERROR(__xludf.DUMMYFUNCTION("""COMPUTED_VALUE"""),"BEE Jerome")</f>
        <v>BEE Jerome</v>
      </c>
      <c r="I723" t="str">
        <f ca="1">IFERROR(__xludf.DUMMYFUNCTION("""COMPUTED_VALUE"""),"jerome.bee@systeme-u.fr")</f>
        <v>jerome.bee@systeme-u.fr</v>
      </c>
      <c r="J723" t="str">
        <f ca="1">IFERROR(__xludf.DUMMYFUNCTION("""COMPUTED_VALUE"""),"LIAUTARD ISABELLE")</f>
        <v>LIAUTARD ISABELLE</v>
      </c>
      <c r="K723" t="str">
        <f ca="1">IFERROR(__xludf.DUMMYFUNCTION("""COMPUTED_VALUE"""),"superu.orthez.daf@systeme-u.fr")</f>
        <v>superu.orthez.daf@systeme-u.fr</v>
      </c>
      <c r="L723" t="str">
        <f ca="1">IFERROR(__xludf.DUMMYFUNCTION("""COMPUTED_VALUE"""),"")</f>
        <v/>
      </c>
      <c r="M723" t="str">
        <f ca="1">IFERROR(__xludf.DUMMYFUNCTION("""COMPUTED_VALUE"""),"99.Hors Périmetre")</f>
        <v>99.Hors Périmetre</v>
      </c>
      <c r="N723" t="str">
        <f ca="1">IFERROR(__xludf.DUMMYFUNCTION("""COMPUTED_VALUE"""),"")</f>
        <v/>
      </c>
      <c r="O723" t="str">
        <f ca="1">IFERROR(__xludf.DUMMYFUNCTION("""COMPUTED_VALUE"""),"")</f>
        <v/>
      </c>
      <c r="P723" t="str">
        <f ca="1">IFERROR(__xludf.DUMMYFUNCTION("""COMPUTED_VALUE"""),"")</f>
        <v/>
      </c>
      <c r="Q723" s="5" t="str">
        <f ca="1">IFERROR(__xludf.DUMMYFUNCTION("""COMPUTED_VALUE"""),"")</f>
        <v/>
      </c>
      <c r="R723" s="6" t="str">
        <f ca="1">IFERROR(__xludf.DUMMYFUNCTION("""COMPUTED_VALUE"""),"")</f>
        <v/>
      </c>
      <c r="S723" t="str">
        <f ca="1">IFERROR(__xludf.DUMMYFUNCTION("""COMPUTED_VALUE"""),"")</f>
        <v/>
      </c>
      <c r="T723" t="str">
        <f ca="1">IFERROR(__xludf.DUMMYFUNCTION("""COMPUTED_VALUE"""),"")</f>
        <v/>
      </c>
      <c r="U723" t="str">
        <f ca="1">IFERROR(__xludf.DUMMYFUNCTION("""COMPUTED_VALUE"""),"")</f>
        <v/>
      </c>
      <c r="V723" t="str">
        <f ca="1">IFERROR(__xludf.DUMMYFUNCTION("""COMPUTED_VALUE"""),"")</f>
        <v/>
      </c>
      <c r="W723" t="str">
        <f ca="1">IFERROR(__xludf.DUMMYFUNCTION("""COMPUTED_VALUE"""),"")</f>
        <v/>
      </c>
      <c r="X723" t="str">
        <f ca="1">IFERROR(__xludf.DUMMYFUNCTION("""COMPUTED_VALUE"""),"")</f>
        <v/>
      </c>
      <c r="Y723" t="str">
        <f ca="1">IFERROR(__xludf.DUMMYFUNCTION("""COMPUTED_VALUE"""),"")</f>
        <v/>
      </c>
      <c r="Z723" t="str">
        <f ca="1">IFERROR(__xludf.DUMMYFUNCTION("""COMPUTED_VALUE"""),"")</f>
        <v/>
      </c>
      <c r="AA723" t="str">
        <f ca="1">IFERROR(__xludf.DUMMYFUNCTION("""COMPUTED_VALUE"""),"Pas de commande")</f>
        <v>Pas de commande</v>
      </c>
      <c r="AB723" s="8" t="str">
        <f ca="1">IFERROR(__xludf.DUMMYFUNCTION("""COMPUTED_VALUE"""),"")</f>
        <v/>
      </c>
      <c r="AC723" s="8" t="str">
        <f ca="1">IFERROR(__xludf.DUMMYFUNCTION("""COMPUTED_VALUE"""),"")</f>
        <v/>
      </c>
      <c r="AD723" s="11" t="str">
        <f ca="1">IFERROR(__xludf.DUMMYFUNCTION("""COMPUTED_VALUE"""),"")</f>
        <v/>
      </c>
      <c r="AE723" t="str">
        <f ca="1">IFERROR(__xludf.DUMMYFUNCTION("""COMPUTED_VALUE"""),"")</f>
        <v/>
      </c>
    </row>
    <row r="724" spans="1:31" ht="12.75" x14ac:dyDescent="0.2">
      <c r="A724">
        <f ca="1">IFERROR(__xludf.DUMMYFUNCTION("""COMPUTED_VALUE"""),25223)</f>
        <v>25223</v>
      </c>
      <c r="B724" t="str">
        <f ca="1">IFERROR(__xludf.DUMMYFUNCTION("""COMPUTED_VALUE"""),"OUILLY LE VICOMTE")</f>
        <v>OUILLY LE VICOMTE</v>
      </c>
      <c r="C724" t="str">
        <f ca="1">IFERROR(__xludf.DUMMYFUNCTION("""COMPUTED_VALUE"""),"Super U")</f>
        <v>Super U</v>
      </c>
      <c r="D724" t="str">
        <f ca="1">IFERROR(__xludf.DUMMYFUNCTION("""COMPUTED_VALUE"""),"Coop U Enseigne NordOuest")</f>
        <v>Coop U Enseigne NordOuest</v>
      </c>
      <c r="E724">
        <f ca="1">IFERROR(__xludf.DUMMYFUNCTION("""COMPUTED_VALUE"""),14100)</f>
        <v>14100</v>
      </c>
      <c r="F724" t="str">
        <f ca="1">IFERROR(__xludf.DUMMYFUNCTION("""COMPUTED_VALUE"""),"ROUTE DE COQUAINVILLIERS")</f>
        <v>ROUTE DE COQUAINVILLIERS</v>
      </c>
      <c r="G724" t="str">
        <f ca="1">IFERROR(__xludf.DUMMYFUNCTION("""COMPUTED_VALUE"""),"02.31.63.08.88")</f>
        <v>02.31.63.08.88</v>
      </c>
      <c r="H724" t="str">
        <f ca="1">IFERROR(__xludf.DUMMYFUNCTION("""COMPUTED_VALUE"""),"LEJEUNE Franck")</f>
        <v>LEJEUNE Franck</v>
      </c>
      <c r="I724" t="str">
        <f ca="1">IFERROR(__xludf.DUMMYFUNCTION("""COMPUTED_VALUE"""),"franck.lejeune@systeme-u.fr")</f>
        <v>franck.lejeune@systeme-u.fr</v>
      </c>
      <c r="J724" t="str">
        <f ca="1">IFERROR(__xludf.DUMMYFUNCTION("""COMPUTED_VALUE"""),"")</f>
        <v/>
      </c>
      <c r="K724" t="str">
        <f ca="1">IFERROR(__xludf.DUMMYFUNCTION("""COMPUTED_VALUE"""),"")</f>
        <v/>
      </c>
      <c r="L724" t="str">
        <f ca="1">IFERROR(__xludf.DUMMYFUNCTION("""COMPUTED_VALUE"""),"")</f>
        <v/>
      </c>
      <c r="M724" t="str">
        <f ca="1">IFERROR(__xludf.DUMMYFUNCTION("""COMPUTED_VALUE"""),"99.Hors Périmetre")</f>
        <v>99.Hors Périmetre</v>
      </c>
      <c r="N724" t="str">
        <f ca="1">IFERROR(__xludf.DUMMYFUNCTION("""COMPUTED_VALUE"""),"")</f>
        <v/>
      </c>
      <c r="O724" t="str">
        <f ca="1">IFERROR(__xludf.DUMMYFUNCTION("""COMPUTED_VALUE"""),"")</f>
        <v/>
      </c>
      <c r="P724" t="str">
        <f ca="1">IFERROR(__xludf.DUMMYFUNCTION("""COMPUTED_VALUE"""),"")</f>
        <v/>
      </c>
      <c r="Q724" s="5" t="str">
        <f ca="1">IFERROR(__xludf.DUMMYFUNCTION("""COMPUTED_VALUE"""),"")</f>
        <v/>
      </c>
      <c r="R724" s="6" t="str">
        <f ca="1">IFERROR(__xludf.DUMMYFUNCTION("""COMPUTED_VALUE"""),"")</f>
        <v/>
      </c>
      <c r="S724" t="str">
        <f ca="1">IFERROR(__xludf.DUMMYFUNCTION("""COMPUTED_VALUE"""),"")</f>
        <v/>
      </c>
      <c r="T724" t="str">
        <f ca="1">IFERROR(__xludf.DUMMYFUNCTION("""COMPUTED_VALUE"""),"")</f>
        <v/>
      </c>
      <c r="U724" t="str">
        <f ca="1">IFERROR(__xludf.DUMMYFUNCTION("""COMPUTED_VALUE"""),"")</f>
        <v/>
      </c>
      <c r="V724" t="str">
        <f ca="1">IFERROR(__xludf.DUMMYFUNCTION("""COMPUTED_VALUE"""),"")</f>
        <v/>
      </c>
      <c r="W724" t="str">
        <f ca="1">IFERROR(__xludf.DUMMYFUNCTION("""COMPUTED_VALUE"""),"")</f>
        <v/>
      </c>
      <c r="X724" t="str">
        <f ca="1">IFERROR(__xludf.DUMMYFUNCTION("""COMPUTED_VALUE"""),"")</f>
        <v/>
      </c>
      <c r="Y724" t="str">
        <f ca="1">IFERROR(__xludf.DUMMYFUNCTION("""COMPUTED_VALUE"""),"")</f>
        <v/>
      </c>
      <c r="Z724" t="str">
        <f ca="1">IFERROR(__xludf.DUMMYFUNCTION("""COMPUTED_VALUE"""),"")</f>
        <v/>
      </c>
      <c r="AA724" t="str">
        <f ca="1">IFERROR(__xludf.DUMMYFUNCTION("""COMPUTED_VALUE"""),"Pas de commande")</f>
        <v>Pas de commande</v>
      </c>
      <c r="AB724" s="8" t="str">
        <f ca="1">IFERROR(__xludf.DUMMYFUNCTION("""COMPUTED_VALUE"""),"")</f>
        <v/>
      </c>
      <c r="AC724" s="8" t="str">
        <f ca="1">IFERROR(__xludf.DUMMYFUNCTION("""COMPUTED_VALUE"""),"")</f>
        <v/>
      </c>
      <c r="AD724" s="11" t="str">
        <f ca="1">IFERROR(__xludf.DUMMYFUNCTION("""COMPUTED_VALUE"""),"")</f>
        <v/>
      </c>
      <c r="AE724" t="str">
        <f ca="1">IFERROR(__xludf.DUMMYFUNCTION("""COMPUTED_VALUE"""),"")</f>
        <v/>
      </c>
    </row>
    <row r="725" spans="1:31" ht="12.75" x14ac:dyDescent="0.2">
      <c r="A725">
        <f ca="1">IFERROR(__xludf.DUMMYFUNCTION("""COMPUTED_VALUE"""),21562)</f>
        <v>21562</v>
      </c>
      <c r="B725" t="str">
        <f ca="1">IFERROR(__xludf.DUMMYFUNCTION("""COMPUTED_VALUE"""),"PACY SUR EURE")</f>
        <v>PACY SUR EURE</v>
      </c>
      <c r="C725" t="str">
        <f ca="1">IFERROR(__xludf.DUMMYFUNCTION("""COMPUTED_VALUE"""),"Super U")</f>
        <v>Super U</v>
      </c>
      <c r="D725" t="str">
        <f ca="1">IFERROR(__xludf.DUMMYFUNCTION("""COMPUTED_VALUE"""),"Coop U Enseigne NordOuest")</f>
        <v>Coop U Enseigne NordOuest</v>
      </c>
      <c r="E725">
        <f ca="1">IFERROR(__xludf.DUMMYFUNCTION("""COMPUTED_VALUE"""),27120)</f>
        <v>27120</v>
      </c>
      <c r="F725" t="str">
        <f ca="1">IFERROR(__xludf.DUMMYFUNCTION("""COMPUTED_VALUE"""),"71 RUE MARCEL MOISSON")</f>
        <v>71 RUE MARCEL MOISSON</v>
      </c>
      <c r="G725" t="str">
        <f ca="1">IFERROR(__xludf.DUMMYFUNCTION("""COMPUTED_VALUE"""),"02.32.36.76.27")</f>
        <v>02.32.36.76.27</v>
      </c>
      <c r="H725" t="str">
        <f ca="1">IFERROR(__xludf.DUMMYFUNCTION("""COMPUTED_VALUE"""),"LEGOUX Benoît")</f>
        <v>LEGOUX Benoît</v>
      </c>
      <c r="I725" t="str">
        <f ca="1">IFERROR(__xludf.DUMMYFUNCTION("""COMPUTED_VALUE"""),"benoit.legoux@systeme-u.fr")</f>
        <v>benoit.legoux@systeme-u.fr</v>
      </c>
      <c r="J725" t="str">
        <f ca="1">IFERROR(__xludf.DUMMYFUNCTION("""COMPUTED_VALUE"""),"Mr Sylvain Aupaix (directeur)")</f>
        <v>Mr Sylvain Aupaix (directeur)</v>
      </c>
      <c r="K725" t="str">
        <f ca="1">IFERROR(__xludf.DUMMYFUNCTION("""COMPUTED_VALUE"""),"superupacysureure.direction@gmail.com")</f>
        <v>superupacysureure.direction@gmail.com</v>
      </c>
      <c r="L725" t="str">
        <f ca="1">IFERROR(__xludf.DUMMYFUNCTION("""COMPUTED_VALUE"""),"")</f>
        <v/>
      </c>
      <c r="M725" t="str">
        <f ca="1">IFERROR(__xludf.DUMMYFUNCTION("""COMPUTED_VALUE"""),"99.Hors Périmetre")</f>
        <v>99.Hors Périmetre</v>
      </c>
      <c r="N725" t="str">
        <f ca="1">IFERROR(__xludf.DUMMYFUNCTION("""COMPUTED_VALUE"""),"")</f>
        <v/>
      </c>
      <c r="O725" t="str">
        <f ca="1">IFERROR(__xludf.DUMMYFUNCTION("""COMPUTED_VALUE"""),"")</f>
        <v/>
      </c>
      <c r="P725" t="str">
        <f ca="1">IFERROR(__xludf.DUMMYFUNCTION("""COMPUTED_VALUE"""),"")</f>
        <v/>
      </c>
      <c r="Q725" s="5" t="str">
        <f ca="1">IFERROR(__xludf.DUMMYFUNCTION("""COMPUTED_VALUE"""),"")</f>
        <v/>
      </c>
      <c r="R725" s="6" t="str">
        <f ca="1">IFERROR(__xludf.DUMMYFUNCTION("""COMPUTED_VALUE"""),"")</f>
        <v/>
      </c>
      <c r="S725" t="str">
        <f ca="1">IFERROR(__xludf.DUMMYFUNCTION("""COMPUTED_VALUE"""),"")</f>
        <v/>
      </c>
      <c r="T725" t="str">
        <f ca="1">IFERROR(__xludf.DUMMYFUNCTION("""COMPUTED_VALUE"""),"")</f>
        <v/>
      </c>
      <c r="U725" t="str">
        <f ca="1">IFERROR(__xludf.DUMMYFUNCTION("""COMPUTED_VALUE"""),"")</f>
        <v/>
      </c>
      <c r="V725" t="str">
        <f ca="1">IFERROR(__xludf.DUMMYFUNCTION("""COMPUTED_VALUE"""),"")</f>
        <v/>
      </c>
      <c r="W725" t="str">
        <f ca="1">IFERROR(__xludf.DUMMYFUNCTION("""COMPUTED_VALUE"""),"")</f>
        <v/>
      </c>
      <c r="X725" t="str">
        <f ca="1">IFERROR(__xludf.DUMMYFUNCTION("""COMPUTED_VALUE"""),"")</f>
        <v/>
      </c>
      <c r="Y725" t="str">
        <f ca="1">IFERROR(__xludf.DUMMYFUNCTION("""COMPUTED_VALUE"""),"")</f>
        <v/>
      </c>
      <c r="Z725" t="str">
        <f ca="1">IFERROR(__xludf.DUMMYFUNCTION("""COMPUTED_VALUE"""),"")</f>
        <v/>
      </c>
      <c r="AA725" t="str">
        <f ca="1">IFERROR(__xludf.DUMMYFUNCTION("""COMPUTED_VALUE"""),"Pas de commande")</f>
        <v>Pas de commande</v>
      </c>
      <c r="AB725" s="8" t="str">
        <f ca="1">IFERROR(__xludf.DUMMYFUNCTION("""COMPUTED_VALUE"""),"")</f>
        <v/>
      </c>
      <c r="AC725" s="8" t="str">
        <f ca="1">IFERROR(__xludf.DUMMYFUNCTION("""COMPUTED_VALUE"""),"")</f>
        <v/>
      </c>
      <c r="AD725" s="11" t="str">
        <f ca="1">IFERROR(__xludf.DUMMYFUNCTION("""COMPUTED_VALUE"""),"")</f>
        <v/>
      </c>
      <c r="AE725" t="str">
        <f ca="1">IFERROR(__xludf.DUMMYFUNCTION("""COMPUTED_VALUE"""),"")</f>
        <v/>
      </c>
    </row>
    <row r="726" spans="1:31" ht="12.75" x14ac:dyDescent="0.2">
      <c r="A726">
        <f ca="1">IFERROR(__xludf.DUMMYFUNCTION("""COMPUTED_VALUE"""),32909)</f>
        <v>32909</v>
      </c>
      <c r="B726" t="str">
        <f ca="1">IFERROR(__xludf.DUMMYFUNCTION("""COMPUTED_VALUE"""),"PORNIC CENTRE")</f>
        <v>PORNIC CENTRE</v>
      </c>
      <c r="C726" t="str">
        <f ca="1">IFERROR(__xludf.DUMMYFUNCTION("""COMPUTED_VALUE"""),"U Express")</f>
        <v>U Express</v>
      </c>
      <c r="D726" t="str">
        <f ca="1">IFERROR(__xludf.DUMMYFUNCTION("""COMPUTED_VALUE"""),"Coop U Enseigne Ouest")</f>
        <v>Coop U Enseigne Ouest</v>
      </c>
      <c r="E726">
        <f ca="1">IFERROR(__xludf.DUMMYFUNCTION("""COMPUTED_VALUE"""),44210)</f>
        <v>44210</v>
      </c>
      <c r="F726" t="str">
        <f ca="1">IFERROR(__xludf.DUMMYFUNCTION("""COMPUTED_VALUE"""),"48, RUE DU GAL DE GAULLE")</f>
        <v>48, RUE DU GAL DE GAULLE</v>
      </c>
      <c r="G726" t="str">
        <f ca="1">IFERROR(__xludf.DUMMYFUNCTION("""COMPUTED_VALUE"""),"02.40.82.03.39")</f>
        <v>02.40.82.03.39</v>
      </c>
      <c r="H726" t="str">
        <f ca="1">IFERROR(__xludf.DUMMYFUNCTION("""COMPUTED_VALUE"""),"THOUZEAU Philippe")</f>
        <v>THOUZEAU Philippe</v>
      </c>
      <c r="I726" t="str">
        <f ca="1">IFERROR(__xludf.DUMMYFUNCTION("""COMPUTED_VALUE"""),"charlene.thouzeau@systeme-u.fr")</f>
        <v>charlene.thouzeau@systeme-u.fr</v>
      </c>
      <c r="J726" t="str">
        <f ca="1">IFERROR(__xludf.DUMMYFUNCTION("""COMPUTED_VALUE"""),"MARCHAND Ludovic")</f>
        <v>MARCHAND Ludovic</v>
      </c>
      <c r="K726" t="str">
        <f ca="1">IFERROR(__xludf.DUMMYFUNCTION("""COMPUTED_VALUE"""),"uexpress.porniccentre.compta3@systeme-u.fr")</f>
        <v>uexpress.porniccentre.compta3@systeme-u.fr</v>
      </c>
      <c r="L726" t="str">
        <f ca="1">IFERROR(__xludf.DUMMYFUNCTION("""COMPUTED_VALUE"""),"")</f>
        <v/>
      </c>
      <c r="M726" t="str">
        <f ca="1">IFERROR(__xludf.DUMMYFUNCTION("""COMPUTED_VALUE"""),"99.Hors Périmetre")</f>
        <v>99.Hors Périmetre</v>
      </c>
      <c r="N726" t="str">
        <f ca="1">IFERROR(__xludf.DUMMYFUNCTION("""COMPUTED_VALUE"""),"")</f>
        <v/>
      </c>
      <c r="O726" t="str">
        <f ca="1">IFERROR(__xludf.DUMMYFUNCTION("""COMPUTED_VALUE"""),"")</f>
        <v/>
      </c>
      <c r="P726" t="str">
        <f ca="1">IFERROR(__xludf.DUMMYFUNCTION("""COMPUTED_VALUE"""),"")</f>
        <v/>
      </c>
      <c r="Q726" s="5" t="str">
        <f ca="1">IFERROR(__xludf.DUMMYFUNCTION("""COMPUTED_VALUE"""),"")</f>
        <v/>
      </c>
      <c r="R726" s="6" t="str">
        <f ca="1">IFERROR(__xludf.DUMMYFUNCTION("""COMPUTED_VALUE"""),"")</f>
        <v/>
      </c>
      <c r="S726" t="str">
        <f ca="1">IFERROR(__xludf.DUMMYFUNCTION("""COMPUTED_VALUE"""),"")</f>
        <v/>
      </c>
      <c r="T726" t="str">
        <f ca="1">IFERROR(__xludf.DUMMYFUNCTION("""COMPUTED_VALUE"""),"")</f>
        <v/>
      </c>
      <c r="U726" t="str">
        <f ca="1">IFERROR(__xludf.DUMMYFUNCTION("""COMPUTED_VALUE"""),"")</f>
        <v/>
      </c>
      <c r="V726" t="str">
        <f ca="1">IFERROR(__xludf.DUMMYFUNCTION("""COMPUTED_VALUE"""),"")</f>
        <v/>
      </c>
      <c r="W726" t="str">
        <f ca="1">IFERROR(__xludf.DUMMYFUNCTION("""COMPUTED_VALUE"""),"")</f>
        <v/>
      </c>
      <c r="X726" t="str">
        <f ca="1">IFERROR(__xludf.DUMMYFUNCTION("""COMPUTED_VALUE"""),"")</f>
        <v/>
      </c>
      <c r="Y726" t="str">
        <f ca="1">IFERROR(__xludf.DUMMYFUNCTION("""COMPUTED_VALUE"""),"")</f>
        <v/>
      </c>
      <c r="Z726" t="str">
        <f ca="1">IFERROR(__xludf.DUMMYFUNCTION("""COMPUTED_VALUE"""),"")</f>
        <v/>
      </c>
      <c r="AA726" t="str">
        <f ca="1">IFERROR(__xludf.DUMMYFUNCTION("""COMPUTED_VALUE"""),"Pas de commande")</f>
        <v>Pas de commande</v>
      </c>
      <c r="AB726" s="8" t="str">
        <f ca="1">IFERROR(__xludf.DUMMYFUNCTION("""COMPUTED_VALUE"""),"")</f>
        <v/>
      </c>
      <c r="AC726" s="8" t="str">
        <f ca="1">IFERROR(__xludf.DUMMYFUNCTION("""COMPUTED_VALUE"""),"")</f>
        <v/>
      </c>
      <c r="AD726" s="11" t="str">
        <f ca="1">IFERROR(__xludf.DUMMYFUNCTION("""COMPUTED_VALUE"""),"")</f>
        <v/>
      </c>
      <c r="AE726" t="str">
        <f ca="1">IFERROR(__xludf.DUMMYFUNCTION("""COMPUTED_VALUE"""),"")</f>
        <v/>
      </c>
    </row>
    <row r="727" spans="1:31" ht="12.75" x14ac:dyDescent="0.2">
      <c r="A727">
        <f ca="1">IFERROR(__xludf.DUMMYFUNCTION("""COMPUTED_VALUE"""),96413)</f>
        <v>96413</v>
      </c>
      <c r="B727" t="str">
        <f ca="1">IFERROR(__xludf.DUMMYFUNCTION("""COMPUTED_VALUE"""),"PARENTIS EN BORN")</f>
        <v>PARENTIS EN BORN</v>
      </c>
      <c r="C727" t="str">
        <f ca="1">IFERROR(__xludf.DUMMYFUNCTION("""COMPUTED_VALUE"""),"Super U")</f>
        <v>Super U</v>
      </c>
      <c r="D727" t="str">
        <f ca="1">IFERROR(__xludf.DUMMYFUNCTION("""COMPUTED_VALUE"""),"Coop U Enseigne Sud")</f>
        <v>Coop U Enseigne Sud</v>
      </c>
      <c r="E727">
        <f ca="1">IFERROR(__xludf.DUMMYFUNCTION("""COMPUTED_VALUE"""),40160)</f>
        <v>40160</v>
      </c>
      <c r="F727" t="str">
        <f ca="1">IFERROR(__xludf.DUMMYFUNCTION("""COMPUTED_VALUE"""),"606 AVENUE BREMONTIER")</f>
        <v>606 AVENUE BREMONTIER</v>
      </c>
      <c r="G727" t="str">
        <f ca="1">IFERROR(__xludf.DUMMYFUNCTION("""COMPUTED_VALUE"""),"05.58.78.42.71")</f>
        <v>05.58.78.42.71</v>
      </c>
      <c r="H727" t="str">
        <f ca="1">IFERROR(__xludf.DUMMYFUNCTION("""COMPUTED_VALUE"""),"SOULIE Thierry")</f>
        <v>SOULIE Thierry</v>
      </c>
      <c r="I727" t="str">
        <f ca="1">IFERROR(__xludf.DUMMYFUNCTION("""COMPUTED_VALUE"""),"thierry.soulie@systeme-u.fr")</f>
        <v>thierry.soulie@systeme-u.fr</v>
      </c>
      <c r="J727" t="str">
        <f ca="1">IFERROR(__xludf.DUMMYFUNCTION("""COMPUTED_VALUE"""),"SOULIE Thibaud")</f>
        <v>SOULIE Thibaud</v>
      </c>
      <c r="K727" t="str">
        <f ca="1">IFERROR(__xludf.DUMMYFUNCTION("""COMPUTED_VALUE"""),"thibaud.soulie@systeme-u.fr")</f>
        <v>thibaud.soulie@systeme-u.fr</v>
      </c>
      <c r="L727" t="str">
        <f ca="1">IFERROR(__xludf.DUMMYFUNCTION("""COMPUTED_VALUE"""),"")</f>
        <v/>
      </c>
      <c r="M727" t="str">
        <f ca="1">IFERROR(__xludf.DUMMYFUNCTION("""COMPUTED_VALUE"""),"99.Hors Périmetre")</f>
        <v>99.Hors Périmetre</v>
      </c>
      <c r="N727" t="str">
        <f ca="1">IFERROR(__xludf.DUMMYFUNCTION("""COMPUTED_VALUE"""),"")</f>
        <v/>
      </c>
      <c r="O727" t="str">
        <f ca="1">IFERROR(__xludf.DUMMYFUNCTION("""COMPUTED_VALUE"""),"")</f>
        <v/>
      </c>
      <c r="P727" t="str">
        <f ca="1">IFERROR(__xludf.DUMMYFUNCTION("""COMPUTED_VALUE"""),"")</f>
        <v/>
      </c>
      <c r="Q727" s="5" t="str">
        <f ca="1">IFERROR(__xludf.DUMMYFUNCTION("""COMPUTED_VALUE"""),"")</f>
        <v/>
      </c>
      <c r="R727" s="6" t="str">
        <f ca="1">IFERROR(__xludf.DUMMYFUNCTION("""COMPUTED_VALUE"""),"")</f>
        <v/>
      </c>
      <c r="S727" t="str">
        <f ca="1">IFERROR(__xludf.DUMMYFUNCTION("""COMPUTED_VALUE"""),"")</f>
        <v/>
      </c>
      <c r="T727" t="str">
        <f ca="1">IFERROR(__xludf.DUMMYFUNCTION("""COMPUTED_VALUE"""),"")</f>
        <v/>
      </c>
      <c r="U727" t="str">
        <f ca="1">IFERROR(__xludf.DUMMYFUNCTION("""COMPUTED_VALUE"""),"")</f>
        <v/>
      </c>
      <c r="V727" t="str">
        <f ca="1">IFERROR(__xludf.DUMMYFUNCTION("""COMPUTED_VALUE"""),"")</f>
        <v/>
      </c>
      <c r="W727" t="str">
        <f ca="1">IFERROR(__xludf.DUMMYFUNCTION("""COMPUTED_VALUE"""),"")</f>
        <v/>
      </c>
      <c r="X727" t="str">
        <f ca="1">IFERROR(__xludf.DUMMYFUNCTION("""COMPUTED_VALUE"""),"")</f>
        <v/>
      </c>
      <c r="Y727" t="str">
        <f ca="1">IFERROR(__xludf.DUMMYFUNCTION("""COMPUTED_VALUE"""),"")</f>
        <v/>
      </c>
      <c r="Z727" t="str">
        <f ca="1">IFERROR(__xludf.DUMMYFUNCTION("""COMPUTED_VALUE"""),"")</f>
        <v/>
      </c>
      <c r="AA727" t="str">
        <f ca="1">IFERROR(__xludf.DUMMYFUNCTION("""COMPUTED_VALUE"""),"Pas de commande")</f>
        <v>Pas de commande</v>
      </c>
      <c r="AB727" s="8" t="str">
        <f ca="1">IFERROR(__xludf.DUMMYFUNCTION("""COMPUTED_VALUE"""),"")</f>
        <v/>
      </c>
      <c r="AC727" s="8" t="str">
        <f ca="1">IFERROR(__xludf.DUMMYFUNCTION("""COMPUTED_VALUE"""),"")</f>
        <v/>
      </c>
      <c r="AD727" s="11" t="str">
        <f ca="1">IFERROR(__xludf.DUMMYFUNCTION("""COMPUTED_VALUE"""),"")</f>
        <v/>
      </c>
      <c r="AE727" t="str">
        <f ca="1">IFERROR(__xludf.DUMMYFUNCTION("""COMPUTED_VALUE"""),"")</f>
        <v/>
      </c>
    </row>
    <row r="728" spans="1:31" ht="12.75" x14ac:dyDescent="0.2">
      <c r="A728">
        <f ca="1">IFERROR(__xludf.DUMMYFUNCTION("""COMPUTED_VALUE"""),33794)</f>
        <v>33794</v>
      </c>
      <c r="B728" t="str">
        <f ca="1">IFERROR(__xludf.DUMMYFUNCTION("""COMPUTED_VALUE"""),"PARIGNE-LEVEQUE")</f>
        <v>PARIGNE-LEVEQUE</v>
      </c>
      <c r="C728" t="str">
        <f ca="1">IFERROR(__xludf.DUMMYFUNCTION("""COMPUTED_VALUE"""),"Super U")</f>
        <v>Super U</v>
      </c>
      <c r="D728" t="str">
        <f ca="1">IFERROR(__xludf.DUMMYFUNCTION("""COMPUTED_VALUE"""),"Coop U Enseigne Ouest")</f>
        <v>Coop U Enseigne Ouest</v>
      </c>
      <c r="E728">
        <f ca="1">IFERROR(__xludf.DUMMYFUNCTION("""COMPUTED_VALUE"""),72250)</f>
        <v>72250</v>
      </c>
      <c r="F728" t="str">
        <f ca="1">IFERROR(__xludf.DUMMYFUNCTION("""COMPUTED_VALUE"""),"LE RUISSEAU")</f>
        <v>LE RUISSEAU</v>
      </c>
      <c r="G728" t="str">
        <f ca="1">IFERROR(__xludf.DUMMYFUNCTION("""COMPUTED_VALUE"""),"02.43.50.31.80")</f>
        <v>02.43.50.31.80</v>
      </c>
      <c r="H728" t="str">
        <f ca="1">IFERROR(__xludf.DUMMYFUNCTION("""COMPUTED_VALUE"""),"CHEVALLIER RPT SAS EVEDIS Samuel")</f>
        <v>CHEVALLIER RPT SAS EVEDIS Samuel</v>
      </c>
      <c r="I728" t="str">
        <f ca="1">IFERROR(__xludf.DUMMYFUNCTION("""COMPUTED_VALUE"""),"samuel.chevallier@systeme-u.fr")</f>
        <v>samuel.chevallier@systeme-u.fr</v>
      </c>
      <c r="J728" t="str">
        <f ca="1">IFERROR(__xludf.DUMMYFUNCTION("""COMPUTED_VALUE"""),"Stéphane Oster
Françoise (resp ULIS)")</f>
        <v>Stéphane Oster
Françoise (resp ULIS)</v>
      </c>
      <c r="K728" t="str">
        <f ca="1">IFERROR(__xludf.DUMMYFUNCTION("""COMPUTED_VALUE"""),"stephane.oster@systeme-u.fr,superu.parigneeveque.administratif@systeme-u.fr ")</f>
        <v xml:space="preserve">stephane.oster@systeme-u.fr,superu.parigneeveque.administratif@systeme-u.fr </v>
      </c>
      <c r="L728" t="str">
        <f ca="1">IFERROR(__xludf.DUMMYFUNCTION("""COMPUTED_VALUE"""),"")</f>
        <v/>
      </c>
      <c r="M728" t="str">
        <f ca="1">IFERROR(__xludf.DUMMYFUNCTION("""COMPUTED_VALUE"""),"99.Hors Périmetre")</f>
        <v>99.Hors Périmetre</v>
      </c>
      <c r="N728" t="str">
        <f ca="1">IFERROR(__xludf.DUMMYFUNCTION("""COMPUTED_VALUE"""),"")</f>
        <v/>
      </c>
      <c r="O728" t="str">
        <f ca="1">IFERROR(__xludf.DUMMYFUNCTION("""COMPUTED_VALUE"""),"")</f>
        <v/>
      </c>
      <c r="P728" t="str">
        <f ca="1">IFERROR(__xludf.DUMMYFUNCTION("""COMPUTED_VALUE"""),"")</f>
        <v/>
      </c>
      <c r="Q728" s="5" t="str">
        <f ca="1">IFERROR(__xludf.DUMMYFUNCTION("""COMPUTED_VALUE"""),"")</f>
        <v/>
      </c>
      <c r="R728" s="6" t="str">
        <f ca="1">IFERROR(__xludf.DUMMYFUNCTION("""COMPUTED_VALUE"""),"")</f>
        <v/>
      </c>
      <c r="S728" t="str">
        <f ca="1">IFERROR(__xludf.DUMMYFUNCTION("""COMPUTED_VALUE"""),"")</f>
        <v/>
      </c>
      <c r="T728" t="str">
        <f ca="1">IFERROR(__xludf.DUMMYFUNCTION("""COMPUTED_VALUE"""),"")</f>
        <v/>
      </c>
      <c r="U728" t="str">
        <f ca="1">IFERROR(__xludf.DUMMYFUNCTION("""COMPUTED_VALUE"""),"")</f>
        <v/>
      </c>
      <c r="V728" t="str">
        <f ca="1">IFERROR(__xludf.DUMMYFUNCTION("""COMPUTED_VALUE"""),"")</f>
        <v/>
      </c>
      <c r="W728" t="str">
        <f ca="1">IFERROR(__xludf.DUMMYFUNCTION("""COMPUTED_VALUE"""),"")</f>
        <v/>
      </c>
      <c r="X728" t="str">
        <f ca="1">IFERROR(__xludf.DUMMYFUNCTION("""COMPUTED_VALUE"""),"")</f>
        <v/>
      </c>
      <c r="Y728" t="str">
        <f ca="1">IFERROR(__xludf.DUMMYFUNCTION("""COMPUTED_VALUE"""),"")</f>
        <v/>
      </c>
      <c r="Z728" t="str">
        <f ca="1">IFERROR(__xludf.DUMMYFUNCTION("""COMPUTED_VALUE"""),"")</f>
        <v/>
      </c>
      <c r="AA728" t="str">
        <f ca="1">IFERROR(__xludf.DUMMYFUNCTION("""COMPUTED_VALUE"""),"Pas de commande")</f>
        <v>Pas de commande</v>
      </c>
      <c r="AB728" s="8" t="str">
        <f ca="1">IFERROR(__xludf.DUMMYFUNCTION("""COMPUTED_VALUE"""),"")</f>
        <v/>
      </c>
      <c r="AC728" s="8" t="str">
        <f ca="1">IFERROR(__xludf.DUMMYFUNCTION("""COMPUTED_VALUE"""),"")</f>
        <v/>
      </c>
      <c r="AD728" s="11" t="str">
        <f ca="1">IFERROR(__xludf.DUMMYFUNCTION("""COMPUTED_VALUE"""),"")</f>
        <v/>
      </c>
      <c r="AE728" t="str">
        <f ca="1">IFERROR(__xludf.DUMMYFUNCTION("""COMPUTED_VALUE"""),"")</f>
        <v/>
      </c>
    </row>
    <row r="729" spans="1:31" ht="12.75" x14ac:dyDescent="0.2">
      <c r="A729">
        <f ca="1">IFERROR(__xludf.DUMMYFUNCTION("""COMPUTED_VALUE"""),23220)</f>
        <v>23220</v>
      </c>
      <c r="B729" t="str">
        <f ca="1">IFERROR(__xludf.DUMMYFUNCTION("""COMPUTED_VALUE"""),"PARIS ASSAS")</f>
        <v>PARIS ASSAS</v>
      </c>
      <c r="C729" t="str">
        <f ca="1">IFERROR(__xludf.DUMMYFUNCTION("""COMPUTED_VALUE"""),"U Express")</f>
        <v>U Express</v>
      </c>
      <c r="D729" t="str">
        <f ca="1">IFERROR(__xludf.DUMMYFUNCTION("""COMPUTED_VALUE"""),"Coop U Enseigne NordOuest")</f>
        <v>Coop U Enseigne NordOuest</v>
      </c>
      <c r="E729">
        <f ca="1">IFERROR(__xludf.DUMMYFUNCTION("""COMPUTED_VALUE"""),75006)</f>
        <v>75006</v>
      </c>
      <c r="F729" t="str">
        <f ca="1">IFERROR(__xludf.DUMMYFUNCTION("""COMPUTED_VALUE"""),"1 RUE D'ASSAS")</f>
        <v>1 RUE D'ASSAS</v>
      </c>
      <c r="G729" t="str">
        <f ca="1">IFERROR(__xludf.DUMMYFUNCTION("""COMPUTED_VALUE"""),"01.45.44.25.05")</f>
        <v>01.45.44.25.05</v>
      </c>
      <c r="H729" t="str">
        <f ca="1">IFERROR(__xludf.DUMMYFUNCTION("""COMPUTED_VALUE"""),"LEVY Sacha")</f>
        <v>LEVY Sacha</v>
      </c>
      <c r="I729" t="str">
        <f ca="1">IFERROR(__xludf.DUMMYFUNCTION("""COMPUTED_VALUE"""),"sacha.levy@systeme-u.fr")</f>
        <v>sacha.levy@systeme-u.fr</v>
      </c>
      <c r="J729" t="str">
        <f ca="1">IFERROR(__xludf.DUMMYFUNCTION("""COMPUTED_VALUE"""),"Mr Deloumeaux")</f>
        <v>Mr Deloumeaux</v>
      </c>
      <c r="K729" t="str">
        <f ca="1">IFERROR(__xludf.DUMMYFUNCTION("""COMPUTED_VALUE"""),"uexpress.paris.assas@systeme-u.fr")</f>
        <v>uexpress.paris.assas@systeme-u.fr</v>
      </c>
      <c r="L729" t="str">
        <f ca="1">IFERROR(__xludf.DUMMYFUNCTION("""COMPUTED_VALUE"""),"")</f>
        <v/>
      </c>
      <c r="M729" t="str">
        <f ca="1">IFERROR(__xludf.DUMMYFUNCTION("""COMPUTED_VALUE"""),"99.Hors Périmetre")</f>
        <v>99.Hors Périmetre</v>
      </c>
      <c r="N729" t="str">
        <f ca="1">IFERROR(__xludf.DUMMYFUNCTION("""COMPUTED_VALUE"""),"")</f>
        <v/>
      </c>
      <c r="O729" t="str">
        <f ca="1">IFERROR(__xludf.DUMMYFUNCTION("""COMPUTED_VALUE"""),"")</f>
        <v/>
      </c>
      <c r="P729" t="str">
        <f ca="1">IFERROR(__xludf.DUMMYFUNCTION("""COMPUTED_VALUE"""),"")</f>
        <v/>
      </c>
      <c r="Q729" s="5" t="str">
        <f ca="1">IFERROR(__xludf.DUMMYFUNCTION("""COMPUTED_VALUE"""),"")</f>
        <v/>
      </c>
      <c r="R729" s="6" t="str">
        <f ca="1">IFERROR(__xludf.DUMMYFUNCTION("""COMPUTED_VALUE"""),"")</f>
        <v/>
      </c>
      <c r="S729" t="str">
        <f ca="1">IFERROR(__xludf.DUMMYFUNCTION("""COMPUTED_VALUE"""),"")</f>
        <v/>
      </c>
      <c r="T729" t="str">
        <f ca="1">IFERROR(__xludf.DUMMYFUNCTION("""COMPUTED_VALUE"""),"")</f>
        <v/>
      </c>
      <c r="U729" t="str">
        <f ca="1">IFERROR(__xludf.DUMMYFUNCTION("""COMPUTED_VALUE"""),"")</f>
        <v/>
      </c>
      <c r="V729" t="str">
        <f ca="1">IFERROR(__xludf.DUMMYFUNCTION("""COMPUTED_VALUE"""),"")</f>
        <v/>
      </c>
      <c r="W729" t="str">
        <f ca="1">IFERROR(__xludf.DUMMYFUNCTION("""COMPUTED_VALUE"""),"")</f>
        <v/>
      </c>
      <c r="X729" t="str">
        <f ca="1">IFERROR(__xludf.DUMMYFUNCTION("""COMPUTED_VALUE"""),"")</f>
        <v/>
      </c>
      <c r="Y729" t="str">
        <f ca="1">IFERROR(__xludf.DUMMYFUNCTION("""COMPUTED_VALUE"""),"")</f>
        <v/>
      </c>
      <c r="Z729" t="str">
        <f ca="1">IFERROR(__xludf.DUMMYFUNCTION("""COMPUTED_VALUE"""),"")</f>
        <v/>
      </c>
      <c r="AA729" t="str">
        <f ca="1">IFERROR(__xludf.DUMMYFUNCTION("""COMPUTED_VALUE"""),"Pas de commande")</f>
        <v>Pas de commande</v>
      </c>
      <c r="AB729" s="8" t="str">
        <f ca="1">IFERROR(__xludf.DUMMYFUNCTION("""COMPUTED_VALUE"""),"")</f>
        <v/>
      </c>
      <c r="AC729" s="8" t="str">
        <f ca="1">IFERROR(__xludf.DUMMYFUNCTION("""COMPUTED_VALUE"""),"")</f>
        <v/>
      </c>
      <c r="AD729" s="11" t="str">
        <f ca="1">IFERROR(__xludf.DUMMYFUNCTION("""COMPUTED_VALUE"""),"")</f>
        <v/>
      </c>
      <c r="AE729" t="str">
        <f ca="1">IFERROR(__xludf.DUMMYFUNCTION("""COMPUTED_VALUE"""),"")</f>
        <v/>
      </c>
    </row>
    <row r="730" spans="1:31" ht="12.75" x14ac:dyDescent="0.2">
      <c r="A730">
        <f ca="1">IFERROR(__xludf.DUMMYFUNCTION("""COMPUTED_VALUE"""),23158)</f>
        <v>23158</v>
      </c>
      <c r="B730" t="str">
        <f ca="1">IFERROR(__xludf.DUMMYFUNCTION("""COMPUTED_VALUE"""),"PARIS CHAMPIONNET")</f>
        <v>PARIS CHAMPIONNET</v>
      </c>
      <c r="C730" t="str">
        <f ca="1">IFERROR(__xludf.DUMMYFUNCTION("""COMPUTED_VALUE"""),"U Express")</f>
        <v>U Express</v>
      </c>
      <c r="D730" t="str">
        <f ca="1">IFERROR(__xludf.DUMMYFUNCTION("""COMPUTED_VALUE"""),"Coop U Enseigne NordOuest")</f>
        <v>Coop U Enseigne NordOuest</v>
      </c>
      <c r="E730">
        <f ca="1">IFERROR(__xludf.DUMMYFUNCTION("""COMPUTED_VALUE"""),75018)</f>
        <v>75018</v>
      </c>
      <c r="F730" t="str">
        <f ca="1">IFERROR(__xludf.DUMMYFUNCTION("""COMPUTED_VALUE"""),"193 RUE CHAMPIONNET")</f>
        <v>193 RUE CHAMPIONNET</v>
      </c>
      <c r="G730" t="str">
        <f ca="1">IFERROR(__xludf.DUMMYFUNCTION("""COMPUTED_VALUE"""),"01.58.60.36.30")</f>
        <v>01.58.60.36.30</v>
      </c>
      <c r="H730" t="str">
        <f ca="1">IFERROR(__xludf.DUMMYFUNCTION("""COMPUTED_VALUE"""),"SEGONS Arnaud")</f>
        <v>SEGONS Arnaud</v>
      </c>
      <c r="I730" t="str">
        <f ca="1">IFERROR(__xludf.DUMMYFUNCTION("""COMPUTED_VALUE"""),"arnaud.segons@systeme-u.fr")</f>
        <v>arnaud.segons@systeme-u.fr</v>
      </c>
      <c r="J730" t="str">
        <f ca="1">IFERROR(__xludf.DUMMYFUNCTION("""COMPUTED_VALUE"""),"Mr Arnaud Segons")</f>
        <v>Mr Arnaud Segons</v>
      </c>
      <c r="K730" t="str">
        <f ca="1">IFERROR(__xludf.DUMMYFUNCTION("""COMPUTED_VALUE"""),"")</f>
        <v/>
      </c>
      <c r="L730" t="str">
        <f ca="1">IFERROR(__xludf.DUMMYFUNCTION("""COMPUTED_VALUE"""),"")</f>
        <v/>
      </c>
      <c r="M730" t="str">
        <f ca="1">IFERROR(__xludf.DUMMYFUNCTION("""COMPUTED_VALUE"""),"99.Hors Périmetre")</f>
        <v>99.Hors Périmetre</v>
      </c>
      <c r="N730" t="str">
        <f ca="1">IFERROR(__xludf.DUMMYFUNCTION("""COMPUTED_VALUE"""),"")</f>
        <v/>
      </c>
      <c r="O730" t="str">
        <f ca="1">IFERROR(__xludf.DUMMYFUNCTION("""COMPUTED_VALUE"""),"")</f>
        <v/>
      </c>
      <c r="P730" t="str">
        <f ca="1">IFERROR(__xludf.DUMMYFUNCTION("""COMPUTED_VALUE"""),"")</f>
        <v/>
      </c>
      <c r="Q730" s="5" t="str">
        <f ca="1">IFERROR(__xludf.DUMMYFUNCTION("""COMPUTED_VALUE"""),"")</f>
        <v/>
      </c>
      <c r="R730" s="6" t="str">
        <f ca="1">IFERROR(__xludf.DUMMYFUNCTION("""COMPUTED_VALUE"""),"")</f>
        <v/>
      </c>
      <c r="S730" t="str">
        <f ca="1">IFERROR(__xludf.DUMMYFUNCTION("""COMPUTED_VALUE"""),"")</f>
        <v/>
      </c>
      <c r="T730" t="str">
        <f ca="1">IFERROR(__xludf.DUMMYFUNCTION("""COMPUTED_VALUE"""),"")</f>
        <v/>
      </c>
      <c r="U730" t="str">
        <f ca="1">IFERROR(__xludf.DUMMYFUNCTION("""COMPUTED_VALUE"""),"")</f>
        <v/>
      </c>
      <c r="V730" t="str">
        <f ca="1">IFERROR(__xludf.DUMMYFUNCTION("""COMPUTED_VALUE"""),"")</f>
        <v/>
      </c>
      <c r="W730" t="str">
        <f ca="1">IFERROR(__xludf.DUMMYFUNCTION("""COMPUTED_VALUE"""),"")</f>
        <v/>
      </c>
      <c r="X730" t="str">
        <f ca="1">IFERROR(__xludf.DUMMYFUNCTION("""COMPUTED_VALUE"""),"")</f>
        <v/>
      </c>
      <c r="Y730" t="str">
        <f ca="1">IFERROR(__xludf.DUMMYFUNCTION("""COMPUTED_VALUE"""),"")</f>
        <v/>
      </c>
      <c r="Z730" t="str">
        <f ca="1">IFERROR(__xludf.DUMMYFUNCTION("""COMPUTED_VALUE"""),"")</f>
        <v/>
      </c>
      <c r="AA730" t="str">
        <f ca="1">IFERROR(__xludf.DUMMYFUNCTION("""COMPUTED_VALUE"""),"Pas de commande")</f>
        <v>Pas de commande</v>
      </c>
      <c r="AB730" s="8" t="str">
        <f ca="1">IFERROR(__xludf.DUMMYFUNCTION("""COMPUTED_VALUE"""),"")</f>
        <v/>
      </c>
      <c r="AC730" s="8" t="str">
        <f ca="1">IFERROR(__xludf.DUMMYFUNCTION("""COMPUTED_VALUE"""),"")</f>
        <v/>
      </c>
      <c r="AD730" s="11" t="str">
        <f ca="1">IFERROR(__xludf.DUMMYFUNCTION("""COMPUTED_VALUE"""),"")</f>
        <v/>
      </c>
      <c r="AE730" t="str">
        <f ca="1">IFERROR(__xludf.DUMMYFUNCTION("""COMPUTED_VALUE"""),"")</f>
        <v/>
      </c>
    </row>
    <row r="731" spans="1:31" ht="12.75" x14ac:dyDescent="0.2">
      <c r="A731">
        <f ca="1">IFERROR(__xludf.DUMMYFUNCTION("""COMPUTED_VALUE"""),21872)</f>
        <v>21872</v>
      </c>
      <c r="B731" t="str">
        <f ca="1">IFERROR(__xludf.DUMMYFUNCTION("""COMPUTED_VALUE"""),"PARIS CLICHY")</f>
        <v>PARIS CLICHY</v>
      </c>
      <c r="C731" t="str">
        <f ca="1">IFERROR(__xludf.DUMMYFUNCTION("""COMPUTED_VALUE"""),"Super U")</f>
        <v>Super U</v>
      </c>
      <c r="D731" t="str">
        <f ca="1">IFERROR(__xludf.DUMMYFUNCTION("""COMPUTED_VALUE"""),"Coop U Enseigne NordOuest")</f>
        <v>Coop U Enseigne NordOuest</v>
      </c>
      <c r="E731">
        <f ca="1">IFERROR(__xludf.DUMMYFUNCTION("""COMPUTED_VALUE"""),75017)</f>
        <v>75017</v>
      </c>
      <c r="F731" t="str">
        <f ca="1">IFERROR(__xludf.DUMMYFUNCTION("""COMPUTED_VALUE"""),"103 AVENUE DE CLICHY")</f>
        <v>103 AVENUE DE CLICHY</v>
      </c>
      <c r="G731" t="str">
        <f ca="1">IFERROR(__xludf.DUMMYFUNCTION("""COMPUTED_VALUE"""),"01.42.28.61.22")</f>
        <v>01.42.28.61.22</v>
      </c>
      <c r="H731" t="str">
        <f ca="1">IFERROR(__xludf.DUMMYFUNCTION("""COMPUTED_VALUE"""),"CHARBITH Maurice")</f>
        <v>CHARBITH Maurice</v>
      </c>
      <c r="I731" t="str">
        <f ca="1">IFERROR(__xludf.DUMMYFUNCTION("""COMPUTED_VALUE"""),"maurice.charbith@systeme-u.fr")</f>
        <v>maurice.charbith@systeme-u.fr</v>
      </c>
      <c r="J731" t="str">
        <f ca="1">IFERROR(__xludf.DUMMYFUNCTION("""COMPUTED_VALUE"""),"")</f>
        <v/>
      </c>
      <c r="K731" t="str">
        <f ca="1">IFERROR(__xludf.DUMMYFUNCTION("""COMPUTED_VALUE"""),"")</f>
        <v/>
      </c>
      <c r="L731" t="str">
        <f ca="1">IFERROR(__xludf.DUMMYFUNCTION("""COMPUTED_VALUE"""),"")</f>
        <v/>
      </c>
      <c r="M731" t="str">
        <f ca="1">IFERROR(__xludf.DUMMYFUNCTION("""COMPUTED_VALUE"""),"99.Hors Périmetre")</f>
        <v>99.Hors Périmetre</v>
      </c>
      <c r="N731" t="str">
        <f ca="1">IFERROR(__xludf.DUMMYFUNCTION("""COMPUTED_VALUE"""),"")</f>
        <v/>
      </c>
      <c r="O731" t="str">
        <f ca="1">IFERROR(__xludf.DUMMYFUNCTION("""COMPUTED_VALUE"""),"")</f>
        <v/>
      </c>
      <c r="P731" t="str">
        <f ca="1">IFERROR(__xludf.DUMMYFUNCTION("""COMPUTED_VALUE"""),"")</f>
        <v/>
      </c>
      <c r="Q731" s="5" t="str">
        <f ca="1">IFERROR(__xludf.DUMMYFUNCTION("""COMPUTED_VALUE"""),"")</f>
        <v/>
      </c>
      <c r="R731" s="6" t="str">
        <f ca="1">IFERROR(__xludf.DUMMYFUNCTION("""COMPUTED_VALUE"""),"")</f>
        <v/>
      </c>
      <c r="S731" t="str">
        <f ca="1">IFERROR(__xludf.DUMMYFUNCTION("""COMPUTED_VALUE"""),"")</f>
        <v/>
      </c>
      <c r="T731" t="str">
        <f ca="1">IFERROR(__xludf.DUMMYFUNCTION("""COMPUTED_VALUE"""),"")</f>
        <v/>
      </c>
      <c r="U731" t="str">
        <f ca="1">IFERROR(__xludf.DUMMYFUNCTION("""COMPUTED_VALUE"""),"")</f>
        <v/>
      </c>
      <c r="V731" t="str">
        <f ca="1">IFERROR(__xludf.DUMMYFUNCTION("""COMPUTED_VALUE"""),"")</f>
        <v/>
      </c>
      <c r="W731" t="str">
        <f ca="1">IFERROR(__xludf.DUMMYFUNCTION("""COMPUTED_VALUE"""),"")</f>
        <v/>
      </c>
      <c r="X731" t="str">
        <f ca="1">IFERROR(__xludf.DUMMYFUNCTION("""COMPUTED_VALUE"""),"")</f>
        <v/>
      </c>
      <c r="Y731" t="str">
        <f ca="1">IFERROR(__xludf.DUMMYFUNCTION("""COMPUTED_VALUE"""),"")</f>
        <v/>
      </c>
      <c r="Z731" t="str">
        <f ca="1">IFERROR(__xludf.DUMMYFUNCTION("""COMPUTED_VALUE"""),"")</f>
        <v/>
      </c>
      <c r="AA731" t="str">
        <f ca="1">IFERROR(__xludf.DUMMYFUNCTION("""COMPUTED_VALUE"""),"Pas de commande")</f>
        <v>Pas de commande</v>
      </c>
      <c r="AB731" s="8" t="str">
        <f ca="1">IFERROR(__xludf.DUMMYFUNCTION("""COMPUTED_VALUE"""),"")</f>
        <v/>
      </c>
      <c r="AC731" s="8" t="str">
        <f ca="1">IFERROR(__xludf.DUMMYFUNCTION("""COMPUTED_VALUE"""),"")</f>
        <v/>
      </c>
      <c r="AD731" s="11" t="str">
        <f ca="1">IFERROR(__xludf.DUMMYFUNCTION("""COMPUTED_VALUE"""),"")</f>
        <v/>
      </c>
      <c r="AE731" t="str">
        <f ca="1">IFERROR(__xludf.DUMMYFUNCTION("""COMPUTED_VALUE"""),"")</f>
        <v/>
      </c>
    </row>
    <row r="732" spans="1:31" ht="12.75" x14ac:dyDescent="0.2">
      <c r="A732">
        <f ca="1">IFERROR(__xludf.DUMMYFUNCTION("""COMPUTED_VALUE"""),23875)</f>
        <v>23875</v>
      </c>
      <c r="B732" t="str">
        <f ca="1">IFERROR(__xludf.DUMMYFUNCTION("""COMPUTED_VALUE"""),"PARIS DELAMBRE")</f>
        <v>PARIS DELAMBRE</v>
      </c>
      <c r="C732" t="str">
        <f ca="1">IFERROR(__xludf.DUMMYFUNCTION("""COMPUTED_VALUE"""),"U Express")</f>
        <v>U Express</v>
      </c>
      <c r="D732" t="str">
        <f ca="1">IFERROR(__xludf.DUMMYFUNCTION("""COMPUTED_VALUE"""),"Coop U Enseigne NordOuest")</f>
        <v>Coop U Enseigne NordOuest</v>
      </c>
      <c r="E732">
        <f ca="1">IFERROR(__xludf.DUMMYFUNCTION("""COMPUTED_VALUE"""),75014)</f>
        <v>75014</v>
      </c>
      <c r="F732" t="str">
        <f ca="1">IFERROR(__xludf.DUMMYFUNCTION("""COMPUTED_VALUE"""),"29 RUE DELAMBRE")</f>
        <v>29 RUE DELAMBRE</v>
      </c>
      <c r="G732" t="str">
        <f ca="1">IFERROR(__xludf.DUMMYFUNCTION("""COMPUTED_VALUE"""),"01.43.27.16.01")</f>
        <v>01.43.27.16.01</v>
      </c>
      <c r="H732" t="str">
        <f ca="1">IFERROR(__xludf.DUMMYFUNCTION("""COMPUTED_VALUE"""),"WEBER Alexis")</f>
        <v>WEBER Alexis</v>
      </c>
      <c r="I732" t="str">
        <f ca="1">IFERROR(__xludf.DUMMYFUNCTION("""COMPUTED_VALUE"""),"alexis.weber@systeme-u.fr")</f>
        <v>alexis.weber@systeme-u.fr</v>
      </c>
      <c r="J732" t="str">
        <f ca="1">IFERROR(__xludf.DUMMYFUNCTION("""COMPUTED_VALUE"""),"")</f>
        <v/>
      </c>
      <c r="K732" t="str">
        <f ca="1">IFERROR(__xludf.DUMMYFUNCTION("""COMPUTED_VALUE"""),"")</f>
        <v/>
      </c>
      <c r="L732" t="str">
        <f ca="1">IFERROR(__xludf.DUMMYFUNCTION("""COMPUTED_VALUE"""),"")</f>
        <v/>
      </c>
      <c r="M732" t="str">
        <f ca="1">IFERROR(__xludf.DUMMYFUNCTION("""COMPUTED_VALUE"""),"99.Hors Périmetre")</f>
        <v>99.Hors Périmetre</v>
      </c>
      <c r="N732" t="str">
        <f ca="1">IFERROR(__xludf.DUMMYFUNCTION("""COMPUTED_VALUE"""),"")</f>
        <v/>
      </c>
      <c r="O732" t="str">
        <f ca="1">IFERROR(__xludf.DUMMYFUNCTION("""COMPUTED_VALUE"""),"")</f>
        <v/>
      </c>
      <c r="P732" t="str">
        <f ca="1">IFERROR(__xludf.DUMMYFUNCTION("""COMPUTED_VALUE"""),"")</f>
        <v/>
      </c>
      <c r="Q732" s="5" t="str">
        <f ca="1">IFERROR(__xludf.DUMMYFUNCTION("""COMPUTED_VALUE"""),"")</f>
        <v/>
      </c>
      <c r="R732" s="6" t="str">
        <f ca="1">IFERROR(__xludf.DUMMYFUNCTION("""COMPUTED_VALUE"""),"")</f>
        <v/>
      </c>
      <c r="S732" t="str">
        <f ca="1">IFERROR(__xludf.DUMMYFUNCTION("""COMPUTED_VALUE"""),"")</f>
        <v/>
      </c>
      <c r="T732" t="str">
        <f ca="1">IFERROR(__xludf.DUMMYFUNCTION("""COMPUTED_VALUE"""),"")</f>
        <v/>
      </c>
      <c r="U732" t="str">
        <f ca="1">IFERROR(__xludf.DUMMYFUNCTION("""COMPUTED_VALUE"""),"")</f>
        <v/>
      </c>
      <c r="V732" t="str">
        <f ca="1">IFERROR(__xludf.DUMMYFUNCTION("""COMPUTED_VALUE"""),"")</f>
        <v/>
      </c>
      <c r="W732" t="str">
        <f ca="1">IFERROR(__xludf.DUMMYFUNCTION("""COMPUTED_VALUE"""),"")</f>
        <v/>
      </c>
      <c r="X732" t="str">
        <f ca="1">IFERROR(__xludf.DUMMYFUNCTION("""COMPUTED_VALUE"""),"")</f>
        <v/>
      </c>
      <c r="Y732" t="str">
        <f ca="1">IFERROR(__xludf.DUMMYFUNCTION("""COMPUTED_VALUE"""),"")</f>
        <v/>
      </c>
      <c r="Z732" t="str">
        <f ca="1">IFERROR(__xludf.DUMMYFUNCTION("""COMPUTED_VALUE"""),"")</f>
        <v/>
      </c>
      <c r="AA732" t="str">
        <f ca="1">IFERROR(__xludf.DUMMYFUNCTION("""COMPUTED_VALUE"""),"Pas de commande")</f>
        <v>Pas de commande</v>
      </c>
      <c r="AB732" s="8" t="str">
        <f ca="1">IFERROR(__xludf.DUMMYFUNCTION("""COMPUTED_VALUE"""),"")</f>
        <v/>
      </c>
      <c r="AC732" s="8" t="str">
        <f ca="1">IFERROR(__xludf.DUMMYFUNCTION("""COMPUTED_VALUE"""),"")</f>
        <v/>
      </c>
      <c r="AD732" s="11" t="str">
        <f ca="1">IFERROR(__xludf.DUMMYFUNCTION("""COMPUTED_VALUE"""),"")</f>
        <v/>
      </c>
      <c r="AE732" t="str">
        <f ca="1">IFERROR(__xludf.DUMMYFUNCTION("""COMPUTED_VALUE"""),"")</f>
        <v/>
      </c>
    </row>
    <row r="733" spans="1:31" ht="12.75" x14ac:dyDescent="0.2">
      <c r="A733">
        <f ca="1">IFERROR(__xludf.DUMMYFUNCTION("""COMPUTED_VALUE"""),23301)</f>
        <v>23301</v>
      </c>
      <c r="B733" t="str">
        <f ca="1">IFERROR(__xludf.DUMMYFUNCTION("""COMPUTED_VALUE"""),"PARIS DUFRENOY")</f>
        <v>PARIS DUFRENOY</v>
      </c>
      <c r="C733" t="str">
        <f ca="1">IFERROR(__xludf.DUMMYFUNCTION("""COMPUTED_VALUE"""),"U Express")</f>
        <v>U Express</v>
      </c>
      <c r="D733" t="str">
        <f ca="1">IFERROR(__xludf.DUMMYFUNCTION("""COMPUTED_VALUE"""),"Coop U Enseigne NordOuest")</f>
        <v>Coop U Enseigne NordOuest</v>
      </c>
      <c r="E733">
        <f ca="1">IFERROR(__xludf.DUMMYFUNCTION("""COMPUTED_VALUE"""),75016)</f>
        <v>75016</v>
      </c>
      <c r="F733" t="str">
        <f ca="1">IFERROR(__xludf.DUMMYFUNCTION("""COMPUTED_VALUE"""),"16 RUE DUFRENOY")</f>
        <v>16 RUE DUFRENOY</v>
      </c>
      <c r="G733" t="str">
        <f ca="1">IFERROR(__xludf.DUMMYFUNCTION("""COMPUTED_VALUE"""),"09.67.52.27.98")</f>
        <v>09.67.52.27.98</v>
      </c>
      <c r="H733" t="str">
        <f ca="1">IFERROR(__xludf.DUMMYFUNCTION("""COMPUTED_VALUE"""),"ATTIGNAC Nathanyel")</f>
        <v>ATTIGNAC Nathanyel</v>
      </c>
      <c r="I733" t="str">
        <f ca="1">IFERROR(__xludf.DUMMYFUNCTION("""COMPUTED_VALUE"""),"nathanyel.attignac@systeme-u.fr")</f>
        <v>nathanyel.attignac@systeme-u.fr</v>
      </c>
      <c r="J733" t="str">
        <f ca="1">IFERROR(__xludf.DUMMYFUNCTION("""COMPUTED_VALUE"""),"")</f>
        <v/>
      </c>
      <c r="K733" t="str">
        <f ca="1">IFERROR(__xludf.DUMMYFUNCTION("""COMPUTED_VALUE"""),"uexpress.paris.dufrenoy@systeme-u.fr")</f>
        <v>uexpress.paris.dufrenoy@systeme-u.fr</v>
      </c>
      <c r="L733" t="str">
        <f ca="1">IFERROR(__xludf.DUMMYFUNCTION("""COMPUTED_VALUE"""),"")</f>
        <v/>
      </c>
      <c r="M733" t="str">
        <f ca="1">IFERROR(__xludf.DUMMYFUNCTION("""COMPUTED_VALUE"""),"99.Hors Périmetre")</f>
        <v>99.Hors Périmetre</v>
      </c>
      <c r="N733" t="str">
        <f ca="1">IFERROR(__xludf.DUMMYFUNCTION("""COMPUTED_VALUE"""),"")</f>
        <v/>
      </c>
      <c r="O733" t="str">
        <f ca="1">IFERROR(__xludf.DUMMYFUNCTION("""COMPUTED_VALUE"""),"")</f>
        <v/>
      </c>
      <c r="P733" t="str">
        <f ca="1">IFERROR(__xludf.DUMMYFUNCTION("""COMPUTED_VALUE"""),"")</f>
        <v/>
      </c>
      <c r="Q733" s="5" t="str">
        <f ca="1">IFERROR(__xludf.DUMMYFUNCTION("""COMPUTED_VALUE"""),"")</f>
        <v/>
      </c>
      <c r="R733" s="6" t="str">
        <f ca="1">IFERROR(__xludf.DUMMYFUNCTION("""COMPUTED_VALUE"""),"")</f>
        <v/>
      </c>
      <c r="S733" t="str">
        <f ca="1">IFERROR(__xludf.DUMMYFUNCTION("""COMPUTED_VALUE"""),"")</f>
        <v/>
      </c>
      <c r="T733" t="str">
        <f ca="1">IFERROR(__xludf.DUMMYFUNCTION("""COMPUTED_VALUE"""),"")</f>
        <v/>
      </c>
      <c r="U733" t="str">
        <f ca="1">IFERROR(__xludf.DUMMYFUNCTION("""COMPUTED_VALUE"""),"")</f>
        <v/>
      </c>
      <c r="V733" t="str">
        <f ca="1">IFERROR(__xludf.DUMMYFUNCTION("""COMPUTED_VALUE"""),"")</f>
        <v/>
      </c>
      <c r="W733" t="str">
        <f ca="1">IFERROR(__xludf.DUMMYFUNCTION("""COMPUTED_VALUE"""),"")</f>
        <v/>
      </c>
      <c r="X733" t="str">
        <f ca="1">IFERROR(__xludf.DUMMYFUNCTION("""COMPUTED_VALUE"""),"")</f>
        <v/>
      </c>
      <c r="Y733" t="str">
        <f ca="1">IFERROR(__xludf.DUMMYFUNCTION("""COMPUTED_VALUE"""),"")</f>
        <v/>
      </c>
      <c r="Z733" t="str">
        <f ca="1">IFERROR(__xludf.DUMMYFUNCTION("""COMPUTED_VALUE"""),"")</f>
        <v/>
      </c>
      <c r="AA733" t="str">
        <f ca="1">IFERROR(__xludf.DUMMYFUNCTION("""COMPUTED_VALUE"""),"Pas de commande")</f>
        <v>Pas de commande</v>
      </c>
      <c r="AB733" s="8" t="str">
        <f ca="1">IFERROR(__xludf.DUMMYFUNCTION("""COMPUTED_VALUE"""),"")</f>
        <v/>
      </c>
      <c r="AC733" s="8" t="str">
        <f ca="1">IFERROR(__xludf.DUMMYFUNCTION("""COMPUTED_VALUE"""),"")</f>
        <v/>
      </c>
      <c r="AD733" s="11" t="str">
        <f ca="1">IFERROR(__xludf.DUMMYFUNCTION("""COMPUTED_VALUE"""),"")</f>
        <v/>
      </c>
      <c r="AE733" t="str">
        <f ca="1">IFERROR(__xludf.DUMMYFUNCTION("""COMPUTED_VALUE"""),"")</f>
        <v/>
      </c>
    </row>
    <row r="734" spans="1:31" ht="12.75" x14ac:dyDescent="0.2">
      <c r="A734">
        <f ca="1">IFERROR(__xludf.DUMMYFUNCTION("""COMPUTED_VALUE"""),23204)</f>
        <v>23204</v>
      </c>
      <c r="B734" t="str">
        <f ca="1">IFERROR(__xludf.DUMMYFUNCTION("""COMPUTED_VALUE"""),"PARIS FEDERATION")</f>
        <v>PARIS FEDERATION</v>
      </c>
      <c r="C734" t="str">
        <f ca="1">IFERROR(__xludf.DUMMYFUNCTION("""COMPUTED_VALUE"""),"U Express")</f>
        <v>U Express</v>
      </c>
      <c r="D734" t="str">
        <f ca="1">IFERROR(__xludf.DUMMYFUNCTION("""COMPUTED_VALUE"""),"Coop U Enseigne NordOuest")</f>
        <v>Coop U Enseigne NordOuest</v>
      </c>
      <c r="E734">
        <f ca="1">IFERROR(__xludf.DUMMYFUNCTION("""COMPUTED_VALUE"""),75015)</f>
        <v>75015</v>
      </c>
      <c r="F734" t="str">
        <f ca="1">IFERROR(__xludf.DUMMYFUNCTION("""COMPUTED_VALUE"""),"50 RUE DE LA FÉDÉRATION")</f>
        <v>50 RUE DE LA FÉDÉRATION</v>
      </c>
      <c r="G734" t="str">
        <f ca="1">IFERROR(__xludf.DUMMYFUNCTION("""COMPUTED_VALUE"""),"01.44.59.35.28")</f>
        <v>01.44.59.35.28</v>
      </c>
      <c r="H734" t="str">
        <f ca="1">IFERROR(__xludf.DUMMYFUNCTION("""COMPUTED_VALUE"""),"ATTIGNAC Nathanyel")</f>
        <v>ATTIGNAC Nathanyel</v>
      </c>
      <c r="I734" t="str">
        <f ca="1">IFERROR(__xludf.DUMMYFUNCTION("""COMPUTED_VALUE"""),"nathanyel.attignac@systeme-u.fr")</f>
        <v>nathanyel.attignac@systeme-u.fr</v>
      </c>
      <c r="J734" t="str">
        <f ca="1">IFERROR(__xludf.DUMMYFUNCTION("""COMPUTED_VALUE"""),"Mr Brenet")</f>
        <v>Mr Brenet</v>
      </c>
      <c r="K734" t="str">
        <f ca="1">IFERROR(__xludf.DUMMYFUNCTION("""COMPUTED_VALUE"""),"uexpress.paris.federation@systeme-u.fr")</f>
        <v>uexpress.paris.federation@systeme-u.fr</v>
      </c>
      <c r="L734" t="str">
        <f ca="1">IFERROR(__xludf.DUMMYFUNCTION("""COMPUTED_VALUE"""),"")</f>
        <v/>
      </c>
      <c r="M734" t="str">
        <f ca="1">IFERROR(__xludf.DUMMYFUNCTION("""COMPUTED_VALUE"""),"99.Hors Périmetre")</f>
        <v>99.Hors Périmetre</v>
      </c>
      <c r="N734" t="str">
        <f ca="1">IFERROR(__xludf.DUMMYFUNCTION("""COMPUTED_VALUE"""),"")</f>
        <v/>
      </c>
      <c r="O734" t="str">
        <f ca="1">IFERROR(__xludf.DUMMYFUNCTION("""COMPUTED_VALUE"""),"")</f>
        <v/>
      </c>
      <c r="P734" t="str">
        <f ca="1">IFERROR(__xludf.DUMMYFUNCTION("""COMPUTED_VALUE"""),"")</f>
        <v/>
      </c>
      <c r="Q734" s="5" t="str">
        <f ca="1">IFERROR(__xludf.DUMMYFUNCTION("""COMPUTED_VALUE"""),"")</f>
        <v/>
      </c>
      <c r="R734" s="6" t="str">
        <f ca="1">IFERROR(__xludf.DUMMYFUNCTION("""COMPUTED_VALUE"""),"")</f>
        <v/>
      </c>
      <c r="S734" t="str">
        <f ca="1">IFERROR(__xludf.DUMMYFUNCTION("""COMPUTED_VALUE"""),"")</f>
        <v/>
      </c>
      <c r="T734" t="str">
        <f ca="1">IFERROR(__xludf.DUMMYFUNCTION("""COMPUTED_VALUE"""),"")</f>
        <v/>
      </c>
      <c r="U734" t="str">
        <f ca="1">IFERROR(__xludf.DUMMYFUNCTION("""COMPUTED_VALUE"""),"")</f>
        <v/>
      </c>
      <c r="V734" t="str">
        <f ca="1">IFERROR(__xludf.DUMMYFUNCTION("""COMPUTED_VALUE"""),"")</f>
        <v/>
      </c>
      <c r="W734" t="str">
        <f ca="1">IFERROR(__xludf.DUMMYFUNCTION("""COMPUTED_VALUE"""),"")</f>
        <v/>
      </c>
      <c r="X734" t="str">
        <f ca="1">IFERROR(__xludf.DUMMYFUNCTION("""COMPUTED_VALUE"""),"")</f>
        <v/>
      </c>
      <c r="Y734" t="str">
        <f ca="1">IFERROR(__xludf.DUMMYFUNCTION("""COMPUTED_VALUE"""),"")</f>
        <v/>
      </c>
      <c r="Z734" t="str">
        <f ca="1">IFERROR(__xludf.DUMMYFUNCTION("""COMPUTED_VALUE"""),"")</f>
        <v/>
      </c>
      <c r="AA734" t="str">
        <f ca="1">IFERROR(__xludf.DUMMYFUNCTION("""COMPUTED_VALUE"""),"Pas de commande")</f>
        <v>Pas de commande</v>
      </c>
      <c r="AB734" s="8" t="str">
        <f ca="1">IFERROR(__xludf.DUMMYFUNCTION("""COMPUTED_VALUE"""),"")</f>
        <v/>
      </c>
      <c r="AC734" s="8" t="str">
        <f ca="1">IFERROR(__xludf.DUMMYFUNCTION("""COMPUTED_VALUE"""),"")</f>
        <v/>
      </c>
      <c r="AD734" s="11" t="str">
        <f ca="1">IFERROR(__xludf.DUMMYFUNCTION("""COMPUTED_VALUE"""),"")</f>
        <v/>
      </c>
      <c r="AE734" t="str">
        <f ca="1">IFERROR(__xludf.DUMMYFUNCTION("""COMPUTED_VALUE"""),"")</f>
        <v/>
      </c>
    </row>
    <row r="735" spans="1:31" ht="12.75" x14ac:dyDescent="0.2">
      <c r="A735">
        <f ca="1">IFERROR(__xludf.DUMMYFUNCTION("""COMPUTED_VALUE"""),24057)</f>
        <v>24057</v>
      </c>
      <c r="B735" t="str">
        <f ca="1">IFERROR(__xludf.DUMMYFUNCTION("""COMPUTED_VALUE"""),"PARIS JEMMAPES")</f>
        <v>PARIS JEMMAPES</v>
      </c>
      <c r="C735" t="str">
        <f ca="1">IFERROR(__xludf.DUMMYFUNCTION("""COMPUTED_VALUE"""),"U Express")</f>
        <v>U Express</v>
      </c>
      <c r="D735" t="str">
        <f ca="1">IFERROR(__xludf.DUMMYFUNCTION("""COMPUTED_VALUE"""),"Coop U Enseigne NordOuest")</f>
        <v>Coop U Enseigne NordOuest</v>
      </c>
      <c r="E735">
        <f ca="1">IFERROR(__xludf.DUMMYFUNCTION("""COMPUTED_VALUE"""),75010)</f>
        <v>75010</v>
      </c>
      <c r="F735" t="str">
        <f ca="1">IFERROR(__xludf.DUMMYFUNCTION("""COMPUTED_VALUE"""),"64 QUAI DE JEMMAPES")</f>
        <v>64 QUAI DE JEMMAPES</v>
      </c>
      <c r="G735" t="str">
        <f ca="1">IFERROR(__xludf.DUMMYFUNCTION("""COMPUTED_VALUE"""),"01.40.03.01.24")</f>
        <v>01.40.03.01.24</v>
      </c>
      <c r="H735" t="str">
        <f ca="1">IFERROR(__xludf.DUMMYFUNCTION("""COMPUTED_VALUE"""),"ATTIGNAC Nathanyel")</f>
        <v>ATTIGNAC Nathanyel</v>
      </c>
      <c r="I735" t="str">
        <f ca="1">IFERROR(__xludf.DUMMYFUNCTION("""COMPUTED_VALUE"""),"nathanyel.attignac@systeme-u.fr")</f>
        <v>nathanyel.attignac@systeme-u.fr</v>
      </c>
      <c r="J735" t="str">
        <f ca="1">IFERROR(__xludf.DUMMYFUNCTION("""COMPUTED_VALUE"""),"Mlle lydie Belval")</f>
        <v>Mlle lydie Belval</v>
      </c>
      <c r="K735" t="str">
        <f ca="1">IFERROR(__xludf.DUMMYFUNCTION("""COMPUTED_VALUE"""),"uexpress.paris.jemmapes@systeme-u.fr")</f>
        <v>uexpress.paris.jemmapes@systeme-u.fr</v>
      </c>
      <c r="L735" t="str">
        <f ca="1">IFERROR(__xludf.DUMMYFUNCTION("""COMPUTED_VALUE"""),"Standard")</f>
        <v>Standard</v>
      </c>
      <c r="M735" t="str">
        <f ca="1">IFERROR(__xludf.DUMMYFUNCTION("""COMPUTED_VALUE"""),"0. Non démarré")</f>
        <v>0. Non démarré</v>
      </c>
      <c r="N735" t="str">
        <f ca="1">IFERROR(__xludf.DUMMYFUNCTION("""COMPUTED_VALUE"""),"")</f>
        <v/>
      </c>
      <c r="O735" t="str">
        <f ca="1">IFERROR(__xludf.DUMMYFUNCTION("""COMPUTED_VALUE"""),"")</f>
        <v/>
      </c>
      <c r="P735" t="str">
        <f ca="1">IFERROR(__xludf.DUMMYFUNCTION("""COMPUTED_VALUE"""),"")</f>
        <v/>
      </c>
      <c r="Q735" s="5" t="str">
        <f ca="1">IFERROR(__xludf.DUMMYFUNCTION("""COMPUTED_VALUE"""),"")</f>
        <v/>
      </c>
      <c r="R735" s="6" t="str">
        <f ca="1">IFERROR(__xludf.DUMMYFUNCTION("""COMPUTED_VALUE"""),"")</f>
        <v/>
      </c>
      <c r="S735" t="str">
        <f ca="1">IFERROR(__xludf.DUMMYFUNCTION("""COMPUTED_VALUE"""),"")</f>
        <v/>
      </c>
      <c r="T735" t="str">
        <f ca="1">IFERROR(__xludf.DUMMYFUNCTION("""COMPUTED_VALUE"""),"")</f>
        <v/>
      </c>
      <c r="U735" t="str">
        <f ca="1">IFERROR(__xludf.DUMMYFUNCTION("""COMPUTED_VALUE"""),"")</f>
        <v/>
      </c>
      <c r="V735" t="str">
        <f ca="1">IFERROR(__xludf.DUMMYFUNCTION("""COMPUTED_VALUE"""),"")</f>
        <v/>
      </c>
      <c r="W735" t="str">
        <f ca="1">IFERROR(__xludf.DUMMYFUNCTION("""COMPUTED_VALUE"""),"R5")</f>
        <v>R5</v>
      </c>
      <c r="X735" t="str">
        <f ca="1">IFERROR(__xludf.DUMMYFUNCTION("""COMPUTED_VALUE"""),"Pricer")</f>
        <v>Pricer</v>
      </c>
      <c r="Y735" t="str">
        <f ca="1">IFERROR(__xludf.DUMMYFUNCTION("""COMPUTED_VALUE"""),"")</f>
        <v/>
      </c>
      <c r="Z735" t="str">
        <f ca="1">IFERROR(__xludf.DUMMYFUNCTION("""COMPUTED_VALUE"""),"")</f>
        <v/>
      </c>
      <c r="AA735" t="str">
        <f ca="1">IFERROR(__xludf.DUMMYFUNCTION("""COMPUTED_VALUE"""),"Pas de commande")</f>
        <v>Pas de commande</v>
      </c>
      <c r="AB735" s="8" t="str">
        <f ca="1">IFERROR(__xludf.DUMMYFUNCTION("""COMPUTED_VALUE"""),"")</f>
        <v/>
      </c>
      <c r="AC735" s="8" t="str">
        <f ca="1">IFERROR(__xludf.DUMMYFUNCTION("""COMPUTED_VALUE"""),"")</f>
        <v/>
      </c>
      <c r="AD735" s="11" t="str">
        <f ca="1">IFERROR(__xludf.DUMMYFUNCTION("""COMPUTED_VALUE"""),"")</f>
        <v/>
      </c>
      <c r="AE735" t="str">
        <f ca="1">IFERROR(__xludf.DUMMYFUNCTION("""COMPUTED_VALUE"""),"")</f>
        <v/>
      </c>
    </row>
    <row r="736" spans="1:31" ht="12.75" x14ac:dyDescent="0.2">
      <c r="A736">
        <f ca="1">IFERROR(__xludf.DUMMYFUNCTION("""COMPUTED_VALUE"""),23166)</f>
        <v>23166</v>
      </c>
      <c r="B736" t="str">
        <f ca="1">IFERROR(__xludf.DUMMYFUNCTION("""COMPUTED_VALUE"""),"PARIS MONGE")</f>
        <v>PARIS MONGE</v>
      </c>
      <c r="C736" t="str">
        <f ca="1">IFERROR(__xludf.DUMMYFUNCTION("""COMPUTED_VALUE"""),"U Express")</f>
        <v>U Express</v>
      </c>
      <c r="D736" t="str">
        <f ca="1">IFERROR(__xludf.DUMMYFUNCTION("""COMPUTED_VALUE"""),"Coop U Enseigne NordOuest")</f>
        <v>Coop U Enseigne NordOuest</v>
      </c>
      <c r="E736">
        <f ca="1">IFERROR(__xludf.DUMMYFUNCTION("""COMPUTED_VALUE"""),75005)</f>
        <v>75005</v>
      </c>
      <c r="F736" t="str">
        <f ca="1">IFERROR(__xludf.DUMMYFUNCTION("""COMPUTED_VALUE"""),"16 RUE MONGE")</f>
        <v>16 RUE MONGE</v>
      </c>
      <c r="G736" t="str">
        <f ca="1">IFERROR(__xludf.DUMMYFUNCTION("""COMPUTED_VALUE"""),"01.42.03.94.11")</f>
        <v>01.42.03.94.11</v>
      </c>
      <c r="H736" t="str">
        <f ca="1">IFERROR(__xludf.DUMMYFUNCTION("""COMPUTED_VALUE"""),"LEVY Sacha")</f>
        <v>LEVY Sacha</v>
      </c>
      <c r="I736" t="str">
        <f ca="1">IFERROR(__xludf.DUMMYFUNCTION("""COMPUTED_VALUE"""),"sacha.levy@systeme-u.fr")</f>
        <v>sacha.levy@systeme-u.fr</v>
      </c>
      <c r="J736" t="str">
        <f ca="1">IFERROR(__xludf.DUMMYFUNCTION("""COMPUTED_VALUE"""),"Mr Magdalenc 0771219501")</f>
        <v>Mr Magdalenc 0771219501</v>
      </c>
      <c r="K736" t="str">
        <f ca="1">IFERROR(__xludf.DUMMYFUNCTION("""COMPUTED_VALUE"""),"uexpress.parismonge@systeme-u.fr")</f>
        <v>uexpress.parismonge@systeme-u.fr</v>
      </c>
      <c r="L736" t="str">
        <f ca="1">IFERROR(__xludf.DUMMYFUNCTION("""COMPUTED_VALUE"""),"")</f>
        <v/>
      </c>
      <c r="M736" t="str">
        <f ca="1">IFERROR(__xludf.DUMMYFUNCTION("""COMPUTED_VALUE"""),"99.Hors Périmetre")</f>
        <v>99.Hors Périmetre</v>
      </c>
      <c r="N736" t="str">
        <f ca="1">IFERROR(__xludf.DUMMYFUNCTION("""COMPUTED_VALUE"""),"")</f>
        <v/>
      </c>
      <c r="O736" t="str">
        <f ca="1">IFERROR(__xludf.DUMMYFUNCTION("""COMPUTED_VALUE"""),"")</f>
        <v/>
      </c>
      <c r="P736" t="str">
        <f ca="1">IFERROR(__xludf.DUMMYFUNCTION("""COMPUTED_VALUE"""),"")</f>
        <v/>
      </c>
      <c r="Q736" s="5" t="str">
        <f ca="1">IFERROR(__xludf.DUMMYFUNCTION("""COMPUTED_VALUE"""),"")</f>
        <v/>
      </c>
      <c r="R736" s="6" t="str">
        <f ca="1">IFERROR(__xludf.DUMMYFUNCTION("""COMPUTED_VALUE"""),"")</f>
        <v/>
      </c>
      <c r="S736" t="str">
        <f ca="1">IFERROR(__xludf.DUMMYFUNCTION("""COMPUTED_VALUE"""),"")</f>
        <v/>
      </c>
      <c r="T736" t="str">
        <f ca="1">IFERROR(__xludf.DUMMYFUNCTION("""COMPUTED_VALUE"""),"")</f>
        <v/>
      </c>
      <c r="U736" t="str">
        <f ca="1">IFERROR(__xludf.DUMMYFUNCTION("""COMPUTED_VALUE"""),"")</f>
        <v/>
      </c>
      <c r="V736" t="str">
        <f ca="1">IFERROR(__xludf.DUMMYFUNCTION("""COMPUTED_VALUE"""),"")</f>
        <v/>
      </c>
      <c r="W736" t="str">
        <f ca="1">IFERROR(__xludf.DUMMYFUNCTION("""COMPUTED_VALUE"""),"")</f>
        <v/>
      </c>
      <c r="X736" t="str">
        <f ca="1">IFERROR(__xludf.DUMMYFUNCTION("""COMPUTED_VALUE"""),"")</f>
        <v/>
      </c>
      <c r="Y736" t="str">
        <f ca="1">IFERROR(__xludf.DUMMYFUNCTION("""COMPUTED_VALUE"""),"")</f>
        <v/>
      </c>
      <c r="Z736" t="str">
        <f ca="1">IFERROR(__xludf.DUMMYFUNCTION("""COMPUTED_VALUE"""),"")</f>
        <v/>
      </c>
      <c r="AA736" t="str">
        <f ca="1">IFERROR(__xludf.DUMMYFUNCTION("""COMPUTED_VALUE"""),"Pas de commande")</f>
        <v>Pas de commande</v>
      </c>
      <c r="AB736" s="8" t="str">
        <f ca="1">IFERROR(__xludf.DUMMYFUNCTION("""COMPUTED_VALUE"""),"")</f>
        <v/>
      </c>
      <c r="AC736" s="8" t="str">
        <f ca="1">IFERROR(__xludf.DUMMYFUNCTION("""COMPUTED_VALUE"""),"")</f>
        <v/>
      </c>
      <c r="AD736" s="11" t="str">
        <f ca="1">IFERROR(__xludf.DUMMYFUNCTION("""COMPUTED_VALUE"""),"")</f>
        <v/>
      </c>
      <c r="AE736" t="str">
        <f ca="1">IFERROR(__xludf.DUMMYFUNCTION("""COMPUTED_VALUE"""),"")</f>
        <v/>
      </c>
    </row>
    <row r="737" spans="1:31" ht="12.75" x14ac:dyDescent="0.2">
      <c r="A737">
        <f ca="1">IFERROR(__xludf.DUMMYFUNCTION("""COMPUTED_VALUE"""),24235)</f>
        <v>24235</v>
      </c>
      <c r="B737" t="str">
        <f ca="1">IFERROR(__xludf.DUMMYFUNCTION("""COMPUTED_VALUE"""),"PARIS MONTORGUEIL")</f>
        <v>PARIS MONTORGUEIL</v>
      </c>
      <c r="C737" t="str">
        <f ca="1">IFERROR(__xludf.DUMMYFUNCTION("""COMPUTED_VALUE"""),"U Express")</f>
        <v>U Express</v>
      </c>
      <c r="D737" t="str">
        <f ca="1">IFERROR(__xludf.DUMMYFUNCTION("""COMPUTED_VALUE"""),"Coop U Enseigne NordOuest")</f>
        <v>Coop U Enseigne NordOuest</v>
      </c>
      <c r="E737">
        <f ca="1">IFERROR(__xludf.DUMMYFUNCTION("""COMPUTED_VALUE"""),75002)</f>
        <v>75002</v>
      </c>
      <c r="F737" t="str">
        <f ca="1">IFERROR(__xludf.DUMMYFUNCTION("""COMPUTED_VALUE"""),"67 RUE DE MONTORGUEIL")</f>
        <v>67 RUE DE MONTORGUEIL</v>
      </c>
      <c r="G737" t="str">
        <f ca="1">IFERROR(__xludf.DUMMYFUNCTION("""COMPUTED_VALUE"""),"01.42.36.52.59")</f>
        <v>01.42.36.52.59</v>
      </c>
      <c r="H737" t="str">
        <f ca="1">IFERROR(__xludf.DUMMYFUNCTION("""COMPUTED_VALUE"""),"DELATTRE Philippe")</f>
        <v>DELATTRE Philippe</v>
      </c>
      <c r="I737" t="str">
        <f ca="1">IFERROR(__xludf.DUMMYFUNCTION("""COMPUTED_VALUE"""),"philippe.delattre@systeme-u.fr")</f>
        <v>philippe.delattre@systeme-u.fr</v>
      </c>
      <c r="J737" t="str">
        <f ca="1">IFERROR(__xludf.DUMMYFUNCTION("""COMPUTED_VALUE"""),"Mme Claude Debrenne")</f>
        <v>Mme Claude Debrenne</v>
      </c>
      <c r="K737" t="str">
        <f ca="1">IFERROR(__xludf.DUMMYFUNCTION("""COMPUTED_VALUE"""),"uexpress.paris.petitscarreaux@systeme-u.fr")</f>
        <v>uexpress.paris.petitscarreaux@systeme-u.fr</v>
      </c>
      <c r="L737" t="str">
        <f ca="1">IFERROR(__xludf.DUMMYFUNCTION("""COMPUTED_VALUE"""),"")</f>
        <v/>
      </c>
      <c r="M737" t="str">
        <f ca="1">IFERROR(__xludf.DUMMYFUNCTION("""COMPUTED_VALUE"""),"99.Hors Périmetre")</f>
        <v>99.Hors Périmetre</v>
      </c>
      <c r="N737" t="str">
        <f ca="1">IFERROR(__xludf.DUMMYFUNCTION("""COMPUTED_VALUE"""),"")</f>
        <v/>
      </c>
      <c r="O737" t="str">
        <f ca="1">IFERROR(__xludf.DUMMYFUNCTION("""COMPUTED_VALUE"""),"")</f>
        <v/>
      </c>
      <c r="P737" t="str">
        <f ca="1">IFERROR(__xludf.DUMMYFUNCTION("""COMPUTED_VALUE"""),"")</f>
        <v/>
      </c>
      <c r="Q737" s="5" t="str">
        <f ca="1">IFERROR(__xludf.DUMMYFUNCTION("""COMPUTED_VALUE"""),"")</f>
        <v/>
      </c>
      <c r="R737" s="6" t="str">
        <f ca="1">IFERROR(__xludf.DUMMYFUNCTION("""COMPUTED_VALUE"""),"")</f>
        <v/>
      </c>
      <c r="S737" t="str">
        <f ca="1">IFERROR(__xludf.DUMMYFUNCTION("""COMPUTED_VALUE"""),"")</f>
        <v/>
      </c>
      <c r="T737" t="str">
        <f ca="1">IFERROR(__xludf.DUMMYFUNCTION("""COMPUTED_VALUE"""),"")</f>
        <v/>
      </c>
      <c r="U737" t="str">
        <f ca="1">IFERROR(__xludf.DUMMYFUNCTION("""COMPUTED_VALUE"""),"")</f>
        <v/>
      </c>
      <c r="V737" t="str">
        <f ca="1">IFERROR(__xludf.DUMMYFUNCTION("""COMPUTED_VALUE"""),"")</f>
        <v/>
      </c>
      <c r="W737" t="str">
        <f ca="1">IFERROR(__xludf.DUMMYFUNCTION("""COMPUTED_VALUE"""),"")</f>
        <v/>
      </c>
      <c r="X737" t="str">
        <f ca="1">IFERROR(__xludf.DUMMYFUNCTION("""COMPUTED_VALUE"""),"")</f>
        <v/>
      </c>
      <c r="Y737" t="str">
        <f ca="1">IFERROR(__xludf.DUMMYFUNCTION("""COMPUTED_VALUE"""),"")</f>
        <v/>
      </c>
      <c r="Z737" t="str">
        <f ca="1">IFERROR(__xludf.DUMMYFUNCTION("""COMPUTED_VALUE"""),"")</f>
        <v/>
      </c>
      <c r="AA737" t="str">
        <f ca="1">IFERROR(__xludf.DUMMYFUNCTION("""COMPUTED_VALUE"""),"Pas de commande")</f>
        <v>Pas de commande</v>
      </c>
      <c r="AB737" s="8" t="str">
        <f ca="1">IFERROR(__xludf.DUMMYFUNCTION("""COMPUTED_VALUE"""),"")</f>
        <v/>
      </c>
      <c r="AC737" s="8" t="str">
        <f ca="1">IFERROR(__xludf.DUMMYFUNCTION("""COMPUTED_VALUE"""),"")</f>
        <v/>
      </c>
      <c r="AD737" s="11" t="str">
        <f ca="1">IFERROR(__xludf.DUMMYFUNCTION("""COMPUTED_VALUE"""),"")</f>
        <v/>
      </c>
      <c r="AE737" t="str">
        <f ca="1">IFERROR(__xludf.DUMMYFUNCTION("""COMPUTED_VALUE"""),"")</f>
        <v/>
      </c>
    </row>
    <row r="738" spans="1:31" ht="12.75" x14ac:dyDescent="0.2">
      <c r="A738">
        <f ca="1">IFERROR(__xludf.DUMMYFUNCTION("""COMPUTED_VALUE"""),23816)</f>
        <v>23816</v>
      </c>
      <c r="B738" t="str">
        <f ca="1">IFERROR(__xludf.DUMMYFUNCTION("""COMPUTED_VALUE"""),"PARIS MONTREUIL")</f>
        <v>PARIS MONTREUIL</v>
      </c>
      <c r="C738" t="str">
        <f ca="1">IFERROR(__xludf.DUMMYFUNCTION("""COMPUTED_VALUE"""),"U Express")</f>
        <v>U Express</v>
      </c>
      <c r="D738" t="str">
        <f ca="1">IFERROR(__xludf.DUMMYFUNCTION("""COMPUTED_VALUE"""),"Coop U Enseigne NordOuest")</f>
        <v>Coop U Enseigne NordOuest</v>
      </c>
      <c r="E738">
        <f ca="1">IFERROR(__xludf.DUMMYFUNCTION("""COMPUTED_VALUE"""),75011)</f>
        <v>75011</v>
      </c>
      <c r="F738" t="str">
        <f ca="1">IFERROR(__xludf.DUMMYFUNCTION("""COMPUTED_VALUE"""),"109 RUE DE MONTREUIL")</f>
        <v>109 RUE DE MONTREUIL</v>
      </c>
      <c r="G738" t="str">
        <f ca="1">IFERROR(__xludf.DUMMYFUNCTION("""COMPUTED_VALUE"""),"01.40.09.51.00")</f>
        <v>01.40.09.51.00</v>
      </c>
      <c r="H738" t="str">
        <f ca="1">IFERROR(__xludf.DUMMYFUNCTION("""COMPUTED_VALUE"""),"DELATTRE Philippe")</f>
        <v>DELATTRE Philippe</v>
      </c>
      <c r="I738" t="str">
        <f ca="1">IFERROR(__xludf.DUMMYFUNCTION("""COMPUTED_VALUE"""),"philippe.delattre@systeme-u.fr")</f>
        <v>philippe.delattre@systeme-u.fr</v>
      </c>
      <c r="J738" t="str">
        <f ca="1">IFERROR(__xludf.DUMMYFUNCTION("""COMPUTED_VALUE"""),"Mme DEBRENNE Claude")</f>
        <v>Mme DEBRENNE Claude</v>
      </c>
      <c r="K738" t="str">
        <f ca="1">IFERROR(__xludf.DUMMYFUNCTION("""COMPUTED_VALUE"""),"uexpress.paris.petitscarreaux@systeme-u.fr")</f>
        <v>uexpress.paris.petitscarreaux@systeme-u.fr</v>
      </c>
      <c r="L738" t="str">
        <f ca="1">IFERROR(__xludf.DUMMYFUNCTION("""COMPUTED_VALUE"""),"")</f>
        <v/>
      </c>
      <c r="M738" t="str">
        <f ca="1">IFERROR(__xludf.DUMMYFUNCTION("""COMPUTED_VALUE"""),"99.Hors Périmetre")</f>
        <v>99.Hors Périmetre</v>
      </c>
      <c r="N738" t="str">
        <f ca="1">IFERROR(__xludf.DUMMYFUNCTION("""COMPUTED_VALUE"""),"")</f>
        <v/>
      </c>
      <c r="O738" t="str">
        <f ca="1">IFERROR(__xludf.DUMMYFUNCTION("""COMPUTED_VALUE"""),"")</f>
        <v/>
      </c>
      <c r="P738" t="str">
        <f ca="1">IFERROR(__xludf.DUMMYFUNCTION("""COMPUTED_VALUE"""),"")</f>
        <v/>
      </c>
      <c r="Q738" s="5" t="str">
        <f ca="1">IFERROR(__xludf.DUMMYFUNCTION("""COMPUTED_VALUE"""),"")</f>
        <v/>
      </c>
      <c r="R738" s="6" t="str">
        <f ca="1">IFERROR(__xludf.DUMMYFUNCTION("""COMPUTED_VALUE"""),"")</f>
        <v/>
      </c>
      <c r="S738" t="str">
        <f ca="1">IFERROR(__xludf.DUMMYFUNCTION("""COMPUTED_VALUE"""),"")</f>
        <v/>
      </c>
      <c r="T738" t="str">
        <f ca="1">IFERROR(__xludf.DUMMYFUNCTION("""COMPUTED_VALUE"""),"")</f>
        <v/>
      </c>
      <c r="U738" t="str">
        <f ca="1">IFERROR(__xludf.DUMMYFUNCTION("""COMPUTED_VALUE"""),"")</f>
        <v/>
      </c>
      <c r="V738" t="str">
        <f ca="1">IFERROR(__xludf.DUMMYFUNCTION("""COMPUTED_VALUE"""),"")</f>
        <v/>
      </c>
      <c r="W738" t="str">
        <f ca="1">IFERROR(__xludf.DUMMYFUNCTION("""COMPUTED_VALUE"""),"")</f>
        <v/>
      </c>
      <c r="X738" t="str">
        <f ca="1">IFERROR(__xludf.DUMMYFUNCTION("""COMPUTED_VALUE"""),"")</f>
        <v/>
      </c>
      <c r="Y738" t="str">
        <f ca="1">IFERROR(__xludf.DUMMYFUNCTION("""COMPUTED_VALUE"""),"")</f>
        <v/>
      </c>
      <c r="Z738" t="str">
        <f ca="1">IFERROR(__xludf.DUMMYFUNCTION("""COMPUTED_VALUE"""),"")</f>
        <v/>
      </c>
      <c r="AA738" t="str">
        <f ca="1">IFERROR(__xludf.DUMMYFUNCTION("""COMPUTED_VALUE"""),"Pas de commande")</f>
        <v>Pas de commande</v>
      </c>
      <c r="AB738" s="8" t="str">
        <f ca="1">IFERROR(__xludf.DUMMYFUNCTION("""COMPUTED_VALUE"""),"")</f>
        <v/>
      </c>
      <c r="AC738" s="8" t="str">
        <f ca="1">IFERROR(__xludf.DUMMYFUNCTION("""COMPUTED_VALUE"""),"")</f>
        <v/>
      </c>
      <c r="AD738" s="11" t="str">
        <f ca="1">IFERROR(__xludf.DUMMYFUNCTION("""COMPUTED_VALUE"""),"")</f>
        <v/>
      </c>
      <c r="AE738" t="str">
        <f ca="1">IFERROR(__xludf.DUMMYFUNCTION("""COMPUTED_VALUE"""),"")</f>
        <v/>
      </c>
    </row>
    <row r="739" spans="1:31" ht="12.75" x14ac:dyDescent="0.2">
      <c r="A739">
        <f ca="1">IFERROR(__xludf.DUMMYFUNCTION("""COMPUTED_VALUE"""),23506)</f>
        <v>23506</v>
      </c>
      <c r="B739" t="str">
        <f ca="1">IFERROR(__xludf.DUMMYFUNCTION("""COMPUTED_VALUE"""),"PARIS ORFILA")</f>
        <v>PARIS ORFILA</v>
      </c>
      <c r="C739" t="str">
        <f ca="1">IFERROR(__xludf.DUMMYFUNCTION("""COMPUTED_VALUE"""),"U Express")</f>
        <v>U Express</v>
      </c>
      <c r="D739" t="str">
        <f ca="1">IFERROR(__xludf.DUMMYFUNCTION("""COMPUTED_VALUE"""),"Coop U Enseigne NordOuest")</f>
        <v>Coop U Enseigne NordOuest</v>
      </c>
      <c r="E739">
        <f ca="1">IFERROR(__xludf.DUMMYFUNCTION("""COMPUTED_VALUE"""),75020)</f>
        <v>75020</v>
      </c>
      <c r="F739" t="str">
        <f ca="1">IFERROR(__xludf.DUMMYFUNCTION("""COMPUTED_VALUE"""),"50 RUE ORFILA")</f>
        <v>50 RUE ORFILA</v>
      </c>
      <c r="G739" t="str">
        <f ca="1">IFERROR(__xludf.DUMMYFUNCTION("""COMPUTED_VALUE"""),"01.40.33.32.60")</f>
        <v>01.40.33.32.60</v>
      </c>
      <c r="H739" t="str">
        <f ca="1">IFERROR(__xludf.DUMMYFUNCTION("""COMPUTED_VALUE"""),"ATTIGNAC Nathanyel")</f>
        <v>ATTIGNAC Nathanyel</v>
      </c>
      <c r="I739" t="str">
        <f ca="1">IFERROR(__xludf.DUMMYFUNCTION("""COMPUTED_VALUE"""),"nathanyel.attignac@systeme-u.fr")</f>
        <v>nathanyel.attignac@systeme-u.fr</v>
      </c>
      <c r="J739" t="str">
        <f ca="1">IFERROR(__xludf.DUMMYFUNCTION("""COMPUTED_VALUE"""),"LEFEVRE Thierry")</f>
        <v>LEFEVRE Thierry</v>
      </c>
      <c r="K739" t="str">
        <f ca="1">IFERROR(__xludf.DUMMYFUNCTION("""COMPUTED_VALUE"""),"uexpress.parisorfila@systeme-u.fr")</f>
        <v>uexpress.parisorfila@systeme-u.fr</v>
      </c>
      <c r="L739" t="str">
        <f ca="1">IFERROR(__xludf.DUMMYFUNCTION("""COMPUTED_VALUE"""),"Standard")</f>
        <v>Standard</v>
      </c>
      <c r="M739" t="str">
        <f ca="1">IFERROR(__xludf.DUMMYFUNCTION("""COMPUTED_VALUE"""),"0. Non démarré")</f>
        <v>0. Non démarré</v>
      </c>
      <c r="N739" t="str">
        <f ca="1">IFERROR(__xludf.DUMMYFUNCTION("""COMPUTED_VALUE"""),"")</f>
        <v/>
      </c>
      <c r="O739" t="str">
        <f ca="1">IFERROR(__xludf.DUMMYFUNCTION("""COMPUTED_VALUE"""),"")</f>
        <v/>
      </c>
      <c r="P739" t="str">
        <f ca="1">IFERROR(__xludf.DUMMYFUNCTION("""COMPUTED_VALUE"""),"")</f>
        <v/>
      </c>
      <c r="Q739" s="5" t="str">
        <f ca="1">IFERROR(__xludf.DUMMYFUNCTION("""COMPUTED_VALUE"""),"")</f>
        <v/>
      </c>
      <c r="R739" s="6" t="str">
        <f ca="1">IFERROR(__xludf.DUMMYFUNCTION("""COMPUTED_VALUE"""),"")</f>
        <v/>
      </c>
      <c r="S739" t="str">
        <f ca="1">IFERROR(__xludf.DUMMYFUNCTION("""COMPUTED_VALUE"""),"")</f>
        <v/>
      </c>
      <c r="T739" t="str">
        <f ca="1">IFERROR(__xludf.DUMMYFUNCTION("""COMPUTED_VALUE"""),"")</f>
        <v/>
      </c>
      <c r="U739" t="str">
        <f ca="1">IFERROR(__xludf.DUMMYFUNCTION("""COMPUTED_VALUE"""),"")</f>
        <v/>
      </c>
      <c r="V739" t="str">
        <f ca="1">IFERROR(__xludf.DUMMYFUNCTION("""COMPUTED_VALUE"""),"")</f>
        <v/>
      </c>
      <c r="W739" t="str">
        <f ca="1">IFERROR(__xludf.DUMMYFUNCTION("""COMPUTED_VALUE"""),"R3")</f>
        <v>R3</v>
      </c>
      <c r="X739" t="str">
        <f ca="1">IFERROR(__xludf.DUMMYFUNCTION("""COMPUTED_VALUE"""),"Pricer &lt;8Go")</f>
        <v>Pricer &lt;8Go</v>
      </c>
      <c r="Y739" t="str">
        <f ca="1">IFERROR(__xludf.DUMMYFUNCTION("""COMPUTED_VALUE"""),"")</f>
        <v/>
      </c>
      <c r="Z739" t="str">
        <f ca="1">IFERROR(__xludf.DUMMYFUNCTION("""COMPUTED_VALUE"""),"")</f>
        <v/>
      </c>
      <c r="AA739" t="str">
        <f ca="1">IFERROR(__xludf.DUMMYFUNCTION("""COMPUTED_VALUE"""),"Pas de commande")</f>
        <v>Pas de commande</v>
      </c>
      <c r="AB739" s="8" t="str">
        <f ca="1">IFERROR(__xludf.DUMMYFUNCTION("""COMPUTED_VALUE"""),"")</f>
        <v/>
      </c>
      <c r="AC739" s="8" t="str">
        <f ca="1">IFERROR(__xludf.DUMMYFUNCTION("""COMPUTED_VALUE"""),"")</f>
        <v/>
      </c>
      <c r="AD739" s="11" t="str">
        <f ca="1">IFERROR(__xludf.DUMMYFUNCTION("""COMPUTED_VALUE"""),"")</f>
        <v/>
      </c>
      <c r="AE739" t="str">
        <f ca="1">IFERROR(__xludf.DUMMYFUNCTION("""COMPUTED_VALUE"""),"")</f>
        <v/>
      </c>
    </row>
    <row r="740" spans="1:31" ht="12.75" x14ac:dyDescent="0.2">
      <c r="A740">
        <f ca="1">IFERROR(__xludf.DUMMYFUNCTION("""COMPUTED_VALUE"""),24162)</f>
        <v>24162</v>
      </c>
      <c r="B740" t="str">
        <f ca="1">IFERROR(__xludf.DUMMYFUNCTION("""COMPUTED_VALUE"""),"PARIS PAUL BERT")</f>
        <v>PARIS PAUL BERT</v>
      </c>
      <c r="C740" t="str">
        <f ca="1">IFERROR(__xludf.DUMMYFUNCTION("""COMPUTED_VALUE"""),"Super U")</f>
        <v>Super U</v>
      </c>
      <c r="D740" t="str">
        <f ca="1">IFERROR(__xludf.DUMMYFUNCTION("""COMPUTED_VALUE"""),"Coop U Enseigne NordOuest")</f>
        <v>Coop U Enseigne NordOuest</v>
      </c>
      <c r="E740">
        <f ca="1">IFERROR(__xludf.DUMMYFUNCTION("""COMPUTED_VALUE"""),75011)</f>
        <v>75011</v>
      </c>
      <c r="F740" t="str">
        <f ca="1">IFERROR(__xludf.DUMMYFUNCTION("""COMPUTED_VALUE"""),"14 RUE PAUL BERT")</f>
        <v>14 RUE PAUL BERT</v>
      </c>
      <c r="G740" t="str">
        <f ca="1">IFERROR(__xludf.DUMMYFUNCTION("""COMPUTED_VALUE"""),"01.43.79.43.43")</f>
        <v>01.43.79.43.43</v>
      </c>
      <c r="H740" t="str">
        <f ca="1">IFERROR(__xludf.DUMMYFUNCTION("""COMPUTED_VALUE"""),"SERERO Claude")</f>
        <v>SERERO Claude</v>
      </c>
      <c r="I740" t="str">
        <f ca="1">IFERROR(__xludf.DUMMYFUNCTION("""COMPUTED_VALUE"""),"claude.serero@systeme-u.fr")</f>
        <v>claude.serero@systeme-u.fr</v>
      </c>
      <c r="J740" t="str">
        <f ca="1">IFERROR(__xludf.DUMMYFUNCTION("""COMPUTED_VALUE"""),"Mr Alain GUIDEZ")</f>
        <v>Mr Alain GUIDEZ</v>
      </c>
      <c r="K740" t="str">
        <f ca="1">IFERROR(__xludf.DUMMYFUNCTION("""COMPUTED_VALUE"""),"superu.paris.paulbert@systeme-u.fr")</f>
        <v>superu.paris.paulbert@systeme-u.fr</v>
      </c>
      <c r="L740" t="str">
        <f ca="1">IFERROR(__xludf.DUMMYFUNCTION("""COMPUTED_VALUE"""),"")</f>
        <v/>
      </c>
      <c r="M740" t="str">
        <f ca="1">IFERROR(__xludf.DUMMYFUNCTION("""COMPUTED_VALUE"""),"99.Hors Périmetre")</f>
        <v>99.Hors Périmetre</v>
      </c>
      <c r="N740" t="str">
        <f ca="1">IFERROR(__xludf.DUMMYFUNCTION("""COMPUTED_VALUE"""),"")</f>
        <v/>
      </c>
      <c r="O740" t="str">
        <f ca="1">IFERROR(__xludf.DUMMYFUNCTION("""COMPUTED_VALUE"""),"")</f>
        <v/>
      </c>
      <c r="P740" t="str">
        <f ca="1">IFERROR(__xludf.DUMMYFUNCTION("""COMPUTED_VALUE"""),"")</f>
        <v/>
      </c>
      <c r="Q740" s="5" t="str">
        <f ca="1">IFERROR(__xludf.DUMMYFUNCTION("""COMPUTED_VALUE"""),"")</f>
        <v/>
      </c>
      <c r="R740" s="6" t="str">
        <f ca="1">IFERROR(__xludf.DUMMYFUNCTION("""COMPUTED_VALUE"""),"")</f>
        <v/>
      </c>
      <c r="S740" t="str">
        <f ca="1">IFERROR(__xludf.DUMMYFUNCTION("""COMPUTED_VALUE"""),"")</f>
        <v/>
      </c>
      <c r="T740" t="str">
        <f ca="1">IFERROR(__xludf.DUMMYFUNCTION("""COMPUTED_VALUE"""),"")</f>
        <v/>
      </c>
      <c r="U740" t="str">
        <f ca="1">IFERROR(__xludf.DUMMYFUNCTION("""COMPUTED_VALUE"""),"")</f>
        <v/>
      </c>
      <c r="V740" t="str">
        <f ca="1">IFERROR(__xludf.DUMMYFUNCTION("""COMPUTED_VALUE"""),"")</f>
        <v/>
      </c>
      <c r="W740" t="str">
        <f ca="1">IFERROR(__xludf.DUMMYFUNCTION("""COMPUTED_VALUE"""),"")</f>
        <v/>
      </c>
      <c r="X740" t="str">
        <f ca="1">IFERROR(__xludf.DUMMYFUNCTION("""COMPUTED_VALUE"""),"")</f>
        <v/>
      </c>
      <c r="Y740" t="str">
        <f ca="1">IFERROR(__xludf.DUMMYFUNCTION("""COMPUTED_VALUE"""),"")</f>
        <v/>
      </c>
      <c r="Z740" t="str">
        <f ca="1">IFERROR(__xludf.DUMMYFUNCTION("""COMPUTED_VALUE"""),"")</f>
        <v/>
      </c>
      <c r="AA740" t="str">
        <f ca="1">IFERROR(__xludf.DUMMYFUNCTION("""COMPUTED_VALUE"""),"Pas de commande")</f>
        <v>Pas de commande</v>
      </c>
      <c r="AB740" s="8" t="str">
        <f ca="1">IFERROR(__xludf.DUMMYFUNCTION("""COMPUTED_VALUE"""),"")</f>
        <v/>
      </c>
      <c r="AC740" s="8" t="str">
        <f ca="1">IFERROR(__xludf.DUMMYFUNCTION("""COMPUTED_VALUE"""),"")</f>
        <v/>
      </c>
      <c r="AD740" s="11" t="str">
        <f ca="1">IFERROR(__xludf.DUMMYFUNCTION("""COMPUTED_VALUE"""),"")</f>
        <v/>
      </c>
      <c r="AE740" t="str">
        <f ca="1">IFERROR(__xludf.DUMMYFUNCTION("""COMPUTED_VALUE"""),"")</f>
        <v/>
      </c>
    </row>
    <row r="741" spans="1:31" ht="12.75" x14ac:dyDescent="0.2">
      <c r="A741">
        <f ca="1">IFERROR(__xludf.DUMMYFUNCTION("""COMPUTED_VALUE"""),24200)</f>
        <v>24200</v>
      </c>
      <c r="B741" t="str">
        <f ca="1">IFERROR(__xludf.DUMMYFUNCTION("""COMPUTED_VALUE"""),"PARIS PETITS CARREAUX")</f>
        <v>PARIS PETITS CARREAUX</v>
      </c>
      <c r="C741" t="str">
        <f ca="1">IFERROR(__xludf.DUMMYFUNCTION("""COMPUTED_VALUE"""),"U Express")</f>
        <v>U Express</v>
      </c>
      <c r="D741" t="str">
        <f ca="1">IFERROR(__xludf.DUMMYFUNCTION("""COMPUTED_VALUE"""),"Coop U Enseigne NordOuest")</f>
        <v>Coop U Enseigne NordOuest</v>
      </c>
      <c r="E741">
        <f ca="1">IFERROR(__xludf.DUMMYFUNCTION("""COMPUTED_VALUE"""),75002)</f>
        <v>75002</v>
      </c>
      <c r="F741" t="str">
        <f ca="1">IFERROR(__xludf.DUMMYFUNCTION("""COMPUTED_VALUE"""),"15 RUE DES PETITS CARREAUX")</f>
        <v>15 RUE DES PETITS CARREAUX</v>
      </c>
      <c r="G741" t="str">
        <f ca="1">IFERROR(__xludf.DUMMYFUNCTION("""COMPUTED_VALUE"""),"01.42.36.51.00")</f>
        <v>01.42.36.51.00</v>
      </c>
      <c r="H741" t="str">
        <f ca="1">IFERROR(__xludf.DUMMYFUNCTION("""COMPUTED_VALUE"""),"DELATTRE Philippe")</f>
        <v>DELATTRE Philippe</v>
      </c>
      <c r="I741" t="str">
        <f ca="1">IFERROR(__xludf.DUMMYFUNCTION("""COMPUTED_VALUE"""),"philippe.delattre@systeme-u.fr")</f>
        <v>philippe.delattre@systeme-u.fr</v>
      </c>
      <c r="J741" t="str">
        <f ca="1">IFERROR(__xludf.DUMMYFUNCTION("""COMPUTED_VALUE"""),"Claude Debrenne")</f>
        <v>Claude Debrenne</v>
      </c>
      <c r="K741" t="str">
        <f ca="1">IFERROR(__xludf.DUMMYFUNCTION("""COMPUTED_VALUE"""),"uexpress.paris.petitscarreaux@systeme-u.fr")</f>
        <v>uexpress.paris.petitscarreaux@systeme-u.fr</v>
      </c>
      <c r="L741" t="str">
        <f ca="1">IFERROR(__xludf.DUMMYFUNCTION("""COMPUTED_VALUE"""),"")</f>
        <v/>
      </c>
      <c r="M741" t="str">
        <f ca="1">IFERROR(__xludf.DUMMYFUNCTION("""COMPUTED_VALUE"""),"99.Hors Périmetre")</f>
        <v>99.Hors Périmetre</v>
      </c>
      <c r="N741" t="str">
        <f ca="1">IFERROR(__xludf.DUMMYFUNCTION("""COMPUTED_VALUE"""),"")</f>
        <v/>
      </c>
      <c r="O741" t="str">
        <f ca="1">IFERROR(__xludf.DUMMYFUNCTION("""COMPUTED_VALUE"""),"")</f>
        <v/>
      </c>
      <c r="P741" t="str">
        <f ca="1">IFERROR(__xludf.DUMMYFUNCTION("""COMPUTED_VALUE"""),"")</f>
        <v/>
      </c>
      <c r="Q741" s="5" t="str">
        <f ca="1">IFERROR(__xludf.DUMMYFUNCTION("""COMPUTED_VALUE"""),"")</f>
        <v/>
      </c>
      <c r="R741" s="6" t="str">
        <f ca="1">IFERROR(__xludf.DUMMYFUNCTION("""COMPUTED_VALUE"""),"")</f>
        <v/>
      </c>
      <c r="S741" t="str">
        <f ca="1">IFERROR(__xludf.DUMMYFUNCTION("""COMPUTED_VALUE"""),"")</f>
        <v/>
      </c>
      <c r="T741" t="str">
        <f ca="1">IFERROR(__xludf.DUMMYFUNCTION("""COMPUTED_VALUE"""),"")</f>
        <v/>
      </c>
      <c r="U741" t="str">
        <f ca="1">IFERROR(__xludf.DUMMYFUNCTION("""COMPUTED_VALUE"""),"")</f>
        <v/>
      </c>
      <c r="V741" t="str">
        <f ca="1">IFERROR(__xludf.DUMMYFUNCTION("""COMPUTED_VALUE"""),"")</f>
        <v/>
      </c>
      <c r="W741" t="str">
        <f ca="1">IFERROR(__xludf.DUMMYFUNCTION("""COMPUTED_VALUE"""),"")</f>
        <v/>
      </c>
      <c r="X741" t="str">
        <f ca="1">IFERROR(__xludf.DUMMYFUNCTION("""COMPUTED_VALUE"""),"")</f>
        <v/>
      </c>
      <c r="Y741" t="str">
        <f ca="1">IFERROR(__xludf.DUMMYFUNCTION("""COMPUTED_VALUE"""),"")</f>
        <v/>
      </c>
      <c r="Z741" t="str">
        <f ca="1">IFERROR(__xludf.DUMMYFUNCTION("""COMPUTED_VALUE"""),"")</f>
        <v/>
      </c>
      <c r="AA741" t="str">
        <f ca="1">IFERROR(__xludf.DUMMYFUNCTION("""COMPUTED_VALUE"""),"Pas de commande")</f>
        <v>Pas de commande</v>
      </c>
      <c r="AB741" s="8" t="str">
        <f ca="1">IFERROR(__xludf.DUMMYFUNCTION("""COMPUTED_VALUE"""),"")</f>
        <v/>
      </c>
      <c r="AC741" s="8" t="str">
        <f ca="1">IFERROR(__xludf.DUMMYFUNCTION("""COMPUTED_VALUE"""),"")</f>
        <v/>
      </c>
      <c r="AD741" s="11" t="str">
        <f ca="1">IFERROR(__xludf.DUMMYFUNCTION("""COMPUTED_VALUE"""),"")</f>
        <v/>
      </c>
      <c r="AE741" t="str">
        <f ca="1">IFERROR(__xludf.DUMMYFUNCTION("""COMPUTED_VALUE"""),"")</f>
        <v/>
      </c>
    </row>
    <row r="742" spans="1:31" ht="12.75" x14ac:dyDescent="0.2">
      <c r="A742">
        <f ca="1">IFERROR(__xludf.DUMMYFUNCTION("""COMPUTED_VALUE"""),23212)</f>
        <v>23212</v>
      </c>
      <c r="B742" t="str">
        <f ca="1">IFERROR(__xludf.DUMMYFUNCTION("""COMPUTED_VALUE"""),"PARIS ST DIDIER")</f>
        <v>PARIS ST DIDIER</v>
      </c>
      <c r="C742" t="str">
        <f ca="1">IFERROR(__xludf.DUMMYFUNCTION("""COMPUTED_VALUE"""),"U Express")</f>
        <v>U Express</v>
      </c>
      <c r="D742" t="str">
        <f ca="1">IFERROR(__xludf.DUMMYFUNCTION("""COMPUTED_VALUE"""),"Coop U Enseigne NordOuest")</f>
        <v>Coop U Enseigne NordOuest</v>
      </c>
      <c r="E742">
        <f ca="1">IFERROR(__xludf.DUMMYFUNCTION("""COMPUTED_VALUE"""),75016)</f>
        <v>75016</v>
      </c>
      <c r="F742" t="str">
        <f ca="1">IFERROR(__xludf.DUMMYFUNCTION("""COMPUTED_VALUE"""),"46 BIS RUE SAINT DIDIER")</f>
        <v>46 BIS RUE SAINT DIDIER</v>
      </c>
      <c r="G742" t="str">
        <f ca="1">IFERROR(__xludf.DUMMYFUNCTION("""COMPUTED_VALUE"""),"01.45.53.33.75")</f>
        <v>01.45.53.33.75</v>
      </c>
      <c r="H742" t="str">
        <f ca="1">IFERROR(__xludf.DUMMYFUNCTION("""COMPUTED_VALUE"""),"LEVY Sacha")</f>
        <v>LEVY Sacha</v>
      </c>
      <c r="I742" t="str">
        <f ca="1">IFERROR(__xludf.DUMMYFUNCTION("""COMPUTED_VALUE"""),"sacha.levy@systeme-u.fr")</f>
        <v>sacha.levy@systeme-u.fr</v>
      </c>
      <c r="J742" t="str">
        <f ca="1">IFERROR(__xludf.DUMMYFUNCTION("""COMPUTED_VALUE"""),"EL MONTASER Bouchta")</f>
        <v>EL MONTASER Bouchta</v>
      </c>
      <c r="K742" t="str">
        <f ca="1">IFERROR(__xludf.DUMMYFUNCTION("""COMPUTED_VALUE"""),"uexpress.paris.saintdidier@systeme-u.fr")</f>
        <v>uexpress.paris.saintdidier@systeme-u.fr</v>
      </c>
      <c r="L742" t="str">
        <f ca="1">IFERROR(__xludf.DUMMYFUNCTION("""COMPUTED_VALUE"""),"")</f>
        <v/>
      </c>
      <c r="M742" t="str">
        <f ca="1">IFERROR(__xludf.DUMMYFUNCTION("""COMPUTED_VALUE"""),"99.Hors Périmetre")</f>
        <v>99.Hors Périmetre</v>
      </c>
      <c r="N742" t="str">
        <f ca="1">IFERROR(__xludf.DUMMYFUNCTION("""COMPUTED_VALUE"""),"")</f>
        <v/>
      </c>
      <c r="O742" t="str">
        <f ca="1">IFERROR(__xludf.DUMMYFUNCTION("""COMPUTED_VALUE"""),"")</f>
        <v/>
      </c>
      <c r="P742" t="str">
        <f ca="1">IFERROR(__xludf.DUMMYFUNCTION("""COMPUTED_VALUE"""),"")</f>
        <v/>
      </c>
      <c r="Q742" s="5" t="str">
        <f ca="1">IFERROR(__xludf.DUMMYFUNCTION("""COMPUTED_VALUE"""),"")</f>
        <v/>
      </c>
      <c r="R742" s="6" t="str">
        <f ca="1">IFERROR(__xludf.DUMMYFUNCTION("""COMPUTED_VALUE"""),"")</f>
        <v/>
      </c>
      <c r="S742" t="str">
        <f ca="1">IFERROR(__xludf.DUMMYFUNCTION("""COMPUTED_VALUE"""),"")</f>
        <v/>
      </c>
      <c r="T742" t="str">
        <f ca="1">IFERROR(__xludf.DUMMYFUNCTION("""COMPUTED_VALUE"""),"")</f>
        <v/>
      </c>
      <c r="U742" t="str">
        <f ca="1">IFERROR(__xludf.DUMMYFUNCTION("""COMPUTED_VALUE"""),"")</f>
        <v/>
      </c>
      <c r="V742" t="str">
        <f ca="1">IFERROR(__xludf.DUMMYFUNCTION("""COMPUTED_VALUE"""),"")</f>
        <v/>
      </c>
      <c r="W742" t="str">
        <f ca="1">IFERROR(__xludf.DUMMYFUNCTION("""COMPUTED_VALUE"""),"")</f>
        <v/>
      </c>
      <c r="X742" t="str">
        <f ca="1">IFERROR(__xludf.DUMMYFUNCTION("""COMPUTED_VALUE"""),"")</f>
        <v/>
      </c>
      <c r="Y742" t="str">
        <f ca="1">IFERROR(__xludf.DUMMYFUNCTION("""COMPUTED_VALUE"""),"")</f>
        <v/>
      </c>
      <c r="Z742" t="str">
        <f ca="1">IFERROR(__xludf.DUMMYFUNCTION("""COMPUTED_VALUE"""),"")</f>
        <v/>
      </c>
      <c r="AA742" t="str">
        <f ca="1">IFERROR(__xludf.DUMMYFUNCTION("""COMPUTED_VALUE"""),"Pas de commande")</f>
        <v>Pas de commande</v>
      </c>
      <c r="AB742" s="8" t="str">
        <f ca="1">IFERROR(__xludf.DUMMYFUNCTION("""COMPUTED_VALUE"""),"")</f>
        <v/>
      </c>
      <c r="AC742" s="8" t="str">
        <f ca="1">IFERROR(__xludf.DUMMYFUNCTION("""COMPUTED_VALUE"""),"")</f>
        <v/>
      </c>
      <c r="AD742" s="11" t="str">
        <f ca="1">IFERROR(__xludf.DUMMYFUNCTION("""COMPUTED_VALUE"""),"")</f>
        <v/>
      </c>
      <c r="AE742" t="str">
        <f ca="1">IFERROR(__xludf.DUMMYFUNCTION("""COMPUTED_VALUE"""),"")</f>
        <v/>
      </c>
    </row>
    <row r="743" spans="1:31" ht="12.75" x14ac:dyDescent="0.2">
      <c r="A743">
        <f ca="1">IFERROR(__xludf.DUMMYFUNCTION("""COMPUTED_VALUE"""),23174)</f>
        <v>23174</v>
      </c>
      <c r="B743" t="str">
        <f ca="1">IFERROR(__xludf.DUMMYFUNCTION("""COMPUTED_VALUE"""),"PARIS TEMPLE")</f>
        <v>PARIS TEMPLE</v>
      </c>
      <c r="C743" t="str">
        <f ca="1">IFERROR(__xludf.DUMMYFUNCTION("""COMPUTED_VALUE"""),"U Express")</f>
        <v>U Express</v>
      </c>
      <c r="D743" t="str">
        <f ca="1">IFERROR(__xludf.DUMMYFUNCTION("""COMPUTED_VALUE"""),"Coop U Enseigne NordOuest")</f>
        <v>Coop U Enseigne NordOuest</v>
      </c>
      <c r="E743">
        <f ca="1">IFERROR(__xludf.DUMMYFUNCTION("""COMPUTED_VALUE"""),75003)</f>
        <v>75003</v>
      </c>
      <c r="F743" t="str">
        <f ca="1">IFERROR(__xludf.DUMMYFUNCTION("""COMPUTED_VALUE"""),"109 RUE DU TEMPLE")</f>
        <v>109 RUE DU TEMPLE</v>
      </c>
      <c r="G743" t="str">
        <f ca="1">IFERROR(__xludf.DUMMYFUNCTION("""COMPUTED_VALUE"""),"01.44.93.72.10")</f>
        <v>01.44.93.72.10</v>
      </c>
      <c r="H743" t="str">
        <f ca="1">IFERROR(__xludf.DUMMYFUNCTION("""COMPUTED_VALUE"""),"LEVY Sacha")</f>
        <v>LEVY Sacha</v>
      </c>
      <c r="I743" t="str">
        <f ca="1">IFERROR(__xludf.DUMMYFUNCTION("""COMPUTED_VALUE"""),"sacha.levy@systeme-u.fr")</f>
        <v>sacha.levy@systeme-u.fr</v>
      </c>
      <c r="J743" t="str">
        <f ca="1">IFERROR(__xludf.DUMMYFUNCTION("""COMPUTED_VALUE"""),"M. SMAIL")</f>
        <v>M. SMAIL</v>
      </c>
      <c r="K743" t="str">
        <f ca="1">IFERROR(__xludf.DUMMYFUNCTION("""COMPUTED_VALUE"""),"uexpress.paris.temple@systeme-u.fr")</f>
        <v>uexpress.paris.temple@systeme-u.fr</v>
      </c>
      <c r="L743" t="str">
        <f ca="1">IFERROR(__xludf.DUMMYFUNCTION("""COMPUTED_VALUE"""),"")</f>
        <v/>
      </c>
      <c r="M743" t="str">
        <f ca="1">IFERROR(__xludf.DUMMYFUNCTION("""COMPUTED_VALUE"""),"99.Hors Périmetre")</f>
        <v>99.Hors Périmetre</v>
      </c>
      <c r="N743" t="str">
        <f ca="1">IFERROR(__xludf.DUMMYFUNCTION("""COMPUTED_VALUE"""),"")</f>
        <v/>
      </c>
      <c r="O743" t="str">
        <f ca="1">IFERROR(__xludf.DUMMYFUNCTION("""COMPUTED_VALUE"""),"")</f>
        <v/>
      </c>
      <c r="P743" t="str">
        <f ca="1">IFERROR(__xludf.DUMMYFUNCTION("""COMPUTED_VALUE"""),"")</f>
        <v/>
      </c>
      <c r="Q743" s="5" t="str">
        <f ca="1">IFERROR(__xludf.DUMMYFUNCTION("""COMPUTED_VALUE"""),"")</f>
        <v/>
      </c>
      <c r="R743" s="6" t="str">
        <f ca="1">IFERROR(__xludf.DUMMYFUNCTION("""COMPUTED_VALUE"""),"")</f>
        <v/>
      </c>
      <c r="S743" t="str">
        <f ca="1">IFERROR(__xludf.DUMMYFUNCTION("""COMPUTED_VALUE"""),"")</f>
        <v/>
      </c>
      <c r="T743" t="str">
        <f ca="1">IFERROR(__xludf.DUMMYFUNCTION("""COMPUTED_VALUE"""),"")</f>
        <v/>
      </c>
      <c r="U743" t="str">
        <f ca="1">IFERROR(__xludf.DUMMYFUNCTION("""COMPUTED_VALUE"""),"")</f>
        <v/>
      </c>
      <c r="V743" t="str">
        <f ca="1">IFERROR(__xludf.DUMMYFUNCTION("""COMPUTED_VALUE"""),"")</f>
        <v/>
      </c>
      <c r="W743" t="str">
        <f ca="1">IFERROR(__xludf.DUMMYFUNCTION("""COMPUTED_VALUE"""),"")</f>
        <v/>
      </c>
      <c r="X743" t="str">
        <f ca="1">IFERROR(__xludf.DUMMYFUNCTION("""COMPUTED_VALUE"""),"")</f>
        <v/>
      </c>
      <c r="Y743" t="str">
        <f ca="1">IFERROR(__xludf.DUMMYFUNCTION("""COMPUTED_VALUE"""),"")</f>
        <v/>
      </c>
      <c r="Z743" t="str">
        <f ca="1">IFERROR(__xludf.DUMMYFUNCTION("""COMPUTED_VALUE"""),"")</f>
        <v/>
      </c>
      <c r="AA743" t="str">
        <f ca="1">IFERROR(__xludf.DUMMYFUNCTION("""COMPUTED_VALUE"""),"Pas de commande")</f>
        <v>Pas de commande</v>
      </c>
      <c r="AB743" s="8" t="str">
        <f ca="1">IFERROR(__xludf.DUMMYFUNCTION("""COMPUTED_VALUE"""),"")</f>
        <v/>
      </c>
      <c r="AC743" s="8" t="str">
        <f ca="1">IFERROR(__xludf.DUMMYFUNCTION("""COMPUTED_VALUE"""),"")</f>
        <v/>
      </c>
      <c r="AD743" s="11" t="str">
        <f ca="1">IFERROR(__xludf.DUMMYFUNCTION("""COMPUTED_VALUE"""),"")</f>
        <v/>
      </c>
      <c r="AE743" t="str">
        <f ca="1">IFERROR(__xludf.DUMMYFUNCTION("""COMPUTED_VALUE"""),"")</f>
        <v/>
      </c>
    </row>
    <row r="744" spans="1:31" ht="12.75" x14ac:dyDescent="0.2">
      <c r="A744">
        <f ca="1">IFERROR(__xludf.DUMMYFUNCTION("""COMPUTED_VALUE"""),23476)</f>
        <v>23476</v>
      </c>
      <c r="B744" t="str">
        <f ca="1">IFERROR(__xludf.DUMMYFUNCTION("""COMPUTED_VALUE"""),"PARIS TOMBE ISSOIRE")</f>
        <v>PARIS TOMBE ISSOIRE</v>
      </c>
      <c r="C744" t="str">
        <f ca="1">IFERROR(__xludf.DUMMYFUNCTION("""COMPUTED_VALUE"""),"U Express")</f>
        <v>U Express</v>
      </c>
      <c r="D744" t="str">
        <f ca="1">IFERROR(__xludf.DUMMYFUNCTION("""COMPUTED_VALUE"""),"Coop U Enseigne NordOuest")</f>
        <v>Coop U Enseigne NordOuest</v>
      </c>
      <c r="E744">
        <f ca="1">IFERROR(__xludf.DUMMYFUNCTION("""COMPUTED_VALUE"""),75014)</f>
        <v>75014</v>
      </c>
      <c r="F744" t="str">
        <f ca="1">IFERROR(__xludf.DUMMYFUNCTION("""COMPUTED_VALUE"""),"88 RUE DE LA TOMBE ISSOIRE")</f>
        <v>88 RUE DE LA TOMBE ISSOIRE</v>
      </c>
      <c r="G744" t="str">
        <f ca="1">IFERROR(__xludf.DUMMYFUNCTION("""COMPUTED_VALUE"""),"09.67.14.08.89")</f>
        <v>09.67.14.08.89</v>
      </c>
      <c r="H744" t="str">
        <f ca="1">IFERROR(__xludf.DUMMYFUNCTION("""COMPUTED_VALUE"""),"BECQ DE FOUQUIERES Arthur")</f>
        <v>BECQ DE FOUQUIERES Arthur</v>
      </c>
      <c r="I744" t="str">
        <f ca="1">IFERROR(__xludf.DUMMYFUNCTION("""COMPUTED_VALUE"""),"arthur.defouquieres@systeme-u.fr")</f>
        <v>arthur.defouquieres@systeme-u.fr</v>
      </c>
      <c r="J744" t="str">
        <f ca="1">IFERROR(__xludf.DUMMYFUNCTION("""COMPUTED_VALUE"""),"M. Camal
M. Belacel
M.Aladin")</f>
        <v>M. Camal
M. Belacel
M.Aladin</v>
      </c>
      <c r="K744" t="str">
        <f ca="1">IFERROR(__xludf.DUMMYFUNCTION("""COMPUTED_VALUE"""),"zbelacel.su@gmail.com")</f>
        <v>zbelacel.su@gmail.com</v>
      </c>
      <c r="L744" t="str">
        <f ca="1">IFERROR(__xludf.DUMMYFUNCTION("""COMPUTED_VALUE"""),"")</f>
        <v/>
      </c>
      <c r="M744" t="str">
        <f ca="1">IFERROR(__xludf.DUMMYFUNCTION("""COMPUTED_VALUE"""),"99.Hors Périmetre")</f>
        <v>99.Hors Périmetre</v>
      </c>
      <c r="N744" t="str">
        <f ca="1">IFERROR(__xludf.DUMMYFUNCTION("""COMPUTED_VALUE"""),"")</f>
        <v/>
      </c>
      <c r="O744" t="str">
        <f ca="1">IFERROR(__xludf.DUMMYFUNCTION("""COMPUTED_VALUE"""),"")</f>
        <v/>
      </c>
      <c r="P744" t="str">
        <f ca="1">IFERROR(__xludf.DUMMYFUNCTION("""COMPUTED_VALUE"""),"")</f>
        <v/>
      </c>
      <c r="Q744" s="5" t="str">
        <f ca="1">IFERROR(__xludf.DUMMYFUNCTION("""COMPUTED_VALUE"""),"")</f>
        <v/>
      </c>
      <c r="R744" s="6" t="str">
        <f ca="1">IFERROR(__xludf.DUMMYFUNCTION("""COMPUTED_VALUE"""),"")</f>
        <v/>
      </c>
      <c r="S744" t="str">
        <f ca="1">IFERROR(__xludf.DUMMYFUNCTION("""COMPUTED_VALUE"""),"")</f>
        <v/>
      </c>
      <c r="T744" t="str">
        <f ca="1">IFERROR(__xludf.DUMMYFUNCTION("""COMPUTED_VALUE"""),"")</f>
        <v/>
      </c>
      <c r="U744" t="str">
        <f ca="1">IFERROR(__xludf.DUMMYFUNCTION("""COMPUTED_VALUE"""),"")</f>
        <v/>
      </c>
      <c r="V744" t="str">
        <f ca="1">IFERROR(__xludf.DUMMYFUNCTION("""COMPUTED_VALUE"""),"")</f>
        <v/>
      </c>
      <c r="W744" t="str">
        <f ca="1">IFERROR(__xludf.DUMMYFUNCTION("""COMPUTED_VALUE"""),"")</f>
        <v/>
      </c>
      <c r="X744" t="str">
        <f ca="1">IFERROR(__xludf.DUMMYFUNCTION("""COMPUTED_VALUE"""),"")</f>
        <v/>
      </c>
      <c r="Y744" t="str">
        <f ca="1">IFERROR(__xludf.DUMMYFUNCTION("""COMPUTED_VALUE"""),"")</f>
        <v/>
      </c>
      <c r="Z744" t="str">
        <f ca="1">IFERROR(__xludf.DUMMYFUNCTION("""COMPUTED_VALUE"""),"")</f>
        <v/>
      </c>
      <c r="AA744" t="str">
        <f ca="1">IFERROR(__xludf.DUMMYFUNCTION("""COMPUTED_VALUE"""),"Pas de commande")</f>
        <v>Pas de commande</v>
      </c>
      <c r="AB744" s="8" t="str">
        <f ca="1">IFERROR(__xludf.DUMMYFUNCTION("""COMPUTED_VALUE"""),"")</f>
        <v/>
      </c>
      <c r="AC744" s="8" t="str">
        <f ca="1">IFERROR(__xludf.DUMMYFUNCTION("""COMPUTED_VALUE"""),"")</f>
        <v/>
      </c>
      <c r="AD744" s="11" t="str">
        <f ca="1">IFERROR(__xludf.DUMMYFUNCTION("""COMPUTED_VALUE"""),"")</f>
        <v/>
      </c>
      <c r="AE744" t="str">
        <f ca="1">IFERROR(__xludf.DUMMYFUNCTION("""COMPUTED_VALUE"""),"")</f>
        <v/>
      </c>
    </row>
    <row r="745" spans="1:31" ht="12.75" x14ac:dyDescent="0.2">
      <c r="A745">
        <f ca="1">IFERROR(__xludf.DUMMYFUNCTION("""COMPUTED_VALUE"""),36815)</f>
        <v>36815</v>
      </c>
      <c r="B745" t="str">
        <f ca="1">IFERROR(__xludf.DUMMYFUNCTION("""COMPUTED_VALUE"""),"PARTHENAY")</f>
        <v>PARTHENAY</v>
      </c>
      <c r="C745" t="str">
        <f ca="1">IFERROR(__xludf.DUMMYFUNCTION("""COMPUTED_VALUE"""),"Hyper U")</f>
        <v>Hyper U</v>
      </c>
      <c r="D745" t="str">
        <f ca="1">IFERROR(__xludf.DUMMYFUNCTION("""COMPUTED_VALUE"""),"Coop U Enseigne Ouest")</f>
        <v>Coop U Enseigne Ouest</v>
      </c>
      <c r="E745">
        <f ca="1">IFERROR(__xludf.DUMMYFUNCTION("""COMPUTED_VALUE"""),79200)</f>
        <v>79200</v>
      </c>
      <c r="F745" t="str">
        <f ca="1">IFERROR(__xludf.DUMMYFUNCTION("""COMPUTED_VALUE"""),"1 AVENUE FRANCOIS MITTERRAND")</f>
        <v>1 AVENUE FRANCOIS MITTERRAND</v>
      </c>
      <c r="G745" t="str">
        <f ca="1">IFERROR(__xludf.DUMMYFUNCTION("""COMPUTED_VALUE"""),"05.49.64.32.22")</f>
        <v>05.49.64.32.22</v>
      </c>
      <c r="H745" t="str">
        <f ca="1">IFERROR(__xludf.DUMMYFUNCTION("""COMPUTED_VALUE"""),"LEBOUL RPT SAS FINALEB Jean-Yves")</f>
        <v>LEBOUL RPT SAS FINALEB Jean-Yves</v>
      </c>
      <c r="I745" t="str">
        <f ca="1">IFERROR(__xludf.DUMMYFUNCTION("""COMPUTED_VALUE"""),"jean-yves.leboul@systeme-u.fr")</f>
        <v>jean-yves.leboul@systeme-u.fr</v>
      </c>
      <c r="J745" t="str">
        <f ca="1">IFERROR(__xludf.DUMMYFUNCTION("""COMPUTED_VALUE"""),"LAURENTIN XAVIER")</f>
        <v>LAURENTIN XAVIER</v>
      </c>
      <c r="K745" t="str">
        <f ca="1">IFERROR(__xludf.DUMMYFUNCTION("""COMPUTED_VALUE"""),"hyperu.parthenay.informatique@systeme-u.fr")</f>
        <v>hyperu.parthenay.informatique@systeme-u.fr</v>
      </c>
      <c r="L745" t="str">
        <f ca="1">IFERROR(__xludf.DUMMYFUNCTION("""COMPUTED_VALUE"""),"Standard")</f>
        <v>Standard</v>
      </c>
      <c r="M745" t="str">
        <f ca="1">IFERROR(__xludf.DUMMYFUNCTION("""COMPUTED_VALUE"""),"0. Non démarré")</f>
        <v>0. Non démarré</v>
      </c>
      <c r="N745" t="str">
        <f ca="1">IFERROR(__xludf.DUMMYFUNCTION("""COMPUTED_VALUE"""),"")</f>
        <v/>
      </c>
      <c r="O745" t="str">
        <f ca="1">IFERROR(__xludf.DUMMYFUNCTION("""COMPUTED_VALUE"""),"")</f>
        <v/>
      </c>
      <c r="P745" t="str">
        <f ca="1">IFERROR(__xludf.DUMMYFUNCTION("""COMPUTED_VALUE"""),"")</f>
        <v/>
      </c>
      <c r="Q745" s="5" t="str">
        <f ca="1">IFERROR(__xludf.DUMMYFUNCTION("""COMPUTED_VALUE"""),"")</f>
        <v/>
      </c>
      <c r="R745" s="6" t="str">
        <f ca="1">IFERROR(__xludf.DUMMYFUNCTION("""COMPUTED_VALUE"""),"")</f>
        <v/>
      </c>
      <c r="S745" t="str">
        <f ca="1">IFERROR(__xludf.DUMMYFUNCTION("""COMPUTED_VALUE"""),"")</f>
        <v/>
      </c>
      <c r="T745" t="str">
        <f ca="1">IFERROR(__xludf.DUMMYFUNCTION("""COMPUTED_VALUE"""),"")</f>
        <v/>
      </c>
      <c r="U745" t="str">
        <f ca="1">IFERROR(__xludf.DUMMYFUNCTION("""COMPUTED_VALUE"""),"")</f>
        <v/>
      </c>
      <c r="V745" t="str">
        <f ca="1">IFERROR(__xludf.DUMMYFUNCTION("""COMPUTED_VALUE"""),"")</f>
        <v/>
      </c>
      <c r="W745" t="str">
        <f ca="1">IFERROR(__xludf.DUMMYFUNCTION("""COMPUTED_VALUE"""),"R5")</f>
        <v>R5</v>
      </c>
      <c r="X745" t="str">
        <f ca="1">IFERROR(__xludf.DUMMYFUNCTION("""COMPUTED_VALUE"""),"Pricer &lt;8Go")</f>
        <v>Pricer &lt;8Go</v>
      </c>
      <c r="Y745" t="str">
        <f ca="1">IFERROR(__xludf.DUMMYFUNCTION("""COMPUTED_VALUE"""),"")</f>
        <v/>
      </c>
      <c r="Z745" t="str">
        <f ca="1">IFERROR(__xludf.DUMMYFUNCTION("""COMPUTED_VALUE"""),"")</f>
        <v/>
      </c>
      <c r="AA745" t="str">
        <f ca="1">IFERROR(__xludf.DUMMYFUNCTION("""COMPUTED_VALUE"""),"Pas de commande")</f>
        <v>Pas de commande</v>
      </c>
      <c r="AB745" s="8" t="str">
        <f ca="1">IFERROR(__xludf.DUMMYFUNCTION("""COMPUTED_VALUE"""),"")</f>
        <v/>
      </c>
      <c r="AC745" s="8" t="str">
        <f ca="1">IFERROR(__xludf.DUMMYFUNCTION("""COMPUTED_VALUE"""),"")</f>
        <v/>
      </c>
      <c r="AD745" s="11" t="str">
        <f ca="1">IFERROR(__xludf.DUMMYFUNCTION("""COMPUTED_VALUE"""),"")</f>
        <v/>
      </c>
      <c r="AE745" t="str">
        <f ca="1">IFERROR(__xludf.DUMMYFUNCTION("""COMPUTED_VALUE"""),"")</f>
        <v/>
      </c>
    </row>
    <row r="746" spans="1:31" ht="12.75" x14ac:dyDescent="0.2">
      <c r="A746">
        <f ca="1">IFERROR(__xludf.DUMMYFUNCTION("""COMPUTED_VALUE"""),66154)</f>
        <v>66154</v>
      </c>
      <c r="B746" t="str">
        <f ca="1">IFERROR(__xludf.DUMMYFUNCTION("""COMPUTED_VALUE"""),"PASSY")</f>
        <v>PASSY</v>
      </c>
      <c r="C746" t="str">
        <f ca="1">IFERROR(__xludf.DUMMYFUNCTION("""COMPUTED_VALUE"""),"Super U")</f>
        <v>Super U</v>
      </c>
      <c r="D746" t="str">
        <f ca="1">IFERROR(__xludf.DUMMYFUNCTION("""COMPUTED_VALUE"""),"Coop U Enseigne Est")</f>
        <v>Coop U Enseigne Est</v>
      </c>
      <c r="E746">
        <f ca="1">IFERROR(__xludf.DUMMYFUNCTION("""COMPUTED_VALUE"""),74190)</f>
        <v>74190</v>
      </c>
      <c r="F746" t="str">
        <f ca="1">IFERROR(__xludf.DUMMYFUNCTION("""COMPUTED_VALUE"""),"91 AVENUE DE MARLIOZ")</f>
        <v>91 AVENUE DE MARLIOZ</v>
      </c>
      <c r="G746" t="str">
        <f ca="1">IFERROR(__xludf.DUMMYFUNCTION("""COMPUTED_VALUE"""),"04.50.78.20.92")</f>
        <v>04.50.78.20.92</v>
      </c>
      <c r="H746" t="str">
        <f ca="1">IFERROR(__xludf.DUMMYFUNCTION("""COMPUTED_VALUE"""),"DI GENNARO Boris")</f>
        <v>DI GENNARO Boris</v>
      </c>
      <c r="I746" t="str">
        <f ca="1">IFERROR(__xludf.DUMMYFUNCTION("""COMPUTED_VALUE"""),"boris.digennaro@systeme-u.fr")</f>
        <v>boris.digennaro@systeme-u.fr</v>
      </c>
      <c r="J746" t="str">
        <f ca="1">IFERROR(__xludf.DUMMYFUNCTION("""COMPUTED_VALUE"""),"Mr Beaufils (Pilote)")</f>
        <v>Mr Beaufils (Pilote)</v>
      </c>
      <c r="K746" t="str">
        <f ca="1">IFERROR(__xludf.DUMMYFUNCTION("""COMPUTED_VALUE"""),"superu.passy.compta@systeme-u.fr")</f>
        <v>superu.passy.compta@systeme-u.fr</v>
      </c>
      <c r="L746" t="str">
        <f ca="1">IFERROR(__xludf.DUMMYFUNCTION("""COMPUTED_VALUE"""),"")</f>
        <v/>
      </c>
      <c r="M746" t="str">
        <f ca="1">IFERROR(__xludf.DUMMYFUNCTION("""COMPUTED_VALUE"""),"99.Hors Périmetre")</f>
        <v>99.Hors Périmetre</v>
      </c>
      <c r="N746" t="str">
        <f ca="1">IFERROR(__xludf.DUMMYFUNCTION("""COMPUTED_VALUE"""),"")</f>
        <v/>
      </c>
      <c r="O746" t="str">
        <f ca="1">IFERROR(__xludf.DUMMYFUNCTION("""COMPUTED_VALUE"""),"")</f>
        <v/>
      </c>
      <c r="P746" t="str">
        <f ca="1">IFERROR(__xludf.DUMMYFUNCTION("""COMPUTED_VALUE"""),"")</f>
        <v/>
      </c>
      <c r="Q746" s="5" t="str">
        <f ca="1">IFERROR(__xludf.DUMMYFUNCTION("""COMPUTED_VALUE"""),"")</f>
        <v/>
      </c>
      <c r="R746" s="6" t="str">
        <f ca="1">IFERROR(__xludf.DUMMYFUNCTION("""COMPUTED_VALUE"""),"")</f>
        <v/>
      </c>
      <c r="S746" t="str">
        <f ca="1">IFERROR(__xludf.DUMMYFUNCTION("""COMPUTED_VALUE"""),"")</f>
        <v/>
      </c>
      <c r="T746" t="str">
        <f ca="1">IFERROR(__xludf.DUMMYFUNCTION("""COMPUTED_VALUE"""),"")</f>
        <v/>
      </c>
      <c r="U746" t="str">
        <f ca="1">IFERROR(__xludf.DUMMYFUNCTION("""COMPUTED_VALUE"""),"")</f>
        <v/>
      </c>
      <c r="V746" t="str">
        <f ca="1">IFERROR(__xludf.DUMMYFUNCTION("""COMPUTED_VALUE"""),"")</f>
        <v/>
      </c>
      <c r="W746" t="str">
        <f ca="1">IFERROR(__xludf.DUMMYFUNCTION("""COMPUTED_VALUE"""),"")</f>
        <v/>
      </c>
      <c r="X746" t="str">
        <f ca="1">IFERROR(__xludf.DUMMYFUNCTION("""COMPUTED_VALUE"""),"")</f>
        <v/>
      </c>
      <c r="Y746" t="str">
        <f ca="1">IFERROR(__xludf.DUMMYFUNCTION("""COMPUTED_VALUE"""),"")</f>
        <v/>
      </c>
      <c r="Z746" t="str">
        <f ca="1">IFERROR(__xludf.DUMMYFUNCTION("""COMPUTED_VALUE"""),"")</f>
        <v/>
      </c>
      <c r="AA746" t="str">
        <f ca="1">IFERROR(__xludf.DUMMYFUNCTION("""COMPUTED_VALUE"""),"Pas de commande")</f>
        <v>Pas de commande</v>
      </c>
      <c r="AB746" s="8" t="str">
        <f ca="1">IFERROR(__xludf.DUMMYFUNCTION("""COMPUTED_VALUE"""),"")</f>
        <v/>
      </c>
      <c r="AC746" s="8" t="str">
        <f ca="1">IFERROR(__xludf.DUMMYFUNCTION("""COMPUTED_VALUE"""),"")</f>
        <v/>
      </c>
      <c r="AD746" s="11" t="str">
        <f ca="1">IFERROR(__xludf.DUMMYFUNCTION("""COMPUTED_VALUE"""),"")</f>
        <v/>
      </c>
      <c r="AE746" t="str">
        <f ca="1">IFERROR(__xludf.DUMMYFUNCTION("""COMPUTED_VALUE"""),"")</f>
        <v/>
      </c>
    </row>
    <row r="747" spans="1:31" ht="12.75" x14ac:dyDescent="0.2">
      <c r="A747">
        <f ca="1">IFERROR(__xludf.DUMMYFUNCTION("""COMPUTED_VALUE"""),90481)</f>
        <v>90481</v>
      </c>
      <c r="B747" t="str">
        <f ca="1">IFERROR(__xludf.DUMMYFUNCTION("""COMPUTED_VALUE"""),"PEGOMAS")</f>
        <v>PEGOMAS</v>
      </c>
      <c r="C747" t="str">
        <f ca="1">IFERROR(__xludf.DUMMYFUNCTION("""COMPUTED_VALUE"""),"Super U")</f>
        <v>Super U</v>
      </c>
      <c r="D747" t="str">
        <f ca="1">IFERROR(__xludf.DUMMYFUNCTION("""COMPUTED_VALUE"""),"Coop U Enseigne Sud")</f>
        <v>Coop U Enseigne Sud</v>
      </c>
      <c r="E747">
        <f ca="1">IFERROR(__xludf.DUMMYFUNCTION("""COMPUTED_VALUE"""),6580)</f>
        <v>6580</v>
      </c>
      <c r="F747" t="str">
        <f ca="1">IFERROR(__xludf.DUMMYFUNCTION("""COMPUTED_VALUE"""),"87 RTE DE LA FENERIE")</f>
        <v>87 RTE DE LA FENERIE</v>
      </c>
      <c r="G747" t="str">
        <f ca="1">IFERROR(__xludf.DUMMYFUNCTION("""COMPUTED_VALUE"""),"04.92.60.20.80")</f>
        <v>04.92.60.20.80</v>
      </c>
      <c r="H747" t="str">
        <f ca="1">IFERROR(__xludf.DUMMYFUNCTION("""COMPUTED_VALUE"""),"VERAN Claude")</f>
        <v>VERAN Claude</v>
      </c>
      <c r="I747" t="str">
        <f ca="1">IFERROR(__xludf.DUMMYFUNCTION("""COMPUTED_VALUE"""),"claude.veran@systeme-u.fr")</f>
        <v>claude.veran@systeme-u.fr</v>
      </c>
      <c r="J747" t="str">
        <f ca="1">IFERROR(__xludf.DUMMYFUNCTION("""COMPUTED_VALUE"""),"Gregory VERAN / Mme MORONNI")</f>
        <v>Gregory VERAN / Mme MORONNI</v>
      </c>
      <c r="K747" t="str">
        <f ca="1">IFERROR(__xludf.DUMMYFUNCTION("""COMPUTED_VALUE"""),"")</f>
        <v/>
      </c>
      <c r="L747" t="str">
        <f ca="1">IFERROR(__xludf.DUMMYFUNCTION("""COMPUTED_VALUE"""),"")</f>
        <v/>
      </c>
      <c r="M747" t="str">
        <f ca="1">IFERROR(__xludf.DUMMYFUNCTION("""COMPUTED_VALUE"""),"99.Hors Périmetre")</f>
        <v>99.Hors Périmetre</v>
      </c>
      <c r="N747" t="str">
        <f ca="1">IFERROR(__xludf.DUMMYFUNCTION("""COMPUTED_VALUE"""),"")</f>
        <v/>
      </c>
      <c r="O747" t="str">
        <f ca="1">IFERROR(__xludf.DUMMYFUNCTION("""COMPUTED_VALUE"""),"")</f>
        <v/>
      </c>
      <c r="P747" t="str">
        <f ca="1">IFERROR(__xludf.DUMMYFUNCTION("""COMPUTED_VALUE"""),"")</f>
        <v/>
      </c>
      <c r="Q747" s="5" t="str">
        <f ca="1">IFERROR(__xludf.DUMMYFUNCTION("""COMPUTED_VALUE"""),"")</f>
        <v/>
      </c>
      <c r="R747" s="6" t="str">
        <f ca="1">IFERROR(__xludf.DUMMYFUNCTION("""COMPUTED_VALUE"""),"")</f>
        <v/>
      </c>
      <c r="S747" t="str">
        <f ca="1">IFERROR(__xludf.DUMMYFUNCTION("""COMPUTED_VALUE"""),"")</f>
        <v/>
      </c>
      <c r="T747" t="str">
        <f ca="1">IFERROR(__xludf.DUMMYFUNCTION("""COMPUTED_VALUE"""),"")</f>
        <v/>
      </c>
      <c r="U747" t="str">
        <f ca="1">IFERROR(__xludf.DUMMYFUNCTION("""COMPUTED_VALUE"""),"")</f>
        <v/>
      </c>
      <c r="V747" t="str">
        <f ca="1">IFERROR(__xludf.DUMMYFUNCTION("""COMPUTED_VALUE"""),"")</f>
        <v/>
      </c>
      <c r="W747" t="str">
        <f ca="1">IFERROR(__xludf.DUMMYFUNCTION("""COMPUTED_VALUE"""),"")</f>
        <v/>
      </c>
      <c r="X747" t="str">
        <f ca="1">IFERROR(__xludf.DUMMYFUNCTION("""COMPUTED_VALUE"""),"")</f>
        <v/>
      </c>
      <c r="Y747" t="str">
        <f ca="1">IFERROR(__xludf.DUMMYFUNCTION("""COMPUTED_VALUE"""),"")</f>
        <v/>
      </c>
      <c r="Z747" t="str">
        <f ca="1">IFERROR(__xludf.DUMMYFUNCTION("""COMPUTED_VALUE"""),"")</f>
        <v/>
      </c>
      <c r="AA747" t="str">
        <f ca="1">IFERROR(__xludf.DUMMYFUNCTION("""COMPUTED_VALUE"""),"Pas de commande")</f>
        <v>Pas de commande</v>
      </c>
      <c r="AB747" s="8" t="str">
        <f ca="1">IFERROR(__xludf.DUMMYFUNCTION("""COMPUTED_VALUE"""),"")</f>
        <v/>
      </c>
      <c r="AC747" s="8" t="str">
        <f ca="1">IFERROR(__xludf.DUMMYFUNCTION("""COMPUTED_VALUE"""),"")</f>
        <v/>
      </c>
      <c r="AD747" s="11" t="str">
        <f ca="1">IFERROR(__xludf.DUMMYFUNCTION("""COMPUTED_VALUE"""),"")</f>
        <v/>
      </c>
      <c r="AE747" t="str">
        <f ca="1">IFERROR(__xludf.DUMMYFUNCTION("""COMPUTED_VALUE"""),"")</f>
        <v/>
      </c>
    </row>
    <row r="748" spans="1:31" ht="12.75" x14ac:dyDescent="0.2">
      <c r="A748">
        <f ca="1">IFERROR(__xludf.DUMMYFUNCTION("""COMPUTED_VALUE"""),31438)</f>
        <v>31438</v>
      </c>
      <c r="B748" t="str">
        <f ca="1">IFERROR(__xludf.DUMMYFUNCTION("""COMPUTED_VALUE"""),"PÉRIGUEUX")</f>
        <v>PÉRIGUEUX</v>
      </c>
      <c r="C748" t="str">
        <f ca="1">IFERROR(__xludf.DUMMYFUNCTION("""COMPUTED_VALUE"""),"Hyper U")</f>
        <v>Hyper U</v>
      </c>
      <c r="D748" t="str">
        <f ca="1">IFERROR(__xludf.DUMMYFUNCTION("""COMPUTED_VALUE"""),"Coop Atlantique")</f>
        <v>Coop Atlantique</v>
      </c>
      <c r="E748">
        <f ca="1">IFERROR(__xludf.DUMMYFUNCTION("""COMPUTED_VALUE"""),24750)</f>
        <v>24750</v>
      </c>
      <c r="F748" t="str">
        <f ca="1">IFERROR(__xludf.DUMMYFUNCTION("""COMPUTED_VALUE"""),"CENTRE COMMERCIAL")</f>
        <v>CENTRE COMMERCIAL</v>
      </c>
      <c r="G748" t="str">
        <f ca="1">IFERROR(__xludf.DUMMYFUNCTION("""COMPUTED_VALUE"""),"05.53.35.89.00")</f>
        <v>05.53.35.89.00</v>
      </c>
      <c r="H748" t="str">
        <f ca="1">IFERROR(__xludf.DUMMYFUNCTION("""COMPUTED_VALUE"""),"FLAMBARD Hervé")</f>
        <v>FLAMBARD Hervé</v>
      </c>
      <c r="I748" t="str">
        <f ca="1">IFERROR(__xludf.DUMMYFUNCTION("""COMPUTED_VALUE"""),"laurent.fleury_coop_hu@systeme-u.fr")</f>
        <v>laurent.fleury_coop_hu@systeme-u.fr</v>
      </c>
      <c r="J748" t="str">
        <f ca="1">IFERROR(__xludf.DUMMYFUNCTION("""COMPUTED_VALUE"""),"Florent DELBOS")</f>
        <v>Florent DELBOS</v>
      </c>
      <c r="K748" t="str">
        <f ca="1">IFERROR(__xludf.DUMMYFUNCTION("""COMPUTED_VALUE"""),"hyperu.perigueuxboulazac.direction@systeme-u.fr,nbrigant@coop-atlantique.fr,sjaud@coop-atlantique.fr, fdelbos@coop-atlantique.fr")</f>
        <v>hyperu.perigueuxboulazac.direction@systeme-u.fr,nbrigant@coop-atlantique.fr,sjaud@coop-atlantique.fr, fdelbos@coop-atlantique.fr</v>
      </c>
      <c r="L748" t="str">
        <f ca="1">IFERROR(__xludf.DUMMYFUNCTION("""COMPUTED_VALUE"""),"Standard")</f>
        <v>Standard</v>
      </c>
      <c r="M748" t="str">
        <f ca="1">IFERROR(__xludf.DUMMYFUNCTION("""COMPUTED_VALUE"""),"0. Non démarré")</f>
        <v>0. Non démarré</v>
      </c>
      <c r="N748" t="str">
        <f ca="1">IFERROR(__xludf.DUMMYFUNCTION("""COMPUTED_VALUE"""),"")</f>
        <v/>
      </c>
      <c r="O748" t="str">
        <f ca="1">IFERROR(__xludf.DUMMYFUNCTION("""COMPUTED_VALUE"""),"")</f>
        <v/>
      </c>
      <c r="P748" t="str">
        <f ca="1">IFERROR(__xludf.DUMMYFUNCTION("""COMPUTED_VALUE"""),"")</f>
        <v/>
      </c>
      <c r="Q748" s="5" t="str">
        <f ca="1">IFERROR(__xludf.DUMMYFUNCTION("""COMPUTED_VALUE"""),"")</f>
        <v/>
      </c>
      <c r="R748" s="6" t="str">
        <f ca="1">IFERROR(__xludf.DUMMYFUNCTION("""COMPUTED_VALUE"""),"")</f>
        <v/>
      </c>
      <c r="S748" t="str">
        <f ca="1">IFERROR(__xludf.DUMMYFUNCTION("""COMPUTED_VALUE"""),"")</f>
        <v/>
      </c>
      <c r="T748" t="str">
        <f ca="1">IFERROR(__xludf.DUMMYFUNCTION("""COMPUTED_VALUE"""),"")</f>
        <v/>
      </c>
      <c r="U748" t="str">
        <f ca="1">IFERROR(__xludf.DUMMYFUNCTION("""COMPUTED_VALUE"""),"")</f>
        <v/>
      </c>
      <c r="V748" t="str">
        <f ca="1">IFERROR(__xludf.DUMMYFUNCTION("""COMPUTED_VALUE"""),"")</f>
        <v/>
      </c>
      <c r="W748" t="str">
        <f ca="1">IFERROR(__xludf.DUMMYFUNCTION("""COMPUTED_VALUE"""),"R5")</f>
        <v>R5</v>
      </c>
      <c r="X748" t="str">
        <f ca="1">IFERROR(__xludf.DUMMYFUNCTION("""COMPUTED_VALUE"""),"PC mag &lt;8Go")</f>
        <v>PC mag &lt;8Go</v>
      </c>
      <c r="Y748" t="str">
        <f ca="1">IFERROR(__xludf.DUMMYFUNCTION("""COMPUTED_VALUE"""),"")</f>
        <v/>
      </c>
      <c r="Z748" t="str">
        <f ca="1">IFERROR(__xludf.DUMMYFUNCTION("""COMPUTED_VALUE"""),"")</f>
        <v/>
      </c>
      <c r="AA748" t="str">
        <f ca="1">IFERROR(__xludf.DUMMYFUNCTION("""COMPUTED_VALUE"""),"Pas de commande")</f>
        <v>Pas de commande</v>
      </c>
      <c r="AB748" s="8" t="str">
        <f ca="1">IFERROR(__xludf.DUMMYFUNCTION("""COMPUTED_VALUE"""),"")</f>
        <v/>
      </c>
      <c r="AC748" s="8" t="str">
        <f ca="1">IFERROR(__xludf.DUMMYFUNCTION("""COMPUTED_VALUE"""),"")</f>
        <v/>
      </c>
      <c r="AD748" s="11" t="str">
        <f ca="1">IFERROR(__xludf.DUMMYFUNCTION("""COMPUTED_VALUE"""),"")</f>
        <v/>
      </c>
      <c r="AE748" t="str">
        <f ca="1">IFERROR(__xludf.DUMMYFUNCTION("""COMPUTED_VALUE"""),"")</f>
        <v/>
      </c>
    </row>
    <row r="749" spans="1:31" ht="12.75" x14ac:dyDescent="0.2">
      <c r="A749">
        <f ca="1">IFERROR(__xludf.DUMMYFUNCTION("""COMPUTED_VALUE"""),90609)</f>
        <v>90609</v>
      </c>
      <c r="B749" t="str">
        <f ca="1">IFERROR(__xludf.DUMMYFUNCTION("""COMPUTED_VALUE"""),"PERNES LES FONTAINES")</f>
        <v>PERNES LES FONTAINES</v>
      </c>
      <c r="C749" t="str">
        <f ca="1">IFERROR(__xludf.DUMMYFUNCTION("""COMPUTED_VALUE"""),"U Express")</f>
        <v>U Express</v>
      </c>
      <c r="D749" t="str">
        <f ca="1">IFERROR(__xludf.DUMMYFUNCTION("""COMPUTED_VALUE"""),"Coop MISTRAL")</f>
        <v>Coop MISTRAL</v>
      </c>
      <c r="E749">
        <f ca="1">IFERROR(__xludf.DUMMYFUNCTION("""COMPUTED_VALUE"""),84210)</f>
        <v>84210</v>
      </c>
      <c r="F749" t="str">
        <f ca="1">IFERROR(__xludf.DUMMYFUNCTION("""COMPUTED_VALUE"""),"QUARTIER PREVILLE")</f>
        <v>QUARTIER PREVILLE</v>
      </c>
      <c r="G749" t="str">
        <f ca="1">IFERROR(__xludf.DUMMYFUNCTION("""COMPUTED_VALUE"""),"04.90.61.63.34")</f>
        <v>04.90.61.63.34</v>
      </c>
      <c r="H749" t="str">
        <f ca="1">IFERROR(__xludf.DUMMYFUNCTION("""COMPUTED_VALUE"""),"MARIANI Vincent et Benjamin")</f>
        <v>MARIANI Vincent et Benjamin</v>
      </c>
      <c r="I749" t="str">
        <f ca="1">IFERROR(__xludf.DUMMYFUNCTION("""COMPUTED_VALUE"""),"distribution.pernoise@orange.fr")</f>
        <v>distribution.pernoise@orange.fr</v>
      </c>
      <c r="J749" t="str">
        <f ca="1">IFERROR(__xludf.DUMMYFUNCTION("""COMPUTED_VALUE"""),"")</f>
        <v/>
      </c>
      <c r="K749" t="str">
        <f ca="1">IFERROR(__xludf.DUMMYFUNCTION("""COMPUTED_VALUE"""),"delphine.damian@lemistral.fr,helene.mina@lemistral.fr")</f>
        <v>delphine.damian@lemistral.fr,helene.mina@lemistral.fr</v>
      </c>
      <c r="L749" t="str">
        <f ca="1">IFERROR(__xludf.DUMMYFUNCTION("""COMPUTED_VALUE"""),"Standard")</f>
        <v>Standard</v>
      </c>
      <c r="M749" t="str">
        <f ca="1">IFERROR(__xludf.DUMMYFUNCTION("""COMPUTED_VALUE"""),"0. Non démarré")</f>
        <v>0. Non démarré</v>
      </c>
      <c r="N749" t="str">
        <f ca="1">IFERROR(__xludf.DUMMYFUNCTION("""COMPUTED_VALUE"""),"")</f>
        <v/>
      </c>
      <c r="O749" t="str">
        <f ca="1">IFERROR(__xludf.DUMMYFUNCTION("""COMPUTED_VALUE"""),"")</f>
        <v/>
      </c>
      <c r="P749" t="str">
        <f ca="1">IFERROR(__xludf.DUMMYFUNCTION("""COMPUTED_VALUE"""),"")</f>
        <v/>
      </c>
      <c r="Q749" s="5" t="str">
        <f ca="1">IFERROR(__xludf.DUMMYFUNCTION("""COMPUTED_VALUE"""),"")</f>
        <v/>
      </c>
      <c r="R749" s="6" t="str">
        <f ca="1">IFERROR(__xludf.DUMMYFUNCTION("""COMPUTED_VALUE"""),"")</f>
        <v/>
      </c>
      <c r="S749" t="str">
        <f ca="1">IFERROR(__xludf.DUMMYFUNCTION("""COMPUTED_VALUE"""),"")</f>
        <v/>
      </c>
      <c r="T749" t="str">
        <f ca="1">IFERROR(__xludf.DUMMYFUNCTION("""COMPUTED_VALUE"""),"")</f>
        <v/>
      </c>
      <c r="U749" t="str">
        <f ca="1">IFERROR(__xludf.DUMMYFUNCTION("""COMPUTED_VALUE"""),"")</f>
        <v/>
      </c>
      <c r="V749" t="str">
        <f ca="1">IFERROR(__xludf.DUMMYFUNCTION("""COMPUTED_VALUE"""),"")</f>
        <v/>
      </c>
      <c r="W749" t="str">
        <f ca="1">IFERROR(__xludf.DUMMYFUNCTION("""COMPUTED_VALUE"""),"R5")</f>
        <v>R5</v>
      </c>
      <c r="X749" t="str">
        <f ca="1">IFERROR(__xludf.DUMMYFUNCTION("""COMPUTED_VALUE"""),"Pricer")</f>
        <v>Pricer</v>
      </c>
      <c r="Y749" t="str">
        <f ca="1">IFERROR(__xludf.DUMMYFUNCTION("""COMPUTED_VALUE"""),"")</f>
        <v/>
      </c>
      <c r="Z749" t="str">
        <f ca="1">IFERROR(__xludf.DUMMYFUNCTION("""COMPUTED_VALUE"""),"")</f>
        <v/>
      </c>
      <c r="AA749" t="str">
        <f ca="1">IFERROR(__xludf.DUMMYFUNCTION("""COMPUTED_VALUE"""),"Pas de commande")</f>
        <v>Pas de commande</v>
      </c>
      <c r="AB749" s="8" t="str">
        <f ca="1">IFERROR(__xludf.DUMMYFUNCTION("""COMPUTED_VALUE"""),"")</f>
        <v/>
      </c>
      <c r="AC749" s="8" t="str">
        <f ca="1">IFERROR(__xludf.DUMMYFUNCTION("""COMPUTED_VALUE"""),"")</f>
        <v/>
      </c>
      <c r="AD749" s="11" t="str">
        <f ca="1">IFERROR(__xludf.DUMMYFUNCTION("""COMPUTED_VALUE"""),"")</f>
        <v/>
      </c>
      <c r="AE749" t="str">
        <f ca="1">IFERROR(__xludf.DUMMYFUNCTION("""COMPUTED_VALUE"""),"")</f>
        <v/>
      </c>
    </row>
    <row r="750" spans="1:31" ht="12.75" x14ac:dyDescent="0.2">
      <c r="A750">
        <f ca="1">IFERROR(__xludf.DUMMYFUNCTION("""COMPUTED_VALUE"""),91145)</f>
        <v>91145</v>
      </c>
      <c r="B750" t="str">
        <f ca="1">IFERROR(__xludf.DUMMYFUNCTION("""COMPUTED_VALUE"""),"PERPIGNAN CLEMENCEAU")</f>
        <v>PERPIGNAN CLEMENCEAU</v>
      </c>
      <c r="C750" t="str">
        <f ca="1">IFERROR(__xludf.DUMMYFUNCTION("""COMPUTED_VALUE"""),"U Express")</f>
        <v>U Express</v>
      </c>
      <c r="D750" t="str">
        <f ca="1">IFERROR(__xludf.DUMMYFUNCTION("""COMPUTED_VALUE"""),"Coop MISTRAL")</f>
        <v>Coop MISTRAL</v>
      </c>
      <c r="E750">
        <f ca="1">IFERROR(__xludf.DUMMYFUNCTION("""COMPUTED_VALUE"""),66000)</f>
        <v>66000</v>
      </c>
      <c r="F750" t="str">
        <f ca="1">IFERROR(__xludf.DUMMYFUNCTION("""COMPUTED_VALUE"""),"2 BD CLEMENCEAU")</f>
        <v>2 BD CLEMENCEAU</v>
      </c>
      <c r="G750" t="str">
        <f ca="1">IFERROR(__xludf.DUMMYFUNCTION("""COMPUTED_VALUE"""),"04.68.29.33.55")</f>
        <v>04.68.29.33.55</v>
      </c>
      <c r="H750" t="str">
        <f ca="1">IFERROR(__xludf.DUMMYFUNCTION("""COMPUTED_VALUE"""),"BARES Marc")</f>
        <v>BARES Marc</v>
      </c>
      <c r="I750" t="str">
        <f ca="1">IFERROR(__xludf.DUMMYFUNCTION("""COMPUTED_VALUE"""),"")</f>
        <v/>
      </c>
      <c r="J750" t="str">
        <f ca="1">IFERROR(__xludf.DUMMYFUNCTION("""COMPUTED_VALUE"""),"Mr Riguetti")</f>
        <v>Mr Riguetti</v>
      </c>
      <c r="K750" t="str">
        <f ca="1">IFERROR(__xludf.DUMMYFUNCTION("""COMPUTED_VALUE"""),"directeur.uexpress@groupebc.com")</f>
        <v>directeur.uexpress@groupebc.com</v>
      </c>
      <c r="L750" t="str">
        <f ca="1">IFERROR(__xludf.DUMMYFUNCTION("""COMPUTED_VALUE"""),"")</f>
        <v/>
      </c>
      <c r="M750" t="str">
        <f ca="1">IFERROR(__xludf.DUMMYFUNCTION("""COMPUTED_VALUE"""),"99.Hors Périmetre")</f>
        <v>99.Hors Périmetre</v>
      </c>
      <c r="N750" t="str">
        <f ca="1">IFERROR(__xludf.DUMMYFUNCTION("""COMPUTED_VALUE"""),"")</f>
        <v/>
      </c>
      <c r="O750" t="str">
        <f ca="1">IFERROR(__xludf.DUMMYFUNCTION("""COMPUTED_VALUE"""),"")</f>
        <v/>
      </c>
      <c r="P750" t="str">
        <f ca="1">IFERROR(__xludf.DUMMYFUNCTION("""COMPUTED_VALUE"""),"")</f>
        <v/>
      </c>
      <c r="Q750" s="5" t="str">
        <f ca="1">IFERROR(__xludf.DUMMYFUNCTION("""COMPUTED_VALUE"""),"")</f>
        <v/>
      </c>
      <c r="R750" s="6" t="str">
        <f ca="1">IFERROR(__xludf.DUMMYFUNCTION("""COMPUTED_VALUE"""),"")</f>
        <v/>
      </c>
      <c r="S750" t="str">
        <f ca="1">IFERROR(__xludf.DUMMYFUNCTION("""COMPUTED_VALUE"""),"")</f>
        <v/>
      </c>
      <c r="T750" t="str">
        <f ca="1">IFERROR(__xludf.DUMMYFUNCTION("""COMPUTED_VALUE"""),"")</f>
        <v/>
      </c>
      <c r="U750" t="str">
        <f ca="1">IFERROR(__xludf.DUMMYFUNCTION("""COMPUTED_VALUE"""),"")</f>
        <v/>
      </c>
      <c r="V750" t="str">
        <f ca="1">IFERROR(__xludf.DUMMYFUNCTION("""COMPUTED_VALUE"""),"")</f>
        <v/>
      </c>
      <c r="W750" t="str">
        <f ca="1">IFERROR(__xludf.DUMMYFUNCTION("""COMPUTED_VALUE"""),"")</f>
        <v/>
      </c>
      <c r="X750" t="str">
        <f ca="1">IFERROR(__xludf.DUMMYFUNCTION("""COMPUTED_VALUE"""),"")</f>
        <v/>
      </c>
      <c r="Y750" t="str">
        <f ca="1">IFERROR(__xludf.DUMMYFUNCTION("""COMPUTED_VALUE"""),"")</f>
        <v/>
      </c>
      <c r="Z750" t="str">
        <f ca="1">IFERROR(__xludf.DUMMYFUNCTION("""COMPUTED_VALUE"""),"")</f>
        <v/>
      </c>
      <c r="AA750" t="str">
        <f ca="1">IFERROR(__xludf.DUMMYFUNCTION("""COMPUTED_VALUE"""),"Pas de commande")</f>
        <v>Pas de commande</v>
      </c>
      <c r="AB750" s="8" t="str">
        <f ca="1">IFERROR(__xludf.DUMMYFUNCTION("""COMPUTED_VALUE"""),"")</f>
        <v/>
      </c>
      <c r="AC750" s="8" t="str">
        <f ca="1">IFERROR(__xludf.DUMMYFUNCTION("""COMPUTED_VALUE"""),"")</f>
        <v/>
      </c>
      <c r="AD750" s="11" t="str">
        <f ca="1">IFERROR(__xludf.DUMMYFUNCTION("""COMPUTED_VALUE"""),"")</f>
        <v/>
      </c>
      <c r="AE750" t="str">
        <f ca="1">IFERROR(__xludf.DUMMYFUNCTION("""COMPUTED_VALUE"""),"")</f>
        <v/>
      </c>
    </row>
    <row r="751" spans="1:31" ht="12.75" x14ac:dyDescent="0.2">
      <c r="A751">
        <f ca="1">IFERROR(__xludf.DUMMYFUNCTION("""COMPUTED_VALUE"""),90498)</f>
        <v>90498</v>
      </c>
      <c r="B751" t="str">
        <f ca="1">IFERROR(__xludf.DUMMYFUNCTION("""COMPUTED_VALUE"""),"PERPIGNAN DESNOYES")</f>
        <v>PERPIGNAN DESNOYES</v>
      </c>
      <c r="C751" t="str">
        <f ca="1">IFERROR(__xludf.DUMMYFUNCTION("""COMPUTED_VALUE"""),"Super U")</f>
        <v>Super U</v>
      </c>
      <c r="D751" t="str">
        <f ca="1">IFERROR(__xludf.DUMMYFUNCTION("""COMPUTED_VALUE"""),"Coop U Enseigne Sud")</f>
        <v>Coop U Enseigne Sud</v>
      </c>
      <c r="E751">
        <f ca="1">IFERROR(__xludf.DUMMYFUNCTION("""COMPUTED_VALUE"""),66000)</f>
        <v>66000</v>
      </c>
      <c r="F751" t="str">
        <f ca="1">IFERROR(__xludf.DUMMYFUNCTION("""COMPUTED_VALUE"""),"21 BD JOSEPH DESNOYES")</f>
        <v>21 BD JOSEPH DESNOYES</v>
      </c>
      <c r="G751" t="str">
        <f ca="1">IFERROR(__xludf.DUMMYFUNCTION("""COMPUTED_VALUE"""),"04.68.61.47.02")</f>
        <v>04.68.61.47.02</v>
      </c>
      <c r="H751" t="str">
        <f ca="1">IFERROR(__xludf.DUMMYFUNCTION("""COMPUTED_VALUE"""),"GARA Riadh")</f>
        <v>GARA Riadh</v>
      </c>
      <c r="I751" t="str">
        <f ca="1">IFERROR(__xludf.DUMMYFUNCTION("""COMPUTED_VALUE"""),"riadh.gara@systeme-u.fr")</f>
        <v>riadh.gara@systeme-u.fr</v>
      </c>
      <c r="J751" t="str">
        <f ca="1">IFERROR(__xludf.DUMMYFUNCTION("""COMPUTED_VALUE"""),"M Didier LOPEZ")</f>
        <v>M Didier LOPEZ</v>
      </c>
      <c r="K751" t="str">
        <f ca="1">IFERROR(__xludf.DUMMYFUNCTION("""COMPUTED_VALUE"""),"superu.perpignandesnoyes.gestion@systeme-u.fr,superu.perpignandesnoyes.direction@systeme-u.fr")</f>
        <v>superu.perpignandesnoyes.gestion@systeme-u.fr,superu.perpignandesnoyes.direction@systeme-u.fr</v>
      </c>
      <c r="L751" t="str">
        <f ca="1">IFERROR(__xludf.DUMMYFUNCTION("""COMPUTED_VALUE"""),"")</f>
        <v/>
      </c>
      <c r="M751" t="str">
        <f ca="1">IFERROR(__xludf.DUMMYFUNCTION("""COMPUTED_VALUE"""),"99.Hors Périmetre")</f>
        <v>99.Hors Périmetre</v>
      </c>
      <c r="N751" t="str">
        <f ca="1">IFERROR(__xludf.DUMMYFUNCTION("""COMPUTED_VALUE"""),"")</f>
        <v/>
      </c>
      <c r="O751" t="str">
        <f ca="1">IFERROR(__xludf.DUMMYFUNCTION("""COMPUTED_VALUE"""),"")</f>
        <v/>
      </c>
      <c r="P751" t="str">
        <f ca="1">IFERROR(__xludf.DUMMYFUNCTION("""COMPUTED_VALUE"""),"")</f>
        <v/>
      </c>
      <c r="Q751" s="5" t="str">
        <f ca="1">IFERROR(__xludf.DUMMYFUNCTION("""COMPUTED_VALUE"""),"")</f>
        <v/>
      </c>
      <c r="R751" s="6" t="str">
        <f ca="1">IFERROR(__xludf.DUMMYFUNCTION("""COMPUTED_VALUE"""),"")</f>
        <v/>
      </c>
      <c r="S751" t="str">
        <f ca="1">IFERROR(__xludf.DUMMYFUNCTION("""COMPUTED_VALUE"""),"")</f>
        <v/>
      </c>
      <c r="T751" t="str">
        <f ca="1">IFERROR(__xludf.DUMMYFUNCTION("""COMPUTED_VALUE"""),"")</f>
        <v/>
      </c>
      <c r="U751" t="str">
        <f ca="1">IFERROR(__xludf.DUMMYFUNCTION("""COMPUTED_VALUE"""),"")</f>
        <v/>
      </c>
      <c r="V751" t="str">
        <f ca="1">IFERROR(__xludf.DUMMYFUNCTION("""COMPUTED_VALUE"""),"")</f>
        <v/>
      </c>
      <c r="W751" t="str">
        <f ca="1">IFERROR(__xludf.DUMMYFUNCTION("""COMPUTED_VALUE"""),"R5")</f>
        <v>R5</v>
      </c>
      <c r="X751" t="str">
        <f ca="1">IFERROR(__xludf.DUMMYFUNCTION("""COMPUTED_VALUE"""),"Pricer")</f>
        <v>Pricer</v>
      </c>
      <c r="Y751" t="str">
        <f ca="1">IFERROR(__xludf.DUMMYFUNCTION("""COMPUTED_VALUE"""),"")</f>
        <v/>
      </c>
      <c r="Z751" t="str">
        <f ca="1">IFERROR(__xludf.DUMMYFUNCTION("""COMPUTED_VALUE"""),"")</f>
        <v/>
      </c>
      <c r="AA751" t="str">
        <f ca="1">IFERROR(__xludf.DUMMYFUNCTION("""COMPUTED_VALUE"""),"Pas de commande")</f>
        <v>Pas de commande</v>
      </c>
      <c r="AB751" s="8" t="str">
        <f ca="1">IFERROR(__xludf.DUMMYFUNCTION("""COMPUTED_VALUE"""),"")</f>
        <v/>
      </c>
      <c r="AC751" s="8" t="str">
        <f ca="1">IFERROR(__xludf.DUMMYFUNCTION("""COMPUTED_VALUE"""),"")</f>
        <v/>
      </c>
      <c r="AD751" s="11" t="str">
        <f ca="1">IFERROR(__xludf.DUMMYFUNCTION("""COMPUTED_VALUE"""),"")</f>
        <v/>
      </c>
      <c r="AE751" t="str">
        <f ca="1">IFERROR(__xludf.DUMMYFUNCTION("""COMPUTED_VALUE"""),"")</f>
        <v/>
      </c>
    </row>
    <row r="752" spans="1:31" ht="12.75" x14ac:dyDescent="0.2">
      <c r="A752">
        <f ca="1">IFERROR(__xludf.DUMMYFUNCTION("""COMPUTED_VALUE"""),90461)</f>
        <v>90461</v>
      </c>
      <c r="B752" t="str">
        <f ca="1">IFERROR(__xludf.DUMMYFUNCTION("""COMPUTED_VALUE"""),"PERPIGNAN ST ASSISCLE")</f>
        <v>PERPIGNAN ST ASSISCLE</v>
      </c>
      <c r="C752" t="str">
        <f ca="1">IFERROR(__xludf.DUMMYFUNCTION("""COMPUTED_VALUE"""),"U Express")</f>
        <v>U Express</v>
      </c>
      <c r="D752" t="str">
        <f ca="1">IFERROR(__xludf.DUMMYFUNCTION("""COMPUTED_VALUE"""),"Coop U Enseigne Sud")</f>
        <v>Coop U Enseigne Sud</v>
      </c>
      <c r="E752">
        <f ca="1">IFERROR(__xludf.DUMMYFUNCTION("""COMPUTED_VALUE"""),66000)</f>
        <v>66000</v>
      </c>
      <c r="F752" t="str">
        <f ca="1">IFERROR(__xludf.DUMMYFUNCTION("""COMPUTED_VALUE"""),"85,RUE PASCAL MARIE AGASSE")</f>
        <v>85,RUE PASCAL MARIE AGASSE</v>
      </c>
      <c r="G752" t="str">
        <f ca="1">IFERROR(__xludf.DUMMYFUNCTION("""COMPUTED_VALUE"""),"04.68.56.59.51")</f>
        <v>04.68.56.59.51</v>
      </c>
      <c r="H752" t="str">
        <f ca="1">IFERROR(__xludf.DUMMYFUNCTION("""COMPUTED_VALUE"""),"BAZIL Stephane")</f>
        <v>BAZIL Stephane</v>
      </c>
      <c r="I752" t="str">
        <f ca="1">IFERROR(__xludf.DUMMYFUNCTION("""COMPUTED_VALUE"""),"stephane.bazil@systeme-u.fr")</f>
        <v>stephane.bazil@systeme-u.fr</v>
      </c>
      <c r="J752" t="str">
        <f ca="1">IFERROR(__xludf.DUMMYFUNCTION("""COMPUTED_VALUE"""),"")</f>
        <v/>
      </c>
      <c r="K752" t="str">
        <f ca="1">IFERROR(__xludf.DUMMYFUNCTION("""COMPUTED_VALUE"""),"")</f>
        <v/>
      </c>
      <c r="L752" t="str">
        <f ca="1">IFERROR(__xludf.DUMMYFUNCTION("""COMPUTED_VALUE"""),"")</f>
        <v/>
      </c>
      <c r="M752" t="str">
        <f ca="1">IFERROR(__xludf.DUMMYFUNCTION("""COMPUTED_VALUE"""),"99.Hors Périmetre")</f>
        <v>99.Hors Périmetre</v>
      </c>
      <c r="N752" t="str">
        <f ca="1">IFERROR(__xludf.DUMMYFUNCTION("""COMPUTED_VALUE"""),"")</f>
        <v/>
      </c>
      <c r="O752" t="str">
        <f ca="1">IFERROR(__xludf.DUMMYFUNCTION("""COMPUTED_VALUE"""),"")</f>
        <v/>
      </c>
      <c r="P752" t="str">
        <f ca="1">IFERROR(__xludf.DUMMYFUNCTION("""COMPUTED_VALUE"""),"")</f>
        <v/>
      </c>
      <c r="Q752" s="5" t="str">
        <f ca="1">IFERROR(__xludf.DUMMYFUNCTION("""COMPUTED_VALUE"""),"")</f>
        <v/>
      </c>
      <c r="R752" s="6" t="str">
        <f ca="1">IFERROR(__xludf.DUMMYFUNCTION("""COMPUTED_VALUE"""),"")</f>
        <v/>
      </c>
      <c r="S752" t="str">
        <f ca="1">IFERROR(__xludf.DUMMYFUNCTION("""COMPUTED_VALUE"""),"")</f>
        <v/>
      </c>
      <c r="T752" t="str">
        <f ca="1">IFERROR(__xludf.DUMMYFUNCTION("""COMPUTED_VALUE"""),"")</f>
        <v/>
      </c>
      <c r="U752" t="str">
        <f ca="1">IFERROR(__xludf.DUMMYFUNCTION("""COMPUTED_VALUE"""),"")</f>
        <v/>
      </c>
      <c r="V752" t="str">
        <f ca="1">IFERROR(__xludf.DUMMYFUNCTION("""COMPUTED_VALUE"""),"")</f>
        <v/>
      </c>
      <c r="W752" t="str">
        <f ca="1">IFERROR(__xludf.DUMMYFUNCTION("""COMPUTED_VALUE"""),"")</f>
        <v/>
      </c>
      <c r="X752" t="str">
        <f ca="1">IFERROR(__xludf.DUMMYFUNCTION("""COMPUTED_VALUE"""),"")</f>
        <v/>
      </c>
      <c r="Y752" t="str">
        <f ca="1">IFERROR(__xludf.DUMMYFUNCTION("""COMPUTED_VALUE"""),"")</f>
        <v/>
      </c>
      <c r="Z752" t="str">
        <f ca="1">IFERROR(__xludf.DUMMYFUNCTION("""COMPUTED_VALUE"""),"")</f>
        <v/>
      </c>
      <c r="AA752" t="str">
        <f ca="1">IFERROR(__xludf.DUMMYFUNCTION("""COMPUTED_VALUE"""),"Pas de commande")</f>
        <v>Pas de commande</v>
      </c>
      <c r="AB752" s="8" t="str">
        <f ca="1">IFERROR(__xludf.DUMMYFUNCTION("""COMPUTED_VALUE"""),"")</f>
        <v/>
      </c>
      <c r="AC752" s="8" t="str">
        <f ca="1">IFERROR(__xludf.DUMMYFUNCTION("""COMPUTED_VALUE"""),"")</f>
        <v/>
      </c>
      <c r="AD752" s="11" t="str">
        <f ca="1">IFERROR(__xludf.DUMMYFUNCTION("""COMPUTED_VALUE"""),"")</f>
        <v/>
      </c>
      <c r="AE752" t="str">
        <f ca="1">IFERROR(__xludf.DUMMYFUNCTION("""COMPUTED_VALUE"""),"")</f>
        <v/>
      </c>
    </row>
    <row r="753" spans="1:31" ht="12.75" x14ac:dyDescent="0.2">
      <c r="A753">
        <f ca="1">IFERROR(__xludf.DUMMYFUNCTION("""COMPUTED_VALUE"""),68540)</f>
        <v>68540</v>
      </c>
      <c r="B753" t="str">
        <f ca="1">IFERROR(__xludf.DUMMYFUNCTION("""COMPUTED_VALUE"""),"PERRECY LES FORGES")</f>
        <v>PERRECY LES FORGES</v>
      </c>
      <c r="C753" t="str">
        <f ca="1">IFERROR(__xludf.DUMMYFUNCTION("""COMPUTED_VALUE"""),"U Express")</f>
        <v>U Express</v>
      </c>
      <c r="D753" t="str">
        <f ca="1">IFERROR(__xludf.DUMMYFUNCTION("""COMPUTED_VALUE"""),"Coop U Enseigne Est")</f>
        <v>Coop U Enseigne Est</v>
      </c>
      <c r="E753">
        <f ca="1">IFERROR(__xludf.DUMMYFUNCTION("""COMPUTED_VALUE"""),71420)</f>
        <v>71420</v>
      </c>
      <c r="F753" t="str">
        <f ca="1">IFERROR(__xludf.DUMMYFUNCTION("""COMPUTED_VALUE"""),"AVENUE FRANCIS PAUTONNIER")</f>
        <v>AVENUE FRANCIS PAUTONNIER</v>
      </c>
      <c r="G753" t="str">
        <f ca="1">IFERROR(__xludf.DUMMYFUNCTION("""COMPUTED_VALUE"""),"03.85.55.08.41")</f>
        <v>03.85.55.08.41</v>
      </c>
      <c r="H753" t="str">
        <f ca="1">IFERROR(__xludf.DUMMYFUNCTION("""COMPUTED_VALUE"""),"BERTO Antonio Carlos")</f>
        <v>BERTO Antonio Carlos</v>
      </c>
      <c r="I753" t="str">
        <f ca="1">IFERROR(__xludf.DUMMYFUNCTION("""COMPUTED_VALUE"""),"carlos.berto@systeme-u.fr")</f>
        <v>carlos.berto@systeme-u.fr</v>
      </c>
      <c r="J753" t="str">
        <f ca="1">IFERROR(__xludf.DUMMYFUNCTION("""COMPUTED_VALUE"""),"BERTO Antonio Carlos")</f>
        <v>BERTO Antonio Carlos</v>
      </c>
      <c r="K753" t="str">
        <f ca="1">IFERROR(__xludf.DUMMYFUNCTION("""COMPUTED_VALUE"""),"carlos.berto@systeme-u.fr")</f>
        <v>carlos.berto@systeme-u.fr</v>
      </c>
      <c r="L753" t="str">
        <f ca="1">IFERROR(__xludf.DUMMYFUNCTION("""COMPUTED_VALUE"""),"Standard")</f>
        <v>Standard</v>
      </c>
      <c r="M753" t="str">
        <f ca="1">IFERROR(__xludf.DUMMYFUNCTION("""COMPUTED_VALUE"""),"0. Non démarré")</f>
        <v>0. Non démarré</v>
      </c>
      <c r="N753" t="str">
        <f ca="1">IFERROR(__xludf.DUMMYFUNCTION("""COMPUTED_VALUE"""),"")</f>
        <v/>
      </c>
      <c r="O753" t="str">
        <f ca="1">IFERROR(__xludf.DUMMYFUNCTION("""COMPUTED_VALUE"""),"")</f>
        <v/>
      </c>
      <c r="P753" t="str">
        <f ca="1">IFERROR(__xludf.DUMMYFUNCTION("""COMPUTED_VALUE"""),"")</f>
        <v/>
      </c>
      <c r="Q753" s="5" t="str">
        <f ca="1">IFERROR(__xludf.DUMMYFUNCTION("""COMPUTED_VALUE"""),"")</f>
        <v/>
      </c>
      <c r="R753" s="6" t="str">
        <f ca="1">IFERROR(__xludf.DUMMYFUNCTION("""COMPUTED_VALUE"""),"")</f>
        <v/>
      </c>
      <c r="S753" t="str">
        <f ca="1">IFERROR(__xludf.DUMMYFUNCTION("""COMPUTED_VALUE"""),"")</f>
        <v/>
      </c>
      <c r="T753" t="str">
        <f ca="1">IFERROR(__xludf.DUMMYFUNCTION("""COMPUTED_VALUE"""),"")</f>
        <v/>
      </c>
      <c r="U753" t="str">
        <f ca="1">IFERROR(__xludf.DUMMYFUNCTION("""COMPUTED_VALUE"""),"")</f>
        <v/>
      </c>
      <c r="V753" t="str">
        <f ca="1">IFERROR(__xludf.DUMMYFUNCTION("""COMPUTED_VALUE"""),"")</f>
        <v/>
      </c>
      <c r="W753" t="str">
        <f ca="1">IFERROR(__xludf.DUMMYFUNCTION("""COMPUTED_VALUE"""),"R3")</f>
        <v>R3</v>
      </c>
      <c r="X753" t="str">
        <f ca="1">IFERROR(__xludf.DUMMYFUNCTION("""COMPUTED_VALUE"""),"Pricer &lt;8Go")</f>
        <v>Pricer &lt;8Go</v>
      </c>
      <c r="Y753" t="str">
        <f ca="1">IFERROR(__xludf.DUMMYFUNCTION("""COMPUTED_VALUE"""),"")</f>
        <v/>
      </c>
      <c r="Z753" t="str">
        <f ca="1">IFERROR(__xludf.DUMMYFUNCTION("""COMPUTED_VALUE"""),"")</f>
        <v/>
      </c>
      <c r="AA753" t="str">
        <f ca="1">IFERROR(__xludf.DUMMYFUNCTION("""COMPUTED_VALUE"""),"Pas de commande")</f>
        <v>Pas de commande</v>
      </c>
      <c r="AB753" s="8" t="str">
        <f ca="1">IFERROR(__xludf.DUMMYFUNCTION("""COMPUTED_VALUE"""),"")</f>
        <v/>
      </c>
      <c r="AC753" s="8" t="str">
        <f ca="1">IFERROR(__xludf.DUMMYFUNCTION("""COMPUTED_VALUE"""),"")</f>
        <v/>
      </c>
      <c r="AD753" s="11" t="str">
        <f ca="1">IFERROR(__xludf.DUMMYFUNCTION("""COMPUTED_VALUE"""),"")</f>
        <v/>
      </c>
      <c r="AE753" t="str">
        <f ca="1">IFERROR(__xludf.DUMMYFUNCTION("""COMPUTED_VALUE"""),"")</f>
        <v/>
      </c>
    </row>
    <row r="754" spans="1:31" ht="12.75" x14ac:dyDescent="0.2">
      <c r="A754">
        <f ca="1">IFERROR(__xludf.DUMMYFUNCTION("""COMPUTED_VALUE"""),66177)</f>
        <v>66177</v>
      </c>
      <c r="B754" t="str">
        <f ca="1">IFERROR(__xludf.DUMMYFUNCTION("""COMPUTED_VALUE"""),"PERREUX")</f>
        <v>PERREUX</v>
      </c>
      <c r="C754" t="str">
        <f ca="1">IFERROR(__xludf.DUMMYFUNCTION("""COMPUTED_VALUE"""),"Super U")</f>
        <v>Super U</v>
      </c>
      <c r="D754" t="str">
        <f ca="1">IFERROR(__xludf.DUMMYFUNCTION("""COMPUTED_VALUE"""),"Coop U Enseigne Est")</f>
        <v>Coop U Enseigne Est</v>
      </c>
      <c r="E754">
        <f ca="1">IFERROR(__xludf.DUMMYFUNCTION("""COMPUTED_VALUE"""),42120)</f>
        <v>42120</v>
      </c>
      <c r="F754" t="str">
        <f ca="1">IFERROR(__xludf.DUMMYFUNCTION("""COMPUTED_VALUE"""),"1033 RUE DU COMMERCE")</f>
        <v>1033 RUE DU COMMERCE</v>
      </c>
      <c r="G754" t="str">
        <f ca="1">IFERROR(__xludf.DUMMYFUNCTION("""COMPUTED_VALUE"""),"04.77.44.83.93")</f>
        <v>04.77.44.83.93</v>
      </c>
      <c r="H754" t="str">
        <f ca="1">IFERROR(__xludf.DUMMYFUNCTION("""COMPUTED_VALUE"""),"LAVAILL Claude")</f>
        <v>LAVAILL Claude</v>
      </c>
      <c r="I754" t="str">
        <f ca="1">IFERROR(__xludf.DUMMYFUNCTION("""COMPUTED_VALUE"""),"claude.lavaill@systeme-u.fr")</f>
        <v>claude.lavaill@systeme-u.fr</v>
      </c>
      <c r="J754" t="str">
        <f ca="1">IFERROR(__xludf.DUMMYFUNCTION("""COMPUTED_VALUE"""),"LAVAILL Patricia")</f>
        <v>LAVAILL Patricia</v>
      </c>
      <c r="K754" t="str">
        <f ca="1">IFERROR(__xludf.DUMMYFUNCTION("""COMPUTED_VALUE"""),"patricia.lavaill@systeme-u.fr")</f>
        <v>patricia.lavaill@systeme-u.fr</v>
      </c>
      <c r="L754" t="str">
        <f ca="1">IFERROR(__xludf.DUMMYFUNCTION("""COMPUTED_VALUE"""),"")</f>
        <v/>
      </c>
      <c r="M754" t="str">
        <f ca="1">IFERROR(__xludf.DUMMYFUNCTION("""COMPUTED_VALUE"""),"99.Hors Périmetre")</f>
        <v>99.Hors Périmetre</v>
      </c>
      <c r="N754" t="str">
        <f ca="1">IFERROR(__xludf.DUMMYFUNCTION("""COMPUTED_VALUE"""),"")</f>
        <v/>
      </c>
      <c r="O754" t="str">
        <f ca="1">IFERROR(__xludf.DUMMYFUNCTION("""COMPUTED_VALUE"""),"")</f>
        <v/>
      </c>
      <c r="P754" t="str">
        <f ca="1">IFERROR(__xludf.DUMMYFUNCTION("""COMPUTED_VALUE"""),"")</f>
        <v/>
      </c>
      <c r="Q754" s="5" t="str">
        <f ca="1">IFERROR(__xludf.DUMMYFUNCTION("""COMPUTED_VALUE"""),"")</f>
        <v/>
      </c>
      <c r="R754" s="6" t="str">
        <f ca="1">IFERROR(__xludf.DUMMYFUNCTION("""COMPUTED_VALUE"""),"")</f>
        <v/>
      </c>
      <c r="S754" t="str">
        <f ca="1">IFERROR(__xludf.DUMMYFUNCTION("""COMPUTED_VALUE"""),"")</f>
        <v/>
      </c>
      <c r="T754" t="str">
        <f ca="1">IFERROR(__xludf.DUMMYFUNCTION("""COMPUTED_VALUE"""),"")</f>
        <v/>
      </c>
      <c r="U754" t="str">
        <f ca="1">IFERROR(__xludf.DUMMYFUNCTION("""COMPUTED_VALUE"""),"")</f>
        <v/>
      </c>
      <c r="V754" t="str">
        <f ca="1">IFERROR(__xludf.DUMMYFUNCTION("""COMPUTED_VALUE"""),"")</f>
        <v/>
      </c>
      <c r="W754" t="str">
        <f ca="1">IFERROR(__xludf.DUMMYFUNCTION("""COMPUTED_VALUE"""),"")</f>
        <v/>
      </c>
      <c r="X754" t="str">
        <f ca="1">IFERROR(__xludf.DUMMYFUNCTION("""COMPUTED_VALUE"""),"")</f>
        <v/>
      </c>
      <c r="Y754" t="str">
        <f ca="1">IFERROR(__xludf.DUMMYFUNCTION("""COMPUTED_VALUE"""),"")</f>
        <v/>
      </c>
      <c r="Z754" t="str">
        <f ca="1">IFERROR(__xludf.DUMMYFUNCTION("""COMPUTED_VALUE"""),"")</f>
        <v/>
      </c>
      <c r="AA754" t="str">
        <f ca="1">IFERROR(__xludf.DUMMYFUNCTION("""COMPUTED_VALUE"""),"Pas de commande")</f>
        <v>Pas de commande</v>
      </c>
      <c r="AB754" s="8" t="str">
        <f ca="1">IFERROR(__xludf.DUMMYFUNCTION("""COMPUTED_VALUE"""),"")</f>
        <v/>
      </c>
      <c r="AC754" s="8" t="str">
        <f ca="1">IFERROR(__xludf.DUMMYFUNCTION("""COMPUTED_VALUE"""),"")</f>
        <v/>
      </c>
      <c r="AD754" s="11" t="str">
        <f ca="1">IFERROR(__xludf.DUMMYFUNCTION("""COMPUTED_VALUE"""),"")</f>
        <v/>
      </c>
      <c r="AE754" t="str">
        <f ca="1">IFERROR(__xludf.DUMMYFUNCTION("""COMPUTED_VALUE"""),"")</f>
        <v/>
      </c>
    </row>
    <row r="755" spans="1:31" ht="12.75" x14ac:dyDescent="0.2">
      <c r="A755">
        <f ca="1">IFERROR(__xludf.DUMMYFUNCTION("""COMPUTED_VALUE"""),23395)</f>
        <v>23395</v>
      </c>
      <c r="B755" t="str">
        <f ca="1">IFERROR(__xludf.DUMMYFUNCTION("""COMPUTED_VALUE"""),"#N/A")</f>
        <v>#N/A</v>
      </c>
      <c r="C755" t="str">
        <f ca="1">IFERROR(__xludf.DUMMYFUNCTION("""COMPUTED_VALUE"""),"#N/A")</f>
        <v>#N/A</v>
      </c>
      <c r="D755" t="str">
        <f ca="1">IFERROR(__xludf.DUMMYFUNCTION("""COMPUTED_VALUE"""),"#N/A")</f>
        <v>#N/A</v>
      </c>
      <c r="E755" t="str">
        <f ca="1">IFERROR(__xludf.DUMMYFUNCTION("""COMPUTED_VALUE"""),"")</f>
        <v/>
      </c>
      <c r="F755" t="str">
        <f ca="1">IFERROR(__xludf.DUMMYFUNCTION("""COMPUTED_VALUE"""),"#N/A")</f>
        <v>#N/A</v>
      </c>
      <c r="G755" t="str">
        <f ca="1">IFERROR(__xludf.DUMMYFUNCTION("""COMPUTED_VALUE"""),"#N/A")</f>
        <v>#N/A</v>
      </c>
      <c r="H755" t="str">
        <f ca="1">IFERROR(__xludf.DUMMYFUNCTION("""COMPUTED_VALUE"""),"#N/A")</f>
        <v>#N/A</v>
      </c>
      <c r="I755" t="str">
        <f ca="1">IFERROR(__xludf.DUMMYFUNCTION("""COMPUTED_VALUE"""),"#N/A")</f>
        <v>#N/A</v>
      </c>
      <c r="J755" t="str">
        <f ca="1">IFERROR(__xludf.DUMMYFUNCTION("""COMPUTED_VALUE"""),"")</f>
        <v/>
      </c>
      <c r="K755" t="str">
        <f ca="1">IFERROR(__xludf.DUMMYFUNCTION("""COMPUTED_VALUE"""),"")</f>
        <v/>
      </c>
      <c r="L755" t="str">
        <f ca="1">IFERROR(__xludf.DUMMYFUNCTION("""COMPUTED_VALUE"""),"")</f>
        <v/>
      </c>
      <c r="M755" t="str">
        <f ca="1">IFERROR(__xludf.DUMMYFUNCTION("""COMPUTED_VALUE"""),"99.Hors Périmetre")</f>
        <v>99.Hors Périmetre</v>
      </c>
      <c r="N755" t="str">
        <f ca="1">IFERROR(__xludf.DUMMYFUNCTION("""COMPUTED_VALUE"""),"")</f>
        <v/>
      </c>
      <c r="O755" t="str">
        <f ca="1">IFERROR(__xludf.DUMMYFUNCTION("""COMPUTED_VALUE"""),"")</f>
        <v/>
      </c>
      <c r="P755" t="str">
        <f ca="1">IFERROR(__xludf.DUMMYFUNCTION("""COMPUTED_VALUE"""),"")</f>
        <v/>
      </c>
      <c r="Q755" s="5" t="str">
        <f ca="1">IFERROR(__xludf.DUMMYFUNCTION("""COMPUTED_VALUE"""),"")</f>
        <v/>
      </c>
      <c r="R755" s="6" t="str">
        <f ca="1">IFERROR(__xludf.DUMMYFUNCTION("""COMPUTED_VALUE"""),"")</f>
        <v/>
      </c>
      <c r="S755" t="str">
        <f ca="1">IFERROR(__xludf.DUMMYFUNCTION("""COMPUTED_VALUE"""),"")</f>
        <v/>
      </c>
      <c r="T755" t="str">
        <f ca="1">IFERROR(__xludf.DUMMYFUNCTION("""COMPUTED_VALUE"""),"")</f>
        <v/>
      </c>
      <c r="U755" t="str">
        <f ca="1">IFERROR(__xludf.DUMMYFUNCTION("""COMPUTED_VALUE"""),"")</f>
        <v/>
      </c>
      <c r="V755" t="str">
        <f ca="1">IFERROR(__xludf.DUMMYFUNCTION("""COMPUTED_VALUE"""),"")</f>
        <v/>
      </c>
      <c r="W755" t="str">
        <f ca="1">IFERROR(__xludf.DUMMYFUNCTION("""COMPUTED_VALUE"""),"")</f>
        <v/>
      </c>
      <c r="X755" t="str">
        <f ca="1">IFERROR(__xludf.DUMMYFUNCTION("""COMPUTED_VALUE"""),"")</f>
        <v/>
      </c>
      <c r="Y755" t="str">
        <f ca="1">IFERROR(__xludf.DUMMYFUNCTION("""COMPUTED_VALUE"""),"")</f>
        <v/>
      </c>
      <c r="Z755" t="str">
        <f ca="1">IFERROR(__xludf.DUMMYFUNCTION("""COMPUTED_VALUE"""),"")</f>
        <v/>
      </c>
      <c r="AA755" t="str">
        <f ca="1">IFERROR(__xludf.DUMMYFUNCTION("""COMPUTED_VALUE"""),"Pas de commande")</f>
        <v>Pas de commande</v>
      </c>
      <c r="AB755" s="8" t="str">
        <f ca="1">IFERROR(__xludf.DUMMYFUNCTION("""COMPUTED_VALUE"""),"")</f>
        <v/>
      </c>
      <c r="AC755" s="8" t="str">
        <f ca="1">IFERROR(__xludf.DUMMYFUNCTION("""COMPUTED_VALUE"""),"")</f>
        <v/>
      </c>
      <c r="AD755" s="11" t="str">
        <f ca="1">IFERROR(__xludf.DUMMYFUNCTION("""COMPUTED_VALUE"""),"")</f>
        <v/>
      </c>
      <c r="AE755" t="str">
        <f ca="1">IFERROR(__xludf.DUMMYFUNCTION("""COMPUTED_VALUE"""),"")</f>
        <v/>
      </c>
    </row>
    <row r="756" spans="1:31" ht="12.75" x14ac:dyDescent="0.2">
      <c r="A756">
        <f ca="1">IFERROR(__xludf.DUMMYFUNCTION("""COMPUTED_VALUE"""),90273)</f>
        <v>90273</v>
      </c>
      <c r="B756" t="str">
        <f ca="1">IFERROR(__xludf.DUMMYFUNCTION("""COMPUTED_VALUE"""),"PERTUIS")</f>
        <v>PERTUIS</v>
      </c>
      <c r="C756" t="str">
        <f ca="1">IFERROR(__xludf.DUMMYFUNCTION("""COMPUTED_VALUE"""),"Hyper U")</f>
        <v>Hyper U</v>
      </c>
      <c r="D756" t="str">
        <f ca="1">IFERROR(__xludf.DUMMYFUNCTION("""COMPUTED_VALUE"""),"Coop U Enseigne Sud")</f>
        <v>Coop U Enseigne Sud</v>
      </c>
      <c r="E756">
        <f ca="1">IFERROR(__xludf.DUMMYFUNCTION("""COMPUTED_VALUE"""),84120)</f>
        <v>84120</v>
      </c>
      <c r="F756" t="str">
        <f ca="1">IFERROR(__xludf.DUMMYFUNCTION("""COMPUTED_VALUE"""),"CENTRE COMMERCIAL DU LUBERON")</f>
        <v>CENTRE COMMERCIAL DU LUBERON</v>
      </c>
      <c r="G756" t="str">
        <f ca="1">IFERROR(__xludf.DUMMYFUNCTION("""COMPUTED_VALUE"""),"04.90.09.32.00")</f>
        <v>04.90.09.32.00</v>
      </c>
      <c r="H756" t="str">
        <f ca="1">IFERROR(__xludf.DUMMYFUNCTION("""COMPUTED_VALUE"""),"ET GERARD BAUDE NICOLAS DEVOLDER")</f>
        <v>ET GERARD BAUDE NICOLAS DEVOLDER</v>
      </c>
      <c r="I756" t="str">
        <f ca="1">IFERROR(__xludf.DUMMYFUNCTION("""COMPUTED_VALUE"""),"nicolas.devolder@systeme-u.fr")</f>
        <v>nicolas.devolder@systeme-u.fr</v>
      </c>
      <c r="J756" t="str">
        <f ca="1">IFERROR(__xludf.DUMMYFUNCTION("""COMPUTED_VALUE"""),"MAYEN Stéphanie")</f>
        <v>MAYEN Stéphanie</v>
      </c>
      <c r="K756" t="str">
        <f ca="1">IFERROR(__xludf.DUMMYFUNCTION("""COMPUTED_VALUE"""),"hyperu.pertuis.informatique@systeme-u.fr")</f>
        <v>hyperu.pertuis.informatique@systeme-u.fr</v>
      </c>
      <c r="L756" t="str">
        <f ca="1">IFERROR(__xludf.DUMMYFUNCTION("""COMPUTED_VALUE"""),"")</f>
        <v/>
      </c>
      <c r="M756" t="str">
        <f ca="1">IFERROR(__xludf.DUMMYFUNCTION("""COMPUTED_VALUE"""),"99.Hors Périmetre")</f>
        <v>99.Hors Périmetre</v>
      </c>
      <c r="N756" t="str">
        <f ca="1">IFERROR(__xludf.DUMMYFUNCTION("""COMPUTED_VALUE"""),"")</f>
        <v/>
      </c>
      <c r="O756" t="str">
        <f ca="1">IFERROR(__xludf.DUMMYFUNCTION("""COMPUTED_VALUE"""),"")</f>
        <v/>
      </c>
      <c r="P756" t="str">
        <f ca="1">IFERROR(__xludf.DUMMYFUNCTION("""COMPUTED_VALUE"""),"")</f>
        <v/>
      </c>
      <c r="Q756" s="5" t="str">
        <f ca="1">IFERROR(__xludf.DUMMYFUNCTION("""COMPUTED_VALUE"""),"")</f>
        <v/>
      </c>
      <c r="R756" s="6" t="str">
        <f ca="1">IFERROR(__xludf.DUMMYFUNCTION("""COMPUTED_VALUE"""),"")</f>
        <v/>
      </c>
      <c r="S756" t="str">
        <f ca="1">IFERROR(__xludf.DUMMYFUNCTION("""COMPUTED_VALUE"""),"")</f>
        <v/>
      </c>
      <c r="T756" t="str">
        <f ca="1">IFERROR(__xludf.DUMMYFUNCTION("""COMPUTED_VALUE"""),"")</f>
        <v/>
      </c>
      <c r="U756" t="str">
        <f ca="1">IFERROR(__xludf.DUMMYFUNCTION("""COMPUTED_VALUE"""),"")</f>
        <v/>
      </c>
      <c r="V756" t="str">
        <f ca="1">IFERROR(__xludf.DUMMYFUNCTION("""COMPUTED_VALUE"""),"")</f>
        <v/>
      </c>
      <c r="W756" t="str">
        <f ca="1">IFERROR(__xludf.DUMMYFUNCTION("""COMPUTED_VALUE"""),"")</f>
        <v/>
      </c>
      <c r="X756" t="str">
        <f ca="1">IFERROR(__xludf.DUMMYFUNCTION("""COMPUTED_VALUE"""),"")</f>
        <v/>
      </c>
      <c r="Y756" t="str">
        <f ca="1">IFERROR(__xludf.DUMMYFUNCTION("""COMPUTED_VALUE"""),"")</f>
        <v/>
      </c>
      <c r="Z756" t="str">
        <f ca="1">IFERROR(__xludf.DUMMYFUNCTION("""COMPUTED_VALUE"""),"")</f>
        <v/>
      </c>
      <c r="AA756" t="str">
        <f ca="1">IFERROR(__xludf.DUMMYFUNCTION("""COMPUTED_VALUE"""),"Pas de commande")</f>
        <v>Pas de commande</v>
      </c>
      <c r="AB756" s="8" t="str">
        <f ca="1">IFERROR(__xludf.DUMMYFUNCTION("""COMPUTED_VALUE"""),"")</f>
        <v/>
      </c>
      <c r="AC756" s="8" t="str">
        <f ca="1">IFERROR(__xludf.DUMMYFUNCTION("""COMPUTED_VALUE"""),"")</f>
        <v/>
      </c>
      <c r="AD756" s="11" t="str">
        <f ca="1">IFERROR(__xludf.DUMMYFUNCTION("""COMPUTED_VALUE"""),"")</f>
        <v/>
      </c>
      <c r="AE756" t="str">
        <f ca="1">IFERROR(__xludf.DUMMYFUNCTION("""COMPUTED_VALUE"""),"")</f>
        <v/>
      </c>
    </row>
    <row r="757" spans="1:31" ht="12.75" x14ac:dyDescent="0.2">
      <c r="A757">
        <f ca="1">IFERROR(__xludf.DUMMYFUNCTION("""COMPUTED_VALUE"""),90573)</f>
        <v>90573</v>
      </c>
      <c r="B757" t="str">
        <f ca="1">IFERROR(__xludf.DUMMYFUNCTION("""COMPUTED_VALUE"""),"PERTUIS LES PRES VERTS")</f>
        <v>PERTUIS LES PRES VERTS</v>
      </c>
      <c r="C757" t="str">
        <f ca="1">IFERROR(__xludf.DUMMYFUNCTION("""COMPUTED_VALUE"""),"U Express")</f>
        <v>U Express</v>
      </c>
      <c r="D757" t="str">
        <f ca="1">IFERROR(__xludf.DUMMYFUNCTION("""COMPUTED_VALUE"""),"Coop U Enseigne Sud")</f>
        <v>Coop U Enseigne Sud</v>
      </c>
      <c r="E757">
        <f ca="1">IFERROR(__xludf.DUMMYFUNCTION("""COMPUTED_VALUE"""),84120)</f>
        <v>84120</v>
      </c>
      <c r="F757" t="str">
        <f ca="1">IFERROR(__xludf.DUMMYFUNCTION("""COMPUTED_VALUE"""),"1110 ROUTE D'AIX")</f>
        <v>1110 ROUTE D'AIX</v>
      </c>
      <c r="G757" t="str">
        <f ca="1">IFERROR(__xludf.DUMMYFUNCTION("""COMPUTED_VALUE"""),"04.90.08.87.53")</f>
        <v>04.90.08.87.53</v>
      </c>
      <c r="H757" t="str">
        <f ca="1">IFERROR(__xludf.DUMMYFUNCTION("""COMPUTED_VALUE"""),"ET GERARD BAUDE NICOLAS DEVOLDER")</f>
        <v>ET GERARD BAUDE NICOLAS DEVOLDER</v>
      </c>
      <c r="I757" t="str">
        <f ca="1">IFERROR(__xludf.DUMMYFUNCTION("""COMPUTED_VALUE"""),"nicolas.devolder@systeme-u.fr")</f>
        <v>nicolas.devolder@systeme-u.fr</v>
      </c>
      <c r="J757" t="str">
        <f ca="1">IFERROR(__xludf.DUMMYFUNCTION("""COMPUTED_VALUE"""),"GRAU Frederic")</f>
        <v>GRAU Frederic</v>
      </c>
      <c r="K757" t="str">
        <f ca="1">IFERROR(__xludf.DUMMYFUNCTION("""COMPUTED_VALUE"""),"grau.frederic@gmail.com")</f>
        <v>grau.frederic@gmail.com</v>
      </c>
      <c r="L757" t="str">
        <f ca="1">IFERROR(__xludf.DUMMYFUNCTION("""COMPUTED_VALUE"""),"")</f>
        <v/>
      </c>
      <c r="M757" t="str">
        <f ca="1">IFERROR(__xludf.DUMMYFUNCTION("""COMPUTED_VALUE"""),"99.Hors Périmetre")</f>
        <v>99.Hors Périmetre</v>
      </c>
      <c r="N757" t="str">
        <f ca="1">IFERROR(__xludf.DUMMYFUNCTION("""COMPUTED_VALUE"""),"")</f>
        <v/>
      </c>
      <c r="O757" t="str">
        <f ca="1">IFERROR(__xludf.DUMMYFUNCTION("""COMPUTED_VALUE"""),"")</f>
        <v/>
      </c>
      <c r="P757" t="str">
        <f ca="1">IFERROR(__xludf.DUMMYFUNCTION("""COMPUTED_VALUE"""),"")</f>
        <v/>
      </c>
      <c r="Q757" s="5" t="str">
        <f ca="1">IFERROR(__xludf.DUMMYFUNCTION("""COMPUTED_VALUE"""),"")</f>
        <v/>
      </c>
      <c r="R757" s="6" t="str">
        <f ca="1">IFERROR(__xludf.DUMMYFUNCTION("""COMPUTED_VALUE"""),"")</f>
        <v/>
      </c>
      <c r="S757" t="str">
        <f ca="1">IFERROR(__xludf.DUMMYFUNCTION("""COMPUTED_VALUE"""),"")</f>
        <v/>
      </c>
      <c r="T757" t="str">
        <f ca="1">IFERROR(__xludf.DUMMYFUNCTION("""COMPUTED_VALUE"""),"")</f>
        <v/>
      </c>
      <c r="U757" t="str">
        <f ca="1">IFERROR(__xludf.DUMMYFUNCTION("""COMPUTED_VALUE"""),"")</f>
        <v/>
      </c>
      <c r="V757" t="str">
        <f ca="1">IFERROR(__xludf.DUMMYFUNCTION("""COMPUTED_VALUE"""),"")</f>
        <v/>
      </c>
      <c r="W757" t="str">
        <f ca="1">IFERROR(__xludf.DUMMYFUNCTION("""COMPUTED_VALUE"""),"")</f>
        <v/>
      </c>
      <c r="X757" t="str">
        <f ca="1">IFERROR(__xludf.DUMMYFUNCTION("""COMPUTED_VALUE"""),"")</f>
        <v/>
      </c>
      <c r="Y757" t="str">
        <f ca="1">IFERROR(__xludf.DUMMYFUNCTION("""COMPUTED_VALUE"""),"")</f>
        <v/>
      </c>
      <c r="Z757" t="str">
        <f ca="1">IFERROR(__xludf.DUMMYFUNCTION("""COMPUTED_VALUE"""),"")</f>
        <v/>
      </c>
      <c r="AA757" t="str">
        <f ca="1">IFERROR(__xludf.DUMMYFUNCTION("""COMPUTED_VALUE"""),"Pas de commande")</f>
        <v>Pas de commande</v>
      </c>
      <c r="AB757" s="8" t="str">
        <f ca="1">IFERROR(__xludf.DUMMYFUNCTION("""COMPUTED_VALUE"""),"")</f>
        <v/>
      </c>
      <c r="AC757" s="8" t="str">
        <f ca="1">IFERROR(__xludf.DUMMYFUNCTION("""COMPUTED_VALUE"""),"")</f>
        <v/>
      </c>
      <c r="AD757" s="11" t="str">
        <f ca="1">IFERROR(__xludf.DUMMYFUNCTION("""COMPUTED_VALUE"""),"")</f>
        <v/>
      </c>
      <c r="AE757" t="str">
        <f ca="1">IFERROR(__xludf.DUMMYFUNCTION("""COMPUTED_VALUE"""),"")</f>
        <v/>
      </c>
    </row>
    <row r="758" spans="1:31" ht="12.75" x14ac:dyDescent="0.2">
      <c r="A758">
        <f ca="1">IFERROR(__xludf.DUMMYFUNCTION("""COMPUTED_VALUE"""),37280)</f>
        <v>37280</v>
      </c>
      <c r="B758" t="str">
        <f ca="1">IFERROR(__xludf.DUMMYFUNCTION("""COMPUTED_VALUE"""),"PETIT BOURG")</f>
        <v>PETIT BOURG</v>
      </c>
      <c r="C758" t="str">
        <f ca="1">IFERROR(__xludf.DUMMYFUNCTION("""COMPUTED_VALUE"""),"Super U")</f>
        <v>Super U</v>
      </c>
      <c r="D758" t="str">
        <f ca="1">IFERROR(__xludf.DUMMYFUNCTION("""COMPUTED_VALUE"""),"Coop U Enseigne Ouest")</f>
        <v>Coop U Enseigne Ouest</v>
      </c>
      <c r="E758">
        <f ca="1">IFERROR(__xludf.DUMMYFUNCTION("""COMPUTED_VALUE"""),97170)</f>
        <v>97170</v>
      </c>
      <c r="F758" t="str">
        <f ca="1">IFERROR(__xludf.DUMMYFUNCTION("""COMPUTED_VALUE"""),"SUPER U ZAC DE COLIN")</f>
        <v>SUPER U ZAC DE COLIN</v>
      </c>
      <c r="G758" t="str">
        <f ca="1">IFERROR(__xludf.DUMMYFUNCTION("""COMPUTED_VALUE"""),"05.90.38.82.45")</f>
        <v>05.90.38.82.45</v>
      </c>
      <c r="H758" t="str">
        <f ca="1">IFERROR(__xludf.DUMMYFUNCTION("""COMPUTED_VALUE"""),"CLAIRVILLE Félix")</f>
        <v>CLAIRVILLE Félix</v>
      </c>
      <c r="I758" t="str">
        <f ca="1">IFERROR(__xludf.DUMMYFUNCTION("""COMPUTED_VALUE"""),"felix.clairville@systeme-u.fr")</f>
        <v>felix.clairville@systeme-u.fr</v>
      </c>
      <c r="J758" t="str">
        <f ca="1">IFERROR(__xludf.DUMMYFUNCTION("""COMPUTED_VALUE"""),"LAVITAL Jocelyn")</f>
        <v>LAVITAL Jocelyn</v>
      </c>
      <c r="K758" t="str">
        <f ca="1">IFERROR(__xludf.DUMMYFUNCTION("""COMPUTED_VALUE"""),"superu.petitbourg.direction@systeme-u.fr,martine.crevecoeur@systeme-u.fr")</f>
        <v>superu.petitbourg.direction@systeme-u.fr,martine.crevecoeur@systeme-u.fr</v>
      </c>
      <c r="L758" t="str">
        <f ca="1">IFERROR(__xludf.DUMMYFUNCTION("""COMPUTED_VALUE"""),"")</f>
        <v/>
      </c>
      <c r="M758" t="str">
        <f ca="1">IFERROR(__xludf.DUMMYFUNCTION("""COMPUTED_VALUE"""),"99.Hors Périmetre")</f>
        <v>99.Hors Périmetre</v>
      </c>
      <c r="N758" t="str">
        <f ca="1">IFERROR(__xludf.DUMMYFUNCTION("""COMPUTED_VALUE"""),"")</f>
        <v/>
      </c>
      <c r="O758" t="str">
        <f ca="1">IFERROR(__xludf.DUMMYFUNCTION("""COMPUTED_VALUE"""),"")</f>
        <v/>
      </c>
      <c r="P758" t="str">
        <f ca="1">IFERROR(__xludf.DUMMYFUNCTION("""COMPUTED_VALUE"""),"")</f>
        <v/>
      </c>
      <c r="Q758" s="5" t="str">
        <f ca="1">IFERROR(__xludf.DUMMYFUNCTION("""COMPUTED_VALUE"""),"")</f>
        <v/>
      </c>
      <c r="R758" s="6" t="str">
        <f ca="1">IFERROR(__xludf.DUMMYFUNCTION("""COMPUTED_VALUE"""),"")</f>
        <v/>
      </c>
      <c r="S758" t="str">
        <f ca="1">IFERROR(__xludf.DUMMYFUNCTION("""COMPUTED_VALUE"""),"")</f>
        <v/>
      </c>
      <c r="T758" t="str">
        <f ca="1">IFERROR(__xludf.DUMMYFUNCTION("""COMPUTED_VALUE"""),"")</f>
        <v/>
      </c>
      <c r="U758" t="str">
        <f ca="1">IFERROR(__xludf.DUMMYFUNCTION("""COMPUTED_VALUE"""),"")</f>
        <v/>
      </c>
      <c r="V758" t="str">
        <f ca="1">IFERROR(__xludf.DUMMYFUNCTION("""COMPUTED_VALUE"""),"")</f>
        <v/>
      </c>
      <c r="W758" t="str">
        <f ca="1">IFERROR(__xludf.DUMMYFUNCTION("""COMPUTED_VALUE"""),"")</f>
        <v/>
      </c>
      <c r="X758" t="str">
        <f ca="1">IFERROR(__xludf.DUMMYFUNCTION("""COMPUTED_VALUE"""),"")</f>
        <v/>
      </c>
      <c r="Y758" t="str">
        <f ca="1">IFERROR(__xludf.DUMMYFUNCTION("""COMPUTED_VALUE"""),"")</f>
        <v/>
      </c>
      <c r="Z758" t="str">
        <f ca="1">IFERROR(__xludf.DUMMYFUNCTION("""COMPUTED_VALUE"""),"")</f>
        <v/>
      </c>
      <c r="AA758" t="str">
        <f ca="1">IFERROR(__xludf.DUMMYFUNCTION("""COMPUTED_VALUE"""),"Pas de commande")</f>
        <v>Pas de commande</v>
      </c>
      <c r="AB758" s="8" t="str">
        <f ca="1">IFERROR(__xludf.DUMMYFUNCTION("""COMPUTED_VALUE"""),"")</f>
        <v/>
      </c>
      <c r="AC758" s="8" t="str">
        <f ca="1">IFERROR(__xludf.DUMMYFUNCTION("""COMPUTED_VALUE"""),"")</f>
        <v/>
      </c>
      <c r="AD758" s="11" t="str">
        <f ca="1">IFERROR(__xludf.DUMMYFUNCTION("""COMPUTED_VALUE"""),"")</f>
        <v/>
      </c>
      <c r="AE758" t="str">
        <f ca="1">IFERROR(__xludf.DUMMYFUNCTION("""COMPUTED_VALUE"""),"")</f>
        <v/>
      </c>
    </row>
    <row r="759" spans="1:31" ht="12.75" x14ac:dyDescent="0.2">
      <c r="A759">
        <f ca="1">IFERROR(__xludf.DUMMYFUNCTION("""COMPUTED_VALUE"""),37970)</f>
        <v>37970</v>
      </c>
      <c r="B759" t="str">
        <f ca="1">IFERROR(__xludf.DUMMYFUNCTION("""COMPUTED_VALUE"""),"PETIT CANAL")</f>
        <v>PETIT CANAL</v>
      </c>
      <c r="C759" t="str">
        <f ca="1">IFERROR(__xludf.DUMMYFUNCTION("""COMPUTED_VALUE"""),"Super U")</f>
        <v>Super U</v>
      </c>
      <c r="D759" t="str">
        <f ca="1">IFERROR(__xludf.DUMMYFUNCTION("""COMPUTED_VALUE"""),"Coop U Enseigne Ouest")</f>
        <v>Coop U Enseigne Ouest</v>
      </c>
      <c r="E759">
        <f ca="1">IFERROR(__xludf.DUMMYFUNCTION("""COMPUTED_VALUE"""),97131)</f>
        <v>97131</v>
      </c>
      <c r="F759" t="str">
        <f ca="1">IFERROR(__xludf.DUMMYFUNCTION("""COMPUTED_VALUE"""),"BAZIN")</f>
        <v>BAZIN</v>
      </c>
      <c r="G759" t="str">
        <f ca="1">IFERROR(__xludf.DUMMYFUNCTION("""COMPUTED_VALUE"""),"05.90.82.23.87")</f>
        <v>05.90.82.23.87</v>
      </c>
      <c r="H759" t="str">
        <f ca="1">IFERROR(__xludf.DUMMYFUNCTION("""COMPUTED_VALUE"""),"LUCE Raymond")</f>
        <v>LUCE Raymond</v>
      </c>
      <c r="I759" t="str">
        <f ca="1">IFERROR(__xludf.DUMMYFUNCTION("""COMPUTED_VALUE"""),"yohann.luce@systeme-u.fr")</f>
        <v>yohann.luce@systeme-u.fr</v>
      </c>
      <c r="J759" t="str">
        <f ca="1">IFERROR(__xludf.DUMMYFUNCTION("""COMPUTED_VALUE"""),"")</f>
        <v/>
      </c>
      <c r="K759" t="str">
        <f ca="1">IFERROR(__xludf.DUMMYFUNCTION("""COMPUTED_VALUE"""),"superu.petitcanal@systeme-u.fr ,martine.crevecoeur@systeme-u.fr, patrickdlm18@gmail.com")</f>
        <v>superu.petitcanal@systeme-u.fr ,martine.crevecoeur@systeme-u.fr, patrickdlm18@gmail.com</v>
      </c>
      <c r="L759" t="str">
        <f ca="1">IFERROR(__xludf.DUMMYFUNCTION("""COMPUTED_VALUE"""),"")</f>
        <v/>
      </c>
      <c r="M759" t="str">
        <f ca="1">IFERROR(__xludf.DUMMYFUNCTION("""COMPUTED_VALUE"""),"99.Hors Périmetre")</f>
        <v>99.Hors Périmetre</v>
      </c>
      <c r="N759" t="str">
        <f ca="1">IFERROR(__xludf.DUMMYFUNCTION("""COMPUTED_VALUE"""),"")</f>
        <v/>
      </c>
      <c r="O759" t="str">
        <f ca="1">IFERROR(__xludf.DUMMYFUNCTION("""COMPUTED_VALUE"""),"")</f>
        <v/>
      </c>
      <c r="P759" t="str">
        <f ca="1">IFERROR(__xludf.DUMMYFUNCTION("""COMPUTED_VALUE"""),"")</f>
        <v/>
      </c>
      <c r="Q759" s="5" t="str">
        <f ca="1">IFERROR(__xludf.DUMMYFUNCTION("""COMPUTED_VALUE"""),"")</f>
        <v/>
      </c>
      <c r="R759" s="6" t="str">
        <f ca="1">IFERROR(__xludf.DUMMYFUNCTION("""COMPUTED_VALUE"""),"")</f>
        <v/>
      </c>
      <c r="S759" t="str">
        <f ca="1">IFERROR(__xludf.DUMMYFUNCTION("""COMPUTED_VALUE"""),"")</f>
        <v/>
      </c>
      <c r="T759" t="str">
        <f ca="1">IFERROR(__xludf.DUMMYFUNCTION("""COMPUTED_VALUE"""),"")</f>
        <v/>
      </c>
      <c r="U759" t="str">
        <f ca="1">IFERROR(__xludf.DUMMYFUNCTION("""COMPUTED_VALUE"""),"")</f>
        <v/>
      </c>
      <c r="V759" t="str">
        <f ca="1">IFERROR(__xludf.DUMMYFUNCTION("""COMPUTED_VALUE"""),"")</f>
        <v/>
      </c>
      <c r="W759" t="str">
        <f ca="1">IFERROR(__xludf.DUMMYFUNCTION("""COMPUTED_VALUE"""),"")</f>
        <v/>
      </c>
      <c r="X759" t="str">
        <f ca="1">IFERROR(__xludf.DUMMYFUNCTION("""COMPUTED_VALUE"""),"")</f>
        <v/>
      </c>
      <c r="Y759" t="str">
        <f ca="1">IFERROR(__xludf.DUMMYFUNCTION("""COMPUTED_VALUE"""),"")</f>
        <v/>
      </c>
      <c r="Z759" t="str">
        <f ca="1">IFERROR(__xludf.DUMMYFUNCTION("""COMPUTED_VALUE"""),"")</f>
        <v/>
      </c>
      <c r="AA759" t="str">
        <f ca="1">IFERROR(__xludf.DUMMYFUNCTION("""COMPUTED_VALUE"""),"Pas de commande")</f>
        <v>Pas de commande</v>
      </c>
      <c r="AB759" s="8" t="str">
        <f ca="1">IFERROR(__xludf.DUMMYFUNCTION("""COMPUTED_VALUE"""),"")</f>
        <v/>
      </c>
      <c r="AC759" s="8" t="str">
        <f ca="1">IFERROR(__xludf.DUMMYFUNCTION("""COMPUTED_VALUE"""),"")</f>
        <v/>
      </c>
      <c r="AD759" s="11" t="str">
        <f ca="1">IFERROR(__xludf.DUMMYFUNCTION("""COMPUTED_VALUE"""),"")</f>
        <v/>
      </c>
      <c r="AE759" t="str">
        <f ca="1">IFERROR(__xludf.DUMMYFUNCTION("""COMPUTED_VALUE"""),"")</f>
        <v/>
      </c>
    </row>
    <row r="760" spans="1:31" ht="12.75" x14ac:dyDescent="0.2">
      <c r="A760">
        <f ca="1">IFERROR(__xludf.DUMMYFUNCTION("""COMPUTED_VALUE"""),60944)</f>
        <v>60944</v>
      </c>
      <c r="B760" t="str">
        <f ca="1">IFERROR(__xludf.DUMMYFUNCTION("""COMPUTED_VALUE"""),"PFASTATT")</f>
        <v>PFASTATT</v>
      </c>
      <c r="C760" t="str">
        <f ca="1">IFERROR(__xludf.DUMMYFUNCTION("""COMPUTED_VALUE"""),"Super U")</f>
        <v>Super U</v>
      </c>
      <c r="D760" t="str">
        <f ca="1">IFERROR(__xludf.DUMMYFUNCTION("""COMPUTED_VALUE"""),"Coop U Enseigne Est")</f>
        <v>Coop U Enseigne Est</v>
      </c>
      <c r="E760">
        <f ca="1">IFERROR(__xludf.DUMMYFUNCTION("""COMPUTED_VALUE"""),68120)</f>
        <v>68120</v>
      </c>
      <c r="F760" t="str">
        <f ca="1">IFERROR(__xludf.DUMMYFUNCTION("""COMPUTED_VALUE"""),"146 rue de Richwiller")</f>
        <v>146 rue de Richwiller</v>
      </c>
      <c r="G760" t="str">
        <f ca="1">IFERROR(__xludf.DUMMYFUNCTION("""COMPUTED_VALUE"""),"03.89.52.13.37")</f>
        <v>03.89.52.13.37</v>
      </c>
      <c r="H760" t="str">
        <f ca="1">IFERROR(__xludf.DUMMYFUNCTION("""COMPUTED_VALUE"""),"DUMEL Olivier")</f>
        <v>DUMEL Olivier</v>
      </c>
      <c r="I760" t="str">
        <f ca="1">IFERROR(__xludf.DUMMYFUNCTION("""COMPUTED_VALUE"""),"olivier.dumel@systeme-u.fr")</f>
        <v>olivier.dumel@systeme-u.fr</v>
      </c>
      <c r="J760" t="str">
        <f ca="1">IFERROR(__xludf.DUMMYFUNCTION("""COMPUTED_VALUE"""),"Myriam Colombo")</f>
        <v>Myriam Colombo</v>
      </c>
      <c r="K760" t="str">
        <f ca="1">IFERROR(__xludf.DUMMYFUNCTION("""COMPUTED_VALUE"""),"superu.pfastatt.administratif@systeme-u.fr, superu.pfastatt.qualite_hygiene@systeme-u.fr")</f>
        <v>superu.pfastatt.administratif@systeme-u.fr, superu.pfastatt.qualite_hygiene@systeme-u.fr</v>
      </c>
      <c r="L760" t="str">
        <f ca="1">IFERROR(__xludf.DUMMYFUNCTION("""COMPUTED_VALUE"""),"")</f>
        <v/>
      </c>
      <c r="M760" t="str">
        <f ca="1">IFERROR(__xludf.DUMMYFUNCTION("""COMPUTED_VALUE"""),"99.Hors Périmetre")</f>
        <v>99.Hors Périmetre</v>
      </c>
      <c r="N760" t="str">
        <f ca="1">IFERROR(__xludf.DUMMYFUNCTION("""COMPUTED_VALUE"""),"")</f>
        <v/>
      </c>
      <c r="O760" t="str">
        <f ca="1">IFERROR(__xludf.DUMMYFUNCTION("""COMPUTED_VALUE"""),"")</f>
        <v/>
      </c>
      <c r="P760" t="str">
        <f ca="1">IFERROR(__xludf.DUMMYFUNCTION("""COMPUTED_VALUE"""),"")</f>
        <v/>
      </c>
      <c r="Q760" s="5" t="str">
        <f ca="1">IFERROR(__xludf.DUMMYFUNCTION("""COMPUTED_VALUE"""),"")</f>
        <v/>
      </c>
      <c r="R760" s="6" t="str">
        <f ca="1">IFERROR(__xludf.DUMMYFUNCTION("""COMPUTED_VALUE"""),"")</f>
        <v/>
      </c>
      <c r="S760" t="str">
        <f ca="1">IFERROR(__xludf.DUMMYFUNCTION("""COMPUTED_VALUE"""),"")</f>
        <v/>
      </c>
      <c r="T760" t="str">
        <f ca="1">IFERROR(__xludf.DUMMYFUNCTION("""COMPUTED_VALUE"""),"")</f>
        <v/>
      </c>
      <c r="U760" t="str">
        <f ca="1">IFERROR(__xludf.DUMMYFUNCTION("""COMPUTED_VALUE"""),"")</f>
        <v/>
      </c>
      <c r="V760" t="str">
        <f ca="1">IFERROR(__xludf.DUMMYFUNCTION("""COMPUTED_VALUE"""),"")</f>
        <v/>
      </c>
      <c r="W760" t="str">
        <f ca="1">IFERROR(__xludf.DUMMYFUNCTION("""COMPUTED_VALUE"""),"")</f>
        <v/>
      </c>
      <c r="X760" t="str">
        <f ca="1">IFERROR(__xludf.DUMMYFUNCTION("""COMPUTED_VALUE"""),"")</f>
        <v/>
      </c>
      <c r="Y760" t="str">
        <f ca="1">IFERROR(__xludf.DUMMYFUNCTION("""COMPUTED_VALUE"""),"")</f>
        <v/>
      </c>
      <c r="Z760" t="str">
        <f ca="1">IFERROR(__xludf.DUMMYFUNCTION("""COMPUTED_VALUE"""),"")</f>
        <v/>
      </c>
      <c r="AA760" t="str">
        <f ca="1">IFERROR(__xludf.DUMMYFUNCTION("""COMPUTED_VALUE"""),"Pas de commande")</f>
        <v>Pas de commande</v>
      </c>
      <c r="AB760" s="8" t="str">
        <f ca="1">IFERROR(__xludf.DUMMYFUNCTION("""COMPUTED_VALUE"""),"")</f>
        <v/>
      </c>
      <c r="AC760" s="8" t="str">
        <f ca="1">IFERROR(__xludf.DUMMYFUNCTION("""COMPUTED_VALUE"""),"")</f>
        <v/>
      </c>
      <c r="AD760" s="11" t="str">
        <f ca="1">IFERROR(__xludf.DUMMYFUNCTION("""COMPUTED_VALUE"""),"")</f>
        <v/>
      </c>
      <c r="AE760" t="str">
        <f ca="1">IFERROR(__xludf.DUMMYFUNCTION("""COMPUTED_VALUE"""),"")</f>
        <v/>
      </c>
    </row>
    <row r="761" spans="1:31" ht="12.75" x14ac:dyDescent="0.2">
      <c r="A761">
        <f ca="1">IFERROR(__xludf.DUMMYFUNCTION("""COMPUTED_VALUE"""),90583)</f>
        <v>90583</v>
      </c>
      <c r="B761" t="str">
        <f ca="1">IFERROR(__xludf.DUMMYFUNCTION("""COMPUTED_VALUE"""),"PIERREFEU DU VAR")</f>
        <v>PIERREFEU DU VAR</v>
      </c>
      <c r="C761" t="str">
        <f ca="1">IFERROR(__xludf.DUMMYFUNCTION("""COMPUTED_VALUE"""),"Super U")</f>
        <v>Super U</v>
      </c>
      <c r="D761" t="str">
        <f ca="1">IFERROR(__xludf.DUMMYFUNCTION("""COMPUTED_VALUE"""),"Coop U Enseigne Sud")</f>
        <v>Coop U Enseigne Sud</v>
      </c>
      <c r="E761">
        <f ca="1">IFERROR(__xludf.DUMMYFUNCTION("""COMPUTED_VALUE"""),83390)</f>
        <v>83390</v>
      </c>
      <c r="F761" t="str">
        <f ca="1">IFERROR(__xludf.DUMMYFUNCTION("""COMPUTED_VALUE"""),"AVENUE FREDERIC MISTRAL")</f>
        <v>AVENUE FREDERIC MISTRAL</v>
      </c>
      <c r="G761" t="str">
        <f ca="1">IFERROR(__xludf.DUMMYFUNCTION("""COMPUTED_VALUE"""),"04.94.48.73.60")</f>
        <v>04.94.48.73.60</v>
      </c>
      <c r="H761" t="str">
        <f ca="1">IFERROR(__xludf.DUMMYFUNCTION("""COMPUTED_VALUE"""),"BIDET Jean-Jacques")</f>
        <v>BIDET Jean-Jacques</v>
      </c>
      <c r="I761" t="str">
        <f ca="1">IFERROR(__xludf.DUMMYFUNCTION("""COMPUTED_VALUE"""),"jean-jacques.bidet@systeme-u.fr")</f>
        <v>jean-jacques.bidet@systeme-u.fr</v>
      </c>
      <c r="J761" t="str">
        <f ca="1">IFERROR(__xludf.DUMMYFUNCTION("""COMPUTED_VALUE"""),"")</f>
        <v/>
      </c>
      <c r="K761" t="str">
        <f ca="1">IFERROR(__xludf.DUMMYFUNCTION("""COMPUTED_VALUE"""),"")</f>
        <v/>
      </c>
      <c r="L761" t="str">
        <f ca="1">IFERROR(__xludf.DUMMYFUNCTION("""COMPUTED_VALUE"""),"")</f>
        <v/>
      </c>
      <c r="M761" t="str">
        <f ca="1">IFERROR(__xludf.DUMMYFUNCTION("""COMPUTED_VALUE"""),"99.Hors Périmetre")</f>
        <v>99.Hors Périmetre</v>
      </c>
      <c r="N761" t="str">
        <f ca="1">IFERROR(__xludf.DUMMYFUNCTION("""COMPUTED_VALUE"""),"")</f>
        <v/>
      </c>
      <c r="O761" t="str">
        <f ca="1">IFERROR(__xludf.DUMMYFUNCTION("""COMPUTED_VALUE"""),"")</f>
        <v/>
      </c>
      <c r="P761" t="str">
        <f ca="1">IFERROR(__xludf.DUMMYFUNCTION("""COMPUTED_VALUE"""),"")</f>
        <v/>
      </c>
      <c r="Q761" s="5" t="str">
        <f ca="1">IFERROR(__xludf.DUMMYFUNCTION("""COMPUTED_VALUE"""),"")</f>
        <v/>
      </c>
      <c r="R761" s="6" t="str">
        <f ca="1">IFERROR(__xludf.DUMMYFUNCTION("""COMPUTED_VALUE"""),"")</f>
        <v/>
      </c>
      <c r="S761" t="str">
        <f ca="1">IFERROR(__xludf.DUMMYFUNCTION("""COMPUTED_VALUE"""),"")</f>
        <v/>
      </c>
      <c r="T761" t="str">
        <f ca="1">IFERROR(__xludf.DUMMYFUNCTION("""COMPUTED_VALUE"""),"")</f>
        <v/>
      </c>
      <c r="U761" t="str">
        <f ca="1">IFERROR(__xludf.DUMMYFUNCTION("""COMPUTED_VALUE"""),"")</f>
        <v/>
      </c>
      <c r="V761" t="str">
        <f ca="1">IFERROR(__xludf.DUMMYFUNCTION("""COMPUTED_VALUE"""),"")</f>
        <v/>
      </c>
      <c r="W761" t="str">
        <f ca="1">IFERROR(__xludf.DUMMYFUNCTION("""COMPUTED_VALUE"""),"")</f>
        <v/>
      </c>
      <c r="X761" t="str">
        <f ca="1">IFERROR(__xludf.DUMMYFUNCTION("""COMPUTED_VALUE"""),"")</f>
        <v/>
      </c>
      <c r="Y761" t="str">
        <f ca="1">IFERROR(__xludf.DUMMYFUNCTION("""COMPUTED_VALUE"""),"")</f>
        <v/>
      </c>
      <c r="Z761" t="str">
        <f ca="1">IFERROR(__xludf.DUMMYFUNCTION("""COMPUTED_VALUE"""),"")</f>
        <v/>
      </c>
      <c r="AA761" t="str">
        <f ca="1">IFERROR(__xludf.DUMMYFUNCTION("""COMPUTED_VALUE"""),"Pas de commande")</f>
        <v>Pas de commande</v>
      </c>
      <c r="AB761" s="8" t="str">
        <f ca="1">IFERROR(__xludf.DUMMYFUNCTION("""COMPUTED_VALUE"""),"")</f>
        <v/>
      </c>
      <c r="AC761" s="8" t="str">
        <f ca="1">IFERROR(__xludf.DUMMYFUNCTION("""COMPUTED_VALUE"""),"")</f>
        <v/>
      </c>
      <c r="AD761" s="11" t="str">
        <f ca="1">IFERROR(__xludf.DUMMYFUNCTION("""COMPUTED_VALUE"""),"")</f>
        <v/>
      </c>
      <c r="AE761" t="str">
        <f ca="1">IFERROR(__xludf.DUMMYFUNCTION("""COMPUTED_VALUE"""),"")</f>
        <v/>
      </c>
    </row>
    <row r="762" spans="1:31" ht="12.75" x14ac:dyDescent="0.2">
      <c r="A762">
        <f ca="1">IFERROR(__xludf.DUMMYFUNCTION("""COMPUTED_VALUE"""),90574)</f>
        <v>90574</v>
      </c>
      <c r="B762" t="str">
        <f ca="1">IFERROR(__xludf.DUMMYFUNCTION("""COMPUTED_VALUE"""),"PIGNAN")</f>
        <v>PIGNAN</v>
      </c>
      <c r="C762" t="str">
        <f ca="1">IFERROR(__xludf.DUMMYFUNCTION("""COMPUTED_VALUE"""),"Super U")</f>
        <v>Super U</v>
      </c>
      <c r="D762" t="str">
        <f ca="1">IFERROR(__xludf.DUMMYFUNCTION("""COMPUTED_VALUE"""),"Coop U Enseigne Sud")</f>
        <v>Coop U Enseigne Sud</v>
      </c>
      <c r="E762">
        <f ca="1">IFERROR(__xludf.DUMMYFUNCTION("""COMPUTED_VALUE"""),34570)</f>
        <v>34570</v>
      </c>
      <c r="F762" t="str">
        <f ca="1">IFERROR(__xludf.DUMMYFUNCTION("""COMPUTED_VALUE"""),"ZAC ST ESTEVE")</f>
        <v>ZAC ST ESTEVE</v>
      </c>
      <c r="G762" t="str">
        <f ca="1">IFERROR(__xludf.DUMMYFUNCTION("""COMPUTED_VALUE"""),"04.67.71.71.71")</f>
        <v>04.67.71.71.71</v>
      </c>
      <c r="H762" t="str">
        <f ca="1">IFERROR(__xludf.DUMMYFUNCTION("""COMPUTED_VALUE"""),"RUBIO Marie")</f>
        <v>RUBIO Marie</v>
      </c>
      <c r="I762" t="str">
        <f ca="1">IFERROR(__xludf.DUMMYFUNCTION("""COMPUTED_VALUE"""),"marie.rubio@systeme-u.fr")</f>
        <v>marie.rubio@systeme-u.fr</v>
      </c>
      <c r="J762" t="str">
        <f ca="1">IFERROR(__xludf.DUMMYFUNCTION("""COMPUTED_VALUE"""),"")</f>
        <v/>
      </c>
      <c r="K762" t="str">
        <f ca="1">IFERROR(__xludf.DUMMYFUNCTION("""COMPUTED_VALUE"""),"")</f>
        <v/>
      </c>
      <c r="L762" t="str">
        <f ca="1">IFERROR(__xludf.DUMMYFUNCTION("""COMPUTED_VALUE"""),"Standard")</f>
        <v>Standard</v>
      </c>
      <c r="M762" t="str">
        <f ca="1">IFERROR(__xludf.DUMMYFUNCTION("""COMPUTED_VALUE"""),"0. Non démarré")</f>
        <v>0. Non démarré</v>
      </c>
      <c r="N762" t="str">
        <f ca="1">IFERROR(__xludf.DUMMYFUNCTION("""COMPUTED_VALUE"""),"")</f>
        <v/>
      </c>
      <c r="O762" t="str">
        <f ca="1">IFERROR(__xludf.DUMMYFUNCTION("""COMPUTED_VALUE"""),"")</f>
        <v/>
      </c>
      <c r="P762" t="str">
        <f ca="1">IFERROR(__xludf.DUMMYFUNCTION("""COMPUTED_VALUE"""),"")</f>
        <v/>
      </c>
      <c r="Q762" s="5" t="str">
        <f ca="1">IFERROR(__xludf.DUMMYFUNCTION("""COMPUTED_VALUE"""),"")</f>
        <v/>
      </c>
      <c r="R762" s="6" t="str">
        <f ca="1">IFERROR(__xludf.DUMMYFUNCTION("""COMPUTED_VALUE"""),"")</f>
        <v/>
      </c>
      <c r="S762" t="str">
        <f ca="1">IFERROR(__xludf.DUMMYFUNCTION("""COMPUTED_VALUE"""),"")</f>
        <v/>
      </c>
      <c r="T762" t="str">
        <f ca="1">IFERROR(__xludf.DUMMYFUNCTION("""COMPUTED_VALUE"""),"")</f>
        <v/>
      </c>
      <c r="U762" t="str">
        <f ca="1">IFERROR(__xludf.DUMMYFUNCTION("""COMPUTED_VALUE"""),"")</f>
        <v/>
      </c>
      <c r="V762" t="str">
        <f ca="1">IFERROR(__xludf.DUMMYFUNCTION("""COMPUTED_VALUE"""),"")</f>
        <v/>
      </c>
      <c r="W762" t="str">
        <f ca="1">IFERROR(__xludf.DUMMYFUNCTION("""COMPUTED_VALUE"""),"R5")</f>
        <v>R5</v>
      </c>
      <c r="X762" t="str">
        <f ca="1">IFERROR(__xludf.DUMMYFUNCTION("""COMPUTED_VALUE"""),"Pricer")</f>
        <v>Pricer</v>
      </c>
      <c r="Y762" t="str">
        <f ca="1">IFERROR(__xludf.DUMMYFUNCTION("""COMPUTED_VALUE"""),"")</f>
        <v/>
      </c>
      <c r="Z762" t="str">
        <f ca="1">IFERROR(__xludf.DUMMYFUNCTION("""COMPUTED_VALUE"""),"")</f>
        <v/>
      </c>
      <c r="AA762" t="str">
        <f ca="1">IFERROR(__xludf.DUMMYFUNCTION("""COMPUTED_VALUE"""),"Pas de commande")</f>
        <v>Pas de commande</v>
      </c>
      <c r="AB762" s="8" t="str">
        <f ca="1">IFERROR(__xludf.DUMMYFUNCTION("""COMPUTED_VALUE"""),"")</f>
        <v/>
      </c>
      <c r="AC762" s="8" t="str">
        <f ca="1">IFERROR(__xludf.DUMMYFUNCTION("""COMPUTED_VALUE"""),"")</f>
        <v/>
      </c>
      <c r="AD762" s="11" t="str">
        <f ca="1">IFERROR(__xludf.DUMMYFUNCTION("""COMPUTED_VALUE"""),"")</f>
        <v/>
      </c>
      <c r="AE762" t="str">
        <f ca="1">IFERROR(__xludf.DUMMYFUNCTION("""COMPUTED_VALUE"""),"")</f>
        <v/>
      </c>
    </row>
    <row r="763" spans="1:31" ht="12.75" x14ac:dyDescent="0.2">
      <c r="A763">
        <f ca="1">IFERROR(__xludf.DUMMYFUNCTION("""COMPUTED_VALUE"""),95179)</f>
        <v>95179</v>
      </c>
      <c r="B763" t="str">
        <f ca="1">IFERROR(__xludf.DUMMYFUNCTION("""COMPUTED_VALUE"""),"PINEUILH")</f>
        <v>PINEUILH</v>
      </c>
      <c r="C763" t="str">
        <f ca="1">IFERROR(__xludf.DUMMYFUNCTION("""COMPUTED_VALUE"""),"Super U")</f>
        <v>Super U</v>
      </c>
      <c r="D763" t="str">
        <f ca="1">IFERROR(__xludf.DUMMYFUNCTION("""COMPUTED_VALUE"""),"Coop U Enseigne Sud")</f>
        <v>Coop U Enseigne Sud</v>
      </c>
      <c r="E763">
        <f ca="1">IFERROR(__xludf.DUMMYFUNCTION("""COMPUTED_VALUE"""),33220)</f>
        <v>33220</v>
      </c>
      <c r="F763" t="str">
        <f ca="1">IFERROR(__xludf.DUMMYFUNCTION("""COMPUTED_VALUE"""),"15 AV DU MARECHAL JUIN")</f>
        <v>15 AV DU MARECHAL JUIN</v>
      </c>
      <c r="G763" t="str">
        <f ca="1">IFERROR(__xludf.DUMMYFUNCTION("""COMPUTED_VALUE"""),"05.57.48.11.30")</f>
        <v>05.57.48.11.30</v>
      </c>
      <c r="H763" t="str">
        <f ca="1">IFERROR(__xludf.DUMMYFUNCTION("""COMPUTED_VALUE"""),"MAGAGNIN Stephane")</f>
        <v>MAGAGNIN Stephane</v>
      </c>
      <c r="I763" t="str">
        <f ca="1">IFERROR(__xludf.DUMMYFUNCTION("""COMPUTED_VALUE"""),"stephane.magagnin@systeme-u.fr")</f>
        <v>stephane.magagnin@systeme-u.fr</v>
      </c>
      <c r="J763" t="str">
        <f ca="1">IFERROR(__xludf.DUMMYFUNCTION("""COMPUTED_VALUE"""),"Sylvie NOUJAREDE")</f>
        <v>Sylvie NOUJAREDE</v>
      </c>
      <c r="K763" t="str">
        <f ca="1">IFERROR(__xludf.DUMMYFUNCTION("""COMPUTED_VALUE"""),"superu.pineuilh.compta@systeme-u.fr")</f>
        <v>superu.pineuilh.compta@systeme-u.fr</v>
      </c>
      <c r="L763" t="str">
        <f ca="1">IFERROR(__xludf.DUMMYFUNCTION("""COMPUTED_VALUE"""),"")</f>
        <v/>
      </c>
      <c r="M763" t="str">
        <f ca="1">IFERROR(__xludf.DUMMYFUNCTION("""COMPUTED_VALUE"""),"99.Hors Périmetre")</f>
        <v>99.Hors Périmetre</v>
      </c>
      <c r="N763" t="str">
        <f ca="1">IFERROR(__xludf.DUMMYFUNCTION("""COMPUTED_VALUE"""),"")</f>
        <v/>
      </c>
      <c r="O763" t="str">
        <f ca="1">IFERROR(__xludf.DUMMYFUNCTION("""COMPUTED_VALUE"""),"")</f>
        <v/>
      </c>
      <c r="P763" t="str">
        <f ca="1">IFERROR(__xludf.DUMMYFUNCTION("""COMPUTED_VALUE"""),"")</f>
        <v/>
      </c>
      <c r="Q763" s="5" t="str">
        <f ca="1">IFERROR(__xludf.DUMMYFUNCTION("""COMPUTED_VALUE"""),"")</f>
        <v/>
      </c>
      <c r="R763" s="6" t="str">
        <f ca="1">IFERROR(__xludf.DUMMYFUNCTION("""COMPUTED_VALUE"""),"")</f>
        <v/>
      </c>
      <c r="S763" t="str">
        <f ca="1">IFERROR(__xludf.DUMMYFUNCTION("""COMPUTED_VALUE"""),"")</f>
        <v/>
      </c>
      <c r="T763" t="str">
        <f ca="1">IFERROR(__xludf.DUMMYFUNCTION("""COMPUTED_VALUE"""),"")</f>
        <v/>
      </c>
      <c r="U763" t="str">
        <f ca="1">IFERROR(__xludf.DUMMYFUNCTION("""COMPUTED_VALUE"""),"")</f>
        <v/>
      </c>
      <c r="V763" t="str">
        <f ca="1">IFERROR(__xludf.DUMMYFUNCTION("""COMPUTED_VALUE"""),"")</f>
        <v/>
      </c>
      <c r="W763" t="str">
        <f ca="1">IFERROR(__xludf.DUMMYFUNCTION("""COMPUTED_VALUE"""),"")</f>
        <v/>
      </c>
      <c r="X763" t="str">
        <f ca="1">IFERROR(__xludf.DUMMYFUNCTION("""COMPUTED_VALUE"""),"")</f>
        <v/>
      </c>
      <c r="Y763" t="str">
        <f ca="1">IFERROR(__xludf.DUMMYFUNCTION("""COMPUTED_VALUE"""),"")</f>
        <v/>
      </c>
      <c r="Z763" t="str">
        <f ca="1">IFERROR(__xludf.DUMMYFUNCTION("""COMPUTED_VALUE"""),"")</f>
        <v/>
      </c>
      <c r="AA763" t="str">
        <f ca="1">IFERROR(__xludf.DUMMYFUNCTION("""COMPUTED_VALUE"""),"Pas de commande")</f>
        <v>Pas de commande</v>
      </c>
      <c r="AB763" s="8" t="str">
        <f ca="1">IFERROR(__xludf.DUMMYFUNCTION("""COMPUTED_VALUE"""),"")</f>
        <v/>
      </c>
      <c r="AC763" s="8" t="str">
        <f ca="1">IFERROR(__xludf.DUMMYFUNCTION("""COMPUTED_VALUE"""),"")</f>
        <v/>
      </c>
      <c r="AD763" s="11" t="str">
        <f ca="1">IFERROR(__xludf.DUMMYFUNCTION("""COMPUTED_VALUE"""),"")</f>
        <v/>
      </c>
      <c r="AE763" t="str">
        <f ca="1">IFERROR(__xludf.DUMMYFUNCTION("""COMPUTED_VALUE"""),"")</f>
        <v/>
      </c>
    </row>
    <row r="764" spans="1:31" ht="12.75" x14ac:dyDescent="0.2">
      <c r="A764">
        <f ca="1">IFERROR(__xludf.DUMMYFUNCTION("""COMPUTED_VALUE"""),90625)</f>
        <v>90625</v>
      </c>
      <c r="B764" t="str">
        <f ca="1">IFERROR(__xludf.DUMMYFUNCTION("""COMPUTED_VALUE"""),"PIOLENC")</f>
        <v>PIOLENC</v>
      </c>
      <c r="C764" t="str">
        <f ca="1">IFERROR(__xludf.DUMMYFUNCTION("""COMPUTED_VALUE"""),"U Express")</f>
        <v>U Express</v>
      </c>
      <c r="D764" t="str">
        <f ca="1">IFERROR(__xludf.DUMMYFUNCTION("""COMPUTED_VALUE"""),"Coop MISTRAL")</f>
        <v>Coop MISTRAL</v>
      </c>
      <c r="E764">
        <f ca="1">IFERROR(__xludf.DUMMYFUNCTION("""COMPUTED_VALUE"""),84420)</f>
        <v>84420</v>
      </c>
      <c r="F764" t="str">
        <f ca="1">IFERROR(__xludf.DUMMYFUNCTION("""COMPUTED_VALUE"""),"PLACE DU PLANET")</f>
        <v>PLACE DU PLANET</v>
      </c>
      <c r="G764" t="str">
        <f ca="1">IFERROR(__xludf.DUMMYFUNCTION("""COMPUTED_VALUE"""),"04.90.29.79.79")</f>
        <v>04.90.29.79.79</v>
      </c>
      <c r="H764" t="str">
        <f ca="1">IFERROR(__xludf.DUMMYFUNCTION("""COMPUTED_VALUE"""),"ET MARIANI HERVE BOTTEAU STEPHANE")</f>
        <v>ET MARIANI HERVE BOTTEAU STEPHANE</v>
      </c>
      <c r="I764" t="str">
        <f ca="1">IFERROR(__xludf.DUMMYFUNCTION("""COMPUTED_VALUE"""),"uexpress.piolenc@mistral-u.fr")</f>
        <v>uexpress.piolenc@mistral-u.fr</v>
      </c>
      <c r="J764" t="str">
        <f ca="1">IFERROR(__xludf.DUMMYFUNCTION("""COMPUTED_VALUE"""),"M.Mariani")</f>
        <v>M.Mariani</v>
      </c>
      <c r="K764" t="str">
        <f ca="1">IFERROR(__xludf.DUMMYFUNCTION("""COMPUTED_VALUE"""),"delphine.damian@lemistral.fr,helene.mina@lemistral.fr")</f>
        <v>delphine.damian@lemistral.fr,helene.mina@lemistral.fr</v>
      </c>
      <c r="L764" t="str">
        <f ca="1">IFERROR(__xludf.DUMMYFUNCTION("""COMPUTED_VALUE"""),"")</f>
        <v/>
      </c>
      <c r="M764" t="str">
        <f ca="1">IFERROR(__xludf.DUMMYFUNCTION("""COMPUTED_VALUE"""),"99.Hors Périmetre")</f>
        <v>99.Hors Périmetre</v>
      </c>
      <c r="N764" t="str">
        <f ca="1">IFERROR(__xludf.DUMMYFUNCTION("""COMPUTED_VALUE"""),"")</f>
        <v/>
      </c>
      <c r="O764" t="str">
        <f ca="1">IFERROR(__xludf.DUMMYFUNCTION("""COMPUTED_VALUE"""),"")</f>
        <v/>
      </c>
      <c r="P764" t="str">
        <f ca="1">IFERROR(__xludf.DUMMYFUNCTION("""COMPUTED_VALUE"""),"")</f>
        <v/>
      </c>
      <c r="Q764" s="5" t="str">
        <f ca="1">IFERROR(__xludf.DUMMYFUNCTION("""COMPUTED_VALUE"""),"")</f>
        <v/>
      </c>
      <c r="R764" s="6" t="str">
        <f ca="1">IFERROR(__xludf.DUMMYFUNCTION("""COMPUTED_VALUE"""),"")</f>
        <v/>
      </c>
      <c r="S764" t="str">
        <f ca="1">IFERROR(__xludf.DUMMYFUNCTION("""COMPUTED_VALUE"""),"")</f>
        <v/>
      </c>
      <c r="T764" t="str">
        <f ca="1">IFERROR(__xludf.DUMMYFUNCTION("""COMPUTED_VALUE"""),"")</f>
        <v/>
      </c>
      <c r="U764" t="str">
        <f ca="1">IFERROR(__xludf.DUMMYFUNCTION("""COMPUTED_VALUE"""),"")</f>
        <v/>
      </c>
      <c r="V764" t="str">
        <f ca="1">IFERROR(__xludf.DUMMYFUNCTION("""COMPUTED_VALUE"""),"")</f>
        <v/>
      </c>
      <c r="W764" t="str">
        <f ca="1">IFERROR(__xludf.DUMMYFUNCTION("""COMPUTED_VALUE"""),"")</f>
        <v/>
      </c>
      <c r="X764" t="str">
        <f ca="1">IFERROR(__xludf.DUMMYFUNCTION("""COMPUTED_VALUE"""),"")</f>
        <v/>
      </c>
      <c r="Y764" t="str">
        <f ca="1">IFERROR(__xludf.DUMMYFUNCTION("""COMPUTED_VALUE"""),"")</f>
        <v/>
      </c>
      <c r="Z764" t="str">
        <f ca="1">IFERROR(__xludf.DUMMYFUNCTION("""COMPUTED_VALUE"""),"")</f>
        <v/>
      </c>
      <c r="AA764" t="str">
        <f ca="1">IFERROR(__xludf.DUMMYFUNCTION("""COMPUTED_VALUE"""),"Pas de commande")</f>
        <v>Pas de commande</v>
      </c>
      <c r="AB764" s="8" t="str">
        <f ca="1">IFERROR(__xludf.DUMMYFUNCTION("""COMPUTED_VALUE"""),"")</f>
        <v/>
      </c>
      <c r="AC764" s="8" t="str">
        <f ca="1">IFERROR(__xludf.DUMMYFUNCTION("""COMPUTED_VALUE"""),"")</f>
        <v/>
      </c>
      <c r="AD764" s="11" t="str">
        <f ca="1">IFERROR(__xludf.DUMMYFUNCTION("""COMPUTED_VALUE"""),"")</f>
        <v/>
      </c>
      <c r="AE764" t="str">
        <f ca="1">IFERROR(__xludf.DUMMYFUNCTION("""COMPUTED_VALUE"""),"")</f>
        <v/>
      </c>
    </row>
    <row r="765" spans="1:31" ht="12.75" x14ac:dyDescent="0.2">
      <c r="A765">
        <f ca="1">IFERROR(__xludf.DUMMYFUNCTION("""COMPUTED_VALUE"""),31732)</f>
        <v>31732</v>
      </c>
      <c r="B765" t="str">
        <f ca="1">IFERROR(__xludf.DUMMYFUNCTION("""COMPUTED_VALUE"""),"PIPRIAC")</f>
        <v>PIPRIAC</v>
      </c>
      <c r="C765" t="str">
        <f ca="1">IFERROR(__xludf.DUMMYFUNCTION("""COMPUTED_VALUE"""),"Super U")</f>
        <v>Super U</v>
      </c>
      <c r="D765" t="str">
        <f ca="1">IFERROR(__xludf.DUMMYFUNCTION("""COMPUTED_VALUE"""),"Coop U Enseigne Ouest")</f>
        <v>Coop U Enseigne Ouest</v>
      </c>
      <c r="E765">
        <f ca="1">IFERROR(__xludf.DUMMYFUNCTION("""COMPUTED_VALUE"""),35550)</f>
        <v>35550</v>
      </c>
      <c r="F765" t="str">
        <f ca="1">IFERROR(__xludf.DUMMYFUNCTION("""COMPUTED_VALUE"""),"47 AVENUE DE L AVENIR")</f>
        <v>47 AVENUE DE L AVENIR</v>
      </c>
      <c r="G765" t="str">
        <f ca="1">IFERROR(__xludf.DUMMYFUNCTION("""COMPUTED_VALUE"""),"02.99.34.46.06")</f>
        <v>02.99.34.46.06</v>
      </c>
      <c r="H765" t="str">
        <f ca="1">IFERROR(__xludf.DUMMYFUNCTION("""COMPUTED_VALUE"""),"BERTIN BOUVIER RPT ANNEE GEST Vanessa")</f>
        <v>BERTIN BOUVIER RPT ANNEE GEST Vanessa</v>
      </c>
      <c r="I765" t="str">
        <f ca="1">IFERROR(__xludf.DUMMYFUNCTION("""COMPUTED_VALUE"""),"vanessa.bertin@systeme-u.fr")</f>
        <v>vanessa.bertin@systeme-u.fr</v>
      </c>
      <c r="J765" t="str">
        <f ca="1">IFERROR(__xludf.DUMMYFUNCTION("""COMPUTED_VALUE"""),"BOUVIER Vanessa")</f>
        <v>BOUVIER Vanessa</v>
      </c>
      <c r="K765" t="str">
        <f ca="1">IFERROR(__xludf.DUMMYFUNCTION("""COMPUTED_VALUE"""),"")</f>
        <v/>
      </c>
      <c r="L765" t="str">
        <f ca="1">IFERROR(__xludf.DUMMYFUNCTION("""COMPUTED_VALUE"""),"")</f>
        <v/>
      </c>
      <c r="M765" t="str">
        <f ca="1">IFERROR(__xludf.DUMMYFUNCTION("""COMPUTED_VALUE"""),"99.Hors Périmetre")</f>
        <v>99.Hors Périmetre</v>
      </c>
      <c r="N765" t="str">
        <f ca="1">IFERROR(__xludf.DUMMYFUNCTION("""COMPUTED_VALUE"""),"")</f>
        <v/>
      </c>
      <c r="O765" t="str">
        <f ca="1">IFERROR(__xludf.DUMMYFUNCTION("""COMPUTED_VALUE"""),"")</f>
        <v/>
      </c>
      <c r="P765" t="str">
        <f ca="1">IFERROR(__xludf.DUMMYFUNCTION("""COMPUTED_VALUE"""),"")</f>
        <v/>
      </c>
      <c r="Q765" s="5" t="str">
        <f ca="1">IFERROR(__xludf.DUMMYFUNCTION("""COMPUTED_VALUE"""),"")</f>
        <v/>
      </c>
      <c r="R765" s="6" t="str">
        <f ca="1">IFERROR(__xludf.DUMMYFUNCTION("""COMPUTED_VALUE"""),"")</f>
        <v/>
      </c>
      <c r="S765" t="str">
        <f ca="1">IFERROR(__xludf.DUMMYFUNCTION("""COMPUTED_VALUE"""),"")</f>
        <v/>
      </c>
      <c r="T765" t="str">
        <f ca="1">IFERROR(__xludf.DUMMYFUNCTION("""COMPUTED_VALUE"""),"")</f>
        <v/>
      </c>
      <c r="U765" t="str">
        <f ca="1">IFERROR(__xludf.DUMMYFUNCTION("""COMPUTED_VALUE"""),"")</f>
        <v/>
      </c>
      <c r="V765" t="str">
        <f ca="1">IFERROR(__xludf.DUMMYFUNCTION("""COMPUTED_VALUE"""),"")</f>
        <v/>
      </c>
      <c r="W765" t="str">
        <f ca="1">IFERROR(__xludf.DUMMYFUNCTION("""COMPUTED_VALUE"""),"")</f>
        <v/>
      </c>
      <c r="X765" t="str">
        <f ca="1">IFERROR(__xludf.DUMMYFUNCTION("""COMPUTED_VALUE"""),"")</f>
        <v/>
      </c>
      <c r="Y765" t="str">
        <f ca="1">IFERROR(__xludf.DUMMYFUNCTION("""COMPUTED_VALUE"""),"")</f>
        <v/>
      </c>
      <c r="Z765" t="str">
        <f ca="1">IFERROR(__xludf.DUMMYFUNCTION("""COMPUTED_VALUE"""),"")</f>
        <v/>
      </c>
      <c r="AA765" t="str">
        <f ca="1">IFERROR(__xludf.DUMMYFUNCTION("""COMPUTED_VALUE"""),"Pas de commande")</f>
        <v>Pas de commande</v>
      </c>
      <c r="AB765" s="8" t="str">
        <f ca="1">IFERROR(__xludf.DUMMYFUNCTION("""COMPUTED_VALUE"""),"")</f>
        <v/>
      </c>
      <c r="AC765" s="8" t="str">
        <f ca="1">IFERROR(__xludf.DUMMYFUNCTION("""COMPUTED_VALUE"""),"")</f>
        <v/>
      </c>
      <c r="AD765" s="11" t="str">
        <f ca="1">IFERROR(__xludf.DUMMYFUNCTION("""COMPUTED_VALUE"""),"")</f>
        <v/>
      </c>
      <c r="AE765" t="str">
        <f ca="1">IFERROR(__xludf.DUMMYFUNCTION("""COMPUTED_VALUE"""),"")</f>
        <v/>
      </c>
    </row>
    <row r="766" spans="1:31" ht="12.75" x14ac:dyDescent="0.2">
      <c r="A766">
        <f ca="1">IFERROR(__xludf.DUMMYFUNCTION("""COMPUTED_VALUE"""),33727)</f>
        <v>33727</v>
      </c>
      <c r="B766" t="str">
        <f ca="1">IFERROR(__xludf.DUMMYFUNCTION("""COMPUTED_VALUE"""),"PLABENNEC")</f>
        <v>PLABENNEC</v>
      </c>
      <c r="C766" t="str">
        <f ca="1">IFERROR(__xludf.DUMMYFUNCTION("""COMPUTED_VALUE"""),"Super U")</f>
        <v>Super U</v>
      </c>
      <c r="D766" t="str">
        <f ca="1">IFERROR(__xludf.DUMMYFUNCTION("""COMPUTED_VALUE"""),"Coop U Enseigne Ouest")</f>
        <v>Coop U Enseigne Ouest</v>
      </c>
      <c r="E766">
        <f ca="1">IFERROR(__xludf.DUMMYFUNCTION("""COMPUTED_VALUE"""),29860)</f>
        <v>29860</v>
      </c>
      <c r="F766" t="str">
        <f ca="1">IFERROR(__xludf.DUMMYFUNCTION("""COMPUTED_VALUE"""),"14 RUE MARCEL BOUGUEN")</f>
        <v>14 RUE MARCEL BOUGUEN</v>
      </c>
      <c r="G766" t="str">
        <f ca="1">IFERROR(__xludf.DUMMYFUNCTION("""COMPUTED_VALUE"""),"02.98.37.60.74")</f>
        <v>02.98.37.60.74</v>
      </c>
      <c r="H766" t="str">
        <f ca="1">IFERROR(__xludf.DUMMYFUNCTION("""COMPUTED_VALUE"""),"BONSIGNE RPT SARL MS2B Bruno")</f>
        <v>BONSIGNE RPT SARL MS2B Bruno</v>
      </c>
      <c r="I766" t="str">
        <f ca="1">IFERROR(__xludf.DUMMYFUNCTION("""COMPUTED_VALUE"""),"bruno.bonsigne@systeme-u.fr")</f>
        <v>bruno.bonsigne@systeme-u.fr</v>
      </c>
      <c r="J766" t="str">
        <f ca="1">IFERROR(__xludf.DUMMYFUNCTION("""COMPUTED_VALUE"""),"Mme Ferreira (comptable - Pilote)")</f>
        <v>Mme Ferreira (comptable - Pilote)</v>
      </c>
      <c r="K766" t="str">
        <f ca="1">IFERROR(__xludf.DUMMYFUNCTION("""COMPUTED_VALUE"""),"superu.plabennec.compta1@systeme-u.fr")</f>
        <v>superu.plabennec.compta1@systeme-u.fr</v>
      </c>
      <c r="L766" t="str">
        <f ca="1">IFERROR(__xludf.DUMMYFUNCTION("""COMPUTED_VALUE"""),"")</f>
        <v/>
      </c>
      <c r="M766" t="str">
        <f ca="1">IFERROR(__xludf.DUMMYFUNCTION("""COMPUTED_VALUE"""),"99.Hors Périmetre")</f>
        <v>99.Hors Périmetre</v>
      </c>
      <c r="N766" t="str">
        <f ca="1">IFERROR(__xludf.DUMMYFUNCTION("""COMPUTED_VALUE"""),"")</f>
        <v/>
      </c>
      <c r="O766" t="str">
        <f ca="1">IFERROR(__xludf.DUMMYFUNCTION("""COMPUTED_VALUE"""),"")</f>
        <v/>
      </c>
      <c r="P766" t="str">
        <f ca="1">IFERROR(__xludf.DUMMYFUNCTION("""COMPUTED_VALUE"""),"")</f>
        <v/>
      </c>
      <c r="Q766" s="5" t="str">
        <f ca="1">IFERROR(__xludf.DUMMYFUNCTION("""COMPUTED_VALUE"""),"")</f>
        <v/>
      </c>
      <c r="R766" s="6" t="str">
        <f ca="1">IFERROR(__xludf.DUMMYFUNCTION("""COMPUTED_VALUE"""),"")</f>
        <v/>
      </c>
      <c r="S766" t="str">
        <f ca="1">IFERROR(__xludf.DUMMYFUNCTION("""COMPUTED_VALUE"""),"")</f>
        <v/>
      </c>
      <c r="T766" t="str">
        <f ca="1">IFERROR(__xludf.DUMMYFUNCTION("""COMPUTED_VALUE"""),"")</f>
        <v/>
      </c>
      <c r="U766" t="str">
        <f ca="1">IFERROR(__xludf.DUMMYFUNCTION("""COMPUTED_VALUE"""),"")</f>
        <v/>
      </c>
      <c r="V766" t="str">
        <f ca="1">IFERROR(__xludf.DUMMYFUNCTION("""COMPUTED_VALUE"""),"")</f>
        <v/>
      </c>
      <c r="W766" t="str">
        <f ca="1">IFERROR(__xludf.DUMMYFUNCTION("""COMPUTED_VALUE"""),"")</f>
        <v/>
      </c>
      <c r="X766" t="str">
        <f ca="1">IFERROR(__xludf.DUMMYFUNCTION("""COMPUTED_VALUE"""),"")</f>
        <v/>
      </c>
      <c r="Y766" t="str">
        <f ca="1">IFERROR(__xludf.DUMMYFUNCTION("""COMPUTED_VALUE"""),"")</f>
        <v/>
      </c>
      <c r="Z766" t="str">
        <f ca="1">IFERROR(__xludf.DUMMYFUNCTION("""COMPUTED_VALUE"""),"")</f>
        <v/>
      </c>
      <c r="AA766" t="str">
        <f ca="1">IFERROR(__xludf.DUMMYFUNCTION("""COMPUTED_VALUE"""),"Pas de commande")</f>
        <v>Pas de commande</v>
      </c>
      <c r="AB766" s="8" t="str">
        <f ca="1">IFERROR(__xludf.DUMMYFUNCTION("""COMPUTED_VALUE"""),"")</f>
        <v/>
      </c>
      <c r="AC766" s="8" t="str">
        <f ca="1">IFERROR(__xludf.DUMMYFUNCTION("""COMPUTED_VALUE"""),"")</f>
        <v/>
      </c>
      <c r="AD766" s="11" t="str">
        <f ca="1">IFERROR(__xludf.DUMMYFUNCTION("""COMPUTED_VALUE"""),"")</f>
        <v/>
      </c>
      <c r="AE766" t="str">
        <f ca="1">IFERROR(__xludf.DUMMYFUNCTION("""COMPUTED_VALUE"""),"")</f>
        <v/>
      </c>
    </row>
    <row r="767" spans="1:31" ht="12.75" x14ac:dyDescent="0.2">
      <c r="A767">
        <f ca="1">IFERROR(__xludf.DUMMYFUNCTION("""COMPUTED_VALUE"""),37939)</f>
        <v>37939</v>
      </c>
      <c r="B767" t="str">
        <f ca="1">IFERROR(__xludf.DUMMYFUNCTION("""COMPUTED_VALUE"""),"PLACE D ARMES")</f>
        <v>PLACE D ARMES</v>
      </c>
      <c r="C767" t="str">
        <f ca="1">IFERROR(__xludf.DUMMYFUNCTION("""COMPUTED_VALUE"""),"Hyper U")</f>
        <v>Hyper U</v>
      </c>
      <c r="D767" t="str">
        <f ca="1">IFERROR(__xludf.DUMMYFUNCTION("""COMPUTED_VALUE"""),"Coop U Enseigne Ouest")</f>
        <v>Coop U Enseigne Ouest</v>
      </c>
      <c r="E767">
        <f ca="1">IFERROR(__xludf.DUMMYFUNCTION("""COMPUTED_VALUE"""),97232)</f>
        <v>97232</v>
      </c>
      <c r="F767" t="str">
        <f ca="1">IFERROR(__xludf.DUMMYFUNCTION("""COMPUTED_VALUE"""),"4, CENTRE COMM. PLACE D ARMES")</f>
        <v>4, CENTRE COMM. PLACE D ARMES</v>
      </c>
      <c r="G767" t="str">
        <f ca="1">IFERROR(__xludf.DUMMYFUNCTION("""COMPUTED_VALUE"""),"05.96.30.03.30")</f>
        <v>05.96.30.03.30</v>
      </c>
      <c r="H767" t="str">
        <f ca="1">IFERROR(__xludf.DUMMYFUNCTION("""COMPUTED_VALUE"""),"PARFAIT Robert")</f>
        <v>PARFAIT Robert</v>
      </c>
      <c r="I767" t="str">
        <f ca="1">IFERROR(__xludf.DUMMYFUNCTION("""COMPUTED_VALUE"""),"robert.parfait@systeme-u.fr")</f>
        <v>robert.parfait@systeme-u.fr</v>
      </c>
      <c r="J767" t="str">
        <f ca="1">IFERROR(__xludf.DUMMYFUNCTION("""COMPUTED_VALUE"""),"ALBERT Julie")</f>
        <v>ALBERT Julie</v>
      </c>
      <c r="K767" t="str">
        <f ca="1">IFERROR(__xludf.DUMMYFUNCTION("""COMPUTED_VALUE"""),"julie.albert@uantilles.com,martine.crevecoeur@systeme-u.fr")</f>
        <v>julie.albert@uantilles.com,martine.crevecoeur@systeme-u.fr</v>
      </c>
      <c r="L767" t="str">
        <f ca="1">IFERROR(__xludf.DUMMYFUNCTION("""COMPUTED_VALUE"""),"")</f>
        <v/>
      </c>
      <c r="M767" t="str">
        <f ca="1">IFERROR(__xludf.DUMMYFUNCTION("""COMPUTED_VALUE"""),"99.Hors Périmetre")</f>
        <v>99.Hors Périmetre</v>
      </c>
      <c r="N767" t="str">
        <f ca="1">IFERROR(__xludf.DUMMYFUNCTION("""COMPUTED_VALUE"""),"")</f>
        <v/>
      </c>
      <c r="O767" t="str">
        <f ca="1">IFERROR(__xludf.DUMMYFUNCTION("""COMPUTED_VALUE"""),"")</f>
        <v/>
      </c>
      <c r="P767" t="str">
        <f ca="1">IFERROR(__xludf.DUMMYFUNCTION("""COMPUTED_VALUE"""),"")</f>
        <v/>
      </c>
      <c r="Q767" s="5" t="str">
        <f ca="1">IFERROR(__xludf.DUMMYFUNCTION("""COMPUTED_VALUE"""),"")</f>
        <v/>
      </c>
      <c r="R767" s="6" t="str">
        <f ca="1">IFERROR(__xludf.DUMMYFUNCTION("""COMPUTED_VALUE"""),"")</f>
        <v/>
      </c>
      <c r="S767" t="str">
        <f ca="1">IFERROR(__xludf.DUMMYFUNCTION("""COMPUTED_VALUE"""),"")</f>
        <v/>
      </c>
      <c r="T767" t="str">
        <f ca="1">IFERROR(__xludf.DUMMYFUNCTION("""COMPUTED_VALUE"""),"")</f>
        <v/>
      </c>
      <c r="U767" t="str">
        <f ca="1">IFERROR(__xludf.DUMMYFUNCTION("""COMPUTED_VALUE"""),"")</f>
        <v/>
      </c>
      <c r="V767" t="str">
        <f ca="1">IFERROR(__xludf.DUMMYFUNCTION("""COMPUTED_VALUE"""),"")</f>
        <v/>
      </c>
      <c r="W767" t="str">
        <f ca="1">IFERROR(__xludf.DUMMYFUNCTION("""COMPUTED_VALUE"""),"")</f>
        <v/>
      </c>
      <c r="X767" t="str">
        <f ca="1">IFERROR(__xludf.DUMMYFUNCTION("""COMPUTED_VALUE"""),"")</f>
        <v/>
      </c>
      <c r="Y767" t="str">
        <f ca="1">IFERROR(__xludf.DUMMYFUNCTION("""COMPUTED_VALUE"""),"")</f>
        <v/>
      </c>
      <c r="Z767" t="str">
        <f ca="1">IFERROR(__xludf.DUMMYFUNCTION("""COMPUTED_VALUE"""),"")</f>
        <v/>
      </c>
      <c r="AA767" t="str">
        <f ca="1">IFERROR(__xludf.DUMMYFUNCTION("""COMPUTED_VALUE"""),"Pas de commande")</f>
        <v>Pas de commande</v>
      </c>
      <c r="AB767" s="8" t="str">
        <f ca="1">IFERROR(__xludf.DUMMYFUNCTION("""COMPUTED_VALUE"""),"")</f>
        <v/>
      </c>
      <c r="AC767" s="8" t="str">
        <f ca="1">IFERROR(__xludf.DUMMYFUNCTION("""COMPUTED_VALUE"""),"")</f>
        <v/>
      </c>
      <c r="AD767" s="11" t="str">
        <f ca="1">IFERROR(__xludf.DUMMYFUNCTION("""COMPUTED_VALUE"""),"")</f>
        <v/>
      </c>
      <c r="AE767" t="str">
        <f ca="1">IFERROR(__xludf.DUMMYFUNCTION("""COMPUTED_VALUE"""),"")</f>
        <v/>
      </c>
    </row>
    <row r="768" spans="1:31" ht="12.75" x14ac:dyDescent="0.2">
      <c r="A768">
        <f ca="1">IFERROR(__xludf.DUMMYFUNCTION("""COMPUTED_VALUE"""),33840)</f>
        <v>33840</v>
      </c>
      <c r="B768" t="str">
        <f ca="1">IFERROR(__xludf.DUMMYFUNCTION("""COMPUTED_VALUE"""),"PLANCOET")</f>
        <v>PLANCOET</v>
      </c>
      <c r="C768" t="str">
        <f ca="1">IFERROR(__xludf.DUMMYFUNCTION("""COMPUTED_VALUE"""),"Hyper U")</f>
        <v>Hyper U</v>
      </c>
      <c r="D768" t="str">
        <f ca="1">IFERROR(__xludf.DUMMYFUNCTION("""COMPUTED_VALUE"""),"Coop U Enseigne Ouest")</f>
        <v>Coop U Enseigne Ouest</v>
      </c>
      <c r="E768">
        <f ca="1">IFERROR(__xludf.DUMMYFUNCTION("""COMPUTED_VALUE"""),22130)</f>
        <v>22130</v>
      </c>
      <c r="F768" t="str">
        <f ca="1">IFERROR(__xludf.DUMMYFUNCTION("""COMPUTED_VALUE"""),"RUE DU CONNETABLE DE CLISSON")</f>
        <v>RUE DU CONNETABLE DE CLISSON</v>
      </c>
      <c r="G768" t="str">
        <f ca="1">IFERROR(__xludf.DUMMYFUNCTION("""COMPUTED_VALUE"""),"02.96.89.40.10")</f>
        <v>02.96.89.40.10</v>
      </c>
      <c r="H768" t="str">
        <f ca="1">IFERROR(__xludf.DUMMYFUNCTION("""COMPUTED_VALUE"""),"RAFFRAY RPT SAS LHR FINANCES Samuel")</f>
        <v>RAFFRAY RPT SAS LHR FINANCES Samuel</v>
      </c>
      <c r="I768" t="str">
        <f ca="1">IFERROR(__xludf.DUMMYFUNCTION("""COMPUTED_VALUE"""),"samuel.raffray@systeme-u.fr")</f>
        <v>samuel.raffray@systeme-u.fr</v>
      </c>
      <c r="J768" t="str">
        <f ca="1">IFERROR(__xludf.DUMMYFUNCTION("""COMPUTED_VALUE"""),"Stéphane LECUYER
Guillaume BOUGET")</f>
        <v>Stéphane LECUYER
Guillaume BOUGET</v>
      </c>
      <c r="K768" t="str">
        <f ca="1">IFERROR(__xludf.DUMMYFUNCTION("""COMPUTED_VALUE"""),"stephane.lecuyer@systeme-u.fr,guillaume.bouget@systeme-u.fr")</f>
        <v>stephane.lecuyer@systeme-u.fr,guillaume.bouget@systeme-u.fr</v>
      </c>
      <c r="L768" t="str">
        <f ca="1">IFERROR(__xludf.DUMMYFUNCTION("""COMPUTED_VALUE"""),"")</f>
        <v/>
      </c>
      <c r="M768" t="str">
        <f ca="1">IFERROR(__xludf.DUMMYFUNCTION("""COMPUTED_VALUE"""),"99.Hors Périmetre")</f>
        <v>99.Hors Périmetre</v>
      </c>
      <c r="N768" t="str">
        <f ca="1">IFERROR(__xludf.DUMMYFUNCTION("""COMPUTED_VALUE"""),"")</f>
        <v/>
      </c>
      <c r="O768" t="str">
        <f ca="1">IFERROR(__xludf.DUMMYFUNCTION("""COMPUTED_VALUE"""),"")</f>
        <v/>
      </c>
      <c r="P768" t="str">
        <f ca="1">IFERROR(__xludf.DUMMYFUNCTION("""COMPUTED_VALUE"""),"")</f>
        <v/>
      </c>
      <c r="Q768" s="5" t="str">
        <f ca="1">IFERROR(__xludf.DUMMYFUNCTION("""COMPUTED_VALUE"""),"")</f>
        <v/>
      </c>
      <c r="R768" s="6" t="str">
        <f ca="1">IFERROR(__xludf.DUMMYFUNCTION("""COMPUTED_VALUE"""),"")</f>
        <v/>
      </c>
      <c r="S768" t="str">
        <f ca="1">IFERROR(__xludf.DUMMYFUNCTION("""COMPUTED_VALUE"""),"")</f>
        <v/>
      </c>
      <c r="T768" t="str">
        <f ca="1">IFERROR(__xludf.DUMMYFUNCTION("""COMPUTED_VALUE"""),"")</f>
        <v/>
      </c>
      <c r="U768" t="str">
        <f ca="1">IFERROR(__xludf.DUMMYFUNCTION("""COMPUTED_VALUE"""),"")</f>
        <v/>
      </c>
      <c r="V768" t="str">
        <f ca="1">IFERROR(__xludf.DUMMYFUNCTION("""COMPUTED_VALUE"""),"")</f>
        <v/>
      </c>
      <c r="W768" t="str">
        <f ca="1">IFERROR(__xludf.DUMMYFUNCTION("""COMPUTED_VALUE"""),"")</f>
        <v/>
      </c>
      <c r="X768" t="str">
        <f ca="1">IFERROR(__xludf.DUMMYFUNCTION("""COMPUTED_VALUE"""),"")</f>
        <v/>
      </c>
      <c r="Y768" t="str">
        <f ca="1">IFERROR(__xludf.DUMMYFUNCTION("""COMPUTED_VALUE"""),"")</f>
        <v/>
      </c>
      <c r="Z768" t="str">
        <f ca="1">IFERROR(__xludf.DUMMYFUNCTION("""COMPUTED_VALUE"""),"")</f>
        <v/>
      </c>
      <c r="AA768" t="str">
        <f ca="1">IFERROR(__xludf.DUMMYFUNCTION("""COMPUTED_VALUE"""),"Pas de commande")</f>
        <v>Pas de commande</v>
      </c>
      <c r="AB768" s="8" t="str">
        <f ca="1">IFERROR(__xludf.DUMMYFUNCTION("""COMPUTED_VALUE"""),"")</f>
        <v/>
      </c>
      <c r="AC768" s="8" t="str">
        <f ca="1">IFERROR(__xludf.DUMMYFUNCTION("""COMPUTED_VALUE"""),"")</f>
        <v/>
      </c>
      <c r="AD768" s="11" t="str">
        <f ca="1">IFERROR(__xludf.DUMMYFUNCTION("""COMPUTED_VALUE"""),"")</f>
        <v/>
      </c>
      <c r="AE768" t="str">
        <f ca="1">IFERROR(__xludf.DUMMYFUNCTION("""COMPUTED_VALUE"""),"")</f>
        <v/>
      </c>
    </row>
    <row r="769" spans="1:31" ht="12.75" x14ac:dyDescent="0.2">
      <c r="A769">
        <f ca="1">IFERROR(__xludf.DUMMYFUNCTION("""COMPUTED_VALUE"""),95195)</f>
        <v>95195</v>
      </c>
      <c r="B769" t="str">
        <f ca="1">IFERROR(__xludf.DUMMYFUNCTION("""COMPUTED_VALUE"""),"PLEAUX")</f>
        <v>PLEAUX</v>
      </c>
      <c r="C769" t="str">
        <f ca="1">IFERROR(__xludf.DUMMYFUNCTION("""COMPUTED_VALUE"""),"U Express")</f>
        <v>U Express</v>
      </c>
      <c r="D769" t="str">
        <f ca="1">IFERROR(__xludf.DUMMYFUNCTION("""COMPUTED_VALUE"""),"Coop U Enseigne Sud")</f>
        <v>Coop U Enseigne Sud</v>
      </c>
      <c r="E769">
        <f ca="1">IFERROR(__xludf.DUMMYFUNCTION("""COMPUTED_VALUE"""),15700)</f>
        <v>15700</v>
      </c>
      <c r="F769" t="str">
        <f ca="1">IFERROR(__xludf.DUMMYFUNCTION("""COMPUTED_VALUE"""),"27 RUE DU BOURNAT")</f>
        <v>27 RUE DU BOURNAT</v>
      </c>
      <c r="G769" t="str">
        <f ca="1">IFERROR(__xludf.DUMMYFUNCTION("""COMPUTED_VALUE"""),"04.71.40.44.78")</f>
        <v>04.71.40.44.78</v>
      </c>
      <c r="H769" t="str">
        <f ca="1">IFERROR(__xludf.DUMMYFUNCTION("""COMPUTED_VALUE"""),"DUCLAUX Odile")</f>
        <v>DUCLAUX Odile</v>
      </c>
      <c r="I769" t="str">
        <f ca="1">IFERROR(__xludf.DUMMYFUNCTION("""COMPUTED_VALUE"""),"david.rolot@systeme-u.fr")</f>
        <v>david.rolot@systeme-u.fr</v>
      </c>
      <c r="J769" t="str">
        <f ca="1">IFERROR(__xludf.DUMMYFUNCTION("""COMPUTED_VALUE"""),"Lassudrie Caroline - Duclaux Odile")</f>
        <v>Lassudrie Caroline - Duclaux Odile</v>
      </c>
      <c r="K769" t="str">
        <f ca="1">IFERROR(__xludf.DUMMYFUNCTION("""COMPUTED_VALUE"""),"uexpress.pleaux.direction@systeme-u.fr")</f>
        <v>uexpress.pleaux.direction@systeme-u.fr</v>
      </c>
      <c r="L769" t="str">
        <f ca="1">IFERROR(__xludf.DUMMYFUNCTION("""COMPUTED_VALUE"""),"")</f>
        <v/>
      </c>
      <c r="M769" t="str">
        <f ca="1">IFERROR(__xludf.DUMMYFUNCTION("""COMPUTED_VALUE"""),"99.Hors Périmetre")</f>
        <v>99.Hors Périmetre</v>
      </c>
      <c r="N769" t="str">
        <f ca="1">IFERROR(__xludf.DUMMYFUNCTION("""COMPUTED_VALUE"""),"")</f>
        <v/>
      </c>
      <c r="O769" t="str">
        <f ca="1">IFERROR(__xludf.DUMMYFUNCTION("""COMPUTED_VALUE"""),"")</f>
        <v/>
      </c>
      <c r="P769" t="str">
        <f ca="1">IFERROR(__xludf.DUMMYFUNCTION("""COMPUTED_VALUE"""),"")</f>
        <v/>
      </c>
      <c r="Q769" s="5" t="str">
        <f ca="1">IFERROR(__xludf.DUMMYFUNCTION("""COMPUTED_VALUE"""),"")</f>
        <v/>
      </c>
      <c r="R769" s="6" t="str">
        <f ca="1">IFERROR(__xludf.DUMMYFUNCTION("""COMPUTED_VALUE"""),"")</f>
        <v/>
      </c>
      <c r="S769" t="str">
        <f ca="1">IFERROR(__xludf.DUMMYFUNCTION("""COMPUTED_VALUE"""),"")</f>
        <v/>
      </c>
      <c r="T769" t="str">
        <f ca="1">IFERROR(__xludf.DUMMYFUNCTION("""COMPUTED_VALUE"""),"")</f>
        <v/>
      </c>
      <c r="U769" t="str">
        <f ca="1">IFERROR(__xludf.DUMMYFUNCTION("""COMPUTED_VALUE"""),"")</f>
        <v/>
      </c>
      <c r="V769" t="str">
        <f ca="1">IFERROR(__xludf.DUMMYFUNCTION("""COMPUTED_VALUE"""),"")</f>
        <v/>
      </c>
      <c r="W769" t="str">
        <f ca="1">IFERROR(__xludf.DUMMYFUNCTION("""COMPUTED_VALUE"""),"")</f>
        <v/>
      </c>
      <c r="X769" t="str">
        <f ca="1">IFERROR(__xludf.DUMMYFUNCTION("""COMPUTED_VALUE"""),"")</f>
        <v/>
      </c>
      <c r="Y769" t="str">
        <f ca="1">IFERROR(__xludf.DUMMYFUNCTION("""COMPUTED_VALUE"""),"")</f>
        <v/>
      </c>
      <c r="Z769" t="str">
        <f ca="1">IFERROR(__xludf.DUMMYFUNCTION("""COMPUTED_VALUE"""),"")</f>
        <v/>
      </c>
      <c r="AA769" t="str">
        <f ca="1">IFERROR(__xludf.DUMMYFUNCTION("""COMPUTED_VALUE"""),"Pas de commande")</f>
        <v>Pas de commande</v>
      </c>
      <c r="AB769" s="8" t="str">
        <f ca="1">IFERROR(__xludf.DUMMYFUNCTION("""COMPUTED_VALUE"""),"")</f>
        <v/>
      </c>
      <c r="AC769" s="8" t="str">
        <f ca="1">IFERROR(__xludf.DUMMYFUNCTION("""COMPUTED_VALUE"""),"")</f>
        <v/>
      </c>
      <c r="AD769" s="11" t="str">
        <f ca="1">IFERROR(__xludf.DUMMYFUNCTION("""COMPUTED_VALUE"""),"")</f>
        <v/>
      </c>
      <c r="AE769" t="str">
        <f ca="1">IFERROR(__xludf.DUMMYFUNCTION("""COMPUTED_VALUE"""),"")</f>
        <v/>
      </c>
    </row>
    <row r="770" spans="1:31" ht="12.75" x14ac:dyDescent="0.2">
      <c r="A770">
        <f ca="1">IFERROR(__xludf.DUMMYFUNCTION("""COMPUTED_VALUE"""),32852)</f>
        <v>32852</v>
      </c>
      <c r="B770" t="str">
        <f ca="1">IFERROR(__xludf.DUMMYFUNCTION("""COMPUTED_VALUE"""),"PLELAN-LE GRAND")</f>
        <v>PLELAN-LE GRAND</v>
      </c>
      <c r="C770" t="str">
        <f ca="1">IFERROR(__xludf.DUMMYFUNCTION("""COMPUTED_VALUE"""),"Super U")</f>
        <v>Super U</v>
      </c>
      <c r="D770" t="str">
        <f ca="1">IFERROR(__xludf.DUMMYFUNCTION("""COMPUTED_VALUE"""),"Coop U Enseigne Ouest")</f>
        <v>Coop U Enseigne Ouest</v>
      </c>
      <c r="E770">
        <f ca="1">IFERROR(__xludf.DUMMYFUNCTION("""COMPUTED_VALUE"""),35380)</f>
        <v>35380</v>
      </c>
      <c r="F770" t="str">
        <f ca="1">IFERROR(__xludf.DUMMYFUNCTION("""COMPUTED_VALUE"""),"RUE DE LA VALLÉE DU CAST")</f>
        <v>RUE DE LA VALLÉE DU CAST</v>
      </c>
      <c r="G770" t="str">
        <f ca="1">IFERROR(__xludf.DUMMYFUNCTION("""COMPUTED_VALUE"""),"02.99.06.97.48")</f>
        <v>02.99.06.97.48</v>
      </c>
      <c r="H770" t="str">
        <f ca="1">IFERROR(__xludf.DUMMYFUNCTION("""COMPUTED_VALUE"""),"PERRIER RPT SARL P.G. FINANCES David")</f>
        <v>PERRIER RPT SARL P.G. FINANCES David</v>
      </c>
      <c r="I770" t="str">
        <f ca="1">IFERROR(__xludf.DUMMYFUNCTION("""COMPUTED_VALUE"""),"david.perrier@systeme-u.fr")</f>
        <v>david.perrier@systeme-u.fr</v>
      </c>
      <c r="J770" t="str">
        <f ca="1">IFERROR(__xludf.DUMMYFUNCTION("""COMPUTED_VALUE"""),"Morgane PERRIER")</f>
        <v>Morgane PERRIER</v>
      </c>
      <c r="K770" t="str">
        <f ca="1">IFERROR(__xludf.DUMMYFUNCTION("""COMPUTED_VALUE"""),"morgane.perrier@systeme-u.fr")</f>
        <v>morgane.perrier@systeme-u.fr</v>
      </c>
      <c r="L770" t="str">
        <f ca="1">IFERROR(__xludf.DUMMYFUNCTION("""COMPUTED_VALUE"""),"")</f>
        <v/>
      </c>
      <c r="M770" t="str">
        <f ca="1">IFERROR(__xludf.DUMMYFUNCTION("""COMPUTED_VALUE"""),"99.Hors Périmetre")</f>
        <v>99.Hors Périmetre</v>
      </c>
      <c r="N770" t="str">
        <f ca="1">IFERROR(__xludf.DUMMYFUNCTION("""COMPUTED_VALUE"""),"")</f>
        <v/>
      </c>
      <c r="O770" t="str">
        <f ca="1">IFERROR(__xludf.DUMMYFUNCTION("""COMPUTED_VALUE"""),"")</f>
        <v/>
      </c>
      <c r="P770" t="str">
        <f ca="1">IFERROR(__xludf.DUMMYFUNCTION("""COMPUTED_VALUE"""),"")</f>
        <v/>
      </c>
      <c r="Q770" s="5" t="str">
        <f ca="1">IFERROR(__xludf.DUMMYFUNCTION("""COMPUTED_VALUE"""),"")</f>
        <v/>
      </c>
      <c r="R770" s="6" t="str">
        <f ca="1">IFERROR(__xludf.DUMMYFUNCTION("""COMPUTED_VALUE"""),"")</f>
        <v/>
      </c>
      <c r="S770" t="str">
        <f ca="1">IFERROR(__xludf.DUMMYFUNCTION("""COMPUTED_VALUE"""),"")</f>
        <v/>
      </c>
      <c r="T770" t="str">
        <f ca="1">IFERROR(__xludf.DUMMYFUNCTION("""COMPUTED_VALUE"""),"")</f>
        <v/>
      </c>
      <c r="U770" t="str">
        <f ca="1">IFERROR(__xludf.DUMMYFUNCTION("""COMPUTED_VALUE"""),"")</f>
        <v/>
      </c>
      <c r="V770" t="str">
        <f ca="1">IFERROR(__xludf.DUMMYFUNCTION("""COMPUTED_VALUE"""),"")</f>
        <v/>
      </c>
      <c r="W770" t="str">
        <f ca="1">IFERROR(__xludf.DUMMYFUNCTION("""COMPUTED_VALUE"""),"")</f>
        <v/>
      </c>
      <c r="X770" t="str">
        <f ca="1">IFERROR(__xludf.DUMMYFUNCTION("""COMPUTED_VALUE"""),"")</f>
        <v/>
      </c>
      <c r="Y770" t="str">
        <f ca="1">IFERROR(__xludf.DUMMYFUNCTION("""COMPUTED_VALUE"""),"")</f>
        <v/>
      </c>
      <c r="Z770" t="str">
        <f ca="1">IFERROR(__xludf.DUMMYFUNCTION("""COMPUTED_VALUE"""),"")</f>
        <v/>
      </c>
      <c r="AA770" t="str">
        <f ca="1">IFERROR(__xludf.DUMMYFUNCTION("""COMPUTED_VALUE"""),"Pas de commande")</f>
        <v>Pas de commande</v>
      </c>
      <c r="AB770" s="8" t="str">
        <f ca="1">IFERROR(__xludf.DUMMYFUNCTION("""COMPUTED_VALUE"""),"")</f>
        <v/>
      </c>
      <c r="AC770" s="8" t="str">
        <f ca="1">IFERROR(__xludf.DUMMYFUNCTION("""COMPUTED_VALUE"""),"")</f>
        <v/>
      </c>
      <c r="AD770" s="11" t="str">
        <f ca="1">IFERROR(__xludf.DUMMYFUNCTION("""COMPUTED_VALUE"""),"")</f>
        <v/>
      </c>
      <c r="AE770" t="str">
        <f ca="1">IFERROR(__xludf.DUMMYFUNCTION("""COMPUTED_VALUE"""),"")</f>
        <v/>
      </c>
    </row>
    <row r="771" spans="1:31" ht="12.75" x14ac:dyDescent="0.2">
      <c r="A771">
        <f ca="1">IFERROR(__xludf.DUMMYFUNCTION("""COMPUTED_VALUE"""),35339)</f>
        <v>35339</v>
      </c>
      <c r="B771" t="str">
        <f ca="1">IFERROR(__xludf.DUMMYFUNCTION("""COMPUTED_VALUE"""),"PLEMET")</f>
        <v>PLEMET</v>
      </c>
      <c r="C771" t="str">
        <f ca="1">IFERROR(__xludf.DUMMYFUNCTION("""COMPUTED_VALUE"""),"Super U")</f>
        <v>Super U</v>
      </c>
      <c r="D771" t="str">
        <f ca="1">IFERROR(__xludf.DUMMYFUNCTION("""COMPUTED_VALUE"""),"Coop U Enseigne Ouest")</f>
        <v>Coop U Enseigne Ouest</v>
      </c>
      <c r="E771">
        <f ca="1">IFERROR(__xludf.DUMMYFUNCTION("""COMPUTED_VALUE"""),22210)</f>
        <v>22210</v>
      </c>
      <c r="F771" t="str">
        <f ca="1">IFERROR(__xludf.DUMMYFUNCTION("""COMPUTED_VALUE"""),"RUE DE LA LIBERTÉ")</f>
        <v>RUE DE LA LIBERTÉ</v>
      </c>
      <c r="G771" t="str">
        <f ca="1">IFERROR(__xludf.DUMMYFUNCTION("""COMPUTED_VALUE"""),"02.96.25.73.40")</f>
        <v>02.96.25.73.40</v>
      </c>
      <c r="H771" t="str">
        <f ca="1">IFERROR(__xludf.DUMMYFUNCTION("""COMPUTED_VALUE"""),"CADORET Alain")</f>
        <v>CADORET Alain</v>
      </c>
      <c r="I771" t="str">
        <f ca="1">IFERROR(__xludf.DUMMYFUNCTION("""COMPUTED_VALUE"""),"alain.cadoret@systeme-u.fr")</f>
        <v>alain.cadoret@systeme-u.fr</v>
      </c>
      <c r="J771" t="str">
        <f ca="1">IFERROR(__xludf.DUMMYFUNCTION("""COMPUTED_VALUE"""),"")</f>
        <v/>
      </c>
      <c r="K771" t="str">
        <f ca="1">IFERROR(__xludf.DUMMYFUNCTION("""COMPUTED_VALUE"""),"")</f>
        <v/>
      </c>
      <c r="L771" t="str">
        <f ca="1">IFERROR(__xludf.DUMMYFUNCTION("""COMPUTED_VALUE"""),"")</f>
        <v/>
      </c>
      <c r="M771" t="str">
        <f ca="1">IFERROR(__xludf.DUMMYFUNCTION("""COMPUTED_VALUE"""),"99.Hors Périmetre")</f>
        <v>99.Hors Périmetre</v>
      </c>
      <c r="N771" t="str">
        <f ca="1">IFERROR(__xludf.DUMMYFUNCTION("""COMPUTED_VALUE"""),"")</f>
        <v/>
      </c>
      <c r="O771" t="str">
        <f ca="1">IFERROR(__xludf.DUMMYFUNCTION("""COMPUTED_VALUE"""),"")</f>
        <v/>
      </c>
      <c r="P771" t="str">
        <f ca="1">IFERROR(__xludf.DUMMYFUNCTION("""COMPUTED_VALUE"""),"")</f>
        <v/>
      </c>
      <c r="Q771" s="5" t="str">
        <f ca="1">IFERROR(__xludf.DUMMYFUNCTION("""COMPUTED_VALUE"""),"")</f>
        <v/>
      </c>
      <c r="R771" s="6" t="str">
        <f ca="1">IFERROR(__xludf.DUMMYFUNCTION("""COMPUTED_VALUE"""),"")</f>
        <v/>
      </c>
      <c r="S771" t="str">
        <f ca="1">IFERROR(__xludf.DUMMYFUNCTION("""COMPUTED_VALUE"""),"")</f>
        <v/>
      </c>
      <c r="T771" t="str">
        <f ca="1">IFERROR(__xludf.DUMMYFUNCTION("""COMPUTED_VALUE"""),"")</f>
        <v/>
      </c>
      <c r="U771" t="str">
        <f ca="1">IFERROR(__xludf.DUMMYFUNCTION("""COMPUTED_VALUE"""),"")</f>
        <v/>
      </c>
      <c r="V771" t="str">
        <f ca="1">IFERROR(__xludf.DUMMYFUNCTION("""COMPUTED_VALUE"""),"")</f>
        <v/>
      </c>
      <c r="W771" t="str">
        <f ca="1">IFERROR(__xludf.DUMMYFUNCTION("""COMPUTED_VALUE"""),"")</f>
        <v/>
      </c>
      <c r="X771" t="str">
        <f ca="1">IFERROR(__xludf.DUMMYFUNCTION("""COMPUTED_VALUE"""),"")</f>
        <v/>
      </c>
      <c r="Y771" t="str">
        <f ca="1">IFERROR(__xludf.DUMMYFUNCTION("""COMPUTED_VALUE"""),"")</f>
        <v/>
      </c>
      <c r="Z771" t="str">
        <f ca="1">IFERROR(__xludf.DUMMYFUNCTION("""COMPUTED_VALUE"""),"")</f>
        <v/>
      </c>
      <c r="AA771" t="str">
        <f ca="1">IFERROR(__xludf.DUMMYFUNCTION("""COMPUTED_VALUE"""),"Pas de commande")</f>
        <v>Pas de commande</v>
      </c>
      <c r="AB771" s="8" t="str">
        <f ca="1">IFERROR(__xludf.DUMMYFUNCTION("""COMPUTED_VALUE"""),"")</f>
        <v/>
      </c>
      <c r="AC771" s="8" t="str">
        <f ca="1">IFERROR(__xludf.DUMMYFUNCTION("""COMPUTED_VALUE"""),"")</f>
        <v/>
      </c>
      <c r="AD771" s="11" t="str">
        <f ca="1">IFERROR(__xludf.DUMMYFUNCTION("""COMPUTED_VALUE"""),"")</f>
        <v/>
      </c>
      <c r="AE771" t="str">
        <f ca="1">IFERROR(__xludf.DUMMYFUNCTION("""COMPUTED_VALUE"""),"")</f>
        <v/>
      </c>
    </row>
    <row r="772" spans="1:31" ht="12.75" x14ac:dyDescent="0.2">
      <c r="A772">
        <f ca="1">IFERROR(__xludf.DUMMYFUNCTION("""COMPUTED_VALUE"""),37978)</f>
        <v>37978</v>
      </c>
      <c r="B772" t="str">
        <f ca="1">IFERROR(__xludf.DUMMYFUNCTION("""COMPUTED_VALUE"""),"PLERGUER")</f>
        <v>PLERGUER</v>
      </c>
      <c r="C772" t="str">
        <f ca="1">IFERROR(__xludf.DUMMYFUNCTION("""COMPUTED_VALUE"""),"U Express")</f>
        <v>U Express</v>
      </c>
      <c r="D772" t="str">
        <f ca="1">IFERROR(__xludf.DUMMYFUNCTION("""COMPUTED_VALUE"""),"Coop U Enseigne Ouest")</f>
        <v>Coop U Enseigne Ouest</v>
      </c>
      <c r="E772">
        <f ca="1">IFERROR(__xludf.DUMMYFUNCTION("""COMPUTED_VALUE"""),35540)</f>
        <v>35540</v>
      </c>
      <c r="F772" t="str">
        <f ca="1">IFERROR(__xludf.DUMMYFUNCTION("""COMPUTED_VALUE"""),"LE PUITS SALIOU")</f>
        <v>LE PUITS SALIOU</v>
      </c>
      <c r="G772" t="str">
        <f ca="1">IFERROR(__xludf.DUMMYFUNCTION("""COMPUTED_VALUE"""),"02.99.58.94.18")</f>
        <v>02.99.58.94.18</v>
      </c>
      <c r="H772" t="str">
        <f ca="1">IFERROR(__xludf.DUMMYFUNCTION("""COMPUTED_VALUE"""),"LESOUEF Christian")</f>
        <v>LESOUEF Christian</v>
      </c>
      <c r="I772" t="str">
        <f ca="1">IFERROR(__xludf.DUMMYFUNCTION("""COMPUTED_VALUE"""),"christian.lesouef@systeme-u.fr")</f>
        <v>christian.lesouef@systeme-u.fr</v>
      </c>
      <c r="J772" t="str">
        <f ca="1">IFERROR(__xludf.DUMMYFUNCTION("""COMPUTED_VALUE"""),"")</f>
        <v/>
      </c>
      <c r="K772" t="str">
        <f ca="1">IFERROR(__xludf.DUMMYFUNCTION("""COMPUTED_VALUE"""),"")</f>
        <v/>
      </c>
      <c r="L772" t="str">
        <f ca="1">IFERROR(__xludf.DUMMYFUNCTION("""COMPUTED_VALUE"""),"")</f>
        <v/>
      </c>
      <c r="M772" t="str">
        <f ca="1">IFERROR(__xludf.DUMMYFUNCTION("""COMPUTED_VALUE"""),"99.Hors Périmetre")</f>
        <v>99.Hors Périmetre</v>
      </c>
      <c r="N772" t="str">
        <f ca="1">IFERROR(__xludf.DUMMYFUNCTION("""COMPUTED_VALUE"""),"")</f>
        <v/>
      </c>
      <c r="O772" t="str">
        <f ca="1">IFERROR(__xludf.DUMMYFUNCTION("""COMPUTED_VALUE"""),"")</f>
        <v/>
      </c>
      <c r="P772" t="str">
        <f ca="1">IFERROR(__xludf.DUMMYFUNCTION("""COMPUTED_VALUE"""),"")</f>
        <v/>
      </c>
      <c r="Q772" s="5" t="str">
        <f ca="1">IFERROR(__xludf.DUMMYFUNCTION("""COMPUTED_VALUE"""),"")</f>
        <v/>
      </c>
      <c r="R772" s="6" t="str">
        <f ca="1">IFERROR(__xludf.DUMMYFUNCTION("""COMPUTED_VALUE"""),"")</f>
        <v/>
      </c>
      <c r="S772" t="str">
        <f ca="1">IFERROR(__xludf.DUMMYFUNCTION("""COMPUTED_VALUE"""),"")</f>
        <v/>
      </c>
      <c r="T772" t="str">
        <f ca="1">IFERROR(__xludf.DUMMYFUNCTION("""COMPUTED_VALUE"""),"")</f>
        <v/>
      </c>
      <c r="U772" t="str">
        <f ca="1">IFERROR(__xludf.DUMMYFUNCTION("""COMPUTED_VALUE"""),"")</f>
        <v/>
      </c>
      <c r="V772" t="str">
        <f ca="1">IFERROR(__xludf.DUMMYFUNCTION("""COMPUTED_VALUE"""),"")</f>
        <v/>
      </c>
      <c r="W772" t="str">
        <f ca="1">IFERROR(__xludf.DUMMYFUNCTION("""COMPUTED_VALUE"""),"")</f>
        <v/>
      </c>
      <c r="X772" t="str">
        <f ca="1">IFERROR(__xludf.DUMMYFUNCTION("""COMPUTED_VALUE"""),"")</f>
        <v/>
      </c>
      <c r="Y772" t="str">
        <f ca="1">IFERROR(__xludf.DUMMYFUNCTION("""COMPUTED_VALUE"""),"")</f>
        <v/>
      </c>
      <c r="Z772" t="str">
        <f ca="1">IFERROR(__xludf.DUMMYFUNCTION("""COMPUTED_VALUE"""),"")</f>
        <v/>
      </c>
      <c r="AA772" t="str">
        <f ca="1">IFERROR(__xludf.DUMMYFUNCTION("""COMPUTED_VALUE"""),"Pas de commande")</f>
        <v>Pas de commande</v>
      </c>
      <c r="AB772" s="8" t="str">
        <f ca="1">IFERROR(__xludf.DUMMYFUNCTION("""COMPUTED_VALUE"""),"")</f>
        <v/>
      </c>
      <c r="AC772" s="8" t="str">
        <f ca="1">IFERROR(__xludf.DUMMYFUNCTION("""COMPUTED_VALUE"""),"")</f>
        <v/>
      </c>
      <c r="AD772" s="11" t="str">
        <f ca="1">IFERROR(__xludf.DUMMYFUNCTION("""COMPUTED_VALUE"""),"")</f>
        <v/>
      </c>
      <c r="AE772" t="str">
        <f ca="1">IFERROR(__xludf.DUMMYFUNCTION("""COMPUTED_VALUE"""),"")</f>
        <v/>
      </c>
    </row>
    <row r="773" spans="1:31" ht="12.75" x14ac:dyDescent="0.2">
      <c r="A773">
        <f ca="1">IFERROR(__xludf.DUMMYFUNCTION("""COMPUTED_VALUE"""),33883)</f>
        <v>33883</v>
      </c>
      <c r="B773" t="str">
        <f ca="1">IFERROR(__xludf.DUMMYFUNCTION("""COMPUTED_VALUE"""),"PLESTIN-LES GREVES")</f>
        <v>PLESTIN-LES GREVES</v>
      </c>
      <c r="C773" t="str">
        <f ca="1">IFERROR(__xludf.DUMMYFUNCTION("""COMPUTED_VALUE"""),"Super U")</f>
        <v>Super U</v>
      </c>
      <c r="D773" t="str">
        <f ca="1">IFERROR(__xludf.DUMMYFUNCTION("""COMPUTED_VALUE"""),"Coop U Enseigne Ouest")</f>
        <v>Coop U Enseigne Ouest</v>
      </c>
      <c r="E773">
        <f ca="1">IFERROR(__xludf.DUMMYFUNCTION("""COMPUTED_VALUE"""),22310)</f>
        <v>22310</v>
      </c>
      <c r="F773" t="str">
        <f ca="1">IFERROR(__xludf.DUMMYFUNCTION("""COMPUTED_VALUE"""),"RUE DES CLOS")</f>
        <v>RUE DES CLOS</v>
      </c>
      <c r="G773" t="str">
        <f ca="1">IFERROR(__xludf.DUMMYFUNCTION("""COMPUTED_VALUE"""),"02.96.54.18.18")</f>
        <v>02.96.54.18.18</v>
      </c>
      <c r="H773" t="str">
        <f ca="1">IFERROR(__xludf.DUMMYFUNCTION("""COMPUTED_VALUE"""),"BOTHOREL RPT FINANCIERE CB Christine")</f>
        <v>BOTHOREL RPT FINANCIERE CB Christine</v>
      </c>
      <c r="I773" t="str">
        <f ca="1">IFERROR(__xludf.DUMMYFUNCTION("""COMPUTED_VALUE"""),"christine.bothorel@systeme-u.fr")</f>
        <v>christine.bothorel@systeme-u.fr</v>
      </c>
      <c r="J773" t="str">
        <f ca="1">IFERROR(__xludf.DUMMYFUNCTION("""COMPUTED_VALUE"""),"MAILLET Didier
MADEC Mireille")</f>
        <v>MAILLET Didier
MADEC Mireille</v>
      </c>
      <c r="K773" t="str">
        <f ca="1">IFERROR(__xludf.DUMMYFUNCTION("""COMPUTED_VALUE"""),"superu.plestinlesgreves.direction@systeme-u.fr,superu.plestinlesgreves.informatique@systeme-u.fr")</f>
        <v>superu.plestinlesgreves.direction@systeme-u.fr,superu.plestinlesgreves.informatique@systeme-u.fr</v>
      </c>
      <c r="L773" t="str">
        <f ca="1">IFERROR(__xludf.DUMMYFUNCTION("""COMPUTED_VALUE"""),"")</f>
        <v/>
      </c>
      <c r="M773" t="str">
        <f ca="1">IFERROR(__xludf.DUMMYFUNCTION("""COMPUTED_VALUE"""),"99.Hors Périmetre")</f>
        <v>99.Hors Périmetre</v>
      </c>
      <c r="N773" t="str">
        <f ca="1">IFERROR(__xludf.DUMMYFUNCTION("""COMPUTED_VALUE"""),"")</f>
        <v/>
      </c>
      <c r="O773" t="str">
        <f ca="1">IFERROR(__xludf.DUMMYFUNCTION("""COMPUTED_VALUE"""),"")</f>
        <v/>
      </c>
      <c r="P773" t="str">
        <f ca="1">IFERROR(__xludf.DUMMYFUNCTION("""COMPUTED_VALUE"""),"")</f>
        <v/>
      </c>
      <c r="Q773" s="5" t="str">
        <f ca="1">IFERROR(__xludf.DUMMYFUNCTION("""COMPUTED_VALUE"""),"")</f>
        <v/>
      </c>
      <c r="R773" s="6" t="str">
        <f ca="1">IFERROR(__xludf.DUMMYFUNCTION("""COMPUTED_VALUE"""),"")</f>
        <v/>
      </c>
      <c r="S773" t="str">
        <f ca="1">IFERROR(__xludf.DUMMYFUNCTION("""COMPUTED_VALUE"""),"")</f>
        <v/>
      </c>
      <c r="T773" t="str">
        <f ca="1">IFERROR(__xludf.DUMMYFUNCTION("""COMPUTED_VALUE"""),"")</f>
        <v/>
      </c>
      <c r="U773" t="str">
        <f ca="1">IFERROR(__xludf.DUMMYFUNCTION("""COMPUTED_VALUE"""),"")</f>
        <v/>
      </c>
      <c r="V773" t="str">
        <f ca="1">IFERROR(__xludf.DUMMYFUNCTION("""COMPUTED_VALUE"""),"")</f>
        <v/>
      </c>
      <c r="W773" t="str">
        <f ca="1">IFERROR(__xludf.DUMMYFUNCTION("""COMPUTED_VALUE"""),"")</f>
        <v/>
      </c>
      <c r="X773" t="str">
        <f ca="1">IFERROR(__xludf.DUMMYFUNCTION("""COMPUTED_VALUE"""),"")</f>
        <v/>
      </c>
      <c r="Y773" t="str">
        <f ca="1">IFERROR(__xludf.DUMMYFUNCTION("""COMPUTED_VALUE"""),"")</f>
        <v/>
      </c>
      <c r="Z773" t="str">
        <f ca="1">IFERROR(__xludf.DUMMYFUNCTION("""COMPUTED_VALUE"""),"")</f>
        <v/>
      </c>
      <c r="AA773" t="str">
        <f ca="1">IFERROR(__xludf.DUMMYFUNCTION("""COMPUTED_VALUE"""),"Pas de commande")</f>
        <v>Pas de commande</v>
      </c>
      <c r="AB773" s="8" t="str">
        <f ca="1">IFERROR(__xludf.DUMMYFUNCTION("""COMPUTED_VALUE"""),"")</f>
        <v/>
      </c>
      <c r="AC773" s="8" t="str">
        <f ca="1">IFERROR(__xludf.DUMMYFUNCTION("""COMPUTED_VALUE"""),"")</f>
        <v/>
      </c>
      <c r="AD773" s="11" t="str">
        <f ca="1">IFERROR(__xludf.DUMMYFUNCTION("""COMPUTED_VALUE"""),"")</f>
        <v/>
      </c>
      <c r="AE773" t="str">
        <f ca="1">IFERROR(__xludf.DUMMYFUNCTION("""COMPUTED_VALUE"""),"")</f>
        <v/>
      </c>
    </row>
    <row r="774" spans="1:31" ht="12.75" x14ac:dyDescent="0.2">
      <c r="A774">
        <f ca="1">IFERROR(__xludf.DUMMYFUNCTION("""COMPUTED_VALUE"""),35568)</f>
        <v>35568</v>
      </c>
      <c r="B774" t="str">
        <f ca="1">IFERROR(__xludf.DUMMYFUNCTION("""COMPUTED_VALUE"""),"PLEUBIAN")</f>
        <v>PLEUBIAN</v>
      </c>
      <c r="C774" t="str">
        <f ca="1">IFERROR(__xludf.DUMMYFUNCTION("""COMPUTED_VALUE"""),"U Express")</f>
        <v>U Express</v>
      </c>
      <c r="D774" t="str">
        <f ca="1">IFERROR(__xludf.DUMMYFUNCTION("""COMPUTED_VALUE"""),"Coop U Enseigne Ouest")</f>
        <v>Coop U Enseigne Ouest</v>
      </c>
      <c r="E774">
        <f ca="1">IFERROR(__xludf.DUMMYFUNCTION("""COMPUTED_VALUE"""),22610)</f>
        <v>22610</v>
      </c>
      <c r="F774" t="str">
        <f ca="1">IFERROR(__xludf.DUMMYFUNCTION("""COMPUTED_VALUE"""),"24 ROUTE DE L'ARMOR")</f>
        <v>24 ROUTE DE L'ARMOR</v>
      </c>
      <c r="G774" t="str">
        <f ca="1">IFERROR(__xludf.DUMMYFUNCTION("""COMPUTED_VALUE"""),"02.96.22.89.10")</f>
        <v>02.96.22.89.10</v>
      </c>
      <c r="H774" t="str">
        <f ca="1">IFERROR(__xludf.DUMMYFUNCTION("""COMPUTED_VALUE"""),"BOIVIN Franck")</f>
        <v>BOIVIN Franck</v>
      </c>
      <c r="I774" t="str">
        <f ca="1">IFERROR(__xludf.DUMMYFUNCTION("""COMPUTED_VALUE"""),"franck.boivin@systeme-u.fr")</f>
        <v>franck.boivin@systeme-u.fr</v>
      </c>
      <c r="J774" t="str">
        <f ca="1">IFERROR(__xludf.DUMMYFUNCTION("""COMPUTED_VALUE"""),"BOURDIN Franck")</f>
        <v>BOURDIN Franck</v>
      </c>
      <c r="K774" t="str">
        <f ca="1">IFERROR(__xludf.DUMMYFUNCTION("""COMPUTED_VALUE"""),"franck.bourdin@systeme-u.fr")</f>
        <v>franck.bourdin@systeme-u.fr</v>
      </c>
      <c r="L774" t="str">
        <f ca="1">IFERROR(__xludf.DUMMYFUNCTION("""COMPUTED_VALUE"""),"")</f>
        <v/>
      </c>
      <c r="M774" t="str">
        <f ca="1">IFERROR(__xludf.DUMMYFUNCTION("""COMPUTED_VALUE"""),"99.Hors Périmetre")</f>
        <v>99.Hors Périmetre</v>
      </c>
      <c r="N774" t="str">
        <f ca="1">IFERROR(__xludf.DUMMYFUNCTION("""COMPUTED_VALUE"""),"")</f>
        <v/>
      </c>
      <c r="O774" t="str">
        <f ca="1">IFERROR(__xludf.DUMMYFUNCTION("""COMPUTED_VALUE"""),"")</f>
        <v/>
      </c>
      <c r="P774" t="str">
        <f ca="1">IFERROR(__xludf.DUMMYFUNCTION("""COMPUTED_VALUE"""),"")</f>
        <v/>
      </c>
      <c r="Q774" s="5" t="str">
        <f ca="1">IFERROR(__xludf.DUMMYFUNCTION("""COMPUTED_VALUE"""),"")</f>
        <v/>
      </c>
      <c r="R774" s="6" t="str">
        <f ca="1">IFERROR(__xludf.DUMMYFUNCTION("""COMPUTED_VALUE"""),"")</f>
        <v/>
      </c>
      <c r="S774" t="str">
        <f ca="1">IFERROR(__xludf.DUMMYFUNCTION("""COMPUTED_VALUE"""),"")</f>
        <v/>
      </c>
      <c r="T774" t="str">
        <f ca="1">IFERROR(__xludf.DUMMYFUNCTION("""COMPUTED_VALUE"""),"")</f>
        <v/>
      </c>
      <c r="U774" t="str">
        <f ca="1">IFERROR(__xludf.DUMMYFUNCTION("""COMPUTED_VALUE"""),"")</f>
        <v/>
      </c>
      <c r="V774" t="str">
        <f ca="1">IFERROR(__xludf.DUMMYFUNCTION("""COMPUTED_VALUE"""),"")</f>
        <v/>
      </c>
      <c r="W774" t="str">
        <f ca="1">IFERROR(__xludf.DUMMYFUNCTION("""COMPUTED_VALUE"""),"")</f>
        <v/>
      </c>
      <c r="X774" t="str">
        <f ca="1">IFERROR(__xludf.DUMMYFUNCTION("""COMPUTED_VALUE"""),"")</f>
        <v/>
      </c>
      <c r="Y774" t="str">
        <f ca="1">IFERROR(__xludf.DUMMYFUNCTION("""COMPUTED_VALUE"""),"")</f>
        <v/>
      </c>
      <c r="Z774" t="str">
        <f ca="1">IFERROR(__xludf.DUMMYFUNCTION("""COMPUTED_VALUE"""),"")</f>
        <v/>
      </c>
      <c r="AA774" t="str">
        <f ca="1">IFERROR(__xludf.DUMMYFUNCTION("""COMPUTED_VALUE"""),"Pas de commande")</f>
        <v>Pas de commande</v>
      </c>
      <c r="AB774" s="8" t="str">
        <f ca="1">IFERROR(__xludf.DUMMYFUNCTION("""COMPUTED_VALUE"""),"")</f>
        <v/>
      </c>
      <c r="AC774" s="8" t="str">
        <f ca="1">IFERROR(__xludf.DUMMYFUNCTION("""COMPUTED_VALUE"""),"")</f>
        <v/>
      </c>
      <c r="AD774" s="11" t="str">
        <f ca="1">IFERROR(__xludf.DUMMYFUNCTION("""COMPUTED_VALUE"""),"")</f>
        <v/>
      </c>
      <c r="AE774" t="str">
        <f ca="1">IFERROR(__xludf.DUMMYFUNCTION("""COMPUTED_VALUE"""),"")</f>
        <v/>
      </c>
    </row>
    <row r="775" spans="1:31" ht="12.75" x14ac:dyDescent="0.2">
      <c r="A775">
        <f ca="1">IFERROR(__xludf.DUMMYFUNCTION("""COMPUTED_VALUE"""),33573)</f>
        <v>33573</v>
      </c>
      <c r="B775" t="str">
        <f ca="1">IFERROR(__xludf.DUMMYFUNCTION("""COMPUTED_VALUE"""),"PLEURTUIT")</f>
        <v>PLEURTUIT</v>
      </c>
      <c r="C775" t="str">
        <f ca="1">IFERROR(__xludf.DUMMYFUNCTION("""COMPUTED_VALUE"""),"Super U")</f>
        <v>Super U</v>
      </c>
      <c r="D775" t="str">
        <f ca="1">IFERROR(__xludf.DUMMYFUNCTION("""COMPUTED_VALUE"""),"Coop U Enseigne Ouest")</f>
        <v>Coop U Enseigne Ouest</v>
      </c>
      <c r="E775">
        <f ca="1">IFERROR(__xludf.DUMMYFUNCTION("""COMPUTED_VALUE"""),35730)</f>
        <v>35730</v>
      </c>
      <c r="F775" t="str">
        <f ca="1">IFERROR(__xludf.DUMMYFUNCTION("""COMPUTED_VALUE"""),"2, RUE DES TERRES NEUVAS")</f>
        <v>2, RUE DES TERRES NEUVAS</v>
      </c>
      <c r="G775" t="str">
        <f ca="1">IFERROR(__xludf.DUMMYFUNCTION("""COMPUTED_VALUE"""),"02.99.88.41.28")</f>
        <v>02.99.88.41.28</v>
      </c>
      <c r="H775" t="str">
        <f ca="1">IFERROR(__xludf.DUMMYFUNCTION("""COMPUTED_VALUE"""),"RAFFRAY RPT SAS LHR FINANCES Véronique")</f>
        <v>RAFFRAY RPT SAS LHR FINANCES Véronique</v>
      </c>
      <c r="I775" t="str">
        <f ca="1">IFERROR(__xludf.DUMMYFUNCTION("""COMPUTED_VALUE"""),"veronique.raffray@systeme-u.fr")</f>
        <v>veronique.raffray@systeme-u.fr</v>
      </c>
      <c r="J775" t="str">
        <f ca="1">IFERROR(__xludf.DUMMYFUNCTION("""COMPUTED_VALUE"""),"HEUZE Véronique")</f>
        <v>HEUZE Véronique</v>
      </c>
      <c r="K775" t="str">
        <f ca="1">IFERROR(__xludf.DUMMYFUNCTION("""COMPUTED_VALUE"""),"superu.pleurtuit.gescom@systeme-u.fr")</f>
        <v>superu.pleurtuit.gescom@systeme-u.fr</v>
      </c>
      <c r="L775" t="str">
        <f ca="1">IFERROR(__xludf.DUMMYFUNCTION("""COMPUTED_VALUE"""),"")</f>
        <v/>
      </c>
      <c r="M775" t="str">
        <f ca="1">IFERROR(__xludf.DUMMYFUNCTION("""COMPUTED_VALUE"""),"99.Hors Périmetre")</f>
        <v>99.Hors Périmetre</v>
      </c>
      <c r="N775" t="str">
        <f ca="1">IFERROR(__xludf.DUMMYFUNCTION("""COMPUTED_VALUE"""),"")</f>
        <v/>
      </c>
      <c r="O775" t="str">
        <f ca="1">IFERROR(__xludf.DUMMYFUNCTION("""COMPUTED_VALUE"""),"")</f>
        <v/>
      </c>
      <c r="P775" t="str">
        <f ca="1">IFERROR(__xludf.DUMMYFUNCTION("""COMPUTED_VALUE"""),"")</f>
        <v/>
      </c>
      <c r="Q775" s="5" t="str">
        <f ca="1">IFERROR(__xludf.DUMMYFUNCTION("""COMPUTED_VALUE"""),"")</f>
        <v/>
      </c>
      <c r="R775" s="6" t="str">
        <f ca="1">IFERROR(__xludf.DUMMYFUNCTION("""COMPUTED_VALUE"""),"")</f>
        <v/>
      </c>
      <c r="S775" t="str">
        <f ca="1">IFERROR(__xludf.DUMMYFUNCTION("""COMPUTED_VALUE"""),"")</f>
        <v/>
      </c>
      <c r="T775" t="str">
        <f ca="1">IFERROR(__xludf.DUMMYFUNCTION("""COMPUTED_VALUE"""),"")</f>
        <v/>
      </c>
      <c r="U775" t="str">
        <f ca="1">IFERROR(__xludf.DUMMYFUNCTION("""COMPUTED_VALUE"""),"")</f>
        <v/>
      </c>
      <c r="V775" t="str">
        <f ca="1">IFERROR(__xludf.DUMMYFUNCTION("""COMPUTED_VALUE"""),"")</f>
        <v/>
      </c>
      <c r="W775" t="str">
        <f ca="1">IFERROR(__xludf.DUMMYFUNCTION("""COMPUTED_VALUE"""),"")</f>
        <v/>
      </c>
      <c r="X775" t="str">
        <f ca="1">IFERROR(__xludf.DUMMYFUNCTION("""COMPUTED_VALUE"""),"")</f>
        <v/>
      </c>
      <c r="Y775" t="str">
        <f ca="1">IFERROR(__xludf.DUMMYFUNCTION("""COMPUTED_VALUE"""),"")</f>
        <v/>
      </c>
      <c r="Z775" t="str">
        <f ca="1">IFERROR(__xludf.DUMMYFUNCTION("""COMPUTED_VALUE"""),"")</f>
        <v/>
      </c>
      <c r="AA775" t="str">
        <f ca="1">IFERROR(__xludf.DUMMYFUNCTION("""COMPUTED_VALUE"""),"Pas de commande")</f>
        <v>Pas de commande</v>
      </c>
      <c r="AB775" s="8" t="str">
        <f ca="1">IFERROR(__xludf.DUMMYFUNCTION("""COMPUTED_VALUE"""),"")</f>
        <v/>
      </c>
      <c r="AC775" s="8" t="str">
        <f ca="1">IFERROR(__xludf.DUMMYFUNCTION("""COMPUTED_VALUE"""),"")</f>
        <v/>
      </c>
      <c r="AD775" s="11" t="str">
        <f ca="1">IFERROR(__xludf.DUMMYFUNCTION("""COMPUTED_VALUE"""),"")</f>
        <v/>
      </c>
      <c r="AE775" t="str">
        <f ca="1">IFERROR(__xludf.DUMMYFUNCTION("""COMPUTED_VALUE"""),"")</f>
        <v/>
      </c>
    </row>
    <row r="776" spans="1:31" ht="12.75" x14ac:dyDescent="0.2">
      <c r="A776">
        <f ca="1">IFERROR(__xludf.DUMMYFUNCTION("""COMPUTED_VALUE"""),33980)</f>
        <v>33980</v>
      </c>
      <c r="B776" t="str">
        <f ca="1">IFERROR(__xludf.DUMMYFUNCTION("""COMPUTED_VALUE"""),"PLEYBER-CHRIST")</f>
        <v>PLEYBER-CHRIST</v>
      </c>
      <c r="C776" t="str">
        <f ca="1">IFERROR(__xludf.DUMMYFUNCTION("""COMPUTED_VALUE"""),"Super U")</f>
        <v>Super U</v>
      </c>
      <c r="D776" t="str">
        <f ca="1">IFERROR(__xludf.DUMMYFUNCTION("""COMPUTED_VALUE"""),"Coop U Enseigne Ouest")</f>
        <v>Coop U Enseigne Ouest</v>
      </c>
      <c r="E776">
        <f ca="1">IFERROR(__xludf.DUMMYFUNCTION("""COMPUTED_VALUE"""),29410)</f>
        <v>29410</v>
      </c>
      <c r="F776" t="str">
        <f ca="1">IFERROR(__xludf.DUMMYFUNCTION("""COMPUTED_VALUE"""),"ZA LA JUSTICE")</f>
        <v>ZA LA JUSTICE</v>
      </c>
      <c r="G776" t="str">
        <f ca="1">IFERROR(__xludf.DUMMYFUNCTION("""COMPUTED_VALUE"""),"02.98.78.40.31")</f>
        <v>02.98.78.40.31</v>
      </c>
      <c r="H776" t="str">
        <f ca="1">IFERROR(__xludf.DUMMYFUNCTION("""COMPUTED_VALUE"""),"MARTEIL Alain")</f>
        <v>MARTEIL Alain</v>
      </c>
      <c r="I776" t="str">
        <f ca="1">IFERROR(__xludf.DUMMYFUNCTION("""COMPUTED_VALUE"""),"alain.marteil@systeme-u.fr")</f>
        <v>alain.marteil@systeme-u.fr</v>
      </c>
      <c r="J776" t="str">
        <f ca="1">IFERROR(__xludf.DUMMYFUNCTION("""COMPUTED_VALUE"""),"MARTEIL Alice")</f>
        <v>MARTEIL Alice</v>
      </c>
      <c r="K776" t="str">
        <f ca="1">IFERROR(__xludf.DUMMYFUNCTION("""COMPUTED_VALUE"""),"superu.pleyberchrist.rh@systeme-u.fr")</f>
        <v>superu.pleyberchrist.rh@systeme-u.fr</v>
      </c>
      <c r="L776" t="str">
        <f ca="1">IFERROR(__xludf.DUMMYFUNCTION("""COMPUTED_VALUE"""),"")</f>
        <v/>
      </c>
      <c r="M776" t="str">
        <f ca="1">IFERROR(__xludf.DUMMYFUNCTION("""COMPUTED_VALUE"""),"99.Hors Périmetre")</f>
        <v>99.Hors Périmetre</v>
      </c>
      <c r="N776" t="str">
        <f ca="1">IFERROR(__xludf.DUMMYFUNCTION("""COMPUTED_VALUE"""),"")</f>
        <v/>
      </c>
      <c r="O776" t="str">
        <f ca="1">IFERROR(__xludf.DUMMYFUNCTION("""COMPUTED_VALUE"""),"")</f>
        <v/>
      </c>
      <c r="P776" t="str">
        <f ca="1">IFERROR(__xludf.DUMMYFUNCTION("""COMPUTED_VALUE"""),"")</f>
        <v/>
      </c>
      <c r="Q776" s="5" t="str">
        <f ca="1">IFERROR(__xludf.DUMMYFUNCTION("""COMPUTED_VALUE"""),"")</f>
        <v/>
      </c>
      <c r="R776" s="6" t="str">
        <f ca="1">IFERROR(__xludf.DUMMYFUNCTION("""COMPUTED_VALUE"""),"")</f>
        <v/>
      </c>
      <c r="S776" t="str">
        <f ca="1">IFERROR(__xludf.DUMMYFUNCTION("""COMPUTED_VALUE"""),"")</f>
        <v/>
      </c>
      <c r="T776" t="str">
        <f ca="1">IFERROR(__xludf.DUMMYFUNCTION("""COMPUTED_VALUE"""),"")</f>
        <v/>
      </c>
      <c r="U776" t="str">
        <f ca="1">IFERROR(__xludf.DUMMYFUNCTION("""COMPUTED_VALUE"""),"")</f>
        <v/>
      </c>
      <c r="V776" t="str">
        <f ca="1">IFERROR(__xludf.DUMMYFUNCTION("""COMPUTED_VALUE"""),"")</f>
        <v/>
      </c>
      <c r="W776" t="str">
        <f ca="1">IFERROR(__xludf.DUMMYFUNCTION("""COMPUTED_VALUE"""),"")</f>
        <v/>
      </c>
      <c r="X776" t="str">
        <f ca="1">IFERROR(__xludf.DUMMYFUNCTION("""COMPUTED_VALUE"""),"")</f>
        <v/>
      </c>
      <c r="Y776" t="str">
        <f ca="1">IFERROR(__xludf.DUMMYFUNCTION("""COMPUTED_VALUE"""),"")</f>
        <v/>
      </c>
      <c r="Z776" t="str">
        <f ca="1">IFERROR(__xludf.DUMMYFUNCTION("""COMPUTED_VALUE"""),"")</f>
        <v/>
      </c>
      <c r="AA776" t="str">
        <f ca="1">IFERROR(__xludf.DUMMYFUNCTION("""COMPUTED_VALUE"""),"Pas de commande")</f>
        <v>Pas de commande</v>
      </c>
      <c r="AB776" s="8" t="str">
        <f ca="1">IFERROR(__xludf.DUMMYFUNCTION("""COMPUTED_VALUE"""),"")</f>
        <v/>
      </c>
      <c r="AC776" s="8" t="str">
        <f ca="1">IFERROR(__xludf.DUMMYFUNCTION("""COMPUTED_VALUE"""),"")</f>
        <v/>
      </c>
      <c r="AD776" s="11" t="str">
        <f ca="1">IFERROR(__xludf.DUMMYFUNCTION("""COMPUTED_VALUE"""),"")</f>
        <v/>
      </c>
      <c r="AE776" t="str">
        <f ca="1">IFERROR(__xludf.DUMMYFUNCTION("""COMPUTED_VALUE"""),"")</f>
        <v/>
      </c>
    </row>
    <row r="777" spans="1:31" ht="12.75" x14ac:dyDescent="0.2">
      <c r="A777">
        <f ca="1">IFERROR(__xludf.DUMMYFUNCTION("""COMPUTED_VALUE"""),33011)</f>
        <v>33011</v>
      </c>
      <c r="B777" t="str">
        <f ca="1">IFERROR(__xludf.DUMMYFUNCTION("""COMPUTED_VALUE"""),"PLIANE LE GOSIER")</f>
        <v>PLIANE LE GOSIER</v>
      </c>
      <c r="C777" t="str">
        <f ca="1">IFERROR(__xludf.DUMMYFUNCTION("""COMPUTED_VALUE"""),"Super U")</f>
        <v>Super U</v>
      </c>
      <c r="D777" t="str">
        <f ca="1">IFERROR(__xludf.DUMMYFUNCTION("""COMPUTED_VALUE"""),"Coop U Enseigne Ouest")</f>
        <v>Coop U Enseigne Ouest</v>
      </c>
      <c r="E777">
        <f ca="1">IFERROR(__xludf.DUMMYFUNCTION("""COMPUTED_VALUE"""),97190)</f>
        <v>97190</v>
      </c>
      <c r="F777" t="str">
        <f ca="1">IFERROR(__xludf.DUMMYFUNCTION("""COMPUTED_VALUE"""),"CARREFOUR PLIANE")</f>
        <v>CARREFOUR PLIANE</v>
      </c>
      <c r="G777" t="str">
        <f ca="1">IFERROR(__xludf.DUMMYFUNCTION("""COMPUTED_VALUE"""),"05.90.84.54.54")</f>
        <v>05.90.84.54.54</v>
      </c>
      <c r="H777" t="str">
        <f ca="1">IFERROR(__xludf.DUMMYFUNCTION("""COMPUTED_VALUE"""),"PARFAIT ROBERT")</f>
        <v>PARFAIT ROBERT</v>
      </c>
      <c r="I777" t="str">
        <f ca="1">IFERROR(__xludf.DUMMYFUNCTION("""COMPUTED_VALUE"""),"robert.parfait@systeme-u.fr")</f>
        <v>robert.parfait@systeme-u.fr</v>
      </c>
      <c r="J777" t="str">
        <f ca="1">IFERROR(__xludf.DUMMYFUNCTION("""COMPUTED_VALUE"""),"david minot")</f>
        <v>david minot</v>
      </c>
      <c r="K777" t="str">
        <f ca="1">IFERROR(__xludf.DUMMYFUNCTION("""COMPUTED_VALUE"""),"julie.albert@uantilles.com,martine.crevecoeur@systeme-u.fr")</f>
        <v>julie.albert@uantilles.com,martine.crevecoeur@systeme-u.fr</v>
      </c>
      <c r="L777" t="str">
        <f ca="1">IFERROR(__xludf.DUMMYFUNCTION("""COMPUTED_VALUE"""),"Standard")</f>
        <v>Standard</v>
      </c>
      <c r="M777" t="str">
        <f ca="1">IFERROR(__xludf.DUMMYFUNCTION("""COMPUTED_VALUE"""),"0. Non démarré")</f>
        <v>0. Non démarré</v>
      </c>
      <c r="N777" t="str">
        <f ca="1">IFERROR(__xludf.DUMMYFUNCTION("""COMPUTED_VALUE"""),"")</f>
        <v/>
      </c>
      <c r="O777" t="str">
        <f ca="1">IFERROR(__xludf.DUMMYFUNCTION("""COMPUTED_VALUE"""),"")</f>
        <v/>
      </c>
      <c r="P777" t="str">
        <f ca="1">IFERROR(__xludf.DUMMYFUNCTION("""COMPUTED_VALUE"""),"")</f>
        <v/>
      </c>
      <c r="Q777" s="5" t="str">
        <f ca="1">IFERROR(__xludf.DUMMYFUNCTION("""COMPUTED_VALUE"""),"")</f>
        <v/>
      </c>
      <c r="R777" s="6" t="str">
        <f ca="1">IFERROR(__xludf.DUMMYFUNCTION("""COMPUTED_VALUE"""),"")</f>
        <v/>
      </c>
      <c r="S777" t="str">
        <f ca="1">IFERROR(__xludf.DUMMYFUNCTION("""COMPUTED_VALUE"""),"")</f>
        <v/>
      </c>
      <c r="T777" t="str">
        <f ca="1">IFERROR(__xludf.DUMMYFUNCTION("""COMPUTED_VALUE"""),"")</f>
        <v/>
      </c>
      <c r="U777" t="str">
        <f ca="1">IFERROR(__xludf.DUMMYFUNCTION("""COMPUTED_VALUE"""),"")</f>
        <v/>
      </c>
      <c r="V777" t="str">
        <f ca="1">IFERROR(__xludf.DUMMYFUNCTION("""COMPUTED_VALUE"""),"")</f>
        <v/>
      </c>
      <c r="W777" t="str">
        <f ca="1">IFERROR(__xludf.DUMMYFUNCTION("""COMPUTED_VALUE"""),"R3")</f>
        <v>R3</v>
      </c>
      <c r="X777" t="str">
        <f ca="1">IFERROR(__xludf.DUMMYFUNCTION("""COMPUTED_VALUE"""),"Pricer &lt;8Go")</f>
        <v>Pricer &lt;8Go</v>
      </c>
      <c r="Y777" t="str">
        <f ca="1">IFERROR(__xludf.DUMMYFUNCTION("""COMPUTED_VALUE"""),"")</f>
        <v/>
      </c>
      <c r="Z777" t="str">
        <f ca="1">IFERROR(__xludf.DUMMYFUNCTION("""COMPUTED_VALUE"""),"")</f>
        <v/>
      </c>
      <c r="AA777" t="str">
        <f ca="1">IFERROR(__xludf.DUMMYFUNCTION("""COMPUTED_VALUE"""),"Pas de commande")</f>
        <v>Pas de commande</v>
      </c>
      <c r="AB777" s="8" t="str">
        <f ca="1">IFERROR(__xludf.DUMMYFUNCTION("""COMPUTED_VALUE"""),"")</f>
        <v/>
      </c>
      <c r="AC777" s="8" t="str">
        <f ca="1">IFERROR(__xludf.DUMMYFUNCTION("""COMPUTED_VALUE"""),"")</f>
        <v/>
      </c>
      <c r="AD777" s="11" t="str">
        <f ca="1">IFERROR(__xludf.DUMMYFUNCTION("""COMPUTED_VALUE"""),"")</f>
        <v/>
      </c>
      <c r="AE777" t="str">
        <f ca="1">IFERROR(__xludf.DUMMYFUNCTION("""COMPUTED_VALUE"""),"")</f>
        <v/>
      </c>
    </row>
    <row r="778" spans="1:31" ht="12.75" x14ac:dyDescent="0.2">
      <c r="A778">
        <f ca="1">IFERROR(__xludf.DUMMYFUNCTION("""COMPUTED_VALUE"""),36092)</f>
        <v>36092</v>
      </c>
      <c r="B778" t="str">
        <f ca="1">IFERROR(__xludf.DUMMYFUNCTION("""COMPUTED_VALUE"""),"PLOBANNALEC")</f>
        <v>PLOBANNALEC</v>
      </c>
      <c r="C778" t="str">
        <f ca="1">IFERROR(__xludf.DUMMYFUNCTION("""COMPUTED_VALUE"""),"Super U")</f>
        <v>Super U</v>
      </c>
      <c r="D778" t="str">
        <f ca="1">IFERROR(__xludf.DUMMYFUNCTION("""COMPUTED_VALUE"""),"Coop U Enseigne Ouest")</f>
        <v>Coop U Enseigne Ouest</v>
      </c>
      <c r="E778">
        <f ca="1">IFERROR(__xludf.DUMMYFUNCTION("""COMPUTED_VALUE"""),29740)</f>
        <v>29740</v>
      </c>
      <c r="F778" t="str">
        <f ca="1">IFERROR(__xludf.DUMMYFUNCTION("""COMPUTED_VALUE"""),"ROUTE DE LESCONIL")</f>
        <v>ROUTE DE LESCONIL</v>
      </c>
      <c r="G778" t="str">
        <f ca="1">IFERROR(__xludf.DUMMYFUNCTION("""COMPUTED_VALUE"""),"02.98.87.89.90")</f>
        <v>02.98.87.89.90</v>
      </c>
      <c r="H778" t="str">
        <f ca="1">IFERROR(__xludf.DUMMYFUNCTION("""COMPUTED_VALUE"""),"HILY RPT SARL YH Yann")</f>
        <v>HILY RPT SARL YH Yann</v>
      </c>
      <c r="I778" t="str">
        <f ca="1">IFERROR(__xludf.DUMMYFUNCTION("""COMPUTED_VALUE"""),"yann.hily@systeme-u.fr")</f>
        <v>yann.hily@systeme-u.fr</v>
      </c>
      <c r="J778" t="str">
        <f ca="1">IFERROR(__xludf.DUMMYFUNCTION("""COMPUTED_VALUE"""),"CREARCH FLORENCE")</f>
        <v>CREARCH FLORENCE</v>
      </c>
      <c r="K778" t="str">
        <f ca="1">IFERROR(__xludf.DUMMYFUNCTION("""COMPUTED_VALUE"""),"superu.plobannalec.affichage@systeme-u.fr")</f>
        <v>superu.plobannalec.affichage@systeme-u.fr</v>
      </c>
      <c r="L778" t="str">
        <f ca="1">IFERROR(__xludf.DUMMYFUNCTION("""COMPUTED_VALUE"""),"")</f>
        <v/>
      </c>
      <c r="M778" t="str">
        <f ca="1">IFERROR(__xludf.DUMMYFUNCTION("""COMPUTED_VALUE"""),"99.Hors Périmetre")</f>
        <v>99.Hors Périmetre</v>
      </c>
      <c r="N778" t="str">
        <f ca="1">IFERROR(__xludf.DUMMYFUNCTION("""COMPUTED_VALUE"""),"")</f>
        <v/>
      </c>
      <c r="O778" t="str">
        <f ca="1">IFERROR(__xludf.DUMMYFUNCTION("""COMPUTED_VALUE"""),"")</f>
        <v/>
      </c>
      <c r="P778" t="str">
        <f ca="1">IFERROR(__xludf.DUMMYFUNCTION("""COMPUTED_VALUE"""),"")</f>
        <v/>
      </c>
      <c r="Q778" s="5" t="str">
        <f ca="1">IFERROR(__xludf.DUMMYFUNCTION("""COMPUTED_VALUE"""),"")</f>
        <v/>
      </c>
      <c r="R778" s="6" t="str">
        <f ca="1">IFERROR(__xludf.DUMMYFUNCTION("""COMPUTED_VALUE"""),"")</f>
        <v/>
      </c>
      <c r="S778" t="str">
        <f ca="1">IFERROR(__xludf.DUMMYFUNCTION("""COMPUTED_VALUE"""),"")</f>
        <v/>
      </c>
      <c r="T778" t="str">
        <f ca="1">IFERROR(__xludf.DUMMYFUNCTION("""COMPUTED_VALUE"""),"")</f>
        <v/>
      </c>
      <c r="U778" t="str">
        <f ca="1">IFERROR(__xludf.DUMMYFUNCTION("""COMPUTED_VALUE"""),"")</f>
        <v/>
      </c>
      <c r="V778" t="str">
        <f ca="1">IFERROR(__xludf.DUMMYFUNCTION("""COMPUTED_VALUE"""),"")</f>
        <v/>
      </c>
      <c r="W778" t="str">
        <f ca="1">IFERROR(__xludf.DUMMYFUNCTION("""COMPUTED_VALUE"""),"")</f>
        <v/>
      </c>
      <c r="X778" t="str">
        <f ca="1">IFERROR(__xludf.DUMMYFUNCTION("""COMPUTED_VALUE"""),"")</f>
        <v/>
      </c>
      <c r="Y778" t="str">
        <f ca="1">IFERROR(__xludf.DUMMYFUNCTION("""COMPUTED_VALUE"""),"")</f>
        <v/>
      </c>
      <c r="Z778" t="str">
        <f ca="1">IFERROR(__xludf.DUMMYFUNCTION("""COMPUTED_VALUE"""),"")</f>
        <v/>
      </c>
      <c r="AA778" t="str">
        <f ca="1">IFERROR(__xludf.DUMMYFUNCTION("""COMPUTED_VALUE"""),"Pas de commande")</f>
        <v>Pas de commande</v>
      </c>
      <c r="AB778" s="8" t="str">
        <f ca="1">IFERROR(__xludf.DUMMYFUNCTION("""COMPUTED_VALUE"""),"")</f>
        <v/>
      </c>
      <c r="AC778" s="8" t="str">
        <f ca="1">IFERROR(__xludf.DUMMYFUNCTION("""COMPUTED_VALUE"""),"")</f>
        <v/>
      </c>
      <c r="AD778" s="11" t="str">
        <f ca="1">IFERROR(__xludf.DUMMYFUNCTION("""COMPUTED_VALUE"""),"")</f>
        <v/>
      </c>
      <c r="AE778" t="str">
        <f ca="1">IFERROR(__xludf.DUMMYFUNCTION("""COMPUTED_VALUE"""),"")</f>
        <v/>
      </c>
    </row>
    <row r="779" spans="1:31" ht="12.75" x14ac:dyDescent="0.2">
      <c r="A779">
        <f ca="1">IFERROR(__xludf.DUMMYFUNCTION("""COMPUTED_VALUE"""),38834)</f>
        <v>38834</v>
      </c>
      <c r="B779" t="str">
        <f ca="1">IFERROR(__xludf.DUMMYFUNCTION("""COMPUTED_VALUE"""),"PLOERMEL")</f>
        <v>PLOERMEL</v>
      </c>
      <c r="C779" t="str">
        <f ca="1">IFERROR(__xludf.DUMMYFUNCTION("""COMPUTED_VALUE"""),"Super U")</f>
        <v>Super U</v>
      </c>
      <c r="D779" t="str">
        <f ca="1">IFERROR(__xludf.DUMMYFUNCTION("""COMPUTED_VALUE"""),"Coop U Enseigne Ouest")</f>
        <v>Coop U Enseigne Ouest</v>
      </c>
      <c r="E779">
        <f ca="1">IFERROR(__xludf.DUMMYFUNCTION("""COMPUTED_VALUE"""),56800)</f>
        <v>56800</v>
      </c>
      <c r="F779" t="str">
        <f ca="1">IFERROR(__xludf.DUMMYFUNCTION("""COMPUTED_VALUE"""),"Z.A. SAINT DENIS")</f>
        <v>Z.A. SAINT DENIS</v>
      </c>
      <c r="G779" t="str">
        <f ca="1">IFERROR(__xludf.DUMMYFUNCTION("""COMPUTED_VALUE"""),"02.97.74.18.60")</f>
        <v>02.97.74.18.60</v>
      </c>
      <c r="H779" t="str">
        <f ca="1">IFERROR(__xludf.DUMMYFUNCTION("""COMPUTED_VALUE"""),"LE DEVEDEC RPT SARL LD FINANCE Guillaume")</f>
        <v>LE DEVEDEC RPT SARL LD FINANCE Guillaume</v>
      </c>
      <c r="I779" t="str">
        <f ca="1">IFERROR(__xludf.DUMMYFUNCTION("""COMPUTED_VALUE"""),"guillaume.ledevedec@systeme-u.fr")</f>
        <v>guillaume.ledevedec@systeme-u.fr</v>
      </c>
      <c r="J779" t="str">
        <f ca="1">IFERROR(__xludf.DUMMYFUNCTION("""COMPUTED_VALUE"""),"LEROUX Nicolas")</f>
        <v>LEROUX Nicolas</v>
      </c>
      <c r="K779" t="str">
        <f ca="1">IFERROR(__xludf.DUMMYFUNCTION("""COMPUTED_VALUE"""),"superu.ploermel.direction@systeme-u.fr")</f>
        <v>superu.ploermel.direction@systeme-u.fr</v>
      </c>
      <c r="L779" t="str">
        <f ca="1">IFERROR(__xludf.DUMMYFUNCTION("""COMPUTED_VALUE"""),"")</f>
        <v/>
      </c>
      <c r="M779" t="str">
        <f ca="1">IFERROR(__xludf.DUMMYFUNCTION("""COMPUTED_VALUE"""),"99.Hors Périmetre")</f>
        <v>99.Hors Périmetre</v>
      </c>
      <c r="N779" t="str">
        <f ca="1">IFERROR(__xludf.DUMMYFUNCTION("""COMPUTED_VALUE"""),"")</f>
        <v/>
      </c>
      <c r="O779" t="str">
        <f ca="1">IFERROR(__xludf.DUMMYFUNCTION("""COMPUTED_VALUE"""),"")</f>
        <v/>
      </c>
      <c r="P779" t="str">
        <f ca="1">IFERROR(__xludf.DUMMYFUNCTION("""COMPUTED_VALUE"""),"")</f>
        <v/>
      </c>
      <c r="Q779" s="5" t="str">
        <f ca="1">IFERROR(__xludf.DUMMYFUNCTION("""COMPUTED_VALUE"""),"")</f>
        <v/>
      </c>
      <c r="R779" s="6" t="str">
        <f ca="1">IFERROR(__xludf.DUMMYFUNCTION("""COMPUTED_VALUE"""),"")</f>
        <v/>
      </c>
      <c r="S779" t="str">
        <f ca="1">IFERROR(__xludf.DUMMYFUNCTION("""COMPUTED_VALUE"""),"")</f>
        <v/>
      </c>
      <c r="T779" t="str">
        <f ca="1">IFERROR(__xludf.DUMMYFUNCTION("""COMPUTED_VALUE"""),"")</f>
        <v/>
      </c>
      <c r="U779" t="str">
        <f ca="1">IFERROR(__xludf.DUMMYFUNCTION("""COMPUTED_VALUE"""),"")</f>
        <v/>
      </c>
      <c r="V779" t="str">
        <f ca="1">IFERROR(__xludf.DUMMYFUNCTION("""COMPUTED_VALUE"""),"")</f>
        <v/>
      </c>
      <c r="W779" t="str">
        <f ca="1">IFERROR(__xludf.DUMMYFUNCTION("""COMPUTED_VALUE"""),"")</f>
        <v/>
      </c>
      <c r="X779" t="str">
        <f ca="1">IFERROR(__xludf.DUMMYFUNCTION("""COMPUTED_VALUE"""),"")</f>
        <v/>
      </c>
      <c r="Y779" t="str">
        <f ca="1">IFERROR(__xludf.DUMMYFUNCTION("""COMPUTED_VALUE"""),"")</f>
        <v/>
      </c>
      <c r="Z779" t="str">
        <f ca="1">IFERROR(__xludf.DUMMYFUNCTION("""COMPUTED_VALUE"""),"")</f>
        <v/>
      </c>
      <c r="AA779" t="str">
        <f ca="1">IFERROR(__xludf.DUMMYFUNCTION("""COMPUTED_VALUE"""),"Pas de commande")</f>
        <v>Pas de commande</v>
      </c>
      <c r="AB779" s="8" t="str">
        <f ca="1">IFERROR(__xludf.DUMMYFUNCTION("""COMPUTED_VALUE"""),"")</f>
        <v/>
      </c>
      <c r="AC779" s="8" t="str">
        <f ca="1">IFERROR(__xludf.DUMMYFUNCTION("""COMPUTED_VALUE"""),"")</f>
        <v/>
      </c>
      <c r="AD779" s="11" t="str">
        <f ca="1">IFERROR(__xludf.DUMMYFUNCTION("""COMPUTED_VALUE"""),"")</f>
        <v/>
      </c>
      <c r="AE779" t="str">
        <f ca="1">IFERROR(__xludf.DUMMYFUNCTION("""COMPUTED_VALUE"""),"")</f>
        <v/>
      </c>
    </row>
    <row r="780" spans="1:31" ht="12.75" x14ac:dyDescent="0.2">
      <c r="A780">
        <f ca="1">IFERROR(__xludf.DUMMYFUNCTION("""COMPUTED_VALUE"""),38931)</f>
        <v>38931</v>
      </c>
      <c r="B780" t="str">
        <f ca="1">IFERROR(__xludf.DUMMYFUNCTION("""COMPUTED_VALUE"""),"PLOGONNEC")</f>
        <v>PLOGONNEC</v>
      </c>
      <c r="C780" t="str">
        <f ca="1">IFERROR(__xludf.DUMMYFUNCTION("""COMPUTED_VALUE"""),"Super U")</f>
        <v>Super U</v>
      </c>
      <c r="D780" t="str">
        <f ca="1">IFERROR(__xludf.DUMMYFUNCTION("""COMPUTED_VALUE"""),"Coop U Enseigne Ouest")</f>
        <v>Coop U Enseigne Ouest</v>
      </c>
      <c r="E780">
        <f ca="1">IFERROR(__xludf.DUMMYFUNCTION("""COMPUTED_VALUE"""),29180)</f>
        <v>29180</v>
      </c>
      <c r="F780" t="str">
        <f ca="1">IFERROR(__xludf.DUMMYFUNCTION("""COMPUTED_VALUE"""),"ZONE DE BOUTEFELEC")</f>
        <v>ZONE DE BOUTEFELEC</v>
      </c>
      <c r="G780" t="str">
        <f ca="1">IFERROR(__xludf.DUMMYFUNCTION("""COMPUTED_VALUE"""),"02.98.91.70.26")</f>
        <v>02.98.91.70.26</v>
      </c>
      <c r="H780" t="str">
        <f ca="1">IFERROR(__xludf.DUMMYFUNCTION("""COMPUTED_VALUE"""),"PHILIPPE Erwan")</f>
        <v>PHILIPPE Erwan</v>
      </c>
      <c r="I780" t="str">
        <f ca="1">IFERROR(__xludf.DUMMYFUNCTION("""COMPUTED_VALUE"""),"erwan.philippe@systeme-u.fr")</f>
        <v>erwan.philippe@systeme-u.fr</v>
      </c>
      <c r="J780" t="str">
        <f ca="1">IFERROR(__xludf.DUMMYFUNCTION("""COMPUTED_VALUE"""),"LE PORH Solenn")</f>
        <v>LE PORH Solenn</v>
      </c>
      <c r="K780" t="str">
        <f ca="1">IFERROR(__xludf.DUMMYFUNCTION("""COMPUTED_VALUE"""),"superu.plogonnec.rh@systeme-u.fr																				
")</f>
        <v xml:space="preserve">superu.plogonnec.rh@systeme-u.fr																				
</v>
      </c>
      <c r="L780" t="str">
        <f ca="1">IFERROR(__xludf.DUMMYFUNCTION("""COMPUTED_VALUE"""),"")</f>
        <v/>
      </c>
      <c r="M780" t="str">
        <f ca="1">IFERROR(__xludf.DUMMYFUNCTION("""COMPUTED_VALUE"""),"99.Hors Périmetre")</f>
        <v>99.Hors Périmetre</v>
      </c>
      <c r="N780" t="str">
        <f ca="1">IFERROR(__xludf.DUMMYFUNCTION("""COMPUTED_VALUE"""),"")</f>
        <v/>
      </c>
      <c r="O780" t="str">
        <f ca="1">IFERROR(__xludf.DUMMYFUNCTION("""COMPUTED_VALUE"""),"")</f>
        <v/>
      </c>
      <c r="P780" t="str">
        <f ca="1">IFERROR(__xludf.DUMMYFUNCTION("""COMPUTED_VALUE"""),"")</f>
        <v/>
      </c>
      <c r="Q780" s="5" t="str">
        <f ca="1">IFERROR(__xludf.DUMMYFUNCTION("""COMPUTED_VALUE"""),"")</f>
        <v/>
      </c>
      <c r="R780" s="6" t="str">
        <f ca="1">IFERROR(__xludf.DUMMYFUNCTION("""COMPUTED_VALUE"""),"")</f>
        <v/>
      </c>
      <c r="S780" t="str">
        <f ca="1">IFERROR(__xludf.DUMMYFUNCTION("""COMPUTED_VALUE"""),"")</f>
        <v/>
      </c>
      <c r="T780" t="str">
        <f ca="1">IFERROR(__xludf.DUMMYFUNCTION("""COMPUTED_VALUE"""),"")</f>
        <v/>
      </c>
      <c r="U780" t="str">
        <f ca="1">IFERROR(__xludf.DUMMYFUNCTION("""COMPUTED_VALUE"""),"")</f>
        <v/>
      </c>
      <c r="V780" t="str">
        <f ca="1">IFERROR(__xludf.DUMMYFUNCTION("""COMPUTED_VALUE"""),"")</f>
        <v/>
      </c>
      <c r="W780" t="str">
        <f ca="1">IFERROR(__xludf.DUMMYFUNCTION("""COMPUTED_VALUE"""),"")</f>
        <v/>
      </c>
      <c r="X780" t="str">
        <f ca="1">IFERROR(__xludf.DUMMYFUNCTION("""COMPUTED_VALUE"""),"")</f>
        <v/>
      </c>
      <c r="Y780" t="str">
        <f ca="1">IFERROR(__xludf.DUMMYFUNCTION("""COMPUTED_VALUE"""),"")</f>
        <v/>
      </c>
      <c r="Z780" t="str">
        <f ca="1">IFERROR(__xludf.DUMMYFUNCTION("""COMPUTED_VALUE"""),"")</f>
        <v/>
      </c>
      <c r="AA780" t="str">
        <f ca="1">IFERROR(__xludf.DUMMYFUNCTION("""COMPUTED_VALUE"""),"Pas de commande")</f>
        <v>Pas de commande</v>
      </c>
      <c r="AB780" s="8" t="str">
        <f ca="1">IFERROR(__xludf.DUMMYFUNCTION("""COMPUTED_VALUE"""),"")</f>
        <v/>
      </c>
      <c r="AC780" s="8" t="str">
        <f ca="1">IFERROR(__xludf.DUMMYFUNCTION("""COMPUTED_VALUE"""),"")</f>
        <v/>
      </c>
      <c r="AD780" s="11" t="str">
        <f ca="1">IFERROR(__xludf.DUMMYFUNCTION("""COMPUTED_VALUE"""),"")</f>
        <v/>
      </c>
      <c r="AE780" t="str">
        <f ca="1">IFERROR(__xludf.DUMMYFUNCTION("""COMPUTED_VALUE"""),"")</f>
        <v/>
      </c>
    </row>
    <row r="781" spans="1:31" ht="12.75" x14ac:dyDescent="0.2">
      <c r="A781">
        <f ca="1">IFERROR(__xludf.DUMMYFUNCTION("""COMPUTED_VALUE"""),35959)</f>
        <v>35959</v>
      </c>
      <c r="B781" t="str">
        <f ca="1">IFERROR(__xludf.DUMMYFUNCTION("""COMPUTED_VALUE"""),"PLOUARET")</f>
        <v>PLOUARET</v>
      </c>
      <c r="C781" t="str">
        <f ca="1">IFERROR(__xludf.DUMMYFUNCTION("""COMPUTED_VALUE"""),"U Express")</f>
        <v>U Express</v>
      </c>
      <c r="D781" t="str">
        <f ca="1">IFERROR(__xludf.DUMMYFUNCTION("""COMPUTED_VALUE"""),"Coop U Enseigne Ouest")</f>
        <v>Coop U Enseigne Ouest</v>
      </c>
      <c r="E781">
        <f ca="1">IFERROR(__xludf.DUMMYFUNCTION("""COMPUTED_VALUE"""),22420)</f>
        <v>22420</v>
      </c>
      <c r="F781" t="str">
        <f ca="1">IFERROR(__xludf.DUMMYFUNCTION("""COMPUTED_VALUE"""),"22 PLACE DE L'EGLISE")</f>
        <v>22 PLACE DE L'EGLISE</v>
      </c>
      <c r="G781" t="str">
        <f ca="1">IFERROR(__xludf.DUMMYFUNCTION("""COMPUTED_VALUE"""),"02.96.46.64.90")</f>
        <v>02.96.46.64.90</v>
      </c>
      <c r="H781" t="str">
        <f ca="1">IFERROR(__xludf.DUMMYFUNCTION("""COMPUTED_VALUE"""),"TILLY Jean-Louis")</f>
        <v>TILLY Jean-Louis</v>
      </c>
      <c r="I781" t="str">
        <f ca="1">IFERROR(__xludf.DUMMYFUNCTION("""COMPUTED_VALUE"""),"jean-louis.tilly@systeme-u.fr")</f>
        <v>jean-louis.tilly@systeme-u.fr</v>
      </c>
      <c r="J781" t="str">
        <f ca="1">IFERROR(__xludf.DUMMYFUNCTION("""COMPUTED_VALUE"""),"")</f>
        <v/>
      </c>
      <c r="K781" t="str">
        <f ca="1">IFERROR(__xludf.DUMMYFUNCTION("""COMPUTED_VALUE"""),"")</f>
        <v/>
      </c>
      <c r="L781" t="str">
        <f ca="1">IFERROR(__xludf.DUMMYFUNCTION("""COMPUTED_VALUE"""),"")</f>
        <v/>
      </c>
      <c r="M781" t="str">
        <f ca="1">IFERROR(__xludf.DUMMYFUNCTION("""COMPUTED_VALUE"""),"99.Hors Périmetre")</f>
        <v>99.Hors Périmetre</v>
      </c>
      <c r="N781" t="str">
        <f ca="1">IFERROR(__xludf.DUMMYFUNCTION("""COMPUTED_VALUE"""),"")</f>
        <v/>
      </c>
      <c r="O781" t="str">
        <f ca="1">IFERROR(__xludf.DUMMYFUNCTION("""COMPUTED_VALUE"""),"")</f>
        <v/>
      </c>
      <c r="P781" t="str">
        <f ca="1">IFERROR(__xludf.DUMMYFUNCTION("""COMPUTED_VALUE"""),"")</f>
        <v/>
      </c>
      <c r="Q781" s="5" t="str">
        <f ca="1">IFERROR(__xludf.DUMMYFUNCTION("""COMPUTED_VALUE"""),"")</f>
        <v/>
      </c>
      <c r="R781" s="6" t="str">
        <f ca="1">IFERROR(__xludf.DUMMYFUNCTION("""COMPUTED_VALUE"""),"")</f>
        <v/>
      </c>
      <c r="S781" t="str">
        <f ca="1">IFERROR(__xludf.DUMMYFUNCTION("""COMPUTED_VALUE"""),"")</f>
        <v/>
      </c>
      <c r="T781" t="str">
        <f ca="1">IFERROR(__xludf.DUMMYFUNCTION("""COMPUTED_VALUE"""),"")</f>
        <v/>
      </c>
      <c r="U781" t="str">
        <f ca="1">IFERROR(__xludf.DUMMYFUNCTION("""COMPUTED_VALUE"""),"")</f>
        <v/>
      </c>
      <c r="V781" t="str">
        <f ca="1">IFERROR(__xludf.DUMMYFUNCTION("""COMPUTED_VALUE"""),"")</f>
        <v/>
      </c>
      <c r="W781" t="str">
        <f ca="1">IFERROR(__xludf.DUMMYFUNCTION("""COMPUTED_VALUE"""),"")</f>
        <v/>
      </c>
      <c r="X781" t="str">
        <f ca="1">IFERROR(__xludf.DUMMYFUNCTION("""COMPUTED_VALUE"""),"")</f>
        <v/>
      </c>
      <c r="Y781" t="str">
        <f ca="1">IFERROR(__xludf.DUMMYFUNCTION("""COMPUTED_VALUE"""),"")</f>
        <v/>
      </c>
      <c r="Z781" t="str">
        <f ca="1">IFERROR(__xludf.DUMMYFUNCTION("""COMPUTED_VALUE"""),"")</f>
        <v/>
      </c>
      <c r="AA781" t="str">
        <f ca="1">IFERROR(__xludf.DUMMYFUNCTION("""COMPUTED_VALUE"""),"Pas de commande")</f>
        <v>Pas de commande</v>
      </c>
      <c r="AB781" s="8" t="str">
        <f ca="1">IFERROR(__xludf.DUMMYFUNCTION("""COMPUTED_VALUE"""),"")</f>
        <v/>
      </c>
      <c r="AC781" s="8" t="str">
        <f ca="1">IFERROR(__xludf.DUMMYFUNCTION("""COMPUTED_VALUE"""),"")</f>
        <v/>
      </c>
      <c r="AD781" s="11" t="str">
        <f ca="1">IFERROR(__xludf.DUMMYFUNCTION("""COMPUTED_VALUE"""),"")</f>
        <v/>
      </c>
      <c r="AE781" t="str">
        <f ca="1">IFERROR(__xludf.DUMMYFUNCTION("""COMPUTED_VALUE"""),"")</f>
        <v/>
      </c>
    </row>
    <row r="782" spans="1:31" ht="12.75" x14ac:dyDescent="0.2">
      <c r="A782">
        <f ca="1">IFERROR(__xludf.DUMMYFUNCTION("""COMPUTED_VALUE"""),39717)</f>
        <v>39717</v>
      </c>
      <c r="B782" t="str">
        <f ca="1">IFERROR(__xludf.DUMMYFUNCTION("""COMPUTED_VALUE"""),"PLOUARZEL")</f>
        <v>PLOUARZEL</v>
      </c>
      <c r="C782" t="str">
        <f ca="1">IFERROR(__xludf.DUMMYFUNCTION("""COMPUTED_VALUE"""),"Super U")</f>
        <v>Super U</v>
      </c>
      <c r="D782" t="str">
        <f ca="1">IFERROR(__xludf.DUMMYFUNCTION("""COMPUTED_VALUE"""),"Coop U Enseigne Ouest")</f>
        <v>Coop U Enseigne Ouest</v>
      </c>
      <c r="E782">
        <f ca="1">IFERROR(__xludf.DUMMYFUNCTION("""COMPUTED_VALUE"""),29810)</f>
        <v>29810</v>
      </c>
      <c r="F782" t="str">
        <f ca="1">IFERROR(__xludf.DUMMYFUNCTION("""COMPUTED_VALUE"""),"LIEUDIT MENEZ CRENN")</f>
        <v>LIEUDIT MENEZ CRENN</v>
      </c>
      <c r="G782" t="str">
        <f ca="1">IFERROR(__xludf.DUMMYFUNCTION("""COMPUTED_VALUE"""),"02.98.89.68.22")</f>
        <v>02.98.89.68.22</v>
      </c>
      <c r="H782" t="str">
        <f ca="1">IFERROR(__xludf.DUMMYFUNCTION("""COMPUTED_VALUE"""),"LEQUET Yannick")</f>
        <v>LEQUET Yannick</v>
      </c>
      <c r="I782" t="str">
        <f ca="1">IFERROR(__xludf.DUMMYFUNCTION("""COMPUTED_VALUE"""),"yannick.lequet@systeme-u.fr")</f>
        <v>yannick.lequet@systeme-u.fr</v>
      </c>
      <c r="J782" t="str">
        <f ca="1">IFERROR(__xludf.DUMMYFUNCTION("""COMPUTED_VALUE"""),"LEQUET Veronique")</f>
        <v>LEQUET Veronique</v>
      </c>
      <c r="K782" t="str">
        <f ca="1">IFERROR(__xludf.DUMMYFUNCTION("""COMPUTED_VALUE"""),"superu.plouarzel.informatique@systeme-u.fr,veronique.lequet@systeme-u.fr")</f>
        <v>superu.plouarzel.informatique@systeme-u.fr,veronique.lequet@systeme-u.fr</v>
      </c>
      <c r="L782" t="str">
        <f ca="1">IFERROR(__xludf.DUMMYFUNCTION("""COMPUTED_VALUE"""),"")</f>
        <v/>
      </c>
      <c r="M782" t="str">
        <f ca="1">IFERROR(__xludf.DUMMYFUNCTION("""COMPUTED_VALUE"""),"99.Hors Périmetre")</f>
        <v>99.Hors Périmetre</v>
      </c>
      <c r="N782" t="str">
        <f ca="1">IFERROR(__xludf.DUMMYFUNCTION("""COMPUTED_VALUE"""),"")</f>
        <v/>
      </c>
      <c r="O782" t="str">
        <f ca="1">IFERROR(__xludf.DUMMYFUNCTION("""COMPUTED_VALUE"""),"")</f>
        <v/>
      </c>
      <c r="P782" t="str">
        <f ca="1">IFERROR(__xludf.DUMMYFUNCTION("""COMPUTED_VALUE"""),"")</f>
        <v/>
      </c>
      <c r="Q782" s="5" t="str">
        <f ca="1">IFERROR(__xludf.DUMMYFUNCTION("""COMPUTED_VALUE"""),"")</f>
        <v/>
      </c>
      <c r="R782" s="6" t="str">
        <f ca="1">IFERROR(__xludf.DUMMYFUNCTION("""COMPUTED_VALUE"""),"")</f>
        <v/>
      </c>
      <c r="S782" t="str">
        <f ca="1">IFERROR(__xludf.DUMMYFUNCTION("""COMPUTED_VALUE"""),"")</f>
        <v/>
      </c>
      <c r="T782" t="str">
        <f ca="1">IFERROR(__xludf.DUMMYFUNCTION("""COMPUTED_VALUE"""),"")</f>
        <v/>
      </c>
      <c r="U782" t="str">
        <f ca="1">IFERROR(__xludf.DUMMYFUNCTION("""COMPUTED_VALUE"""),"")</f>
        <v/>
      </c>
      <c r="V782" t="str">
        <f ca="1">IFERROR(__xludf.DUMMYFUNCTION("""COMPUTED_VALUE"""),"")</f>
        <v/>
      </c>
      <c r="W782" t="str">
        <f ca="1">IFERROR(__xludf.DUMMYFUNCTION("""COMPUTED_VALUE"""),"")</f>
        <v/>
      </c>
      <c r="X782" t="str">
        <f ca="1">IFERROR(__xludf.DUMMYFUNCTION("""COMPUTED_VALUE"""),"")</f>
        <v/>
      </c>
      <c r="Y782" t="str">
        <f ca="1">IFERROR(__xludf.DUMMYFUNCTION("""COMPUTED_VALUE"""),"")</f>
        <v/>
      </c>
      <c r="Z782" t="str">
        <f ca="1">IFERROR(__xludf.DUMMYFUNCTION("""COMPUTED_VALUE"""),"")</f>
        <v/>
      </c>
      <c r="AA782" t="str">
        <f ca="1">IFERROR(__xludf.DUMMYFUNCTION("""COMPUTED_VALUE"""),"Pas de commande")</f>
        <v>Pas de commande</v>
      </c>
      <c r="AB782" s="8" t="str">
        <f ca="1">IFERROR(__xludf.DUMMYFUNCTION("""COMPUTED_VALUE"""),"")</f>
        <v/>
      </c>
      <c r="AC782" s="8" t="str">
        <f ca="1">IFERROR(__xludf.DUMMYFUNCTION("""COMPUTED_VALUE"""),"")</f>
        <v/>
      </c>
      <c r="AD782" s="11" t="str">
        <f ca="1">IFERROR(__xludf.DUMMYFUNCTION("""COMPUTED_VALUE"""),"")</f>
        <v/>
      </c>
      <c r="AE782" t="str">
        <f ca="1">IFERROR(__xludf.DUMMYFUNCTION("""COMPUTED_VALUE"""),"")</f>
        <v/>
      </c>
    </row>
    <row r="783" spans="1:31" ht="12.75" x14ac:dyDescent="0.2">
      <c r="A783">
        <f ca="1">IFERROR(__xludf.DUMMYFUNCTION("""COMPUTED_VALUE"""),37390)</f>
        <v>37390</v>
      </c>
      <c r="B783" t="str">
        <f ca="1">IFERROR(__xludf.DUMMYFUNCTION("""COMPUTED_VALUE"""),"PLOUENAN")</f>
        <v>PLOUENAN</v>
      </c>
      <c r="C783" t="str">
        <f ca="1">IFERROR(__xludf.DUMMYFUNCTION("""COMPUTED_VALUE"""),"U Express")</f>
        <v>U Express</v>
      </c>
      <c r="D783" t="str">
        <f ca="1">IFERROR(__xludf.DUMMYFUNCTION("""COMPUTED_VALUE"""),"Coop U Enseigne Ouest")</f>
        <v>Coop U Enseigne Ouest</v>
      </c>
      <c r="E783">
        <f ca="1">IFERROR(__xludf.DUMMYFUNCTION("""COMPUTED_VALUE"""),29420)</f>
        <v>29420</v>
      </c>
      <c r="F783" t="str">
        <f ca="1">IFERROR(__xludf.DUMMYFUNCTION("""COMPUTED_VALUE"""),"BEL AIR")</f>
        <v>BEL AIR</v>
      </c>
      <c r="G783" t="str">
        <f ca="1">IFERROR(__xludf.DUMMYFUNCTION("""COMPUTED_VALUE"""),"02.98.69.58.25")</f>
        <v>02.98.69.58.25</v>
      </c>
      <c r="H783" t="str">
        <f ca="1">IFERROR(__xludf.DUMMYFUNCTION("""COMPUTED_VALUE"""),"ABOMNES Erwan")</f>
        <v>ABOMNES Erwan</v>
      </c>
      <c r="I783" t="str">
        <f ca="1">IFERROR(__xludf.DUMMYFUNCTION("""COMPUTED_VALUE"""),"erwan.abomnes@systeme-u.fr")</f>
        <v>erwan.abomnes@systeme-u.fr</v>
      </c>
      <c r="J783" t="str">
        <f ca="1">IFERROR(__xludf.DUMMYFUNCTION("""COMPUTED_VALUE"""),"LE SAOUT Anne-Laure")</f>
        <v>LE SAOUT Anne-Laure</v>
      </c>
      <c r="K783" t="str">
        <f ca="1">IFERROR(__xludf.DUMMYFUNCTION("""COMPUTED_VALUE"""),"uexpress.plouenan.compta@systeme-u.fr")</f>
        <v>uexpress.plouenan.compta@systeme-u.fr</v>
      </c>
      <c r="L783" t="str">
        <f ca="1">IFERROR(__xludf.DUMMYFUNCTION("""COMPUTED_VALUE"""),"")</f>
        <v/>
      </c>
      <c r="M783" t="str">
        <f ca="1">IFERROR(__xludf.DUMMYFUNCTION("""COMPUTED_VALUE"""),"99.Hors Périmetre")</f>
        <v>99.Hors Périmetre</v>
      </c>
      <c r="N783" t="str">
        <f ca="1">IFERROR(__xludf.DUMMYFUNCTION("""COMPUTED_VALUE"""),"")</f>
        <v/>
      </c>
      <c r="O783" t="str">
        <f ca="1">IFERROR(__xludf.DUMMYFUNCTION("""COMPUTED_VALUE"""),"")</f>
        <v/>
      </c>
      <c r="P783" t="str">
        <f ca="1">IFERROR(__xludf.DUMMYFUNCTION("""COMPUTED_VALUE"""),"")</f>
        <v/>
      </c>
      <c r="Q783" s="5" t="str">
        <f ca="1">IFERROR(__xludf.DUMMYFUNCTION("""COMPUTED_VALUE"""),"")</f>
        <v/>
      </c>
      <c r="R783" s="6" t="str">
        <f ca="1">IFERROR(__xludf.DUMMYFUNCTION("""COMPUTED_VALUE"""),"")</f>
        <v/>
      </c>
      <c r="S783" t="str">
        <f ca="1">IFERROR(__xludf.DUMMYFUNCTION("""COMPUTED_VALUE"""),"")</f>
        <v/>
      </c>
      <c r="T783" t="str">
        <f ca="1">IFERROR(__xludf.DUMMYFUNCTION("""COMPUTED_VALUE"""),"")</f>
        <v/>
      </c>
      <c r="U783" t="str">
        <f ca="1">IFERROR(__xludf.DUMMYFUNCTION("""COMPUTED_VALUE"""),"")</f>
        <v/>
      </c>
      <c r="V783" t="str">
        <f ca="1">IFERROR(__xludf.DUMMYFUNCTION("""COMPUTED_VALUE"""),"")</f>
        <v/>
      </c>
      <c r="W783" t="str">
        <f ca="1">IFERROR(__xludf.DUMMYFUNCTION("""COMPUTED_VALUE"""),"")</f>
        <v/>
      </c>
      <c r="X783" t="str">
        <f ca="1">IFERROR(__xludf.DUMMYFUNCTION("""COMPUTED_VALUE"""),"")</f>
        <v/>
      </c>
      <c r="Y783" t="str">
        <f ca="1">IFERROR(__xludf.DUMMYFUNCTION("""COMPUTED_VALUE"""),"")</f>
        <v/>
      </c>
      <c r="Z783" t="str">
        <f ca="1">IFERROR(__xludf.DUMMYFUNCTION("""COMPUTED_VALUE"""),"")</f>
        <v/>
      </c>
      <c r="AA783" t="str">
        <f ca="1">IFERROR(__xludf.DUMMYFUNCTION("""COMPUTED_VALUE"""),"Pas de commande")</f>
        <v>Pas de commande</v>
      </c>
      <c r="AB783" s="8" t="str">
        <f ca="1">IFERROR(__xludf.DUMMYFUNCTION("""COMPUTED_VALUE"""),"")</f>
        <v/>
      </c>
      <c r="AC783" s="8" t="str">
        <f ca="1">IFERROR(__xludf.DUMMYFUNCTION("""COMPUTED_VALUE"""),"")</f>
        <v/>
      </c>
      <c r="AD783" s="11" t="str">
        <f ca="1">IFERROR(__xludf.DUMMYFUNCTION("""COMPUTED_VALUE"""),"")</f>
        <v/>
      </c>
      <c r="AE783" t="str">
        <f ca="1">IFERROR(__xludf.DUMMYFUNCTION("""COMPUTED_VALUE"""),"")</f>
        <v/>
      </c>
    </row>
    <row r="784" spans="1:31" ht="12.75" x14ac:dyDescent="0.2">
      <c r="A784">
        <f ca="1">IFERROR(__xludf.DUMMYFUNCTION("""COMPUTED_VALUE"""),31708)</f>
        <v>31708</v>
      </c>
      <c r="B784" t="str">
        <f ca="1">IFERROR(__xludf.DUMMYFUNCTION("""COMPUTED_VALUE"""),"PLOUER-SUR-RANCE")</f>
        <v>PLOUER-SUR-RANCE</v>
      </c>
      <c r="C784" t="str">
        <f ca="1">IFERROR(__xludf.DUMMYFUNCTION("""COMPUTED_VALUE"""),"Super U")</f>
        <v>Super U</v>
      </c>
      <c r="D784" t="str">
        <f ca="1">IFERROR(__xludf.DUMMYFUNCTION("""COMPUTED_VALUE"""),"Coop U Enseigne Ouest")</f>
        <v>Coop U Enseigne Ouest</v>
      </c>
      <c r="E784">
        <f ca="1">IFERROR(__xludf.DUMMYFUNCTION("""COMPUTED_VALUE"""),22490)</f>
        <v>22490</v>
      </c>
      <c r="F784" t="str">
        <f ca="1">IFERROR(__xludf.DUMMYFUNCTION("""COMPUTED_VALUE"""),"ZONE ARTISANALE LES LANDES")</f>
        <v>ZONE ARTISANALE LES LANDES</v>
      </c>
      <c r="G784" t="str">
        <f ca="1">IFERROR(__xludf.DUMMYFUNCTION("""COMPUTED_VALUE"""),"02.96.89.10.30")</f>
        <v>02.96.89.10.30</v>
      </c>
      <c r="H784" t="str">
        <f ca="1">IFERROR(__xludf.DUMMYFUNCTION("""COMPUTED_VALUE"""),"PRIGENT RPT FINANCIERE PLOUER Michel")</f>
        <v>PRIGENT RPT FINANCIERE PLOUER Michel</v>
      </c>
      <c r="I784" t="str">
        <f ca="1">IFERROR(__xludf.DUMMYFUNCTION("""COMPUTED_VALUE"""),"michel.prigent@systeme-u.fr")</f>
        <v>michel.prigent@systeme-u.fr</v>
      </c>
      <c r="J784" t="str">
        <f ca="1">IFERROR(__xludf.DUMMYFUNCTION("""COMPUTED_VALUE"""),"ALLANIC Amandine")</f>
        <v>ALLANIC Amandine</v>
      </c>
      <c r="K784" t="str">
        <f ca="1">IFERROR(__xludf.DUMMYFUNCTION("""COMPUTED_VALUE"""),"superu.plouersurrance@systeme-u.fr")</f>
        <v>superu.plouersurrance@systeme-u.fr</v>
      </c>
      <c r="L784" t="str">
        <f ca="1">IFERROR(__xludf.DUMMYFUNCTION("""COMPUTED_VALUE"""),"Standard")</f>
        <v>Standard</v>
      </c>
      <c r="M784" t="str">
        <f ca="1">IFERROR(__xludf.DUMMYFUNCTION("""COMPUTED_VALUE"""),"0. Non démarré")</f>
        <v>0. Non démarré</v>
      </c>
      <c r="N784" t="str">
        <f ca="1">IFERROR(__xludf.DUMMYFUNCTION("""COMPUTED_VALUE"""),"")</f>
        <v/>
      </c>
      <c r="O784" t="str">
        <f ca="1">IFERROR(__xludf.DUMMYFUNCTION("""COMPUTED_VALUE"""),"")</f>
        <v/>
      </c>
      <c r="P784" t="str">
        <f ca="1">IFERROR(__xludf.DUMMYFUNCTION("""COMPUTED_VALUE"""),"")</f>
        <v/>
      </c>
      <c r="Q784" s="5" t="str">
        <f ca="1">IFERROR(__xludf.DUMMYFUNCTION("""COMPUTED_VALUE"""),"")</f>
        <v/>
      </c>
      <c r="R784" s="6" t="str">
        <f ca="1">IFERROR(__xludf.DUMMYFUNCTION("""COMPUTED_VALUE"""),"")</f>
        <v/>
      </c>
      <c r="S784" t="str">
        <f ca="1">IFERROR(__xludf.DUMMYFUNCTION("""COMPUTED_VALUE"""),"")</f>
        <v/>
      </c>
      <c r="T784" t="str">
        <f ca="1">IFERROR(__xludf.DUMMYFUNCTION("""COMPUTED_VALUE"""),"")</f>
        <v/>
      </c>
      <c r="U784" t="str">
        <f ca="1">IFERROR(__xludf.DUMMYFUNCTION("""COMPUTED_VALUE"""),"")</f>
        <v/>
      </c>
      <c r="V784" t="str">
        <f ca="1">IFERROR(__xludf.DUMMYFUNCTION("""COMPUTED_VALUE"""),"")</f>
        <v/>
      </c>
      <c r="W784" t="str">
        <f ca="1">IFERROR(__xludf.DUMMYFUNCTION("""COMPUTED_VALUE"""),"R5")</f>
        <v>R5</v>
      </c>
      <c r="X784" t="str">
        <f ca="1">IFERROR(__xludf.DUMMYFUNCTION("""COMPUTED_VALUE"""),"Pricer")</f>
        <v>Pricer</v>
      </c>
      <c r="Y784" t="str">
        <f ca="1">IFERROR(__xludf.DUMMYFUNCTION("""COMPUTED_VALUE"""),"")</f>
        <v/>
      </c>
      <c r="Z784" t="str">
        <f ca="1">IFERROR(__xludf.DUMMYFUNCTION("""COMPUTED_VALUE"""),"")</f>
        <v/>
      </c>
      <c r="AA784" t="str">
        <f ca="1">IFERROR(__xludf.DUMMYFUNCTION("""COMPUTED_VALUE"""),"Pas de commande")</f>
        <v>Pas de commande</v>
      </c>
      <c r="AB784" s="8" t="str">
        <f ca="1">IFERROR(__xludf.DUMMYFUNCTION("""COMPUTED_VALUE"""),"")</f>
        <v/>
      </c>
      <c r="AC784" s="8" t="str">
        <f ca="1">IFERROR(__xludf.DUMMYFUNCTION("""COMPUTED_VALUE"""),"")</f>
        <v/>
      </c>
      <c r="AD784" s="11" t="str">
        <f ca="1">IFERROR(__xludf.DUMMYFUNCTION("""COMPUTED_VALUE"""),"")</f>
        <v/>
      </c>
      <c r="AE784" t="str">
        <f ca="1">IFERROR(__xludf.DUMMYFUNCTION("""COMPUTED_VALUE"""),"")</f>
        <v/>
      </c>
    </row>
    <row r="785" spans="1:31" ht="12.75" x14ac:dyDescent="0.2">
      <c r="A785">
        <f ca="1">IFERROR(__xludf.DUMMYFUNCTION("""COMPUTED_VALUE"""),32410)</f>
        <v>32410</v>
      </c>
      <c r="B785" t="str">
        <f ca="1">IFERROR(__xludf.DUMMYFUNCTION("""COMPUTED_VALUE"""),"PLOUGASTEL")</f>
        <v>PLOUGASTEL</v>
      </c>
      <c r="C785" t="str">
        <f ca="1">IFERROR(__xludf.DUMMYFUNCTION("""COMPUTED_VALUE"""),"Super U")</f>
        <v>Super U</v>
      </c>
      <c r="D785" t="str">
        <f ca="1">IFERROR(__xludf.DUMMYFUNCTION("""COMPUTED_VALUE"""),"Coop U Enseigne Ouest")</f>
        <v>Coop U Enseigne Ouest</v>
      </c>
      <c r="E785">
        <f ca="1">IFERROR(__xludf.DUMMYFUNCTION("""COMPUTED_VALUE"""),29470)</f>
        <v>29470</v>
      </c>
      <c r="F785" t="str">
        <f ca="1">IFERROR(__xludf.DUMMYFUNCTION("""COMPUTED_VALUE"""),"64 AVENUE DU GÉNÉRAL DE GAULLE")</f>
        <v>64 AVENUE DU GÉNÉRAL DE GAULLE</v>
      </c>
      <c r="G785" t="str">
        <f ca="1">IFERROR(__xludf.DUMMYFUNCTION("""COMPUTED_VALUE"""),"02.98.40.38.86")</f>
        <v>02.98.40.38.86</v>
      </c>
      <c r="H785" t="str">
        <f ca="1">IFERROR(__xludf.DUMMYFUNCTION("""COMPUTED_VALUE"""),"LE BOURHIS RPT SOFINABER Michel")</f>
        <v>LE BOURHIS RPT SOFINABER Michel</v>
      </c>
      <c r="I785" t="str">
        <f ca="1">IFERROR(__xludf.DUMMYFUNCTION("""COMPUTED_VALUE"""),"michel.le-bourhis@systeme-u.fr")</f>
        <v>michel.le-bourhis@systeme-u.fr</v>
      </c>
      <c r="J785" t="str">
        <f ca="1">IFERROR(__xludf.DUMMYFUNCTION("""COMPUTED_VALUE"""),"Madame Dujarrier")</f>
        <v>Madame Dujarrier</v>
      </c>
      <c r="K785" t="str">
        <f ca="1">IFERROR(__xludf.DUMMYFUNCTION("""COMPUTED_VALUE"""),"superu.plougasteldaoulas@systeme-u.fr")</f>
        <v>superu.plougasteldaoulas@systeme-u.fr</v>
      </c>
      <c r="L785" t="str">
        <f ca="1">IFERROR(__xludf.DUMMYFUNCTION("""COMPUTED_VALUE"""),"")</f>
        <v/>
      </c>
      <c r="M785" t="str">
        <f ca="1">IFERROR(__xludf.DUMMYFUNCTION("""COMPUTED_VALUE"""),"99.Hors Périmetre")</f>
        <v>99.Hors Périmetre</v>
      </c>
      <c r="N785" t="str">
        <f ca="1">IFERROR(__xludf.DUMMYFUNCTION("""COMPUTED_VALUE"""),"")</f>
        <v/>
      </c>
      <c r="O785" t="str">
        <f ca="1">IFERROR(__xludf.DUMMYFUNCTION("""COMPUTED_VALUE"""),"")</f>
        <v/>
      </c>
      <c r="P785" t="str">
        <f ca="1">IFERROR(__xludf.DUMMYFUNCTION("""COMPUTED_VALUE"""),"")</f>
        <v/>
      </c>
      <c r="Q785" s="5" t="str">
        <f ca="1">IFERROR(__xludf.DUMMYFUNCTION("""COMPUTED_VALUE"""),"")</f>
        <v/>
      </c>
      <c r="R785" s="6" t="str">
        <f ca="1">IFERROR(__xludf.DUMMYFUNCTION("""COMPUTED_VALUE"""),"")</f>
        <v/>
      </c>
      <c r="S785" t="str">
        <f ca="1">IFERROR(__xludf.DUMMYFUNCTION("""COMPUTED_VALUE"""),"")</f>
        <v/>
      </c>
      <c r="T785" t="str">
        <f ca="1">IFERROR(__xludf.DUMMYFUNCTION("""COMPUTED_VALUE"""),"")</f>
        <v/>
      </c>
      <c r="U785" t="str">
        <f ca="1">IFERROR(__xludf.DUMMYFUNCTION("""COMPUTED_VALUE"""),"")</f>
        <v/>
      </c>
      <c r="V785" t="str">
        <f ca="1">IFERROR(__xludf.DUMMYFUNCTION("""COMPUTED_VALUE"""),"")</f>
        <v/>
      </c>
      <c r="W785" t="str">
        <f ca="1">IFERROR(__xludf.DUMMYFUNCTION("""COMPUTED_VALUE"""),"")</f>
        <v/>
      </c>
      <c r="X785" t="str">
        <f ca="1">IFERROR(__xludf.DUMMYFUNCTION("""COMPUTED_VALUE"""),"")</f>
        <v/>
      </c>
      <c r="Y785" t="str">
        <f ca="1">IFERROR(__xludf.DUMMYFUNCTION("""COMPUTED_VALUE"""),"")</f>
        <v/>
      </c>
      <c r="Z785" t="str">
        <f ca="1">IFERROR(__xludf.DUMMYFUNCTION("""COMPUTED_VALUE"""),"")</f>
        <v/>
      </c>
      <c r="AA785" t="str">
        <f ca="1">IFERROR(__xludf.DUMMYFUNCTION("""COMPUTED_VALUE"""),"Pas de commande")</f>
        <v>Pas de commande</v>
      </c>
      <c r="AB785" s="8" t="str">
        <f ca="1">IFERROR(__xludf.DUMMYFUNCTION("""COMPUTED_VALUE"""),"")</f>
        <v/>
      </c>
      <c r="AC785" s="8" t="str">
        <f ca="1">IFERROR(__xludf.DUMMYFUNCTION("""COMPUTED_VALUE"""),"")</f>
        <v/>
      </c>
      <c r="AD785" s="11" t="str">
        <f ca="1">IFERROR(__xludf.DUMMYFUNCTION("""COMPUTED_VALUE"""),"")</f>
        <v/>
      </c>
      <c r="AE785" t="str">
        <f ca="1">IFERROR(__xludf.DUMMYFUNCTION("""COMPUTED_VALUE"""),"")</f>
        <v/>
      </c>
    </row>
    <row r="786" spans="1:31" ht="12.75" x14ac:dyDescent="0.2">
      <c r="A786">
        <f ca="1">IFERROR(__xludf.DUMMYFUNCTION("""COMPUTED_VALUE"""),34049)</f>
        <v>34049</v>
      </c>
      <c r="B786" t="str">
        <f ca="1">IFERROR(__xludf.DUMMYFUNCTION("""COMPUTED_VALUE"""),"PLOUHARNEL")</f>
        <v>PLOUHARNEL</v>
      </c>
      <c r="C786" t="str">
        <f ca="1">IFERROR(__xludf.DUMMYFUNCTION("""COMPUTED_VALUE"""),"Super U")</f>
        <v>Super U</v>
      </c>
      <c r="D786" t="str">
        <f ca="1">IFERROR(__xludf.DUMMYFUNCTION("""COMPUTED_VALUE"""),"Coop U Enseigne Ouest")</f>
        <v>Coop U Enseigne Ouest</v>
      </c>
      <c r="E786">
        <f ca="1">IFERROR(__xludf.DUMMYFUNCTION("""COMPUTED_VALUE"""),56340)</f>
        <v>56340</v>
      </c>
      <c r="F786" t="str">
        <f ca="1">IFERROR(__xludf.DUMMYFUNCTION("""COMPUTED_VALUE"""),"ROND POINT DE L OCEAN")</f>
        <v>ROND POINT DE L OCEAN</v>
      </c>
      <c r="G786" t="str">
        <f ca="1">IFERROR(__xludf.DUMMYFUNCTION("""COMPUTED_VALUE"""),"02.97.52.31.41")</f>
        <v>02.97.52.31.41</v>
      </c>
      <c r="H786" t="str">
        <f ca="1">IFERROR(__xludf.DUMMYFUNCTION("""COMPUTED_VALUE"""),"FLOCH RPT HOLDING OCEANE Jean-Philippe")</f>
        <v>FLOCH RPT HOLDING OCEANE Jean-Philippe</v>
      </c>
      <c r="I786" t="str">
        <f ca="1">IFERROR(__xludf.DUMMYFUNCTION("""COMPUTED_VALUE"""),"anne-marie.floch@systeme-u.fr")</f>
        <v>anne-marie.floch@systeme-u.fr</v>
      </c>
      <c r="J786" t="str">
        <f ca="1">IFERROR(__xludf.DUMMYFUNCTION("""COMPUTED_VALUE"""),"Corine Floch")</f>
        <v>Corine Floch</v>
      </c>
      <c r="K786" t="str">
        <f ca="1">IFERROR(__xludf.DUMMYFUNCTION("""COMPUTED_VALUE"""),"corine.floch@hotmail.fr")</f>
        <v>corine.floch@hotmail.fr</v>
      </c>
      <c r="L786" t="str">
        <f ca="1">IFERROR(__xludf.DUMMYFUNCTION("""COMPUTED_VALUE"""),"")</f>
        <v/>
      </c>
      <c r="M786" t="str">
        <f ca="1">IFERROR(__xludf.DUMMYFUNCTION("""COMPUTED_VALUE"""),"99.Hors Périmetre")</f>
        <v>99.Hors Périmetre</v>
      </c>
      <c r="N786" t="str">
        <f ca="1">IFERROR(__xludf.DUMMYFUNCTION("""COMPUTED_VALUE"""),"")</f>
        <v/>
      </c>
      <c r="O786" t="str">
        <f ca="1">IFERROR(__xludf.DUMMYFUNCTION("""COMPUTED_VALUE"""),"")</f>
        <v/>
      </c>
      <c r="P786" t="str">
        <f ca="1">IFERROR(__xludf.DUMMYFUNCTION("""COMPUTED_VALUE"""),"")</f>
        <v/>
      </c>
      <c r="Q786" s="5" t="str">
        <f ca="1">IFERROR(__xludf.DUMMYFUNCTION("""COMPUTED_VALUE"""),"")</f>
        <v/>
      </c>
      <c r="R786" s="6" t="str">
        <f ca="1">IFERROR(__xludf.DUMMYFUNCTION("""COMPUTED_VALUE"""),"")</f>
        <v/>
      </c>
      <c r="S786" t="str">
        <f ca="1">IFERROR(__xludf.DUMMYFUNCTION("""COMPUTED_VALUE"""),"")</f>
        <v/>
      </c>
      <c r="T786" t="str">
        <f ca="1">IFERROR(__xludf.DUMMYFUNCTION("""COMPUTED_VALUE"""),"")</f>
        <v/>
      </c>
      <c r="U786" t="str">
        <f ca="1">IFERROR(__xludf.DUMMYFUNCTION("""COMPUTED_VALUE"""),"")</f>
        <v/>
      </c>
      <c r="V786" t="str">
        <f ca="1">IFERROR(__xludf.DUMMYFUNCTION("""COMPUTED_VALUE"""),"")</f>
        <v/>
      </c>
      <c r="W786" t="str">
        <f ca="1">IFERROR(__xludf.DUMMYFUNCTION("""COMPUTED_VALUE"""),"")</f>
        <v/>
      </c>
      <c r="X786" t="str">
        <f ca="1">IFERROR(__xludf.DUMMYFUNCTION("""COMPUTED_VALUE"""),"")</f>
        <v/>
      </c>
      <c r="Y786" t="str">
        <f ca="1">IFERROR(__xludf.DUMMYFUNCTION("""COMPUTED_VALUE"""),"")</f>
        <v/>
      </c>
      <c r="Z786" t="str">
        <f ca="1">IFERROR(__xludf.DUMMYFUNCTION("""COMPUTED_VALUE"""),"")</f>
        <v/>
      </c>
      <c r="AA786" t="str">
        <f ca="1">IFERROR(__xludf.DUMMYFUNCTION("""COMPUTED_VALUE"""),"Pas de commande")</f>
        <v>Pas de commande</v>
      </c>
      <c r="AB786" s="8" t="str">
        <f ca="1">IFERROR(__xludf.DUMMYFUNCTION("""COMPUTED_VALUE"""),"")</f>
        <v/>
      </c>
      <c r="AC786" s="8" t="str">
        <f ca="1">IFERROR(__xludf.DUMMYFUNCTION("""COMPUTED_VALUE"""),"")</f>
        <v/>
      </c>
      <c r="AD786" s="11" t="str">
        <f ca="1">IFERROR(__xludf.DUMMYFUNCTION("""COMPUTED_VALUE"""),"")</f>
        <v/>
      </c>
      <c r="AE786" t="str">
        <f ca="1">IFERROR(__xludf.DUMMYFUNCTION("""COMPUTED_VALUE"""),"")</f>
        <v/>
      </c>
    </row>
    <row r="787" spans="1:31" ht="12.75" x14ac:dyDescent="0.2">
      <c r="A787">
        <f ca="1">IFERROR(__xludf.DUMMYFUNCTION("""COMPUTED_VALUE"""),35487)</f>
        <v>35487</v>
      </c>
      <c r="B787" t="str">
        <f ca="1">IFERROR(__xludf.DUMMYFUNCTION("""COMPUTED_VALUE"""),"PLUVIGNER")</f>
        <v>PLUVIGNER</v>
      </c>
      <c r="C787" t="str">
        <f ca="1">IFERROR(__xludf.DUMMYFUNCTION("""COMPUTED_VALUE"""),"Super U")</f>
        <v>Super U</v>
      </c>
      <c r="D787" t="str">
        <f ca="1">IFERROR(__xludf.DUMMYFUNCTION("""COMPUTED_VALUE"""),"Coop U Enseigne Ouest")</f>
        <v>Coop U Enseigne Ouest</v>
      </c>
      <c r="E787">
        <f ca="1">IFERROR(__xludf.DUMMYFUNCTION("""COMPUTED_VALUE"""),56330)</f>
        <v>56330</v>
      </c>
      <c r="F787" t="str">
        <f ca="1">IFERROR(__xludf.DUMMYFUNCTION("""COMPUTED_VALUE"""),"RUE ABBÉ LE MARECHAL")</f>
        <v>RUE ABBÉ LE MARECHAL</v>
      </c>
      <c r="G787" t="str">
        <f ca="1">IFERROR(__xludf.DUMMYFUNCTION("""COMPUTED_VALUE"""),"02.97.24.70.03")</f>
        <v>02.97.24.70.03</v>
      </c>
      <c r="H787" t="str">
        <f ca="1">IFERROR(__xludf.DUMMYFUNCTION("""COMPUTED_VALUE"""),"SAINT JALMES RPT SARL MARIEL Carl")</f>
        <v>SAINT JALMES RPT SARL MARIEL Carl</v>
      </c>
      <c r="I787" t="str">
        <f ca="1">IFERROR(__xludf.DUMMYFUNCTION("""COMPUTED_VALUE"""),"carl.saintjalmes@systeme-u.fr")</f>
        <v>carl.saintjalmes@systeme-u.fr</v>
      </c>
      <c r="J787" t="str">
        <f ca="1">IFERROR(__xludf.DUMMYFUNCTION("""COMPUTED_VALUE"""),"MARTIN Jean-René")</f>
        <v>MARTIN Jean-René</v>
      </c>
      <c r="K787" t="str">
        <f ca="1">IFERROR(__xludf.DUMMYFUNCTION("""COMPUTED_VALUE"""),"jean-rene.martin@systeme-u.fr")</f>
        <v>jean-rene.martin@systeme-u.fr</v>
      </c>
      <c r="L787" t="str">
        <f ca="1">IFERROR(__xludf.DUMMYFUNCTION("""COMPUTED_VALUE"""),"")</f>
        <v/>
      </c>
      <c r="M787" t="str">
        <f ca="1">IFERROR(__xludf.DUMMYFUNCTION("""COMPUTED_VALUE"""),"99.Hors Périmetre")</f>
        <v>99.Hors Périmetre</v>
      </c>
      <c r="N787" t="str">
        <f ca="1">IFERROR(__xludf.DUMMYFUNCTION("""COMPUTED_VALUE"""),"")</f>
        <v/>
      </c>
      <c r="O787" t="str">
        <f ca="1">IFERROR(__xludf.DUMMYFUNCTION("""COMPUTED_VALUE"""),"")</f>
        <v/>
      </c>
      <c r="P787" t="str">
        <f ca="1">IFERROR(__xludf.DUMMYFUNCTION("""COMPUTED_VALUE"""),"")</f>
        <v/>
      </c>
      <c r="Q787" s="5" t="str">
        <f ca="1">IFERROR(__xludf.DUMMYFUNCTION("""COMPUTED_VALUE"""),"")</f>
        <v/>
      </c>
      <c r="R787" s="6" t="str">
        <f ca="1">IFERROR(__xludf.DUMMYFUNCTION("""COMPUTED_VALUE"""),"")</f>
        <v/>
      </c>
      <c r="S787" t="str">
        <f ca="1">IFERROR(__xludf.DUMMYFUNCTION("""COMPUTED_VALUE"""),"")</f>
        <v/>
      </c>
      <c r="T787" t="str">
        <f ca="1">IFERROR(__xludf.DUMMYFUNCTION("""COMPUTED_VALUE"""),"")</f>
        <v/>
      </c>
      <c r="U787" t="str">
        <f ca="1">IFERROR(__xludf.DUMMYFUNCTION("""COMPUTED_VALUE"""),"")</f>
        <v/>
      </c>
      <c r="V787" t="str">
        <f ca="1">IFERROR(__xludf.DUMMYFUNCTION("""COMPUTED_VALUE"""),"")</f>
        <v/>
      </c>
      <c r="W787" t="str">
        <f ca="1">IFERROR(__xludf.DUMMYFUNCTION("""COMPUTED_VALUE"""),"")</f>
        <v/>
      </c>
      <c r="X787" t="str">
        <f ca="1">IFERROR(__xludf.DUMMYFUNCTION("""COMPUTED_VALUE"""),"")</f>
        <v/>
      </c>
      <c r="Y787" t="str">
        <f ca="1">IFERROR(__xludf.DUMMYFUNCTION("""COMPUTED_VALUE"""),"")</f>
        <v/>
      </c>
      <c r="Z787" t="str">
        <f ca="1">IFERROR(__xludf.DUMMYFUNCTION("""COMPUTED_VALUE"""),"")</f>
        <v/>
      </c>
      <c r="AA787" t="str">
        <f ca="1">IFERROR(__xludf.DUMMYFUNCTION("""COMPUTED_VALUE"""),"Pas de commande")</f>
        <v>Pas de commande</v>
      </c>
      <c r="AB787" s="8" t="str">
        <f ca="1">IFERROR(__xludf.DUMMYFUNCTION("""COMPUTED_VALUE"""),"")</f>
        <v/>
      </c>
      <c r="AC787" s="8" t="str">
        <f ca="1">IFERROR(__xludf.DUMMYFUNCTION("""COMPUTED_VALUE"""),"")</f>
        <v/>
      </c>
      <c r="AD787" s="11" t="str">
        <f ca="1">IFERROR(__xludf.DUMMYFUNCTION("""COMPUTED_VALUE"""),"")</f>
        <v/>
      </c>
      <c r="AE787" t="str">
        <f ca="1">IFERROR(__xludf.DUMMYFUNCTION("""COMPUTED_VALUE"""),"")</f>
        <v/>
      </c>
    </row>
    <row r="788" spans="1:31" ht="12.75" x14ac:dyDescent="0.2">
      <c r="A788">
        <f ca="1">IFERROR(__xludf.DUMMYFUNCTION("""COMPUTED_VALUE"""),95121)</f>
        <v>95121</v>
      </c>
      <c r="B788" t="str">
        <f ca="1">IFERROR(__xludf.DUMMYFUNCTION("""COMPUTED_VALUE"""),"PODENSAC")</f>
        <v>PODENSAC</v>
      </c>
      <c r="C788" t="str">
        <f ca="1">IFERROR(__xludf.DUMMYFUNCTION("""COMPUTED_VALUE"""),"Super U")</f>
        <v>Super U</v>
      </c>
      <c r="D788" t="str">
        <f ca="1">IFERROR(__xludf.DUMMYFUNCTION("""COMPUTED_VALUE"""),"Coop U Enseigne Sud")</f>
        <v>Coop U Enseigne Sud</v>
      </c>
      <c r="E788">
        <f ca="1">IFERROR(__xludf.DUMMYFUNCTION("""COMPUTED_VALUE"""),33720)</f>
        <v>33720</v>
      </c>
      <c r="F788" t="str">
        <f ca="1">IFERROR(__xludf.DUMMYFUNCTION("""COMPUTED_VALUE"""),"CC SUPER U RN 113")</f>
        <v>CC SUPER U RN 113</v>
      </c>
      <c r="G788" t="str">
        <f ca="1">IFERROR(__xludf.DUMMYFUNCTION("""COMPUTED_VALUE"""),"05.56.27.23.00")</f>
        <v>05.56.27.23.00</v>
      </c>
      <c r="H788" t="str">
        <f ca="1">IFERROR(__xludf.DUMMYFUNCTION("""COMPUTED_VALUE"""),"GAYFFIER Elie-Jacques")</f>
        <v>GAYFFIER Elie-Jacques</v>
      </c>
      <c r="I788" t="str">
        <f ca="1">IFERROR(__xludf.DUMMYFUNCTION("""COMPUTED_VALUE"""),"elie-jacques.gayffier@systeme-u.fr")</f>
        <v>elie-jacques.gayffier@systeme-u.fr</v>
      </c>
      <c r="J788" t="str">
        <f ca="1">IFERROR(__xludf.DUMMYFUNCTION("""COMPUTED_VALUE"""),"M. CUIN")</f>
        <v>M. CUIN</v>
      </c>
      <c r="K788" t="str">
        <f ca="1">IFERROR(__xludf.DUMMYFUNCTION("""COMPUTED_VALUE"""),"superu.podensac.direction@systeme-u.fr")</f>
        <v>superu.podensac.direction@systeme-u.fr</v>
      </c>
      <c r="L788" t="str">
        <f ca="1">IFERROR(__xludf.DUMMYFUNCTION("""COMPUTED_VALUE"""),"")</f>
        <v/>
      </c>
      <c r="M788" t="str">
        <f ca="1">IFERROR(__xludf.DUMMYFUNCTION("""COMPUTED_VALUE"""),"99.Hors Périmetre")</f>
        <v>99.Hors Périmetre</v>
      </c>
      <c r="N788" t="str">
        <f ca="1">IFERROR(__xludf.DUMMYFUNCTION("""COMPUTED_VALUE"""),"")</f>
        <v/>
      </c>
      <c r="O788" t="str">
        <f ca="1">IFERROR(__xludf.DUMMYFUNCTION("""COMPUTED_VALUE"""),"")</f>
        <v/>
      </c>
      <c r="P788" t="str">
        <f ca="1">IFERROR(__xludf.DUMMYFUNCTION("""COMPUTED_VALUE"""),"")</f>
        <v/>
      </c>
      <c r="Q788" s="5" t="str">
        <f ca="1">IFERROR(__xludf.DUMMYFUNCTION("""COMPUTED_VALUE"""),"")</f>
        <v/>
      </c>
      <c r="R788" s="6" t="str">
        <f ca="1">IFERROR(__xludf.DUMMYFUNCTION("""COMPUTED_VALUE"""),"")</f>
        <v/>
      </c>
      <c r="S788" t="str">
        <f ca="1">IFERROR(__xludf.DUMMYFUNCTION("""COMPUTED_VALUE"""),"")</f>
        <v/>
      </c>
      <c r="T788" t="str">
        <f ca="1">IFERROR(__xludf.DUMMYFUNCTION("""COMPUTED_VALUE"""),"")</f>
        <v/>
      </c>
      <c r="U788" t="str">
        <f ca="1">IFERROR(__xludf.DUMMYFUNCTION("""COMPUTED_VALUE"""),"")</f>
        <v/>
      </c>
      <c r="V788" t="str">
        <f ca="1">IFERROR(__xludf.DUMMYFUNCTION("""COMPUTED_VALUE"""),"")</f>
        <v/>
      </c>
      <c r="W788" t="str">
        <f ca="1">IFERROR(__xludf.DUMMYFUNCTION("""COMPUTED_VALUE"""),"")</f>
        <v/>
      </c>
      <c r="X788" t="str">
        <f ca="1">IFERROR(__xludf.DUMMYFUNCTION("""COMPUTED_VALUE"""),"")</f>
        <v/>
      </c>
      <c r="Y788" t="str">
        <f ca="1">IFERROR(__xludf.DUMMYFUNCTION("""COMPUTED_VALUE"""),"")</f>
        <v/>
      </c>
      <c r="Z788" t="str">
        <f ca="1">IFERROR(__xludf.DUMMYFUNCTION("""COMPUTED_VALUE"""),"")</f>
        <v/>
      </c>
      <c r="AA788" t="str">
        <f ca="1">IFERROR(__xludf.DUMMYFUNCTION("""COMPUTED_VALUE"""),"Pas de commande")</f>
        <v>Pas de commande</v>
      </c>
      <c r="AB788" s="8" t="str">
        <f ca="1">IFERROR(__xludf.DUMMYFUNCTION("""COMPUTED_VALUE"""),"")</f>
        <v/>
      </c>
      <c r="AC788" s="8" t="str">
        <f ca="1">IFERROR(__xludf.DUMMYFUNCTION("""COMPUTED_VALUE"""),"")</f>
        <v/>
      </c>
      <c r="AD788" s="11" t="str">
        <f ca="1">IFERROR(__xludf.DUMMYFUNCTION("""COMPUTED_VALUE"""),"")</f>
        <v/>
      </c>
      <c r="AE788" t="str">
        <f ca="1">IFERROR(__xludf.DUMMYFUNCTION("""COMPUTED_VALUE"""),"")</f>
        <v/>
      </c>
    </row>
    <row r="789" spans="1:31" ht="12.75" x14ac:dyDescent="0.2">
      <c r="A789">
        <f ca="1">IFERROR(__xludf.DUMMYFUNCTION("""COMPUTED_VALUE"""),35223)</f>
        <v>35223</v>
      </c>
      <c r="B789" t="str">
        <f ca="1">IFERROR(__xludf.DUMMYFUNCTION("""COMPUTED_VALUE"""),"POINTE/PITRE BERGEVIN")</f>
        <v>POINTE/PITRE BERGEVIN</v>
      </c>
      <c r="C789" t="str">
        <f ca="1">IFERROR(__xludf.DUMMYFUNCTION("""COMPUTED_VALUE"""),"Super U")</f>
        <v>Super U</v>
      </c>
      <c r="D789" t="str">
        <f ca="1">IFERROR(__xludf.DUMMYFUNCTION("""COMPUTED_VALUE"""),"Coop U Enseigne Ouest")</f>
        <v>Coop U Enseigne Ouest</v>
      </c>
      <c r="E789">
        <f ca="1">IFERROR(__xludf.DUMMYFUNCTION("""COMPUTED_VALUE"""),97110)</f>
        <v>97110</v>
      </c>
      <c r="F789" t="str">
        <f ca="1">IFERROR(__xludf.DUMMYFUNCTION("""COMPUTED_VALUE"""),"101, RÉSIDENCE GASTON VIENS")</f>
        <v>101, RÉSIDENCE GASTON VIENS</v>
      </c>
      <c r="G789" t="str">
        <f ca="1">IFERROR(__xludf.DUMMYFUNCTION("""COMPUTED_VALUE"""),"05.90.83.05.77")</f>
        <v>05.90.83.05.77</v>
      </c>
      <c r="H789" t="str">
        <f ca="1">IFERROR(__xludf.DUMMYFUNCTION("""COMPUTED_VALUE"""),"CLAIRVILLE Félix")</f>
        <v>CLAIRVILLE Félix</v>
      </c>
      <c r="I789" t="str">
        <f ca="1">IFERROR(__xludf.DUMMYFUNCTION("""COMPUTED_VALUE"""),"felix.clairville@systeme-u.fr")</f>
        <v>felix.clairville@systeme-u.fr</v>
      </c>
      <c r="J789" t="str">
        <f ca="1">IFERROR(__xludf.DUMMYFUNCTION("""COMPUTED_VALUE"""),"AKO Aliette")</f>
        <v>AKO Aliette</v>
      </c>
      <c r="K789" t="str">
        <f ca="1">IFERROR(__xludf.DUMMYFUNCTION("""COMPUTED_VALUE"""),"superu.pointeapitre.direction@systeme-u.fr,martine.crevecoeur@systeme-u.fr")</f>
        <v>superu.pointeapitre.direction@systeme-u.fr,martine.crevecoeur@systeme-u.fr</v>
      </c>
      <c r="L789" t="str">
        <f ca="1">IFERROR(__xludf.DUMMYFUNCTION("""COMPUTED_VALUE"""),"")</f>
        <v/>
      </c>
      <c r="M789" t="str">
        <f ca="1">IFERROR(__xludf.DUMMYFUNCTION("""COMPUTED_VALUE"""),"99.Hors Périmetre")</f>
        <v>99.Hors Périmetre</v>
      </c>
      <c r="N789" t="str">
        <f ca="1">IFERROR(__xludf.DUMMYFUNCTION("""COMPUTED_VALUE"""),"")</f>
        <v/>
      </c>
      <c r="O789" t="str">
        <f ca="1">IFERROR(__xludf.DUMMYFUNCTION("""COMPUTED_VALUE"""),"")</f>
        <v/>
      </c>
      <c r="P789" t="str">
        <f ca="1">IFERROR(__xludf.DUMMYFUNCTION("""COMPUTED_VALUE"""),"")</f>
        <v/>
      </c>
      <c r="Q789" s="5" t="str">
        <f ca="1">IFERROR(__xludf.DUMMYFUNCTION("""COMPUTED_VALUE"""),"")</f>
        <v/>
      </c>
      <c r="R789" s="6" t="str">
        <f ca="1">IFERROR(__xludf.DUMMYFUNCTION("""COMPUTED_VALUE"""),"")</f>
        <v/>
      </c>
      <c r="S789" t="str">
        <f ca="1">IFERROR(__xludf.DUMMYFUNCTION("""COMPUTED_VALUE"""),"")</f>
        <v/>
      </c>
      <c r="T789" t="str">
        <f ca="1">IFERROR(__xludf.DUMMYFUNCTION("""COMPUTED_VALUE"""),"")</f>
        <v/>
      </c>
      <c r="U789" t="str">
        <f ca="1">IFERROR(__xludf.DUMMYFUNCTION("""COMPUTED_VALUE"""),"")</f>
        <v/>
      </c>
      <c r="V789" t="str">
        <f ca="1">IFERROR(__xludf.DUMMYFUNCTION("""COMPUTED_VALUE"""),"")</f>
        <v/>
      </c>
      <c r="W789" t="str">
        <f ca="1">IFERROR(__xludf.DUMMYFUNCTION("""COMPUTED_VALUE"""),"")</f>
        <v/>
      </c>
      <c r="X789" t="str">
        <f ca="1">IFERROR(__xludf.DUMMYFUNCTION("""COMPUTED_VALUE"""),"")</f>
        <v/>
      </c>
      <c r="Y789" t="str">
        <f ca="1">IFERROR(__xludf.DUMMYFUNCTION("""COMPUTED_VALUE"""),"")</f>
        <v/>
      </c>
      <c r="Z789" t="str">
        <f ca="1">IFERROR(__xludf.DUMMYFUNCTION("""COMPUTED_VALUE"""),"")</f>
        <v/>
      </c>
      <c r="AA789" t="str">
        <f ca="1">IFERROR(__xludf.DUMMYFUNCTION("""COMPUTED_VALUE"""),"Pas de commande")</f>
        <v>Pas de commande</v>
      </c>
      <c r="AB789" s="8" t="str">
        <f ca="1">IFERROR(__xludf.DUMMYFUNCTION("""COMPUTED_VALUE"""),"")</f>
        <v/>
      </c>
      <c r="AC789" s="8" t="str">
        <f ca="1">IFERROR(__xludf.DUMMYFUNCTION("""COMPUTED_VALUE"""),"")</f>
        <v/>
      </c>
      <c r="AD789" s="11" t="str">
        <f ca="1">IFERROR(__xludf.DUMMYFUNCTION("""COMPUTED_VALUE"""),"")</f>
        <v/>
      </c>
      <c r="AE789" t="str">
        <f ca="1">IFERROR(__xludf.DUMMYFUNCTION("""COMPUTED_VALUE"""),"")</f>
        <v/>
      </c>
    </row>
    <row r="790" spans="1:31" ht="12.75" x14ac:dyDescent="0.2">
      <c r="A790">
        <f ca="1">IFERROR(__xludf.DUMMYFUNCTION("""COMPUTED_VALUE"""),38234)</f>
        <v>38234</v>
      </c>
      <c r="B790" t="str">
        <f ca="1">IFERROR(__xludf.DUMMYFUNCTION("""COMPUTED_VALUE"""),"POINTE/PITRE CHANZY")</f>
        <v>POINTE/PITRE CHANZY</v>
      </c>
      <c r="C790" t="str">
        <f ca="1">IFERROR(__xludf.DUMMYFUNCTION("""COMPUTED_VALUE"""),"U Express")</f>
        <v>U Express</v>
      </c>
      <c r="D790" t="str">
        <f ca="1">IFERROR(__xludf.DUMMYFUNCTION("""COMPUTED_VALUE"""),"Coop U Enseigne Ouest")</f>
        <v>Coop U Enseigne Ouest</v>
      </c>
      <c r="E790">
        <f ca="1">IFERROR(__xludf.DUMMYFUNCTION("""COMPUTED_VALUE"""),97110)</f>
        <v>97110</v>
      </c>
      <c r="F790" t="str">
        <f ca="1">IFERROR(__xludf.DUMMYFUNCTION("""COMPUTED_VALUE"""),"72, RUE JEAN JAURÈS")</f>
        <v>72, RUE JEAN JAURÈS</v>
      </c>
      <c r="G790" t="str">
        <f ca="1">IFERROR(__xludf.DUMMYFUNCTION("""COMPUTED_VALUE"""),"05.90.21.38.39")</f>
        <v>05.90.21.38.39</v>
      </c>
      <c r="H790" t="str">
        <f ca="1">IFERROR(__xludf.DUMMYFUNCTION("""COMPUTED_VALUE"""),"CLAIRVILLE Félix")</f>
        <v>CLAIRVILLE Félix</v>
      </c>
      <c r="I790" t="str">
        <f ca="1">IFERROR(__xludf.DUMMYFUNCTION("""COMPUTED_VALUE"""),"felix.clairville@systeme-u.fr")</f>
        <v>felix.clairville@systeme-u.fr</v>
      </c>
      <c r="J790" t="str">
        <f ca="1">IFERROR(__xludf.DUMMYFUNCTION("""COMPUTED_VALUE"""),"GALVANI Fabien")</f>
        <v>GALVANI Fabien</v>
      </c>
      <c r="K790" t="str">
        <f ca="1">IFERROR(__xludf.DUMMYFUNCTION("""COMPUTED_VALUE"""),"uexpress.chanzy.eldph@systeme-u.fr,martine.crevecoeur@systeme-u.fr,uexpress.chanzy.direction@systeme-u.fr")</f>
        <v>uexpress.chanzy.eldph@systeme-u.fr,martine.crevecoeur@systeme-u.fr,uexpress.chanzy.direction@systeme-u.fr</v>
      </c>
      <c r="L790" t="str">
        <f ca="1">IFERROR(__xludf.DUMMYFUNCTION("""COMPUTED_VALUE"""),"")</f>
        <v/>
      </c>
      <c r="M790" t="str">
        <f ca="1">IFERROR(__xludf.DUMMYFUNCTION("""COMPUTED_VALUE"""),"99.Hors Périmetre")</f>
        <v>99.Hors Périmetre</v>
      </c>
      <c r="N790" t="str">
        <f ca="1">IFERROR(__xludf.DUMMYFUNCTION("""COMPUTED_VALUE"""),"")</f>
        <v/>
      </c>
      <c r="O790" t="str">
        <f ca="1">IFERROR(__xludf.DUMMYFUNCTION("""COMPUTED_VALUE"""),"")</f>
        <v/>
      </c>
      <c r="P790" t="str">
        <f ca="1">IFERROR(__xludf.DUMMYFUNCTION("""COMPUTED_VALUE"""),"")</f>
        <v/>
      </c>
      <c r="Q790" s="5" t="str">
        <f ca="1">IFERROR(__xludf.DUMMYFUNCTION("""COMPUTED_VALUE"""),"")</f>
        <v/>
      </c>
      <c r="R790" s="6" t="str">
        <f ca="1">IFERROR(__xludf.DUMMYFUNCTION("""COMPUTED_VALUE"""),"")</f>
        <v/>
      </c>
      <c r="S790" t="str">
        <f ca="1">IFERROR(__xludf.DUMMYFUNCTION("""COMPUTED_VALUE"""),"")</f>
        <v/>
      </c>
      <c r="T790" t="str">
        <f ca="1">IFERROR(__xludf.DUMMYFUNCTION("""COMPUTED_VALUE"""),"")</f>
        <v/>
      </c>
      <c r="U790" t="str">
        <f ca="1">IFERROR(__xludf.DUMMYFUNCTION("""COMPUTED_VALUE"""),"")</f>
        <v/>
      </c>
      <c r="V790" t="str">
        <f ca="1">IFERROR(__xludf.DUMMYFUNCTION("""COMPUTED_VALUE"""),"")</f>
        <v/>
      </c>
      <c r="W790" t="str">
        <f ca="1">IFERROR(__xludf.DUMMYFUNCTION("""COMPUTED_VALUE"""),"")</f>
        <v/>
      </c>
      <c r="X790" t="str">
        <f ca="1">IFERROR(__xludf.DUMMYFUNCTION("""COMPUTED_VALUE"""),"")</f>
        <v/>
      </c>
      <c r="Y790" t="str">
        <f ca="1">IFERROR(__xludf.DUMMYFUNCTION("""COMPUTED_VALUE"""),"")</f>
        <v/>
      </c>
      <c r="Z790" t="str">
        <f ca="1">IFERROR(__xludf.DUMMYFUNCTION("""COMPUTED_VALUE"""),"")</f>
        <v/>
      </c>
      <c r="AA790" t="str">
        <f ca="1">IFERROR(__xludf.DUMMYFUNCTION("""COMPUTED_VALUE"""),"Pas de commande")</f>
        <v>Pas de commande</v>
      </c>
      <c r="AB790" s="8" t="str">
        <f ca="1">IFERROR(__xludf.DUMMYFUNCTION("""COMPUTED_VALUE"""),"")</f>
        <v/>
      </c>
      <c r="AC790" s="8" t="str">
        <f ca="1">IFERROR(__xludf.DUMMYFUNCTION("""COMPUTED_VALUE"""),"")</f>
        <v/>
      </c>
      <c r="AD790" s="11" t="str">
        <f ca="1">IFERROR(__xludf.DUMMYFUNCTION("""COMPUTED_VALUE"""),"")</f>
        <v/>
      </c>
      <c r="AE790" t="str">
        <f ca="1">IFERROR(__xludf.DUMMYFUNCTION("""COMPUTED_VALUE"""),"")</f>
        <v/>
      </c>
    </row>
    <row r="791" spans="1:31" ht="12.75" x14ac:dyDescent="0.2">
      <c r="A791">
        <f ca="1">IFERROR(__xludf.DUMMYFUNCTION("""COMPUTED_VALUE"""),38046)</f>
        <v>38046</v>
      </c>
      <c r="B791" t="str">
        <f ca="1">IFERROR(__xludf.DUMMYFUNCTION("""COMPUTED_VALUE"""),"POINTE/PITRE ST JULE")</f>
        <v>POINTE/PITRE ST JULE</v>
      </c>
      <c r="C791" t="str">
        <f ca="1">IFERROR(__xludf.DUMMYFUNCTION("""COMPUTED_VALUE"""),"Super U")</f>
        <v>Super U</v>
      </c>
      <c r="D791" t="str">
        <f ca="1">IFERROR(__xludf.DUMMYFUNCTION("""COMPUTED_VALUE"""),"Coop U Enseigne Ouest")</f>
        <v>Coop U Enseigne Ouest</v>
      </c>
      <c r="E791">
        <f ca="1">IFERROR(__xludf.DUMMYFUNCTION("""COMPUTED_VALUE"""),97110)</f>
        <v>97110</v>
      </c>
      <c r="F791" t="str">
        <f ca="1">IFERROR(__xludf.DUMMYFUNCTION("""COMPUTED_VALUE"""),"6 PLACE DES CITÉS UNIES")</f>
        <v>6 PLACE DES CITÉS UNIES</v>
      </c>
      <c r="G791" t="str">
        <f ca="1">IFERROR(__xludf.DUMMYFUNCTION("""COMPUTED_VALUE"""),"05.90.48.74.80")</f>
        <v>05.90.48.74.80</v>
      </c>
      <c r="H791" t="str">
        <f ca="1">IFERROR(__xludf.DUMMYFUNCTION("""COMPUTED_VALUE"""),"CLAIRVILLE Félix")</f>
        <v>CLAIRVILLE Félix</v>
      </c>
      <c r="I791" t="str">
        <f ca="1">IFERROR(__xludf.DUMMYFUNCTION("""COMPUTED_VALUE"""),"felix.clairville@systeme-u.fr")</f>
        <v>felix.clairville@systeme-u.fr</v>
      </c>
      <c r="J791" t="str">
        <f ca="1">IFERROR(__xludf.DUMMYFUNCTION("""COMPUTED_VALUE"""),"BRINVILLIER Marie-Annie")</f>
        <v>BRINVILLIER Marie-Annie</v>
      </c>
      <c r="K791" t="str">
        <f ca="1">IFERROR(__xludf.DUMMYFUNCTION("""COMPUTED_VALUE"""),"superu.saintjules.direction@systeme-u.fr,martine.crevecoeur@systeme-u.fr")</f>
        <v>superu.saintjules.direction@systeme-u.fr,martine.crevecoeur@systeme-u.fr</v>
      </c>
      <c r="L791" t="str">
        <f ca="1">IFERROR(__xludf.DUMMYFUNCTION("""COMPUTED_VALUE"""),"")</f>
        <v/>
      </c>
      <c r="M791" t="str">
        <f ca="1">IFERROR(__xludf.DUMMYFUNCTION("""COMPUTED_VALUE"""),"99.Hors Périmetre")</f>
        <v>99.Hors Périmetre</v>
      </c>
      <c r="N791" t="str">
        <f ca="1">IFERROR(__xludf.DUMMYFUNCTION("""COMPUTED_VALUE"""),"")</f>
        <v/>
      </c>
      <c r="O791" t="str">
        <f ca="1">IFERROR(__xludf.DUMMYFUNCTION("""COMPUTED_VALUE"""),"")</f>
        <v/>
      </c>
      <c r="P791" t="str">
        <f ca="1">IFERROR(__xludf.DUMMYFUNCTION("""COMPUTED_VALUE"""),"")</f>
        <v/>
      </c>
      <c r="Q791" s="5" t="str">
        <f ca="1">IFERROR(__xludf.DUMMYFUNCTION("""COMPUTED_VALUE"""),"")</f>
        <v/>
      </c>
      <c r="R791" s="6" t="str">
        <f ca="1">IFERROR(__xludf.DUMMYFUNCTION("""COMPUTED_VALUE"""),"")</f>
        <v/>
      </c>
      <c r="S791" t="str">
        <f ca="1">IFERROR(__xludf.DUMMYFUNCTION("""COMPUTED_VALUE"""),"")</f>
        <v/>
      </c>
      <c r="T791" t="str">
        <f ca="1">IFERROR(__xludf.DUMMYFUNCTION("""COMPUTED_VALUE"""),"")</f>
        <v/>
      </c>
      <c r="U791" t="str">
        <f ca="1">IFERROR(__xludf.DUMMYFUNCTION("""COMPUTED_VALUE"""),"")</f>
        <v/>
      </c>
      <c r="V791" t="str">
        <f ca="1">IFERROR(__xludf.DUMMYFUNCTION("""COMPUTED_VALUE"""),"")</f>
        <v/>
      </c>
      <c r="W791" t="str">
        <f ca="1">IFERROR(__xludf.DUMMYFUNCTION("""COMPUTED_VALUE"""),"")</f>
        <v/>
      </c>
      <c r="X791" t="str">
        <f ca="1">IFERROR(__xludf.DUMMYFUNCTION("""COMPUTED_VALUE"""),"")</f>
        <v/>
      </c>
      <c r="Y791" t="str">
        <f ca="1">IFERROR(__xludf.DUMMYFUNCTION("""COMPUTED_VALUE"""),"")</f>
        <v/>
      </c>
      <c r="Z791" t="str">
        <f ca="1">IFERROR(__xludf.DUMMYFUNCTION("""COMPUTED_VALUE"""),"")</f>
        <v/>
      </c>
      <c r="AA791" t="str">
        <f ca="1">IFERROR(__xludf.DUMMYFUNCTION("""COMPUTED_VALUE"""),"Pas de commande")</f>
        <v>Pas de commande</v>
      </c>
      <c r="AB791" s="8" t="str">
        <f ca="1">IFERROR(__xludf.DUMMYFUNCTION("""COMPUTED_VALUE"""),"")</f>
        <v/>
      </c>
      <c r="AC791" s="8" t="str">
        <f ca="1">IFERROR(__xludf.DUMMYFUNCTION("""COMPUTED_VALUE"""),"")</f>
        <v/>
      </c>
      <c r="AD791" s="11" t="str">
        <f ca="1">IFERROR(__xludf.DUMMYFUNCTION("""COMPUTED_VALUE"""),"")</f>
        <v/>
      </c>
      <c r="AE791" t="str">
        <f ca="1">IFERROR(__xludf.DUMMYFUNCTION("""COMPUTED_VALUE"""),"")</f>
        <v/>
      </c>
    </row>
    <row r="792" spans="1:31" ht="12.75" x14ac:dyDescent="0.2">
      <c r="A792">
        <f ca="1">IFERROR(__xludf.DUMMYFUNCTION("""COMPUTED_VALUE"""),34181)</f>
        <v>34181</v>
      </c>
      <c r="B792" t="str">
        <f ca="1">IFERROR(__xludf.DUMMYFUNCTION("""COMPUTED_VALUE"""),"POITIERS COURONNERIE")</f>
        <v>POITIERS COURONNERIE</v>
      </c>
      <c r="C792" t="str">
        <f ca="1">IFERROR(__xludf.DUMMYFUNCTION("""COMPUTED_VALUE"""),"U Express")</f>
        <v>U Express</v>
      </c>
      <c r="D792" t="str">
        <f ca="1">IFERROR(__xludf.DUMMYFUNCTION("""COMPUTED_VALUE"""),"Coop Atlantique")</f>
        <v>Coop Atlantique</v>
      </c>
      <c r="E792">
        <f ca="1">IFERROR(__xludf.DUMMYFUNCTION("""COMPUTED_VALUE"""),86000)</f>
        <v>86000</v>
      </c>
      <c r="F792" t="str">
        <f ca="1">IFERROR(__xludf.DUMMYFUNCTION("""COMPUTED_VALUE"""),"PLACE DE PROVENCE")</f>
        <v>PLACE DE PROVENCE</v>
      </c>
      <c r="G792" t="str">
        <f ca="1">IFERROR(__xludf.DUMMYFUNCTION("""COMPUTED_VALUE"""),"05.49.47.53.75")</f>
        <v>05.49.47.53.75</v>
      </c>
      <c r="H792" t="str">
        <f ca="1">IFERROR(__xludf.DUMMYFUNCTION("""COMPUTED_VALUE"""),"FLAMBARD Hervé")</f>
        <v>FLAMBARD Hervé</v>
      </c>
      <c r="I792" t="str">
        <f ca="1">IFERROR(__xludf.DUMMYFUNCTION("""COMPUTED_VALUE"""),"bertrand.defontaine_coop_su_uex@systeme-u.fr")</f>
        <v>bertrand.defontaine_coop_su_uex@systeme-u.fr</v>
      </c>
      <c r="J792" t="str">
        <f ca="1">IFERROR(__xludf.DUMMYFUNCTION("""COMPUTED_VALUE"""),"Daniel MORILLON")</f>
        <v>Daniel MORILLON</v>
      </c>
      <c r="K792" t="str">
        <f ca="1">IFERROR(__xludf.DUMMYFUNCTION("""COMPUTED_VALUE"""),"uexpress.poitierslescouronneries.direction@systeme-u.fr,nbrigant@coop-atlantique.fr,sjaud@coop-atlantique.fr")</f>
        <v>uexpress.poitierslescouronneries.direction@systeme-u.fr,nbrigant@coop-atlantique.fr,sjaud@coop-atlantique.fr</v>
      </c>
      <c r="L792" t="str">
        <f ca="1">IFERROR(__xludf.DUMMYFUNCTION("""COMPUTED_VALUE"""),"")</f>
        <v/>
      </c>
      <c r="M792" t="str">
        <f ca="1">IFERROR(__xludf.DUMMYFUNCTION("""COMPUTED_VALUE"""),"99.Hors Périmetre")</f>
        <v>99.Hors Périmetre</v>
      </c>
      <c r="N792" t="str">
        <f ca="1">IFERROR(__xludf.DUMMYFUNCTION("""COMPUTED_VALUE"""),"")</f>
        <v/>
      </c>
      <c r="O792" t="str">
        <f ca="1">IFERROR(__xludf.DUMMYFUNCTION("""COMPUTED_VALUE"""),"")</f>
        <v/>
      </c>
      <c r="P792" t="str">
        <f ca="1">IFERROR(__xludf.DUMMYFUNCTION("""COMPUTED_VALUE"""),"")</f>
        <v/>
      </c>
      <c r="Q792" s="5" t="str">
        <f ca="1">IFERROR(__xludf.DUMMYFUNCTION("""COMPUTED_VALUE"""),"")</f>
        <v/>
      </c>
      <c r="R792" s="6" t="str">
        <f ca="1">IFERROR(__xludf.DUMMYFUNCTION("""COMPUTED_VALUE"""),"")</f>
        <v/>
      </c>
      <c r="S792" t="str">
        <f ca="1">IFERROR(__xludf.DUMMYFUNCTION("""COMPUTED_VALUE"""),"")</f>
        <v/>
      </c>
      <c r="T792" t="str">
        <f ca="1">IFERROR(__xludf.DUMMYFUNCTION("""COMPUTED_VALUE"""),"")</f>
        <v/>
      </c>
      <c r="U792" t="str">
        <f ca="1">IFERROR(__xludf.DUMMYFUNCTION("""COMPUTED_VALUE"""),"")</f>
        <v/>
      </c>
      <c r="V792" t="str">
        <f ca="1">IFERROR(__xludf.DUMMYFUNCTION("""COMPUTED_VALUE"""),"")</f>
        <v/>
      </c>
      <c r="W792" t="str">
        <f ca="1">IFERROR(__xludf.DUMMYFUNCTION("""COMPUTED_VALUE"""),"")</f>
        <v/>
      </c>
      <c r="X792" t="str">
        <f ca="1">IFERROR(__xludf.DUMMYFUNCTION("""COMPUTED_VALUE"""),"")</f>
        <v/>
      </c>
      <c r="Y792" t="str">
        <f ca="1">IFERROR(__xludf.DUMMYFUNCTION("""COMPUTED_VALUE"""),"")</f>
        <v/>
      </c>
      <c r="Z792" t="str">
        <f ca="1">IFERROR(__xludf.DUMMYFUNCTION("""COMPUTED_VALUE"""),"")</f>
        <v/>
      </c>
      <c r="AA792" t="str">
        <f ca="1">IFERROR(__xludf.DUMMYFUNCTION("""COMPUTED_VALUE"""),"Pas de commande")</f>
        <v>Pas de commande</v>
      </c>
      <c r="AB792" s="8" t="str">
        <f ca="1">IFERROR(__xludf.DUMMYFUNCTION("""COMPUTED_VALUE"""),"")</f>
        <v/>
      </c>
      <c r="AC792" s="8" t="str">
        <f ca="1">IFERROR(__xludf.DUMMYFUNCTION("""COMPUTED_VALUE"""),"")</f>
        <v/>
      </c>
      <c r="AD792" s="11" t="str">
        <f ca="1">IFERROR(__xludf.DUMMYFUNCTION("""COMPUTED_VALUE"""),"")</f>
        <v/>
      </c>
      <c r="AE792" t="str">
        <f ca="1">IFERROR(__xludf.DUMMYFUNCTION("""COMPUTED_VALUE"""),"")</f>
        <v/>
      </c>
    </row>
    <row r="793" spans="1:31" ht="12.75" x14ac:dyDescent="0.2">
      <c r="A793">
        <f ca="1">IFERROR(__xludf.DUMMYFUNCTION("""COMPUTED_VALUE"""),34179)</f>
        <v>34179</v>
      </c>
      <c r="B793" t="str">
        <f ca="1">IFERROR(__xludf.DUMMYFUNCTION("""COMPUTED_VALUE"""),"POITIERS MERMOZ")</f>
        <v>POITIERS MERMOZ</v>
      </c>
      <c r="C793" t="str">
        <f ca="1">IFERROR(__xludf.DUMMYFUNCTION("""COMPUTED_VALUE"""),"U Express")</f>
        <v>U Express</v>
      </c>
      <c r="D793" t="str">
        <f ca="1">IFERROR(__xludf.DUMMYFUNCTION("""COMPUTED_VALUE"""),"Coop Atlantique")</f>
        <v>Coop Atlantique</v>
      </c>
      <c r="E793">
        <f ca="1">IFERROR(__xludf.DUMMYFUNCTION("""COMPUTED_VALUE"""),86000)</f>
        <v>86000</v>
      </c>
      <c r="F793" t="str">
        <f ca="1">IFERROR(__xludf.DUMMYFUNCTION("""COMPUTED_VALUE"""),"101 RUE JEAN MERMOZ")</f>
        <v>101 RUE JEAN MERMOZ</v>
      </c>
      <c r="G793" t="str">
        <f ca="1">IFERROR(__xludf.DUMMYFUNCTION("""COMPUTED_VALUE"""),"05.49.58.24.49")</f>
        <v>05.49.58.24.49</v>
      </c>
      <c r="H793" t="str">
        <f ca="1">IFERROR(__xludf.DUMMYFUNCTION("""COMPUTED_VALUE"""),"FLAMBARD Hervé")</f>
        <v>FLAMBARD Hervé</v>
      </c>
      <c r="I793" t="str">
        <f ca="1">IFERROR(__xludf.DUMMYFUNCTION("""COMPUTED_VALUE"""),"bertrand.defontaine_coop_su_uex@systeme-u.fr")</f>
        <v>bertrand.defontaine_coop_su_uex@systeme-u.fr</v>
      </c>
      <c r="J793" t="str">
        <f ca="1">IFERROR(__xludf.DUMMYFUNCTION("""COMPUTED_VALUE"""),"Valentin Coquilleau ou Mme Charpentron")</f>
        <v>Valentin Coquilleau ou Mme Charpentron</v>
      </c>
      <c r="K793" t="str">
        <f ca="1">IFERROR(__xludf.DUMMYFUNCTION("""COMPUTED_VALUE"""),"uexpress.poitiersmermoz.direction@systeme-u.fr,nbrigant@coop-atlantique.fr,sjaud@coop-atlantique.fr")</f>
        <v>uexpress.poitiersmermoz.direction@systeme-u.fr,nbrigant@coop-atlantique.fr,sjaud@coop-atlantique.fr</v>
      </c>
      <c r="L793" t="str">
        <f ca="1">IFERROR(__xludf.DUMMYFUNCTION("""COMPUTED_VALUE"""),"")</f>
        <v/>
      </c>
      <c r="M793" t="str">
        <f ca="1">IFERROR(__xludf.DUMMYFUNCTION("""COMPUTED_VALUE"""),"99.Hors Périmetre")</f>
        <v>99.Hors Périmetre</v>
      </c>
      <c r="N793" t="str">
        <f ca="1">IFERROR(__xludf.DUMMYFUNCTION("""COMPUTED_VALUE"""),"")</f>
        <v/>
      </c>
      <c r="O793" t="str">
        <f ca="1">IFERROR(__xludf.DUMMYFUNCTION("""COMPUTED_VALUE"""),"")</f>
        <v/>
      </c>
      <c r="P793" t="str">
        <f ca="1">IFERROR(__xludf.DUMMYFUNCTION("""COMPUTED_VALUE"""),"")</f>
        <v/>
      </c>
      <c r="Q793" s="5" t="str">
        <f ca="1">IFERROR(__xludf.DUMMYFUNCTION("""COMPUTED_VALUE"""),"")</f>
        <v/>
      </c>
      <c r="R793" s="6" t="str">
        <f ca="1">IFERROR(__xludf.DUMMYFUNCTION("""COMPUTED_VALUE"""),"")</f>
        <v/>
      </c>
      <c r="S793" t="str">
        <f ca="1">IFERROR(__xludf.DUMMYFUNCTION("""COMPUTED_VALUE"""),"")</f>
        <v/>
      </c>
      <c r="T793" t="str">
        <f ca="1">IFERROR(__xludf.DUMMYFUNCTION("""COMPUTED_VALUE"""),"")</f>
        <v/>
      </c>
      <c r="U793" t="str">
        <f ca="1">IFERROR(__xludf.DUMMYFUNCTION("""COMPUTED_VALUE"""),"")</f>
        <v/>
      </c>
      <c r="V793" t="str">
        <f ca="1">IFERROR(__xludf.DUMMYFUNCTION("""COMPUTED_VALUE"""),"")</f>
        <v/>
      </c>
      <c r="W793" t="str">
        <f ca="1">IFERROR(__xludf.DUMMYFUNCTION("""COMPUTED_VALUE"""),"")</f>
        <v/>
      </c>
      <c r="X793" t="str">
        <f ca="1">IFERROR(__xludf.DUMMYFUNCTION("""COMPUTED_VALUE"""),"")</f>
        <v/>
      </c>
      <c r="Y793" t="str">
        <f ca="1">IFERROR(__xludf.DUMMYFUNCTION("""COMPUTED_VALUE"""),"")</f>
        <v/>
      </c>
      <c r="Z793" t="str">
        <f ca="1">IFERROR(__xludf.DUMMYFUNCTION("""COMPUTED_VALUE"""),"")</f>
        <v/>
      </c>
      <c r="AA793" t="str">
        <f ca="1">IFERROR(__xludf.DUMMYFUNCTION("""COMPUTED_VALUE"""),"Pas de commande")</f>
        <v>Pas de commande</v>
      </c>
      <c r="AB793" s="8" t="str">
        <f ca="1">IFERROR(__xludf.DUMMYFUNCTION("""COMPUTED_VALUE"""),"")</f>
        <v/>
      </c>
      <c r="AC793" s="8" t="str">
        <f ca="1">IFERROR(__xludf.DUMMYFUNCTION("""COMPUTED_VALUE"""),"")</f>
        <v/>
      </c>
      <c r="AD793" s="11" t="str">
        <f ca="1">IFERROR(__xludf.DUMMYFUNCTION("""COMPUTED_VALUE"""),"")</f>
        <v/>
      </c>
      <c r="AE793" t="str">
        <f ca="1">IFERROR(__xludf.DUMMYFUNCTION("""COMPUTED_VALUE"""),"")</f>
        <v/>
      </c>
    </row>
    <row r="794" spans="1:31" ht="12.75" x14ac:dyDescent="0.2">
      <c r="A794">
        <f ca="1">IFERROR(__xludf.DUMMYFUNCTION("""COMPUTED_VALUE"""),37831)</f>
        <v>37831</v>
      </c>
      <c r="B794" t="str">
        <f ca="1">IFERROR(__xludf.DUMMYFUNCTION("""COMPUTED_VALUE"""),"POITIERS SUD")</f>
        <v>POITIERS SUD</v>
      </c>
      <c r="C794" t="str">
        <f ca="1">IFERROR(__xludf.DUMMYFUNCTION("""COMPUTED_VALUE"""),"Super U")</f>
        <v>Super U</v>
      </c>
      <c r="D794" t="str">
        <f ca="1">IFERROR(__xludf.DUMMYFUNCTION("""COMPUTED_VALUE"""),"Coop U Enseigne Ouest")</f>
        <v>Coop U Enseigne Ouest</v>
      </c>
      <c r="E794">
        <f ca="1">IFERROR(__xludf.DUMMYFUNCTION("""COMPUTED_VALUE"""),86000)</f>
        <v>86000</v>
      </c>
      <c r="F794" t="str">
        <f ca="1">IFERROR(__xludf.DUMMYFUNCTION("""COMPUTED_VALUE"""),"91, AVENUE DU 8 MAI 1945")</f>
        <v>91, AVENUE DU 8 MAI 1945</v>
      </c>
      <c r="G794" t="str">
        <f ca="1">IFERROR(__xludf.DUMMYFUNCTION("""COMPUTED_VALUE"""),"05.49.88.45.71")</f>
        <v>05.49.88.45.71</v>
      </c>
      <c r="H794" t="str">
        <f ca="1">IFERROR(__xludf.DUMMYFUNCTION("""COMPUTED_VALUE"""),"COUTURIER Jacques")</f>
        <v>COUTURIER Jacques</v>
      </c>
      <c r="I794" t="str">
        <f ca="1">IFERROR(__xludf.DUMMYFUNCTION("""COMPUTED_VALUE"""),"jacques.couturier@systeme-u.fr")</f>
        <v>jacques.couturier@systeme-u.fr</v>
      </c>
      <c r="J794" t="str">
        <f ca="1">IFERROR(__xludf.DUMMYFUNCTION("""COMPUTED_VALUE"""),"COUTURIER Gil")</f>
        <v>COUTURIER Gil</v>
      </c>
      <c r="K794" t="str">
        <f ca="1">IFERROR(__xludf.DUMMYFUNCTION("""COMPUTED_VALUE"""),"superu.poitierssud.direction@systeme-u.fr, superu.poitierssud@systeme-u.fr")</f>
        <v>superu.poitierssud.direction@systeme-u.fr, superu.poitierssud@systeme-u.fr</v>
      </c>
      <c r="L794" t="str">
        <f ca="1">IFERROR(__xludf.DUMMYFUNCTION("""COMPUTED_VALUE"""),"")</f>
        <v/>
      </c>
      <c r="M794" t="str">
        <f ca="1">IFERROR(__xludf.DUMMYFUNCTION("""COMPUTED_VALUE"""),"99.Hors Périmetre")</f>
        <v>99.Hors Périmetre</v>
      </c>
      <c r="N794" t="str">
        <f ca="1">IFERROR(__xludf.DUMMYFUNCTION("""COMPUTED_VALUE"""),"")</f>
        <v/>
      </c>
      <c r="O794" t="str">
        <f ca="1">IFERROR(__xludf.DUMMYFUNCTION("""COMPUTED_VALUE"""),"")</f>
        <v/>
      </c>
      <c r="P794" t="str">
        <f ca="1">IFERROR(__xludf.DUMMYFUNCTION("""COMPUTED_VALUE"""),"")</f>
        <v/>
      </c>
      <c r="Q794" s="5" t="str">
        <f ca="1">IFERROR(__xludf.DUMMYFUNCTION("""COMPUTED_VALUE"""),"")</f>
        <v/>
      </c>
      <c r="R794" s="6" t="str">
        <f ca="1">IFERROR(__xludf.DUMMYFUNCTION("""COMPUTED_VALUE"""),"")</f>
        <v/>
      </c>
      <c r="S794" t="str">
        <f ca="1">IFERROR(__xludf.DUMMYFUNCTION("""COMPUTED_VALUE"""),"")</f>
        <v/>
      </c>
      <c r="T794" t="str">
        <f ca="1">IFERROR(__xludf.DUMMYFUNCTION("""COMPUTED_VALUE"""),"")</f>
        <v/>
      </c>
      <c r="U794" t="str">
        <f ca="1">IFERROR(__xludf.DUMMYFUNCTION("""COMPUTED_VALUE"""),"")</f>
        <v/>
      </c>
      <c r="V794" t="str">
        <f ca="1">IFERROR(__xludf.DUMMYFUNCTION("""COMPUTED_VALUE"""),"")</f>
        <v/>
      </c>
      <c r="W794" t="str">
        <f ca="1">IFERROR(__xludf.DUMMYFUNCTION("""COMPUTED_VALUE"""),"")</f>
        <v/>
      </c>
      <c r="X794" t="str">
        <f ca="1">IFERROR(__xludf.DUMMYFUNCTION("""COMPUTED_VALUE"""),"")</f>
        <v/>
      </c>
      <c r="Y794" t="str">
        <f ca="1">IFERROR(__xludf.DUMMYFUNCTION("""COMPUTED_VALUE"""),"")</f>
        <v/>
      </c>
      <c r="Z794" t="str">
        <f ca="1">IFERROR(__xludf.DUMMYFUNCTION("""COMPUTED_VALUE"""),"")</f>
        <v/>
      </c>
      <c r="AA794" t="str">
        <f ca="1">IFERROR(__xludf.DUMMYFUNCTION("""COMPUTED_VALUE"""),"Pas de commande")</f>
        <v>Pas de commande</v>
      </c>
      <c r="AB794" s="8" t="str">
        <f ca="1">IFERROR(__xludf.DUMMYFUNCTION("""COMPUTED_VALUE"""),"")</f>
        <v/>
      </c>
      <c r="AC794" s="8" t="str">
        <f ca="1">IFERROR(__xludf.DUMMYFUNCTION("""COMPUTED_VALUE"""),"")</f>
        <v/>
      </c>
      <c r="AD794" s="11" t="str">
        <f ca="1">IFERROR(__xludf.DUMMYFUNCTION("""COMPUTED_VALUE"""),"")</f>
        <v/>
      </c>
      <c r="AE794" t="str">
        <f ca="1">IFERROR(__xludf.DUMMYFUNCTION("""COMPUTED_VALUE"""),"")</f>
        <v/>
      </c>
    </row>
    <row r="795" spans="1:31" ht="12.75" x14ac:dyDescent="0.2">
      <c r="A795">
        <f ca="1">IFERROR(__xludf.DUMMYFUNCTION("""COMPUTED_VALUE"""),90533)</f>
        <v>90533</v>
      </c>
      <c r="B795" t="str">
        <f ca="1">IFERROR(__xludf.DUMMYFUNCTION("""COMPUTED_VALUE"""),"POMEROLS")</f>
        <v>POMEROLS</v>
      </c>
      <c r="C795" t="str">
        <f ca="1">IFERROR(__xludf.DUMMYFUNCTION("""COMPUTED_VALUE"""),"Super U")</f>
        <v>Super U</v>
      </c>
      <c r="D795" t="str">
        <f ca="1">IFERROR(__xludf.DUMMYFUNCTION("""COMPUTED_VALUE"""),"Coop U Enseigne Sud")</f>
        <v>Coop U Enseigne Sud</v>
      </c>
      <c r="E795">
        <f ca="1">IFERROR(__xludf.DUMMYFUNCTION("""COMPUTED_VALUE"""),34810)</f>
        <v>34810</v>
      </c>
      <c r="F795" t="str">
        <f ca="1">IFERROR(__xludf.DUMMYFUNCTION("""COMPUTED_VALUE"""),"CHEMIN DE PORTOU")</f>
        <v>CHEMIN DE PORTOU</v>
      </c>
      <c r="G795" t="str">
        <f ca="1">IFERROR(__xludf.DUMMYFUNCTION("""COMPUTED_VALUE"""),"04.67.00.86.80")</f>
        <v>04.67.00.86.80</v>
      </c>
      <c r="H795" t="str">
        <f ca="1">IFERROR(__xludf.DUMMYFUNCTION("""COMPUTED_VALUE"""),"PROU Sebastien")</f>
        <v>PROU Sebastien</v>
      </c>
      <c r="I795" t="str">
        <f ca="1">IFERROR(__xludf.DUMMYFUNCTION("""COMPUTED_VALUE"""),"sebastien.prou@systeme-u.fr")</f>
        <v>sebastien.prou@systeme-u.fr</v>
      </c>
      <c r="J795" t="str">
        <f ca="1">IFERROR(__xludf.DUMMYFUNCTION("""COMPUTED_VALUE"""),"M. MARAIS (directeur)
Mme Bro (UPLV)")</f>
        <v>M. MARAIS (directeur)
Mme Bro (UPLV)</v>
      </c>
      <c r="K795" t="str">
        <f ca="1">IFERROR(__xludf.DUMMYFUNCTION("""COMPUTED_VALUE"""),"superu.pomerols.direction@systeme-u.fr, superu.pomerols.informatique@systeme-u.fr")</f>
        <v>superu.pomerols.direction@systeme-u.fr, superu.pomerols.informatique@systeme-u.fr</v>
      </c>
      <c r="L795" t="str">
        <f ca="1">IFERROR(__xludf.DUMMYFUNCTION("""COMPUTED_VALUE"""),"")</f>
        <v/>
      </c>
      <c r="M795" t="str">
        <f ca="1">IFERROR(__xludf.DUMMYFUNCTION("""COMPUTED_VALUE"""),"99.Hors Périmetre")</f>
        <v>99.Hors Périmetre</v>
      </c>
      <c r="N795" t="str">
        <f ca="1">IFERROR(__xludf.DUMMYFUNCTION("""COMPUTED_VALUE"""),"")</f>
        <v/>
      </c>
      <c r="O795" t="str">
        <f ca="1">IFERROR(__xludf.DUMMYFUNCTION("""COMPUTED_VALUE"""),"")</f>
        <v/>
      </c>
      <c r="P795" t="str">
        <f ca="1">IFERROR(__xludf.DUMMYFUNCTION("""COMPUTED_VALUE"""),"")</f>
        <v/>
      </c>
      <c r="Q795" s="5" t="str">
        <f ca="1">IFERROR(__xludf.DUMMYFUNCTION("""COMPUTED_VALUE"""),"")</f>
        <v/>
      </c>
      <c r="R795" s="6" t="str">
        <f ca="1">IFERROR(__xludf.DUMMYFUNCTION("""COMPUTED_VALUE"""),"")</f>
        <v/>
      </c>
      <c r="S795" t="str">
        <f ca="1">IFERROR(__xludf.DUMMYFUNCTION("""COMPUTED_VALUE"""),"")</f>
        <v/>
      </c>
      <c r="T795" t="str">
        <f ca="1">IFERROR(__xludf.DUMMYFUNCTION("""COMPUTED_VALUE"""),"")</f>
        <v/>
      </c>
      <c r="U795" t="str">
        <f ca="1">IFERROR(__xludf.DUMMYFUNCTION("""COMPUTED_VALUE"""),"")</f>
        <v/>
      </c>
      <c r="V795" t="str">
        <f ca="1">IFERROR(__xludf.DUMMYFUNCTION("""COMPUTED_VALUE"""),"")</f>
        <v/>
      </c>
      <c r="W795" t="str">
        <f ca="1">IFERROR(__xludf.DUMMYFUNCTION("""COMPUTED_VALUE"""),"")</f>
        <v/>
      </c>
      <c r="X795" t="str">
        <f ca="1">IFERROR(__xludf.DUMMYFUNCTION("""COMPUTED_VALUE"""),"")</f>
        <v/>
      </c>
      <c r="Y795" t="str">
        <f ca="1">IFERROR(__xludf.DUMMYFUNCTION("""COMPUTED_VALUE"""),"")</f>
        <v/>
      </c>
      <c r="Z795" t="str">
        <f ca="1">IFERROR(__xludf.DUMMYFUNCTION("""COMPUTED_VALUE"""),"")</f>
        <v/>
      </c>
      <c r="AA795" t="str">
        <f ca="1">IFERROR(__xludf.DUMMYFUNCTION("""COMPUTED_VALUE"""),"Pas de commande")</f>
        <v>Pas de commande</v>
      </c>
      <c r="AB795" s="8" t="str">
        <f ca="1">IFERROR(__xludf.DUMMYFUNCTION("""COMPUTED_VALUE"""),"")</f>
        <v/>
      </c>
      <c r="AC795" s="8" t="str">
        <f ca="1">IFERROR(__xludf.DUMMYFUNCTION("""COMPUTED_VALUE"""),"")</f>
        <v/>
      </c>
      <c r="AD795" s="11" t="str">
        <f ca="1">IFERROR(__xludf.DUMMYFUNCTION("""COMPUTED_VALUE"""),"")</f>
        <v/>
      </c>
      <c r="AE795" t="str">
        <f ca="1">IFERROR(__xludf.DUMMYFUNCTION("""COMPUTED_VALUE"""),"")</f>
        <v/>
      </c>
    </row>
    <row r="796" spans="1:31" ht="12.75" x14ac:dyDescent="0.2">
      <c r="A796">
        <f ca="1">IFERROR(__xludf.DUMMYFUNCTION("""COMPUTED_VALUE"""),23719)</f>
        <v>23719</v>
      </c>
      <c r="B796" t="str">
        <f ca="1">IFERROR(__xludf.DUMMYFUNCTION("""COMPUTED_VALUE"""),"PONT AUDEMER")</f>
        <v>PONT AUDEMER</v>
      </c>
      <c r="C796" t="str">
        <f ca="1">IFERROR(__xludf.DUMMYFUNCTION("""COMPUTED_VALUE"""),"U Express")</f>
        <v>U Express</v>
      </c>
      <c r="D796" t="str">
        <f ca="1">IFERROR(__xludf.DUMMYFUNCTION("""COMPUTED_VALUE"""),"Coop U Enseigne NordOuest")</f>
        <v>Coop U Enseigne NordOuest</v>
      </c>
      <c r="E796">
        <f ca="1">IFERROR(__xludf.DUMMYFUNCTION("""COMPUTED_VALUE"""),27500)</f>
        <v>27500</v>
      </c>
      <c r="F796" t="str">
        <f ca="1">IFERROR(__xludf.DUMMYFUNCTION("""COMPUTED_VALUE"""),"48 PLACE DU GENERAL DE GAULLE")</f>
        <v>48 PLACE DU GENERAL DE GAULLE</v>
      </c>
      <c r="G796" t="str">
        <f ca="1">IFERROR(__xludf.DUMMYFUNCTION("""COMPUTED_VALUE"""),"02.32.42.53.21")</f>
        <v>02.32.42.53.21</v>
      </c>
      <c r="H796" t="str">
        <f ca="1">IFERROR(__xludf.DUMMYFUNCTION("""COMPUTED_VALUE"""),"VALPARAISO Gil")</f>
        <v>VALPARAISO Gil</v>
      </c>
      <c r="I796" t="str">
        <f ca="1">IFERROR(__xludf.DUMMYFUNCTION("""COMPUTED_VALUE"""),"gil.valparaiso@systeme-u.fr")</f>
        <v>gil.valparaiso@systeme-u.fr</v>
      </c>
      <c r="J796" t="str">
        <f ca="1">IFERROR(__xludf.DUMMYFUNCTION("""COMPUTED_VALUE"""),"Mme Charles")</f>
        <v>Mme Charles</v>
      </c>
      <c r="K796" t="str">
        <f ca="1">IFERROR(__xludf.DUMMYFUNCTION("""COMPUTED_VALUE"""),"uexpress.pontaudemer.administratif@systeme-u.fr")</f>
        <v>uexpress.pontaudemer.administratif@systeme-u.fr</v>
      </c>
      <c r="L796" t="str">
        <f ca="1">IFERROR(__xludf.DUMMYFUNCTION("""COMPUTED_VALUE"""),"")</f>
        <v/>
      </c>
      <c r="M796" t="str">
        <f ca="1">IFERROR(__xludf.DUMMYFUNCTION("""COMPUTED_VALUE"""),"99.Hors Périmetre")</f>
        <v>99.Hors Périmetre</v>
      </c>
      <c r="N796" t="str">
        <f ca="1">IFERROR(__xludf.DUMMYFUNCTION("""COMPUTED_VALUE"""),"")</f>
        <v/>
      </c>
      <c r="O796" t="str">
        <f ca="1">IFERROR(__xludf.DUMMYFUNCTION("""COMPUTED_VALUE"""),"")</f>
        <v/>
      </c>
      <c r="P796" t="str">
        <f ca="1">IFERROR(__xludf.DUMMYFUNCTION("""COMPUTED_VALUE"""),"")</f>
        <v/>
      </c>
      <c r="Q796" s="5" t="str">
        <f ca="1">IFERROR(__xludf.DUMMYFUNCTION("""COMPUTED_VALUE"""),"")</f>
        <v/>
      </c>
      <c r="R796" s="6" t="str">
        <f ca="1">IFERROR(__xludf.DUMMYFUNCTION("""COMPUTED_VALUE"""),"")</f>
        <v/>
      </c>
      <c r="S796" t="str">
        <f ca="1">IFERROR(__xludf.DUMMYFUNCTION("""COMPUTED_VALUE"""),"")</f>
        <v/>
      </c>
      <c r="T796" t="str">
        <f ca="1">IFERROR(__xludf.DUMMYFUNCTION("""COMPUTED_VALUE"""),"")</f>
        <v/>
      </c>
      <c r="U796" t="str">
        <f ca="1">IFERROR(__xludf.DUMMYFUNCTION("""COMPUTED_VALUE"""),"")</f>
        <v/>
      </c>
      <c r="V796" t="str">
        <f ca="1">IFERROR(__xludf.DUMMYFUNCTION("""COMPUTED_VALUE"""),"")</f>
        <v/>
      </c>
      <c r="W796" t="str">
        <f ca="1">IFERROR(__xludf.DUMMYFUNCTION("""COMPUTED_VALUE"""),"")</f>
        <v/>
      </c>
      <c r="X796" t="str">
        <f ca="1">IFERROR(__xludf.DUMMYFUNCTION("""COMPUTED_VALUE"""),"")</f>
        <v/>
      </c>
      <c r="Y796" t="str">
        <f ca="1">IFERROR(__xludf.DUMMYFUNCTION("""COMPUTED_VALUE"""),"")</f>
        <v/>
      </c>
      <c r="Z796" t="str">
        <f ca="1">IFERROR(__xludf.DUMMYFUNCTION("""COMPUTED_VALUE"""),"")</f>
        <v/>
      </c>
      <c r="AA796" t="str">
        <f ca="1">IFERROR(__xludf.DUMMYFUNCTION("""COMPUTED_VALUE"""),"Pas de commande")</f>
        <v>Pas de commande</v>
      </c>
      <c r="AB796" s="8" t="str">
        <f ca="1">IFERROR(__xludf.DUMMYFUNCTION("""COMPUTED_VALUE"""),"")</f>
        <v/>
      </c>
      <c r="AC796" s="8" t="str">
        <f ca="1">IFERROR(__xludf.DUMMYFUNCTION("""COMPUTED_VALUE"""),"")</f>
        <v/>
      </c>
      <c r="AD796" s="11" t="str">
        <f ca="1">IFERROR(__xludf.DUMMYFUNCTION("""COMPUTED_VALUE"""),"")</f>
        <v/>
      </c>
      <c r="AE796" t="str">
        <f ca="1">IFERROR(__xludf.DUMMYFUNCTION("""COMPUTED_VALUE"""),"")</f>
        <v/>
      </c>
    </row>
    <row r="797" spans="1:31" ht="12.75" x14ac:dyDescent="0.2">
      <c r="A797">
        <f ca="1">IFERROR(__xludf.DUMMYFUNCTION("""COMPUTED_VALUE"""),66051)</f>
        <v>66051</v>
      </c>
      <c r="B797" t="str">
        <f ca="1">IFERROR(__xludf.DUMMYFUNCTION("""COMPUTED_VALUE"""),"PONT D'AIN")</f>
        <v>PONT D'AIN</v>
      </c>
      <c r="C797" t="str">
        <f ca="1">IFERROR(__xludf.DUMMYFUNCTION("""COMPUTED_VALUE"""),"Super U")</f>
        <v>Super U</v>
      </c>
      <c r="D797" t="str">
        <f ca="1">IFERROR(__xludf.DUMMYFUNCTION("""COMPUTED_VALUE"""),"Coop U Enseigne Est")</f>
        <v>Coop U Enseigne Est</v>
      </c>
      <c r="E797">
        <f ca="1">IFERROR(__xludf.DUMMYFUNCTION("""COMPUTED_VALUE"""),1160)</f>
        <v>1160</v>
      </c>
      <c r="F797" t="str">
        <f ca="1">IFERROR(__xludf.DUMMYFUNCTION("""COMPUTED_VALUE"""),"LIEU DIT 'AUX TARPETS'")</f>
        <v>LIEU DIT 'AUX TARPETS'</v>
      </c>
      <c r="G797" t="str">
        <f ca="1">IFERROR(__xludf.DUMMYFUNCTION("""COMPUTED_VALUE"""),"04.74.39.11.97")</f>
        <v>04.74.39.11.97</v>
      </c>
      <c r="H797" t="str">
        <f ca="1">IFERROR(__xludf.DUMMYFUNCTION("""COMPUTED_VALUE"""),"FREYDIER Jean-Marc")</f>
        <v>FREYDIER Jean-Marc</v>
      </c>
      <c r="I797" t="str">
        <f ca="1">IFERROR(__xludf.DUMMYFUNCTION("""COMPUTED_VALUE"""),"jean-marc.freydier@systeme-u.fr")</f>
        <v>jean-marc.freydier@systeme-u.fr</v>
      </c>
      <c r="J797" t="str">
        <f ca="1">IFERROR(__xludf.DUMMYFUNCTION("""COMPUTED_VALUE"""),"PAUPIN Nathalie")</f>
        <v>PAUPIN Nathalie</v>
      </c>
      <c r="K797" t="str">
        <f ca="1">IFERROR(__xludf.DUMMYFUNCTION("""COMPUTED_VALUE"""),"superu.pontdain.eldph@systeme-u.fr")</f>
        <v>superu.pontdain.eldph@systeme-u.fr</v>
      </c>
      <c r="L797" t="str">
        <f ca="1">IFERROR(__xludf.DUMMYFUNCTION("""COMPUTED_VALUE"""),"")</f>
        <v/>
      </c>
      <c r="M797" t="str">
        <f ca="1">IFERROR(__xludf.DUMMYFUNCTION("""COMPUTED_VALUE"""),"99.Hors Périmetre")</f>
        <v>99.Hors Périmetre</v>
      </c>
      <c r="N797" t="str">
        <f ca="1">IFERROR(__xludf.DUMMYFUNCTION("""COMPUTED_VALUE"""),"")</f>
        <v/>
      </c>
      <c r="O797" t="str">
        <f ca="1">IFERROR(__xludf.DUMMYFUNCTION("""COMPUTED_VALUE"""),"")</f>
        <v/>
      </c>
      <c r="P797" t="str">
        <f ca="1">IFERROR(__xludf.DUMMYFUNCTION("""COMPUTED_VALUE"""),"")</f>
        <v/>
      </c>
      <c r="Q797" s="5" t="str">
        <f ca="1">IFERROR(__xludf.DUMMYFUNCTION("""COMPUTED_VALUE"""),"")</f>
        <v/>
      </c>
      <c r="R797" s="6" t="str">
        <f ca="1">IFERROR(__xludf.DUMMYFUNCTION("""COMPUTED_VALUE"""),"")</f>
        <v/>
      </c>
      <c r="S797" t="str">
        <f ca="1">IFERROR(__xludf.DUMMYFUNCTION("""COMPUTED_VALUE"""),"")</f>
        <v/>
      </c>
      <c r="T797" t="str">
        <f ca="1">IFERROR(__xludf.DUMMYFUNCTION("""COMPUTED_VALUE"""),"")</f>
        <v/>
      </c>
      <c r="U797" t="str">
        <f ca="1">IFERROR(__xludf.DUMMYFUNCTION("""COMPUTED_VALUE"""),"")</f>
        <v/>
      </c>
      <c r="V797" t="str">
        <f ca="1">IFERROR(__xludf.DUMMYFUNCTION("""COMPUTED_VALUE"""),"")</f>
        <v/>
      </c>
      <c r="W797" t="str">
        <f ca="1">IFERROR(__xludf.DUMMYFUNCTION("""COMPUTED_VALUE"""),"")</f>
        <v/>
      </c>
      <c r="X797" t="str">
        <f ca="1">IFERROR(__xludf.DUMMYFUNCTION("""COMPUTED_VALUE"""),"")</f>
        <v/>
      </c>
      <c r="Y797" t="str">
        <f ca="1">IFERROR(__xludf.DUMMYFUNCTION("""COMPUTED_VALUE"""),"")</f>
        <v/>
      </c>
      <c r="Z797" t="str">
        <f ca="1">IFERROR(__xludf.DUMMYFUNCTION("""COMPUTED_VALUE"""),"")</f>
        <v/>
      </c>
      <c r="AA797" t="str">
        <f ca="1">IFERROR(__xludf.DUMMYFUNCTION("""COMPUTED_VALUE"""),"Pas de commande")</f>
        <v>Pas de commande</v>
      </c>
      <c r="AB797" s="8" t="str">
        <f ca="1">IFERROR(__xludf.DUMMYFUNCTION("""COMPUTED_VALUE"""),"")</f>
        <v/>
      </c>
      <c r="AC797" s="8" t="str">
        <f ca="1">IFERROR(__xludf.DUMMYFUNCTION("""COMPUTED_VALUE"""),"")</f>
        <v/>
      </c>
      <c r="AD797" s="11" t="str">
        <f ca="1">IFERROR(__xludf.DUMMYFUNCTION("""COMPUTED_VALUE"""),"")</f>
        <v/>
      </c>
      <c r="AE797" t="str">
        <f ca="1">IFERROR(__xludf.DUMMYFUNCTION("""COMPUTED_VALUE"""),"")</f>
        <v/>
      </c>
    </row>
    <row r="798" spans="1:31" ht="12.75" x14ac:dyDescent="0.2">
      <c r="A798">
        <f ca="1">IFERROR(__xludf.DUMMYFUNCTION("""COMPUTED_VALUE"""),66149)</f>
        <v>66149</v>
      </c>
      <c r="B798" t="str">
        <f ca="1">IFERROR(__xludf.DUMMYFUNCTION("""COMPUTED_VALUE"""),"PONT DE BEAUVOISIN")</f>
        <v>PONT DE BEAUVOISIN</v>
      </c>
      <c r="C798" t="str">
        <f ca="1">IFERROR(__xludf.DUMMYFUNCTION("""COMPUTED_VALUE"""),"Hyper U")</f>
        <v>Hyper U</v>
      </c>
      <c r="D798" t="str">
        <f ca="1">IFERROR(__xludf.DUMMYFUNCTION("""COMPUTED_VALUE"""),"Coop U Enseigne Est")</f>
        <v>Coop U Enseigne Est</v>
      </c>
      <c r="E798">
        <f ca="1">IFERROR(__xludf.DUMMYFUNCTION("""COMPUTED_VALUE"""),73330)</f>
        <v>73330</v>
      </c>
      <c r="F798" t="str">
        <f ca="1">IFERROR(__xludf.DUMMYFUNCTION("""COMPUTED_VALUE"""),"LIEU DIT L'ECURÉE")</f>
        <v>LIEU DIT L'ECURÉE</v>
      </c>
      <c r="G798" t="str">
        <f ca="1">IFERROR(__xludf.DUMMYFUNCTION("""COMPUTED_VALUE"""),"04.76.37.38.39")</f>
        <v>04.76.37.38.39</v>
      </c>
      <c r="H798" t="str">
        <f ca="1">IFERROR(__xludf.DUMMYFUNCTION("""COMPUTED_VALUE"""),"THEVENIN Laurent")</f>
        <v>THEVENIN Laurent</v>
      </c>
      <c r="I798" t="str">
        <f ca="1">IFERROR(__xludf.DUMMYFUNCTION("""COMPUTED_VALUE"""),"laurent.thevenin@systeme-u.fr")</f>
        <v>laurent.thevenin@systeme-u.fr</v>
      </c>
      <c r="J798" t="str">
        <f ca="1">IFERROR(__xludf.DUMMYFUNCTION("""COMPUTED_VALUE"""),"Monsieur PERRAT (comptable)
Mr Fuzillé (directeur)")</f>
        <v>Monsieur PERRAT (comptable)
Mr Fuzillé (directeur)</v>
      </c>
      <c r="K798" t="str">
        <f ca="1">IFERROR(__xludf.DUMMYFUNCTION("""COMPUTED_VALUE"""),"hyperu.pontdebeauvoisin.direction@systeme-u.fr, hyperu.pontdebeauvoisin.compta@systeme-u.fr")</f>
        <v>hyperu.pontdebeauvoisin.direction@systeme-u.fr, hyperu.pontdebeauvoisin.compta@systeme-u.fr</v>
      </c>
      <c r="L798" t="str">
        <f ca="1">IFERROR(__xludf.DUMMYFUNCTION("""COMPUTED_VALUE"""),"")</f>
        <v/>
      </c>
      <c r="M798" t="str">
        <f ca="1">IFERROR(__xludf.DUMMYFUNCTION("""COMPUTED_VALUE"""),"99.Hors Périmetre")</f>
        <v>99.Hors Périmetre</v>
      </c>
      <c r="N798" t="str">
        <f ca="1">IFERROR(__xludf.DUMMYFUNCTION("""COMPUTED_VALUE"""),"")</f>
        <v/>
      </c>
      <c r="O798" t="str">
        <f ca="1">IFERROR(__xludf.DUMMYFUNCTION("""COMPUTED_VALUE"""),"")</f>
        <v/>
      </c>
      <c r="P798" t="str">
        <f ca="1">IFERROR(__xludf.DUMMYFUNCTION("""COMPUTED_VALUE"""),"")</f>
        <v/>
      </c>
      <c r="Q798" s="5" t="str">
        <f ca="1">IFERROR(__xludf.DUMMYFUNCTION("""COMPUTED_VALUE"""),"")</f>
        <v/>
      </c>
      <c r="R798" s="6" t="str">
        <f ca="1">IFERROR(__xludf.DUMMYFUNCTION("""COMPUTED_VALUE"""),"")</f>
        <v/>
      </c>
      <c r="S798" t="str">
        <f ca="1">IFERROR(__xludf.DUMMYFUNCTION("""COMPUTED_VALUE"""),"")</f>
        <v/>
      </c>
      <c r="T798" t="str">
        <f ca="1">IFERROR(__xludf.DUMMYFUNCTION("""COMPUTED_VALUE"""),"")</f>
        <v/>
      </c>
      <c r="U798" t="str">
        <f ca="1">IFERROR(__xludf.DUMMYFUNCTION("""COMPUTED_VALUE"""),"")</f>
        <v/>
      </c>
      <c r="V798" t="str">
        <f ca="1">IFERROR(__xludf.DUMMYFUNCTION("""COMPUTED_VALUE"""),"")</f>
        <v/>
      </c>
      <c r="W798" t="str">
        <f ca="1">IFERROR(__xludf.DUMMYFUNCTION("""COMPUTED_VALUE"""),"")</f>
        <v/>
      </c>
      <c r="X798" t="str">
        <f ca="1">IFERROR(__xludf.DUMMYFUNCTION("""COMPUTED_VALUE"""),"")</f>
        <v/>
      </c>
      <c r="Y798" t="str">
        <f ca="1">IFERROR(__xludf.DUMMYFUNCTION("""COMPUTED_VALUE"""),"")</f>
        <v/>
      </c>
      <c r="Z798" t="str">
        <f ca="1">IFERROR(__xludf.DUMMYFUNCTION("""COMPUTED_VALUE"""),"")</f>
        <v/>
      </c>
      <c r="AA798" t="str">
        <f ca="1">IFERROR(__xludf.DUMMYFUNCTION("""COMPUTED_VALUE"""),"Pas de commande")</f>
        <v>Pas de commande</v>
      </c>
      <c r="AB798" s="8" t="str">
        <f ca="1">IFERROR(__xludf.DUMMYFUNCTION("""COMPUTED_VALUE"""),"")</f>
        <v/>
      </c>
      <c r="AC798" s="8" t="str">
        <f ca="1">IFERROR(__xludf.DUMMYFUNCTION("""COMPUTED_VALUE"""),"")</f>
        <v/>
      </c>
      <c r="AD798" s="11" t="str">
        <f ca="1">IFERROR(__xludf.DUMMYFUNCTION("""COMPUTED_VALUE"""),"")</f>
        <v/>
      </c>
      <c r="AE798" t="str">
        <f ca="1">IFERROR(__xludf.DUMMYFUNCTION("""COMPUTED_VALUE"""),"")</f>
        <v/>
      </c>
    </row>
    <row r="799" spans="1:31" ht="12.75" x14ac:dyDescent="0.2">
      <c r="A799">
        <f ca="1">IFERROR(__xludf.DUMMYFUNCTION("""COMPUTED_VALUE"""),68553)</f>
        <v>68553</v>
      </c>
      <c r="B799" t="str">
        <f ca="1">IFERROR(__xludf.DUMMYFUNCTION("""COMPUTED_VALUE"""),"PONT DU CHATEAU")</f>
        <v>PONT DU CHATEAU</v>
      </c>
      <c r="C799" t="str">
        <f ca="1">IFERROR(__xludf.DUMMYFUNCTION("""COMPUTED_VALUE"""),"Super U")</f>
        <v>Super U</v>
      </c>
      <c r="D799" t="str">
        <f ca="1">IFERROR(__xludf.DUMMYFUNCTION("""COMPUTED_VALUE"""),"Coop U Enseigne Est")</f>
        <v>Coop U Enseigne Est</v>
      </c>
      <c r="E799">
        <f ca="1">IFERROR(__xludf.DUMMYFUNCTION("""COMPUTED_VALUE"""),63430)</f>
        <v>63430</v>
      </c>
      <c r="F799" t="str">
        <f ca="1">IFERROR(__xludf.DUMMYFUNCTION("""COMPUTED_VALUE"""),"24 AVENUE DE LYON")</f>
        <v>24 AVENUE DE LYON</v>
      </c>
      <c r="G799" t="str">
        <f ca="1">IFERROR(__xludf.DUMMYFUNCTION("""COMPUTED_VALUE"""),"04.73.60.42.80")</f>
        <v>04.73.60.42.80</v>
      </c>
      <c r="H799" t="str">
        <f ca="1">IFERROR(__xludf.DUMMYFUNCTION("""COMPUTED_VALUE"""),"VILLE Laurent")</f>
        <v>VILLE Laurent</v>
      </c>
      <c r="I799" t="str">
        <f ca="1">IFERROR(__xludf.DUMMYFUNCTION("""COMPUTED_VALUE"""),"laurent.ville@systeme-u.fr")</f>
        <v>laurent.ville@systeme-u.fr</v>
      </c>
      <c r="J799" t="str">
        <f ca="1">IFERROR(__xludf.DUMMYFUNCTION("""COMPUTED_VALUE"""),"CHALVIDAN NICOLAS")</f>
        <v>CHALVIDAN NICOLAS</v>
      </c>
      <c r="K799" t="str">
        <f ca="1">IFERROR(__xludf.DUMMYFUNCTION("""COMPUTED_VALUE"""),"superu.pont-du-chateau.compta@systeme-u.fr")</f>
        <v>superu.pont-du-chateau.compta@systeme-u.fr</v>
      </c>
      <c r="L799" t="str">
        <f ca="1">IFERROR(__xludf.DUMMYFUNCTION("""COMPUTED_VALUE"""),"")</f>
        <v/>
      </c>
      <c r="M799" t="str">
        <f ca="1">IFERROR(__xludf.DUMMYFUNCTION("""COMPUTED_VALUE"""),"99.Hors Périmetre")</f>
        <v>99.Hors Périmetre</v>
      </c>
      <c r="N799" t="str">
        <f ca="1">IFERROR(__xludf.DUMMYFUNCTION("""COMPUTED_VALUE"""),"")</f>
        <v/>
      </c>
      <c r="O799" t="str">
        <f ca="1">IFERROR(__xludf.DUMMYFUNCTION("""COMPUTED_VALUE"""),"")</f>
        <v/>
      </c>
      <c r="P799" t="str">
        <f ca="1">IFERROR(__xludf.DUMMYFUNCTION("""COMPUTED_VALUE"""),"")</f>
        <v/>
      </c>
      <c r="Q799" s="5" t="str">
        <f ca="1">IFERROR(__xludf.DUMMYFUNCTION("""COMPUTED_VALUE"""),"")</f>
        <v/>
      </c>
      <c r="R799" s="6" t="str">
        <f ca="1">IFERROR(__xludf.DUMMYFUNCTION("""COMPUTED_VALUE"""),"")</f>
        <v/>
      </c>
      <c r="S799" t="str">
        <f ca="1">IFERROR(__xludf.DUMMYFUNCTION("""COMPUTED_VALUE"""),"")</f>
        <v/>
      </c>
      <c r="T799" t="str">
        <f ca="1">IFERROR(__xludf.DUMMYFUNCTION("""COMPUTED_VALUE"""),"")</f>
        <v/>
      </c>
      <c r="U799" t="str">
        <f ca="1">IFERROR(__xludf.DUMMYFUNCTION("""COMPUTED_VALUE"""),"")</f>
        <v/>
      </c>
      <c r="V799" t="str">
        <f ca="1">IFERROR(__xludf.DUMMYFUNCTION("""COMPUTED_VALUE"""),"")</f>
        <v/>
      </c>
      <c r="W799" t="str">
        <f ca="1">IFERROR(__xludf.DUMMYFUNCTION("""COMPUTED_VALUE"""),"")</f>
        <v/>
      </c>
      <c r="X799" t="str">
        <f ca="1">IFERROR(__xludf.DUMMYFUNCTION("""COMPUTED_VALUE"""),"")</f>
        <v/>
      </c>
      <c r="Y799" t="str">
        <f ca="1">IFERROR(__xludf.DUMMYFUNCTION("""COMPUTED_VALUE"""),"")</f>
        <v/>
      </c>
      <c r="Z799" t="str">
        <f ca="1">IFERROR(__xludf.DUMMYFUNCTION("""COMPUTED_VALUE"""),"")</f>
        <v/>
      </c>
      <c r="AA799" t="str">
        <f ca="1">IFERROR(__xludf.DUMMYFUNCTION("""COMPUTED_VALUE"""),"Pas de commande")</f>
        <v>Pas de commande</v>
      </c>
      <c r="AB799" s="8" t="str">
        <f ca="1">IFERROR(__xludf.DUMMYFUNCTION("""COMPUTED_VALUE"""),"")</f>
        <v/>
      </c>
      <c r="AC799" s="8" t="str">
        <f ca="1">IFERROR(__xludf.DUMMYFUNCTION("""COMPUTED_VALUE"""),"")</f>
        <v/>
      </c>
      <c r="AD799" s="11" t="str">
        <f ca="1">IFERROR(__xludf.DUMMYFUNCTION("""COMPUTED_VALUE"""),"")</f>
        <v/>
      </c>
      <c r="AE799" t="str">
        <f ca="1">IFERROR(__xludf.DUMMYFUNCTION("""COMPUTED_VALUE"""),"")</f>
        <v/>
      </c>
    </row>
    <row r="800" spans="1:31" ht="12.75" x14ac:dyDescent="0.2">
      <c r="A800">
        <f ca="1">IFERROR(__xludf.DUMMYFUNCTION("""COMPUTED_VALUE"""),37188)</f>
        <v>37188</v>
      </c>
      <c r="B800" t="str">
        <f ca="1">IFERROR(__xludf.DUMMYFUNCTION("""COMPUTED_VALUE"""),"PONT PEAN")</f>
        <v>PONT PEAN</v>
      </c>
      <c r="C800" t="str">
        <f ca="1">IFERROR(__xludf.DUMMYFUNCTION("""COMPUTED_VALUE"""),"U Express")</f>
        <v>U Express</v>
      </c>
      <c r="D800" t="str">
        <f ca="1">IFERROR(__xludf.DUMMYFUNCTION("""COMPUTED_VALUE"""),"Coop U Enseigne Ouest")</f>
        <v>Coop U Enseigne Ouest</v>
      </c>
      <c r="E800">
        <f ca="1">IFERROR(__xludf.DUMMYFUNCTION("""COMPUTED_VALUE"""),35131)</f>
        <v>35131</v>
      </c>
      <c r="F800" t="str">
        <f ca="1">IFERROR(__xludf.DUMMYFUNCTION("""COMPUTED_VALUE"""),"31 AVENUE DU CHEMIN VERT")</f>
        <v>31 AVENUE DU CHEMIN VERT</v>
      </c>
      <c r="G800" t="str">
        <f ca="1">IFERROR(__xludf.DUMMYFUNCTION("""COMPUTED_VALUE"""),"02.99.05.78.05")</f>
        <v>02.99.05.78.05</v>
      </c>
      <c r="H800" t="str">
        <f ca="1">IFERROR(__xludf.DUMMYFUNCTION("""COMPUTED_VALUE"""),"BILY Damien")</f>
        <v>BILY Damien</v>
      </c>
      <c r="I800" t="str">
        <f ca="1">IFERROR(__xludf.DUMMYFUNCTION("""COMPUTED_VALUE"""),"damien.bily@systeme-u.fr")</f>
        <v>damien.bily@systeme-u.fr</v>
      </c>
      <c r="J800" t="str">
        <f ca="1">IFERROR(__xludf.DUMMYFUNCTION("""COMPUTED_VALUE"""),"Mme BILY")</f>
        <v>Mme BILY</v>
      </c>
      <c r="K800" t="str">
        <f ca="1">IFERROR(__xludf.DUMMYFUNCTION("""COMPUTED_VALUE"""),"damien.bily@systeme-u.fr")</f>
        <v>damien.bily@systeme-u.fr</v>
      </c>
      <c r="L800" t="str">
        <f ca="1">IFERROR(__xludf.DUMMYFUNCTION("""COMPUTED_VALUE"""),"")</f>
        <v/>
      </c>
      <c r="M800" t="str">
        <f ca="1">IFERROR(__xludf.DUMMYFUNCTION("""COMPUTED_VALUE"""),"99.Hors Périmetre")</f>
        <v>99.Hors Périmetre</v>
      </c>
      <c r="N800" t="str">
        <f ca="1">IFERROR(__xludf.DUMMYFUNCTION("""COMPUTED_VALUE"""),"")</f>
        <v/>
      </c>
      <c r="O800" t="str">
        <f ca="1">IFERROR(__xludf.DUMMYFUNCTION("""COMPUTED_VALUE"""),"")</f>
        <v/>
      </c>
      <c r="P800" t="str">
        <f ca="1">IFERROR(__xludf.DUMMYFUNCTION("""COMPUTED_VALUE"""),"")</f>
        <v/>
      </c>
      <c r="Q800" s="5" t="str">
        <f ca="1">IFERROR(__xludf.DUMMYFUNCTION("""COMPUTED_VALUE"""),"")</f>
        <v/>
      </c>
      <c r="R800" s="6" t="str">
        <f ca="1">IFERROR(__xludf.DUMMYFUNCTION("""COMPUTED_VALUE"""),"")</f>
        <v/>
      </c>
      <c r="S800" t="str">
        <f ca="1">IFERROR(__xludf.DUMMYFUNCTION("""COMPUTED_VALUE"""),"")</f>
        <v/>
      </c>
      <c r="T800" t="str">
        <f ca="1">IFERROR(__xludf.DUMMYFUNCTION("""COMPUTED_VALUE"""),"")</f>
        <v/>
      </c>
      <c r="U800" t="str">
        <f ca="1">IFERROR(__xludf.DUMMYFUNCTION("""COMPUTED_VALUE"""),"")</f>
        <v/>
      </c>
      <c r="V800" t="str">
        <f ca="1">IFERROR(__xludf.DUMMYFUNCTION("""COMPUTED_VALUE"""),"")</f>
        <v/>
      </c>
      <c r="W800" t="str">
        <f ca="1">IFERROR(__xludf.DUMMYFUNCTION("""COMPUTED_VALUE"""),"")</f>
        <v/>
      </c>
      <c r="X800" t="str">
        <f ca="1">IFERROR(__xludf.DUMMYFUNCTION("""COMPUTED_VALUE"""),"")</f>
        <v/>
      </c>
      <c r="Y800" t="str">
        <f ca="1">IFERROR(__xludf.DUMMYFUNCTION("""COMPUTED_VALUE"""),"")</f>
        <v/>
      </c>
      <c r="Z800" t="str">
        <f ca="1">IFERROR(__xludf.DUMMYFUNCTION("""COMPUTED_VALUE"""),"")</f>
        <v/>
      </c>
      <c r="AA800" t="str">
        <f ca="1">IFERROR(__xludf.DUMMYFUNCTION("""COMPUTED_VALUE"""),"Pas de commande")</f>
        <v>Pas de commande</v>
      </c>
      <c r="AB800" s="8" t="str">
        <f ca="1">IFERROR(__xludf.DUMMYFUNCTION("""COMPUTED_VALUE"""),"")</f>
        <v/>
      </c>
      <c r="AC800" s="8" t="str">
        <f ca="1">IFERROR(__xludf.DUMMYFUNCTION("""COMPUTED_VALUE"""),"")</f>
        <v/>
      </c>
      <c r="AD800" s="11" t="str">
        <f ca="1">IFERROR(__xludf.DUMMYFUNCTION("""COMPUTED_VALUE"""),"")</f>
        <v/>
      </c>
      <c r="AE800" t="str">
        <f ca="1">IFERROR(__xludf.DUMMYFUNCTION("""COMPUTED_VALUE"""),"")</f>
        <v/>
      </c>
    </row>
    <row r="801" spans="1:31" ht="12.75" x14ac:dyDescent="0.2">
      <c r="A801">
        <f ca="1">IFERROR(__xludf.DUMMYFUNCTION("""COMPUTED_VALUE"""),39369)</f>
        <v>39369</v>
      </c>
      <c r="B801" t="str">
        <f ca="1">IFERROR(__xludf.DUMMYFUNCTION("""COMPUTED_VALUE"""),"PONT-CROIX")</f>
        <v>PONT-CROIX</v>
      </c>
      <c r="C801" t="str">
        <f ca="1">IFERROR(__xludf.DUMMYFUNCTION("""COMPUTED_VALUE"""),"Super U")</f>
        <v>Super U</v>
      </c>
      <c r="D801" t="str">
        <f ca="1">IFERROR(__xludf.DUMMYFUNCTION("""COMPUTED_VALUE"""),"Coop U Enseigne Ouest")</f>
        <v>Coop U Enseigne Ouest</v>
      </c>
      <c r="E801">
        <f ca="1">IFERROR(__xludf.DUMMYFUNCTION("""COMPUTED_VALUE"""),29790)</f>
        <v>29790</v>
      </c>
      <c r="F801" t="str">
        <f ca="1">IFERROR(__xludf.DUMMYFUNCTION("""COMPUTED_VALUE"""),"10, RUE DE LA LIBERTÉ")</f>
        <v>10, RUE DE LA LIBERTÉ</v>
      </c>
      <c r="G801" t="str">
        <f ca="1">IFERROR(__xludf.DUMMYFUNCTION("""COMPUTED_VALUE"""),"02.98.70.48.57")</f>
        <v>02.98.70.48.57</v>
      </c>
      <c r="H801" t="str">
        <f ca="1">IFERROR(__xludf.DUMMYFUNCTION("""COMPUTED_VALUE"""),"DESITTER Pierre")</f>
        <v>DESITTER Pierre</v>
      </c>
      <c r="I801" t="str">
        <f ca="1">IFERROR(__xludf.DUMMYFUNCTION("""COMPUTED_VALUE"""),"pierre.desitter@systeme-u.fr")</f>
        <v>pierre.desitter@systeme-u.fr</v>
      </c>
      <c r="J801" t="str">
        <f ca="1">IFERROR(__xludf.DUMMYFUNCTION("""COMPUTED_VALUE"""),"Mr Masson ")</f>
        <v xml:space="preserve">Mr Masson </v>
      </c>
      <c r="K801" t="str">
        <f ca="1">IFERROR(__xludf.DUMMYFUNCTION("""COMPUTED_VALUE"""),"")</f>
        <v/>
      </c>
      <c r="L801" t="str">
        <f ca="1">IFERROR(__xludf.DUMMYFUNCTION("""COMPUTED_VALUE"""),"")</f>
        <v/>
      </c>
      <c r="M801" t="str">
        <f ca="1">IFERROR(__xludf.DUMMYFUNCTION("""COMPUTED_VALUE"""),"99.Hors Périmetre")</f>
        <v>99.Hors Périmetre</v>
      </c>
      <c r="N801" t="str">
        <f ca="1">IFERROR(__xludf.DUMMYFUNCTION("""COMPUTED_VALUE"""),"")</f>
        <v/>
      </c>
      <c r="O801" t="str">
        <f ca="1">IFERROR(__xludf.DUMMYFUNCTION("""COMPUTED_VALUE"""),"")</f>
        <v/>
      </c>
      <c r="P801" t="str">
        <f ca="1">IFERROR(__xludf.DUMMYFUNCTION("""COMPUTED_VALUE"""),"")</f>
        <v/>
      </c>
      <c r="Q801" s="5" t="str">
        <f ca="1">IFERROR(__xludf.DUMMYFUNCTION("""COMPUTED_VALUE"""),"")</f>
        <v/>
      </c>
      <c r="R801" s="6" t="str">
        <f ca="1">IFERROR(__xludf.DUMMYFUNCTION("""COMPUTED_VALUE"""),"")</f>
        <v/>
      </c>
      <c r="S801" t="str">
        <f ca="1">IFERROR(__xludf.DUMMYFUNCTION("""COMPUTED_VALUE"""),"")</f>
        <v/>
      </c>
      <c r="T801" t="str">
        <f ca="1">IFERROR(__xludf.DUMMYFUNCTION("""COMPUTED_VALUE"""),"")</f>
        <v/>
      </c>
      <c r="U801" t="str">
        <f ca="1">IFERROR(__xludf.DUMMYFUNCTION("""COMPUTED_VALUE"""),"")</f>
        <v/>
      </c>
      <c r="V801" t="str">
        <f ca="1">IFERROR(__xludf.DUMMYFUNCTION("""COMPUTED_VALUE"""),"")</f>
        <v/>
      </c>
      <c r="W801" t="str">
        <f ca="1">IFERROR(__xludf.DUMMYFUNCTION("""COMPUTED_VALUE"""),"")</f>
        <v/>
      </c>
      <c r="X801" t="str">
        <f ca="1">IFERROR(__xludf.DUMMYFUNCTION("""COMPUTED_VALUE"""),"")</f>
        <v/>
      </c>
      <c r="Y801" t="str">
        <f ca="1">IFERROR(__xludf.DUMMYFUNCTION("""COMPUTED_VALUE"""),"")</f>
        <v/>
      </c>
      <c r="Z801" t="str">
        <f ca="1">IFERROR(__xludf.DUMMYFUNCTION("""COMPUTED_VALUE"""),"")</f>
        <v/>
      </c>
      <c r="AA801" t="str">
        <f ca="1">IFERROR(__xludf.DUMMYFUNCTION("""COMPUTED_VALUE"""),"Pas de commande")</f>
        <v>Pas de commande</v>
      </c>
      <c r="AB801" s="8" t="str">
        <f ca="1">IFERROR(__xludf.DUMMYFUNCTION("""COMPUTED_VALUE"""),"")</f>
        <v/>
      </c>
      <c r="AC801" s="8" t="str">
        <f ca="1">IFERROR(__xludf.DUMMYFUNCTION("""COMPUTED_VALUE"""),"")</f>
        <v/>
      </c>
      <c r="AD801" s="11" t="str">
        <f ca="1">IFERROR(__xludf.DUMMYFUNCTION("""COMPUTED_VALUE"""),"")</f>
        <v/>
      </c>
      <c r="AE801" t="str">
        <f ca="1">IFERROR(__xludf.DUMMYFUNCTION("""COMPUTED_VALUE"""),"")</f>
        <v/>
      </c>
    </row>
    <row r="802" spans="1:31" ht="12.75" x14ac:dyDescent="0.2">
      <c r="A802">
        <f ca="1">IFERROR(__xludf.DUMMYFUNCTION("""COMPUTED_VALUE"""),31236)</f>
        <v>31236</v>
      </c>
      <c r="B802" t="str">
        <f ca="1">IFERROR(__xludf.DUMMYFUNCTION("""COMPUTED_VALUE"""),"PONT-L'ABBE")</f>
        <v>PONT-L'ABBE</v>
      </c>
      <c r="C802" t="str">
        <f ca="1">IFERROR(__xludf.DUMMYFUNCTION("""COMPUTED_VALUE"""),"U Express")</f>
        <v>U Express</v>
      </c>
      <c r="D802" t="str">
        <f ca="1">IFERROR(__xludf.DUMMYFUNCTION("""COMPUTED_VALUE"""),"Coop U Enseigne Ouest")</f>
        <v>Coop U Enseigne Ouest</v>
      </c>
      <c r="E802">
        <f ca="1">IFERROR(__xludf.DUMMYFUNCTION("""COMPUTED_VALUE"""),29120)</f>
        <v>29120</v>
      </c>
      <c r="F802" t="str">
        <f ca="1">IFERROR(__xludf.DUMMYFUNCTION("""COMPUTED_VALUE"""),"2, RUE ROGER SIGNOR")</f>
        <v>2, RUE ROGER SIGNOR</v>
      </c>
      <c r="G802" t="str">
        <f ca="1">IFERROR(__xludf.DUMMYFUNCTION("""COMPUTED_VALUE"""),"02.98.87.08.59")</f>
        <v>02.98.87.08.59</v>
      </c>
      <c r="H802" t="str">
        <f ca="1">IFERROR(__xludf.DUMMYFUNCTION("""COMPUTED_VALUE"""),"GAREL RPT SARL LORIDIS Jean christian")</f>
        <v>GAREL RPT SARL LORIDIS Jean christian</v>
      </c>
      <c r="I802" t="str">
        <f ca="1">IFERROR(__xludf.DUMMYFUNCTION("""COMPUTED_VALUE"""),"jean-christian.garel@systeme-u.fr")</f>
        <v>jean-christian.garel@systeme-u.fr</v>
      </c>
      <c r="J802" t="str">
        <f ca="1">IFERROR(__xludf.DUMMYFUNCTION("""COMPUTED_VALUE"""),"GAREL Florence")</f>
        <v>GAREL Florence</v>
      </c>
      <c r="K802" t="str">
        <f ca="1">IFERROR(__xludf.DUMMYFUNCTION("""COMPUTED_VALUE"""),"uexpress.pontlabbe@systeme-u.fr")</f>
        <v>uexpress.pontlabbe@systeme-u.fr</v>
      </c>
      <c r="L802" t="str">
        <f ca="1">IFERROR(__xludf.DUMMYFUNCTION("""COMPUTED_VALUE"""),"")</f>
        <v/>
      </c>
      <c r="M802" t="str">
        <f ca="1">IFERROR(__xludf.DUMMYFUNCTION("""COMPUTED_VALUE"""),"99.Hors Périmetre")</f>
        <v>99.Hors Périmetre</v>
      </c>
      <c r="N802" t="str">
        <f ca="1">IFERROR(__xludf.DUMMYFUNCTION("""COMPUTED_VALUE"""),"")</f>
        <v/>
      </c>
      <c r="O802" t="str">
        <f ca="1">IFERROR(__xludf.DUMMYFUNCTION("""COMPUTED_VALUE"""),"")</f>
        <v/>
      </c>
      <c r="P802" t="str">
        <f ca="1">IFERROR(__xludf.DUMMYFUNCTION("""COMPUTED_VALUE"""),"")</f>
        <v/>
      </c>
      <c r="Q802" s="5" t="str">
        <f ca="1">IFERROR(__xludf.DUMMYFUNCTION("""COMPUTED_VALUE"""),"")</f>
        <v/>
      </c>
      <c r="R802" s="6" t="str">
        <f ca="1">IFERROR(__xludf.DUMMYFUNCTION("""COMPUTED_VALUE"""),"")</f>
        <v/>
      </c>
      <c r="S802" t="str">
        <f ca="1">IFERROR(__xludf.DUMMYFUNCTION("""COMPUTED_VALUE"""),"")</f>
        <v/>
      </c>
      <c r="T802" t="str">
        <f ca="1">IFERROR(__xludf.DUMMYFUNCTION("""COMPUTED_VALUE"""),"")</f>
        <v/>
      </c>
      <c r="U802" t="str">
        <f ca="1">IFERROR(__xludf.DUMMYFUNCTION("""COMPUTED_VALUE"""),"")</f>
        <v/>
      </c>
      <c r="V802" t="str">
        <f ca="1">IFERROR(__xludf.DUMMYFUNCTION("""COMPUTED_VALUE"""),"")</f>
        <v/>
      </c>
      <c r="W802" t="str">
        <f ca="1">IFERROR(__xludf.DUMMYFUNCTION("""COMPUTED_VALUE"""),"")</f>
        <v/>
      </c>
      <c r="X802" t="str">
        <f ca="1">IFERROR(__xludf.DUMMYFUNCTION("""COMPUTED_VALUE"""),"")</f>
        <v/>
      </c>
      <c r="Y802" t="str">
        <f ca="1">IFERROR(__xludf.DUMMYFUNCTION("""COMPUTED_VALUE"""),"")</f>
        <v/>
      </c>
      <c r="Z802" t="str">
        <f ca="1">IFERROR(__xludf.DUMMYFUNCTION("""COMPUTED_VALUE"""),"")</f>
        <v/>
      </c>
      <c r="AA802" t="str">
        <f ca="1">IFERROR(__xludf.DUMMYFUNCTION("""COMPUTED_VALUE"""),"Pas de commande")</f>
        <v>Pas de commande</v>
      </c>
      <c r="AB802" s="8" t="str">
        <f ca="1">IFERROR(__xludf.DUMMYFUNCTION("""COMPUTED_VALUE"""),"")</f>
        <v/>
      </c>
      <c r="AC802" s="8" t="str">
        <f ca="1">IFERROR(__xludf.DUMMYFUNCTION("""COMPUTED_VALUE"""),"")</f>
        <v/>
      </c>
      <c r="AD802" s="11" t="str">
        <f ca="1">IFERROR(__xludf.DUMMYFUNCTION("""COMPUTED_VALUE"""),"")</f>
        <v/>
      </c>
      <c r="AE802" t="str">
        <f ca="1">IFERROR(__xludf.DUMMYFUNCTION("""COMPUTED_VALUE"""),"")</f>
        <v/>
      </c>
    </row>
    <row r="803" spans="1:31" ht="12.75" x14ac:dyDescent="0.2">
      <c r="A803">
        <f ca="1">IFERROR(__xludf.DUMMYFUNCTION("""COMPUTED_VALUE"""),31023)</f>
        <v>31023</v>
      </c>
      <c r="B803" t="str">
        <f ca="1">IFERROR(__xludf.DUMMYFUNCTION("""COMPUTED_VALUE"""),"PONT-SCORFF")</f>
        <v>PONT-SCORFF</v>
      </c>
      <c r="C803" t="str">
        <f ca="1">IFERROR(__xludf.DUMMYFUNCTION("""COMPUTED_VALUE"""),"Super U")</f>
        <v>Super U</v>
      </c>
      <c r="D803" t="str">
        <f ca="1">IFERROR(__xludf.DUMMYFUNCTION("""COMPUTED_VALUE"""),"Coop U Enseigne Ouest")</f>
        <v>Coop U Enseigne Ouest</v>
      </c>
      <c r="E803">
        <f ca="1">IFERROR(__xludf.DUMMYFUNCTION("""COMPUTED_VALUE"""),56620)</f>
        <v>56620</v>
      </c>
      <c r="F803" t="str">
        <f ca="1">IFERROR(__xludf.DUMMYFUNCTION("""COMPUTED_VALUE"""),"KERPUS")</f>
        <v>KERPUS</v>
      </c>
      <c r="G803" t="str">
        <f ca="1">IFERROR(__xludf.DUMMYFUNCTION("""COMPUTED_VALUE"""),"02.97.32.61.38")</f>
        <v>02.97.32.61.38</v>
      </c>
      <c r="H803" t="str">
        <f ca="1">IFERROR(__xludf.DUMMYFUNCTION("""COMPUTED_VALUE"""),"PRODHOMME RPT SARL SOFICRI Christian")</f>
        <v>PRODHOMME RPT SARL SOFICRI Christian</v>
      </c>
      <c r="I803" t="str">
        <f ca="1">IFERROR(__xludf.DUMMYFUNCTION("""COMPUTED_VALUE"""),"christian.prodhomme@systeme-u.fr")</f>
        <v>christian.prodhomme@systeme-u.fr</v>
      </c>
      <c r="J803" t="str">
        <f ca="1">IFERROR(__xludf.DUMMYFUNCTION("""COMPUTED_VALUE"""),"Mr albres
Mme Bocher")</f>
        <v>Mr albres
Mme Bocher</v>
      </c>
      <c r="K803" t="str">
        <f ca="1">IFERROR(__xludf.DUMMYFUNCTION("""COMPUTED_VALUE"""),"superu.pontscorff.direction@systeme-u.fr")</f>
        <v>superu.pontscorff.direction@systeme-u.fr</v>
      </c>
      <c r="L803" t="str">
        <f ca="1">IFERROR(__xludf.DUMMYFUNCTION("""COMPUTED_VALUE"""),"Standard")</f>
        <v>Standard</v>
      </c>
      <c r="M803" t="str">
        <f ca="1">IFERROR(__xludf.DUMMYFUNCTION("""COMPUTED_VALUE"""),"0. Non démarré")</f>
        <v>0. Non démarré</v>
      </c>
      <c r="N803" t="str">
        <f ca="1">IFERROR(__xludf.DUMMYFUNCTION("""COMPUTED_VALUE"""),"")</f>
        <v/>
      </c>
      <c r="O803" t="str">
        <f ca="1">IFERROR(__xludf.DUMMYFUNCTION("""COMPUTED_VALUE"""),"")</f>
        <v/>
      </c>
      <c r="P803" t="str">
        <f ca="1">IFERROR(__xludf.DUMMYFUNCTION("""COMPUTED_VALUE"""),"")</f>
        <v/>
      </c>
      <c r="Q803" s="5" t="str">
        <f ca="1">IFERROR(__xludf.DUMMYFUNCTION("""COMPUTED_VALUE"""),"")</f>
        <v/>
      </c>
      <c r="R803" s="6" t="str">
        <f ca="1">IFERROR(__xludf.DUMMYFUNCTION("""COMPUTED_VALUE"""),"")</f>
        <v/>
      </c>
      <c r="S803" t="str">
        <f ca="1">IFERROR(__xludf.DUMMYFUNCTION("""COMPUTED_VALUE"""),"")</f>
        <v/>
      </c>
      <c r="T803" t="str">
        <f ca="1">IFERROR(__xludf.DUMMYFUNCTION("""COMPUTED_VALUE"""),"")</f>
        <v/>
      </c>
      <c r="U803" t="str">
        <f ca="1">IFERROR(__xludf.DUMMYFUNCTION("""COMPUTED_VALUE"""),"")</f>
        <v/>
      </c>
      <c r="V803" t="str">
        <f ca="1">IFERROR(__xludf.DUMMYFUNCTION("""COMPUTED_VALUE"""),"")</f>
        <v/>
      </c>
      <c r="W803" t="str">
        <f ca="1">IFERROR(__xludf.DUMMYFUNCTION("""COMPUTED_VALUE"""),"R5")</f>
        <v>R5</v>
      </c>
      <c r="X803" t="str">
        <f ca="1">IFERROR(__xludf.DUMMYFUNCTION("""COMPUTED_VALUE"""),"Pricer")</f>
        <v>Pricer</v>
      </c>
      <c r="Y803" t="str">
        <f ca="1">IFERROR(__xludf.DUMMYFUNCTION("""COMPUTED_VALUE"""),"")</f>
        <v/>
      </c>
      <c r="Z803" t="str">
        <f ca="1">IFERROR(__xludf.DUMMYFUNCTION("""COMPUTED_VALUE"""),"")</f>
        <v/>
      </c>
      <c r="AA803" t="str">
        <f ca="1">IFERROR(__xludf.DUMMYFUNCTION("""COMPUTED_VALUE"""),"Pas de commande")</f>
        <v>Pas de commande</v>
      </c>
      <c r="AB803" s="8" t="str">
        <f ca="1">IFERROR(__xludf.DUMMYFUNCTION("""COMPUTED_VALUE"""),"")</f>
        <v/>
      </c>
      <c r="AC803" s="8" t="str">
        <f ca="1">IFERROR(__xludf.DUMMYFUNCTION("""COMPUTED_VALUE"""),"")</f>
        <v/>
      </c>
      <c r="AD803" s="11" t="str">
        <f ca="1">IFERROR(__xludf.DUMMYFUNCTION("""COMPUTED_VALUE"""),"")</f>
        <v/>
      </c>
      <c r="AE803" t="str">
        <f ca="1">IFERROR(__xludf.DUMMYFUNCTION("""COMPUTED_VALUE"""),"")</f>
        <v/>
      </c>
    </row>
    <row r="804" spans="1:31" ht="12.75" x14ac:dyDescent="0.2">
      <c r="A804">
        <f ca="1">IFERROR(__xludf.DUMMYFUNCTION("""COMPUTED_VALUE"""),31457)</f>
        <v>31457</v>
      </c>
      <c r="B804" t="str">
        <f ca="1">IFERROR(__xludf.DUMMYFUNCTION("""COMPUTED_VALUE"""),"PONT-ST-MARTIN")</f>
        <v>PONT-ST-MARTIN</v>
      </c>
      <c r="C804" t="str">
        <f ca="1">IFERROR(__xludf.DUMMYFUNCTION("""COMPUTED_VALUE"""),"Super U")</f>
        <v>Super U</v>
      </c>
      <c r="D804" t="str">
        <f ca="1">IFERROR(__xludf.DUMMYFUNCTION("""COMPUTED_VALUE"""),"Coop U Enseigne Ouest")</f>
        <v>Coop U Enseigne Ouest</v>
      </c>
      <c r="E804">
        <f ca="1">IFERROR(__xludf.DUMMYFUNCTION("""COMPUTED_VALUE"""),44860)</f>
        <v>44860</v>
      </c>
      <c r="F804" t="str">
        <f ca="1">IFERROR(__xludf.DUMMYFUNCTION("""COMPUTED_VALUE"""),"RUE DES VIGNES")</f>
        <v>RUE DES VIGNES</v>
      </c>
      <c r="G804" t="str">
        <f ca="1">IFERROR(__xludf.DUMMYFUNCTION("""COMPUTED_VALUE"""),"02.40.26.81.64")</f>
        <v>02.40.26.81.64</v>
      </c>
      <c r="H804" t="str">
        <f ca="1">IFERROR(__xludf.DUMMYFUNCTION("""COMPUTED_VALUE"""),"POYER Emilie")</f>
        <v>POYER Emilie</v>
      </c>
      <c r="I804" t="str">
        <f ca="1">IFERROR(__xludf.DUMMYFUNCTION("""COMPUTED_VALUE"""),"emilie.poyer@systeme-u.fr")</f>
        <v>emilie.poyer@systeme-u.fr</v>
      </c>
      <c r="J804" t="str">
        <f ca="1">IFERROR(__xludf.DUMMYFUNCTION("""COMPUTED_VALUE"""),"Madame Bertet")</f>
        <v>Madame Bertet</v>
      </c>
      <c r="K804" t="str">
        <f ca="1">IFERROR(__xludf.DUMMYFUNCTION("""COMPUTED_VALUE"""),"superu.pontsaintmartin@systeme-u.fr")</f>
        <v>superu.pontsaintmartin@systeme-u.fr</v>
      </c>
      <c r="L804" t="str">
        <f ca="1">IFERROR(__xludf.DUMMYFUNCTION("""COMPUTED_VALUE"""),"")</f>
        <v/>
      </c>
      <c r="M804" t="str">
        <f ca="1">IFERROR(__xludf.DUMMYFUNCTION("""COMPUTED_VALUE"""),"99.Hors Périmetre")</f>
        <v>99.Hors Périmetre</v>
      </c>
      <c r="N804" t="str">
        <f ca="1">IFERROR(__xludf.DUMMYFUNCTION("""COMPUTED_VALUE"""),"")</f>
        <v/>
      </c>
      <c r="O804" t="str">
        <f ca="1">IFERROR(__xludf.DUMMYFUNCTION("""COMPUTED_VALUE"""),"")</f>
        <v/>
      </c>
      <c r="P804" t="str">
        <f ca="1">IFERROR(__xludf.DUMMYFUNCTION("""COMPUTED_VALUE"""),"")</f>
        <v/>
      </c>
      <c r="Q804" s="5" t="str">
        <f ca="1">IFERROR(__xludf.DUMMYFUNCTION("""COMPUTED_VALUE"""),"")</f>
        <v/>
      </c>
      <c r="R804" s="6" t="str">
        <f ca="1">IFERROR(__xludf.DUMMYFUNCTION("""COMPUTED_VALUE"""),"")</f>
        <v/>
      </c>
      <c r="S804" t="str">
        <f ca="1">IFERROR(__xludf.DUMMYFUNCTION("""COMPUTED_VALUE"""),"")</f>
        <v/>
      </c>
      <c r="T804" t="str">
        <f ca="1">IFERROR(__xludf.DUMMYFUNCTION("""COMPUTED_VALUE"""),"")</f>
        <v/>
      </c>
      <c r="U804" t="str">
        <f ca="1">IFERROR(__xludf.DUMMYFUNCTION("""COMPUTED_VALUE"""),"")</f>
        <v/>
      </c>
      <c r="V804" t="str">
        <f ca="1">IFERROR(__xludf.DUMMYFUNCTION("""COMPUTED_VALUE"""),"")</f>
        <v/>
      </c>
      <c r="W804" t="str">
        <f ca="1">IFERROR(__xludf.DUMMYFUNCTION("""COMPUTED_VALUE"""),"")</f>
        <v/>
      </c>
      <c r="X804" t="str">
        <f ca="1">IFERROR(__xludf.DUMMYFUNCTION("""COMPUTED_VALUE"""),"")</f>
        <v/>
      </c>
      <c r="Y804" t="str">
        <f ca="1">IFERROR(__xludf.DUMMYFUNCTION("""COMPUTED_VALUE"""),"")</f>
        <v/>
      </c>
      <c r="Z804" t="str">
        <f ca="1">IFERROR(__xludf.DUMMYFUNCTION("""COMPUTED_VALUE"""),"")</f>
        <v/>
      </c>
      <c r="AA804" t="str">
        <f ca="1">IFERROR(__xludf.DUMMYFUNCTION("""COMPUTED_VALUE"""),"Pas de commande")</f>
        <v>Pas de commande</v>
      </c>
      <c r="AB804" s="8" t="str">
        <f ca="1">IFERROR(__xludf.DUMMYFUNCTION("""COMPUTED_VALUE"""),"")</f>
        <v/>
      </c>
      <c r="AC804" s="8" t="str">
        <f ca="1">IFERROR(__xludf.DUMMYFUNCTION("""COMPUTED_VALUE"""),"")</f>
        <v/>
      </c>
      <c r="AD804" s="11" t="str">
        <f ca="1">IFERROR(__xludf.DUMMYFUNCTION("""COMPUTED_VALUE"""),"")</f>
        <v/>
      </c>
      <c r="AE804" t="str">
        <f ca="1">IFERROR(__xludf.DUMMYFUNCTION("""COMPUTED_VALUE"""),"")</f>
        <v/>
      </c>
    </row>
    <row r="805" spans="1:31" ht="12.75" x14ac:dyDescent="0.2">
      <c r="A805">
        <f ca="1">IFERROR(__xludf.DUMMYFUNCTION("""COMPUTED_VALUE"""),66049)</f>
        <v>66049</v>
      </c>
      <c r="B805" t="str">
        <f ca="1">IFERROR(__xludf.DUMMYFUNCTION("""COMPUTED_VALUE"""),"PONTCHARRA")</f>
        <v>PONTCHARRA</v>
      </c>
      <c r="C805" t="str">
        <f ca="1">IFERROR(__xludf.DUMMYFUNCTION("""COMPUTED_VALUE"""),"Super U")</f>
        <v>Super U</v>
      </c>
      <c r="D805" t="str">
        <f ca="1">IFERROR(__xludf.DUMMYFUNCTION("""COMPUTED_VALUE"""),"Coop U Enseigne Est")</f>
        <v>Coop U Enseigne Est</v>
      </c>
      <c r="E805">
        <f ca="1">IFERROR(__xludf.DUMMYFUNCTION("""COMPUTED_VALUE"""),38530)</f>
        <v>38530</v>
      </c>
      <c r="F805" t="str">
        <f ca="1">IFERROR(__xludf.DUMMYFUNCTION("""COMPUTED_VALUE"""),"Avenue de la Gare")</f>
        <v>Avenue de la Gare</v>
      </c>
      <c r="G805" t="str">
        <f ca="1">IFERROR(__xludf.DUMMYFUNCTION("""COMPUTED_VALUE"""),"04.76.97.96.90")</f>
        <v>04.76.97.96.90</v>
      </c>
      <c r="H805" t="str">
        <f ca="1">IFERROR(__xludf.DUMMYFUNCTION("""COMPUTED_VALUE"""),"ANDRE RPT SAS STPA Pascal")</f>
        <v>ANDRE RPT SAS STPA Pascal</v>
      </c>
      <c r="I805" t="str">
        <f ca="1">IFERROR(__xludf.DUMMYFUNCTION("""COMPUTED_VALUE"""),"pascal.andre@systeme-u.fr")</f>
        <v>pascal.andre@systeme-u.fr</v>
      </c>
      <c r="J805" t="str">
        <f ca="1">IFERROR(__xludf.DUMMYFUNCTION("""COMPUTED_VALUE"""),"Mr Dacosta")</f>
        <v>Mr Dacosta</v>
      </c>
      <c r="K805" t="str">
        <f ca="1">IFERROR(__xludf.DUMMYFUNCTION("""COMPUTED_VALUE"""),"superu.pontcharra.direction@systeme-u.fr")</f>
        <v>superu.pontcharra.direction@systeme-u.fr</v>
      </c>
      <c r="L805" t="str">
        <f ca="1">IFERROR(__xludf.DUMMYFUNCTION("""COMPUTED_VALUE"""),"")</f>
        <v/>
      </c>
      <c r="M805" t="str">
        <f ca="1">IFERROR(__xludf.DUMMYFUNCTION("""COMPUTED_VALUE"""),"99.Hors Périmetre")</f>
        <v>99.Hors Périmetre</v>
      </c>
      <c r="N805" t="str">
        <f ca="1">IFERROR(__xludf.DUMMYFUNCTION("""COMPUTED_VALUE"""),"")</f>
        <v/>
      </c>
      <c r="O805" t="str">
        <f ca="1">IFERROR(__xludf.DUMMYFUNCTION("""COMPUTED_VALUE"""),"")</f>
        <v/>
      </c>
      <c r="P805" t="str">
        <f ca="1">IFERROR(__xludf.DUMMYFUNCTION("""COMPUTED_VALUE"""),"")</f>
        <v/>
      </c>
      <c r="Q805" s="5" t="str">
        <f ca="1">IFERROR(__xludf.DUMMYFUNCTION("""COMPUTED_VALUE"""),"")</f>
        <v/>
      </c>
      <c r="R805" s="6" t="str">
        <f ca="1">IFERROR(__xludf.DUMMYFUNCTION("""COMPUTED_VALUE"""),"")</f>
        <v/>
      </c>
      <c r="S805" t="str">
        <f ca="1">IFERROR(__xludf.DUMMYFUNCTION("""COMPUTED_VALUE"""),"")</f>
        <v/>
      </c>
      <c r="T805" t="str">
        <f ca="1">IFERROR(__xludf.DUMMYFUNCTION("""COMPUTED_VALUE"""),"")</f>
        <v/>
      </c>
      <c r="U805" t="str">
        <f ca="1">IFERROR(__xludf.DUMMYFUNCTION("""COMPUTED_VALUE"""),"")</f>
        <v/>
      </c>
      <c r="V805" t="str">
        <f ca="1">IFERROR(__xludf.DUMMYFUNCTION("""COMPUTED_VALUE"""),"")</f>
        <v/>
      </c>
      <c r="W805" t="str">
        <f ca="1">IFERROR(__xludf.DUMMYFUNCTION("""COMPUTED_VALUE"""),"")</f>
        <v/>
      </c>
      <c r="X805" t="str">
        <f ca="1">IFERROR(__xludf.DUMMYFUNCTION("""COMPUTED_VALUE"""),"")</f>
        <v/>
      </c>
      <c r="Y805" t="str">
        <f ca="1">IFERROR(__xludf.DUMMYFUNCTION("""COMPUTED_VALUE"""),"")</f>
        <v/>
      </c>
      <c r="Z805" t="str">
        <f ca="1">IFERROR(__xludf.DUMMYFUNCTION("""COMPUTED_VALUE"""),"")</f>
        <v/>
      </c>
      <c r="AA805" t="str">
        <f ca="1">IFERROR(__xludf.DUMMYFUNCTION("""COMPUTED_VALUE"""),"Pas de commande")</f>
        <v>Pas de commande</v>
      </c>
      <c r="AB805" s="8" t="str">
        <f ca="1">IFERROR(__xludf.DUMMYFUNCTION("""COMPUTED_VALUE"""),"")</f>
        <v/>
      </c>
      <c r="AC805" s="8" t="str">
        <f ca="1">IFERROR(__xludf.DUMMYFUNCTION("""COMPUTED_VALUE"""),"")</f>
        <v/>
      </c>
      <c r="AD805" s="11" t="str">
        <f ca="1">IFERROR(__xludf.DUMMYFUNCTION("""COMPUTED_VALUE"""),"")</f>
        <v/>
      </c>
      <c r="AE805" t="str">
        <f ca="1">IFERROR(__xludf.DUMMYFUNCTION("""COMPUTED_VALUE"""),"")</f>
        <v/>
      </c>
    </row>
    <row r="806" spans="1:31" ht="12.75" x14ac:dyDescent="0.2">
      <c r="A806">
        <f ca="1">IFERROR(__xludf.DUMMYFUNCTION("""COMPUTED_VALUE"""),90258)</f>
        <v>90258</v>
      </c>
      <c r="B806" t="str">
        <f ca="1">IFERROR(__xludf.DUMMYFUNCTION("""COMPUTED_VALUE"""),"PONTE LECCIA")</f>
        <v>PONTE LECCIA</v>
      </c>
      <c r="C806" t="str">
        <f ca="1">IFERROR(__xludf.DUMMYFUNCTION("""COMPUTED_VALUE"""),"Super U")</f>
        <v>Super U</v>
      </c>
      <c r="D806" t="str">
        <f ca="1">IFERROR(__xludf.DUMMYFUNCTION("""COMPUTED_VALUE"""),"Coop U Enseigne Sud")</f>
        <v>Coop U Enseigne Sud</v>
      </c>
      <c r="E806">
        <f ca="1">IFERROR(__xludf.DUMMYFUNCTION("""COMPUTED_VALUE"""),20218)</f>
        <v>20218</v>
      </c>
      <c r="F806" t="str">
        <f ca="1">IFERROR(__xludf.DUMMYFUNCTION("""COMPUTED_VALUE"""),"PONTE LECCIA")</f>
        <v>PONTE LECCIA</v>
      </c>
      <c r="G806" t="str">
        <f ca="1">IFERROR(__xludf.DUMMYFUNCTION("""COMPUTED_VALUE"""),"04.95.47.70.00")</f>
        <v>04.95.47.70.00</v>
      </c>
      <c r="H806" t="str">
        <f ca="1">IFERROR(__xludf.DUMMYFUNCTION("""COMPUTED_VALUE"""),"PAYEN Gabriel")</f>
        <v>PAYEN Gabriel</v>
      </c>
      <c r="I806" t="str">
        <f ca="1">IFERROR(__xludf.DUMMYFUNCTION("""COMPUTED_VALUE"""),"gabriel.payen@systeme-u.fr")</f>
        <v>gabriel.payen@systeme-u.fr</v>
      </c>
      <c r="J806" t="str">
        <f ca="1">IFERROR(__xludf.DUMMYFUNCTION("""COMPUTED_VALUE"""),"CASAROMANI CELINE")</f>
        <v>CASAROMANI CELINE</v>
      </c>
      <c r="K806" t="str">
        <f ca="1">IFERROR(__xludf.DUMMYFUNCTION("""COMPUTED_VALUE"""),"celine.superu@gmail.com")</f>
        <v>celine.superu@gmail.com</v>
      </c>
      <c r="L806" t="str">
        <f ca="1">IFERROR(__xludf.DUMMYFUNCTION("""COMPUTED_VALUE"""),"")</f>
        <v/>
      </c>
      <c r="M806" t="str">
        <f ca="1">IFERROR(__xludf.DUMMYFUNCTION("""COMPUTED_VALUE"""),"99.Hors Périmetre")</f>
        <v>99.Hors Périmetre</v>
      </c>
      <c r="N806" t="str">
        <f ca="1">IFERROR(__xludf.DUMMYFUNCTION("""COMPUTED_VALUE"""),"")</f>
        <v/>
      </c>
      <c r="O806" t="str">
        <f ca="1">IFERROR(__xludf.DUMMYFUNCTION("""COMPUTED_VALUE"""),"")</f>
        <v/>
      </c>
      <c r="P806" t="str">
        <f ca="1">IFERROR(__xludf.DUMMYFUNCTION("""COMPUTED_VALUE"""),"")</f>
        <v/>
      </c>
      <c r="Q806" s="5" t="str">
        <f ca="1">IFERROR(__xludf.DUMMYFUNCTION("""COMPUTED_VALUE"""),"")</f>
        <v/>
      </c>
      <c r="R806" s="6" t="str">
        <f ca="1">IFERROR(__xludf.DUMMYFUNCTION("""COMPUTED_VALUE"""),"")</f>
        <v/>
      </c>
      <c r="S806" t="str">
        <f ca="1">IFERROR(__xludf.DUMMYFUNCTION("""COMPUTED_VALUE"""),"")</f>
        <v/>
      </c>
      <c r="T806" t="str">
        <f ca="1">IFERROR(__xludf.DUMMYFUNCTION("""COMPUTED_VALUE"""),"")</f>
        <v/>
      </c>
      <c r="U806" t="str">
        <f ca="1">IFERROR(__xludf.DUMMYFUNCTION("""COMPUTED_VALUE"""),"")</f>
        <v/>
      </c>
      <c r="V806" t="str">
        <f ca="1">IFERROR(__xludf.DUMMYFUNCTION("""COMPUTED_VALUE"""),"")</f>
        <v/>
      </c>
      <c r="W806" t="str">
        <f ca="1">IFERROR(__xludf.DUMMYFUNCTION("""COMPUTED_VALUE"""),"")</f>
        <v/>
      </c>
      <c r="X806" t="str">
        <f ca="1">IFERROR(__xludf.DUMMYFUNCTION("""COMPUTED_VALUE"""),"")</f>
        <v/>
      </c>
      <c r="Y806" t="str">
        <f ca="1">IFERROR(__xludf.DUMMYFUNCTION("""COMPUTED_VALUE"""),"")</f>
        <v/>
      </c>
      <c r="Z806" t="str">
        <f ca="1">IFERROR(__xludf.DUMMYFUNCTION("""COMPUTED_VALUE"""),"")</f>
        <v/>
      </c>
      <c r="AA806" t="str">
        <f ca="1">IFERROR(__xludf.DUMMYFUNCTION("""COMPUTED_VALUE"""),"Pas de commande")</f>
        <v>Pas de commande</v>
      </c>
      <c r="AB806" s="8" t="str">
        <f ca="1">IFERROR(__xludf.DUMMYFUNCTION("""COMPUTED_VALUE"""),"")</f>
        <v/>
      </c>
      <c r="AC806" s="8" t="str">
        <f ca="1">IFERROR(__xludf.DUMMYFUNCTION("""COMPUTED_VALUE"""),"")</f>
        <v/>
      </c>
      <c r="AD806" s="11" t="str">
        <f ca="1">IFERROR(__xludf.DUMMYFUNCTION("""COMPUTED_VALUE"""),"")</f>
        <v/>
      </c>
      <c r="AE806" t="str">
        <f ca="1">IFERROR(__xludf.DUMMYFUNCTION("""COMPUTED_VALUE"""),"")</f>
        <v/>
      </c>
    </row>
    <row r="807" spans="1:31" ht="12.75" x14ac:dyDescent="0.2">
      <c r="A807">
        <f ca="1">IFERROR(__xludf.DUMMYFUNCTION("""COMPUTED_VALUE"""),38745)</f>
        <v>38745</v>
      </c>
      <c r="B807" t="str">
        <f ca="1">IFERROR(__xludf.DUMMYFUNCTION("""COMPUTED_VALUE"""),"PONTIVY")</f>
        <v>PONTIVY</v>
      </c>
      <c r="C807" t="str">
        <f ca="1">IFERROR(__xludf.DUMMYFUNCTION("""COMPUTED_VALUE"""),"Super U")</f>
        <v>Super U</v>
      </c>
      <c r="D807" t="str">
        <f ca="1">IFERROR(__xludf.DUMMYFUNCTION("""COMPUTED_VALUE"""),"Coop U Enseigne Ouest")</f>
        <v>Coop U Enseigne Ouest</v>
      </c>
      <c r="E807">
        <f ca="1">IFERROR(__xludf.DUMMYFUNCTION("""COMPUTED_VALUE"""),56300)</f>
        <v>56300</v>
      </c>
      <c r="F807" t="str">
        <f ca="1">IFERROR(__xludf.DUMMYFUNCTION("""COMPUTED_VALUE"""),"35, RUE DU GÉNÉRAL QUINIVET")</f>
        <v>35, RUE DU GÉNÉRAL QUINIVET</v>
      </c>
      <c r="G807" t="str">
        <f ca="1">IFERROR(__xludf.DUMMYFUNCTION("""COMPUTED_VALUE"""),"02.97.25.19.75")</f>
        <v>02.97.25.19.75</v>
      </c>
      <c r="H807" t="str">
        <f ca="1">IFERROR(__xludf.DUMMYFUNCTION("""COMPUTED_VALUE"""),"MASSICOT RPT SAS MARITHYS Thierry")</f>
        <v>MASSICOT RPT SAS MARITHYS Thierry</v>
      </c>
      <c r="I807" t="str">
        <f ca="1">IFERROR(__xludf.DUMMYFUNCTION("""COMPUTED_VALUE"""),"thierry.massicot@systeme-u.fr")</f>
        <v>thierry.massicot@systeme-u.fr</v>
      </c>
      <c r="J807" t="str">
        <f ca="1">IFERROR(__xludf.DUMMYFUNCTION("""COMPUTED_VALUE"""),"Mme GUYOT")</f>
        <v>Mme GUYOT</v>
      </c>
      <c r="K807" t="str">
        <f ca="1">IFERROR(__xludf.DUMMYFUNCTION("""COMPUTED_VALUE"""),"superu.pontivy.compta@systeme-u.fr")</f>
        <v>superu.pontivy.compta@systeme-u.fr</v>
      </c>
      <c r="L807" t="str">
        <f ca="1">IFERROR(__xludf.DUMMYFUNCTION("""COMPUTED_VALUE"""),"")</f>
        <v/>
      </c>
      <c r="M807" t="str">
        <f ca="1">IFERROR(__xludf.DUMMYFUNCTION("""COMPUTED_VALUE"""),"99.Hors Périmetre")</f>
        <v>99.Hors Périmetre</v>
      </c>
      <c r="N807" t="str">
        <f ca="1">IFERROR(__xludf.DUMMYFUNCTION("""COMPUTED_VALUE"""),"")</f>
        <v/>
      </c>
      <c r="O807" t="str">
        <f ca="1">IFERROR(__xludf.DUMMYFUNCTION("""COMPUTED_VALUE"""),"")</f>
        <v/>
      </c>
      <c r="P807" t="str">
        <f ca="1">IFERROR(__xludf.DUMMYFUNCTION("""COMPUTED_VALUE"""),"")</f>
        <v/>
      </c>
      <c r="Q807" s="5" t="str">
        <f ca="1">IFERROR(__xludf.DUMMYFUNCTION("""COMPUTED_VALUE"""),"")</f>
        <v/>
      </c>
      <c r="R807" s="6" t="str">
        <f ca="1">IFERROR(__xludf.DUMMYFUNCTION("""COMPUTED_VALUE"""),"")</f>
        <v/>
      </c>
      <c r="S807" t="str">
        <f ca="1">IFERROR(__xludf.DUMMYFUNCTION("""COMPUTED_VALUE"""),"")</f>
        <v/>
      </c>
      <c r="T807" t="str">
        <f ca="1">IFERROR(__xludf.DUMMYFUNCTION("""COMPUTED_VALUE"""),"")</f>
        <v/>
      </c>
      <c r="U807" t="str">
        <f ca="1">IFERROR(__xludf.DUMMYFUNCTION("""COMPUTED_VALUE"""),"")</f>
        <v/>
      </c>
      <c r="V807" t="str">
        <f ca="1">IFERROR(__xludf.DUMMYFUNCTION("""COMPUTED_VALUE"""),"")</f>
        <v/>
      </c>
      <c r="W807" t="str">
        <f ca="1">IFERROR(__xludf.DUMMYFUNCTION("""COMPUTED_VALUE"""),"")</f>
        <v/>
      </c>
      <c r="X807" t="str">
        <f ca="1">IFERROR(__xludf.DUMMYFUNCTION("""COMPUTED_VALUE"""),"")</f>
        <v/>
      </c>
      <c r="Y807" t="str">
        <f ca="1">IFERROR(__xludf.DUMMYFUNCTION("""COMPUTED_VALUE"""),"")</f>
        <v/>
      </c>
      <c r="Z807" t="str">
        <f ca="1">IFERROR(__xludf.DUMMYFUNCTION("""COMPUTED_VALUE"""),"")</f>
        <v/>
      </c>
      <c r="AA807" t="str">
        <f ca="1">IFERROR(__xludf.DUMMYFUNCTION("""COMPUTED_VALUE"""),"Pas de commande")</f>
        <v>Pas de commande</v>
      </c>
      <c r="AB807" s="8" t="str">
        <f ca="1">IFERROR(__xludf.DUMMYFUNCTION("""COMPUTED_VALUE"""),"")</f>
        <v/>
      </c>
      <c r="AC807" s="8" t="str">
        <f ca="1">IFERROR(__xludf.DUMMYFUNCTION("""COMPUTED_VALUE"""),"")</f>
        <v/>
      </c>
      <c r="AD807" s="11" t="str">
        <f ca="1">IFERROR(__xludf.DUMMYFUNCTION("""COMPUTED_VALUE"""),"")</f>
        <v/>
      </c>
      <c r="AE807" t="str">
        <f ca="1">IFERROR(__xludf.DUMMYFUNCTION("""COMPUTED_VALUE"""),"")</f>
        <v/>
      </c>
    </row>
    <row r="808" spans="1:31" ht="12.75" x14ac:dyDescent="0.2">
      <c r="A808">
        <f ca="1">IFERROR(__xludf.DUMMYFUNCTION("""COMPUTED_VALUE"""),33123)</f>
        <v>33123</v>
      </c>
      <c r="B808" t="str">
        <f ca="1">IFERROR(__xludf.DUMMYFUNCTION("""COMPUTED_VALUE"""),"PORNIC OUEST")</f>
        <v>PORNIC OUEST</v>
      </c>
      <c r="C808" t="str">
        <f ca="1">IFERROR(__xludf.DUMMYFUNCTION("""COMPUTED_VALUE"""),"Super U")</f>
        <v>Super U</v>
      </c>
      <c r="D808" t="str">
        <f ca="1">IFERROR(__xludf.DUMMYFUNCTION("""COMPUTED_VALUE"""),"Coop U Enseigne Ouest")</f>
        <v>Coop U Enseigne Ouest</v>
      </c>
      <c r="E808">
        <f ca="1">IFERROR(__xludf.DUMMYFUNCTION("""COMPUTED_VALUE"""),44210)</f>
        <v>44210</v>
      </c>
      <c r="F808" t="str">
        <f ca="1">IFERROR(__xludf.DUMMYFUNCTION("""COMPUTED_VALUE"""),"ROUTE DE LA PLAINE")</f>
        <v>ROUTE DE LA PLAINE</v>
      </c>
      <c r="G808" t="str">
        <f ca="1">IFERROR(__xludf.DUMMYFUNCTION("""COMPUTED_VALUE"""),"02.51.74.00.10")</f>
        <v>02.51.74.00.10</v>
      </c>
      <c r="H808" t="str">
        <f ca="1">IFERROR(__xludf.DUMMYFUNCTION("""COMPUTED_VALUE"""),"THOUZEAU RPT SAS SOPARVIL Marine")</f>
        <v>THOUZEAU RPT SAS SOPARVIL Marine</v>
      </c>
      <c r="I808" t="str">
        <f ca="1">IFERROR(__xludf.DUMMYFUNCTION("""COMPUTED_VALUE"""),"marine.thouzeau@systeme-u.fr")</f>
        <v>marine.thouzeau@systeme-u.fr</v>
      </c>
      <c r="J808" t="str">
        <f ca="1">IFERROR(__xludf.DUMMYFUNCTION("""COMPUTED_VALUE"""),"Mr Querry")</f>
        <v>Mr Querry</v>
      </c>
      <c r="K808" t="str">
        <f ca="1">IFERROR(__xludf.DUMMYFUNCTION("""COMPUTED_VALUE"""),"superu.pornicouest.administratif@systeme-u.fr")</f>
        <v>superu.pornicouest.administratif@systeme-u.fr</v>
      </c>
      <c r="L808" t="str">
        <f ca="1">IFERROR(__xludf.DUMMYFUNCTION("""COMPUTED_VALUE"""),"")</f>
        <v/>
      </c>
      <c r="M808" t="str">
        <f ca="1">IFERROR(__xludf.DUMMYFUNCTION("""COMPUTED_VALUE"""),"99.Hors Périmetre")</f>
        <v>99.Hors Périmetre</v>
      </c>
      <c r="N808" t="str">
        <f ca="1">IFERROR(__xludf.DUMMYFUNCTION("""COMPUTED_VALUE"""),"")</f>
        <v/>
      </c>
      <c r="O808" t="str">
        <f ca="1">IFERROR(__xludf.DUMMYFUNCTION("""COMPUTED_VALUE"""),"")</f>
        <v/>
      </c>
      <c r="P808" t="str">
        <f ca="1">IFERROR(__xludf.DUMMYFUNCTION("""COMPUTED_VALUE"""),"")</f>
        <v/>
      </c>
      <c r="Q808" s="5" t="str">
        <f ca="1">IFERROR(__xludf.DUMMYFUNCTION("""COMPUTED_VALUE"""),"")</f>
        <v/>
      </c>
      <c r="R808" s="6" t="str">
        <f ca="1">IFERROR(__xludf.DUMMYFUNCTION("""COMPUTED_VALUE"""),"")</f>
        <v/>
      </c>
      <c r="S808" t="str">
        <f ca="1">IFERROR(__xludf.DUMMYFUNCTION("""COMPUTED_VALUE"""),"")</f>
        <v/>
      </c>
      <c r="T808" t="str">
        <f ca="1">IFERROR(__xludf.DUMMYFUNCTION("""COMPUTED_VALUE"""),"")</f>
        <v/>
      </c>
      <c r="U808" t="str">
        <f ca="1">IFERROR(__xludf.DUMMYFUNCTION("""COMPUTED_VALUE"""),"")</f>
        <v/>
      </c>
      <c r="V808" t="str">
        <f ca="1">IFERROR(__xludf.DUMMYFUNCTION("""COMPUTED_VALUE"""),"")</f>
        <v/>
      </c>
      <c r="W808" t="str">
        <f ca="1">IFERROR(__xludf.DUMMYFUNCTION("""COMPUTED_VALUE"""),"")</f>
        <v/>
      </c>
      <c r="X808" t="str">
        <f ca="1">IFERROR(__xludf.DUMMYFUNCTION("""COMPUTED_VALUE"""),"")</f>
        <v/>
      </c>
      <c r="Y808" t="str">
        <f ca="1">IFERROR(__xludf.DUMMYFUNCTION("""COMPUTED_VALUE"""),"")</f>
        <v/>
      </c>
      <c r="Z808" t="str">
        <f ca="1">IFERROR(__xludf.DUMMYFUNCTION("""COMPUTED_VALUE"""),"")</f>
        <v/>
      </c>
      <c r="AA808" t="str">
        <f ca="1">IFERROR(__xludf.DUMMYFUNCTION("""COMPUTED_VALUE"""),"Pas de commande")</f>
        <v>Pas de commande</v>
      </c>
      <c r="AB808" s="8" t="str">
        <f ca="1">IFERROR(__xludf.DUMMYFUNCTION("""COMPUTED_VALUE"""),"")</f>
        <v/>
      </c>
      <c r="AC808" s="8" t="str">
        <f ca="1">IFERROR(__xludf.DUMMYFUNCTION("""COMPUTED_VALUE"""),"")</f>
        <v/>
      </c>
      <c r="AD808" s="11" t="str">
        <f ca="1">IFERROR(__xludf.DUMMYFUNCTION("""COMPUTED_VALUE"""),"")</f>
        <v/>
      </c>
      <c r="AE808" t="str">
        <f ca="1">IFERROR(__xludf.DUMMYFUNCTION("""COMPUTED_VALUE"""),"")</f>
        <v/>
      </c>
    </row>
    <row r="809" spans="1:31" ht="12.75" x14ac:dyDescent="0.2">
      <c r="A809">
        <f ca="1">IFERROR(__xludf.DUMMYFUNCTION("""COMPUTED_VALUE"""),33891)</f>
        <v>33891</v>
      </c>
      <c r="B809" t="str">
        <f ca="1">IFERROR(__xludf.DUMMYFUNCTION("""COMPUTED_VALUE"""),"ST-NICOLAS-DU-PELEM")</f>
        <v>ST-NICOLAS-DU-PELEM</v>
      </c>
      <c r="C809" t="str">
        <f ca="1">IFERROR(__xludf.DUMMYFUNCTION("""COMPUTED_VALUE"""),"Super U")</f>
        <v>Super U</v>
      </c>
      <c r="D809" t="str">
        <f ca="1">IFERROR(__xludf.DUMMYFUNCTION("""COMPUTED_VALUE"""),"Coop U Enseigne Ouest")</f>
        <v>Coop U Enseigne Ouest</v>
      </c>
      <c r="E809">
        <f ca="1">IFERROR(__xludf.DUMMYFUNCTION("""COMPUTED_VALUE"""),22480)</f>
        <v>22480</v>
      </c>
      <c r="F809" t="str">
        <f ca="1">IFERROR(__xludf.DUMMYFUNCTION("""COMPUTED_VALUE"""),"CROAS DOM HERRY")</f>
        <v>CROAS DOM HERRY</v>
      </c>
      <c r="G809" t="str">
        <f ca="1">IFERROR(__xludf.DUMMYFUNCTION("""COMPUTED_VALUE"""),"02.96.29.51.13")</f>
        <v>02.96.29.51.13</v>
      </c>
      <c r="H809" t="str">
        <f ca="1">IFERROR(__xludf.DUMMYFUNCTION("""COMPUTED_VALUE"""),"HUET RPT SAS ALMATMAX Olivier")</f>
        <v>HUET RPT SAS ALMATMAX Olivier</v>
      </c>
      <c r="I809" t="str">
        <f ca="1">IFERROR(__xludf.DUMMYFUNCTION("""COMPUTED_VALUE"""),"olivier.huet@systeme-u.fr")</f>
        <v>olivier.huet@systeme-u.fr</v>
      </c>
      <c r="J809" t="str">
        <f ca="1">IFERROR(__xludf.DUMMYFUNCTION("""COMPUTED_VALUE"""),"")</f>
        <v/>
      </c>
      <c r="K809" t="str">
        <f ca="1">IFERROR(__xludf.DUMMYFUNCTION("""COMPUTED_VALUE"""),"")</f>
        <v/>
      </c>
      <c r="L809" t="str">
        <f ca="1">IFERROR(__xludf.DUMMYFUNCTION("""COMPUTED_VALUE"""),"")</f>
        <v/>
      </c>
      <c r="M809" t="str">
        <f ca="1">IFERROR(__xludf.DUMMYFUNCTION("""COMPUTED_VALUE"""),"99.Hors Périmetre")</f>
        <v>99.Hors Périmetre</v>
      </c>
      <c r="N809" t="str">
        <f ca="1">IFERROR(__xludf.DUMMYFUNCTION("""COMPUTED_VALUE"""),"")</f>
        <v/>
      </c>
      <c r="O809" t="str">
        <f ca="1">IFERROR(__xludf.DUMMYFUNCTION("""COMPUTED_VALUE"""),"")</f>
        <v/>
      </c>
      <c r="P809" t="str">
        <f ca="1">IFERROR(__xludf.DUMMYFUNCTION("""COMPUTED_VALUE"""),"")</f>
        <v/>
      </c>
      <c r="Q809" s="5" t="str">
        <f ca="1">IFERROR(__xludf.DUMMYFUNCTION("""COMPUTED_VALUE"""),"")</f>
        <v/>
      </c>
      <c r="R809" s="6" t="str">
        <f ca="1">IFERROR(__xludf.DUMMYFUNCTION("""COMPUTED_VALUE"""),"")</f>
        <v/>
      </c>
      <c r="S809" t="str">
        <f ca="1">IFERROR(__xludf.DUMMYFUNCTION("""COMPUTED_VALUE"""),"")</f>
        <v/>
      </c>
      <c r="T809" t="str">
        <f ca="1">IFERROR(__xludf.DUMMYFUNCTION("""COMPUTED_VALUE"""),"")</f>
        <v/>
      </c>
      <c r="U809" t="str">
        <f ca="1">IFERROR(__xludf.DUMMYFUNCTION("""COMPUTED_VALUE"""),"")</f>
        <v/>
      </c>
      <c r="V809" t="str">
        <f ca="1">IFERROR(__xludf.DUMMYFUNCTION("""COMPUTED_VALUE"""),"")</f>
        <v/>
      </c>
      <c r="W809" t="str">
        <f ca="1">IFERROR(__xludf.DUMMYFUNCTION("""COMPUTED_VALUE"""),"")</f>
        <v/>
      </c>
      <c r="X809" t="str">
        <f ca="1">IFERROR(__xludf.DUMMYFUNCTION("""COMPUTED_VALUE"""),"")</f>
        <v/>
      </c>
      <c r="Y809" t="str">
        <f ca="1">IFERROR(__xludf.DUMMYFUNCTION("""COMPUTED_VALUE"""),"")</f>
        <v/>
      </c>
      <c r="Z809" t="str">
        <f ca="1">IFERROR(__xludf.DUMMYFUNCTION("""COMPUTED_VALUE"""),"")</f>
        <v/>
      </c>
      <c r="AA809" t="str">
        <f ca="1">IFERROR(__xludf.DUMMYFUNCTION("""COMPUTED_VALUE"""),"Pas de commande")</f>
        <v>Pas de commande</v>
      </c>
      <c r="AB809" s="8" t="str">
        <f ca="1">IFERROR(__xludf.DUMMYFUNCTION("""COMPUTED_VALUE"""),"")</f>
        <v/>
      </c>
      <c r="AC809" s="8" t="str">
        <f ca="1">IFERROR(__xludf.DUMMYFUNCTION("""COMPUTED_VALUE"""),"")</f>
        <v/>
      </c>
      <c r="AD809" s="11" t="str">
        <f ca="1">IFERROR(__xludf.DUMMYFUNCTION("""COMPUTED_VALUE"""),"")</f>
        <v/>
      </c>
      <c r="AE809" t="str">
        <f ca="1">IFERROR(__xludf.DUMMYFUNCTION("""COMPUTED_VALUE"""),"")</f>
        <v/>
      </c>
    </row>
    <row r="810" spans="1:31" ht="12.75" x14ac:dyDescent="0.2">
      <c r="A810">
        <f ca="1">IFERROR(__xludf.DUMMYFUNCTION("""COMPUTED_VALUE"""),22992)</f>
        <v>22992</v>
      </c>
      <c r="B810" t="str">
        <f ca="1">IFERROR(__xludf.DUMMYFUNCTION("""COMPUTED_VALUE"""),"PORT EN BESSIN")</f>
        <v>PORT EN BESSIN</v>
      </c>
      <c r="C810" t="str">
        <f ca="1">IFERROR(__xludf.DUMMYFUNCTION("""COMPUTED_VALUE"""),"U Express")</f>
        <v>U Express</v>
      </c>
      <c r="D810" t="str">
        <f ca="1">IFERROR(__xludf.DUMMYFUNCTION("""COMPUTED_VALUE"""),"Coop U Enseigne NordOuest")</f>
        <v>Coop U Enseigne NordOuest</v>
      </c>
      <c r="E810">
        <f ca="1">IFERROR(__xludf.DUMMYFUNCTION("""COMPUTED_VALUE"""),14520)</f>
        <v>14520</v>
      </c>
      <c r="F810" t="str">
        <f ca="1">IFERROR(__xludf.DUMMYFUNCTION("""COMPUTED_VALUE"""),"IMPASSE DES GOËLANDS")</f>
        <v>IMPASSE DES GOËLANDS</v>
      </c>
      <c r="G810" t="str">
        <f ca="1">IFERROR(__xludf.DUMMYFUNCTION("""COMPUTED_VALUE"""),"02.31.51.79.79")</f>
        <v>02.31.51.79.79</v>
      </c>
      <c r="H810" t="str">
        <f ca="1">IFERROR(__xludf.DUMMYFUNCTION("""COMPUTED_VALUE"""),"RIVIERE Mathieu")</f>
        <v>RIVIERE Mathieu</v>
      </c>
      <c r="I810" t="str">
        <f ca="1">IFERROR(__xludf.DUMMYFUNCTION("""COMPUTED_VALUE"""),"mathieu.riviere@systeme-u.fr")</f>
        <v>mathieu.riviere@systeme-u.fr</v>
      </c>
      <c r="J810" t="str">
        <f ca="1">IFERROR(__xludf.DUMMYFUNCTION("""COMPUTED_VALUE"""),"Léger Sarah
Cloé Le Chevalier")</f>
        <v>Léger Sarah
Cloé Le Chevalier</v>
      </c>
      <c r="K810" t="str">
        <f ca="1">IFERROR(__xludf.DUMMYFUNCTION("""COMPUTED_VALUE"""),"superu.portenbessinhuppain@systeme-u.fr")</f>
        <v>superu.portenbessinhuppain@systeme-u.fr</v>
      </c>
      <c r="L810" t="str">
        <f ca="1">IFERROR(__xludf.DUMMYFUNCTION("""COMPUTED_VALUE"""),"")</f>
        <v/>
      </c>
      <c r="M810" t="str">
        <f ca="1">IFERROR(__xludf.DUMMYFUNCTION("""COMPUTED_VALUE"""),"99.Hors Périmetre")</f>
        <v>99.Hors Périmetre</v>
      </c>
      <c r="N810" t="str">
        <f ca="1">IFERROR(__xludf.DUMMYFUNCTION("""COMPUTED_VALUE"""),"")</f>
        <v/>
      </c>
      <c r="O810" t="str">
        <f ca="1">IFERROR(__xludf.DUMMYFUNCTION("""COMPUTED_VALUE"""),"")</f>
        <v/>
      </c>
      <c r="P810" t="str">
        <f ca="1">IFERROR(__xludf.DUMMYFUNCTION("""COMPUTED_VALUE"""),"")</f>
        <v/>
      </c>
      <c r="Q810" s="5" t="str">
        <f ca="1">IFERROR(__xludf.DUMMYFUNCTION("""COMPUTED_VALUE"""),"")</f>
        <v/>
      </c>
      <c r="R810" s="6" t="str">
        <f ca="1">IFERROR(__xludf.DUMMYFUNCTION("""COMPUTED_VALUE"""),"")</f>
        <v/>
      </c>
      <c r="S810" t="str">
        <f ca="1">IFERROR(__xludf.DUMMYFUNCTION("""COMPUTED_VALUE"""),"")</f>
        <v/>
      </c>
      <c r="T810" t="str">
        <f ca="1">IFERROR(__xludf.DUMMYFUNCTION("""COMPUTED_VALUE"""),"")</f>
        <v/>
      </c>
      <c r="U810" t="str">
        <f ca="1">IFERROR(__xludf.DUMMYFUNCTION("""COMPUTED_VALUE"""),"")</f>
        <v/>
      </c>
      <c r="V810" t="str">
        <f ca="1">IFERROR(__xludf.DUMMYFUNCTION("""COMPUTED_VALUE"""),"")</f>
        <v/>
      </c>
      <c r="W810" t="str">
        <f ca="1">IFERROR(__xludf.DUMMYFUNCTION("""COMPUTED_VALUE"""),"")</f>
        <v/>
      </c>
      <c r="X810" t="str">
        <f ca="1">IFERROR(__xludf.DUMMYFUNCTION("""COMPUTED_VALUE"""),"")</f>
        <v/>
      </c>
      <c r="Y810" t="str">
        <f ca="1">IFERROR(__xludf.DUMMYFUNCTION("""COMPUTED_VALUE"""),"")</f>
        <v/>
      </c>
      <c r="Z810" t="str">
        <f ca="1">IFERROR(__xludf.DUMMYFUNCTION("""COMPUTED_VALUE"""),"")</f>
        <v/>
      </c>
      <c r="AA810" t="str">
        <f ca="1">IFERROR(__xludf.DUMMYFUNCTION("""COMPUTED_VALUE"""),"Pas de commande")</f>
        <v>Pas de commande</v>
      </c>
      <c r="AB810" s="8" t="str">
        <f ca="1">IFERROR(__xludf.DUMMYFUNCTION("""COMPUTED_VALUE"""),"")</f>
        <v/>
      </c>
      <c r="AC810" s="8" t="str">
        <f ca="1">IFERROR(__xludf.DUMMYFUNCTION("""COMPUTED_VALUE"""),"")</f>
        <v/>
      </c>
      <c r="AD810" s="11" t="str">
        <f ca="1">IFERROR(__xludf.DUMMYFUNCTION("""COMPUTED_VALUE"""),"")</f>
        <v/>
      </c>
      <c r="AE810" t="str">
        <f ca="1">IFERROR(__xludf.DUMMYFUNCTION("""COMPUTED_VALUE"""),"")</f>
        <v/>
      </c>
    </row>
    <row r="811" spans="1:31" ht="12.75" x14ac:dyDescent="0.2">
      <c r="A811">
        <f ca="1">IFERROR(__xludf.DUMMYFUNCTION("""COMPUTED_VALUE"""),90229)</f>
        <v>90229</v>
      </c>
      <c r="B811" t="str">
        <f ca="1">IFERROR(__xludf.DUMMYFUNCTION("""COMPUTED_VALUE"""),"PORT LA NOUVELLE")</f>
        <v>PORT LA NOUVELLE</v>
      </c>
      <c r="C811" t="str">
        <f ca="1">IFERROR(__xludf.DUMMYFUNCTION("""COMPUTED_VALUE"""),"Super U")</f>
        <v>Super U</v>
      </c>
      <c r="D811" t="str">
        <f ca="1">IFERROR(__xludf.DUMMYFUNCTION("""COMPUTED_VALUE"""),"Coop U Enseigne Sud")</f>
        <v>Coop U Enseigne Sud</v>
      </c>
      <c r="E811">
        <f ca="1">IFERROR(__xludf.DUMMYFUNCTION("""COMPUTED_VALUE"""),11210)</f>
        <v>11210</v>
      </c>
      <c r="F811" t="str">
        <f ca="1">IFERROR(__xludf.DUMMYFUNCTION("""COMPUTED_VALUE"""),"BOULEVARD GENERAL DE GAULLE")</f>
        <v>BOULEVARD GENERAL DE GAULLE</v>
      </c>
      <c r="G811" t="str">
        <f ca="1">IFERROR(__xludf.DUMMYFUNCTION("""COMPUTED_VALUE"""),"04.68.48.57.10")</f>
        <v>04.68.48.57.10</v>
      </c>
      <c r="H811" t="str">
        <f ca="1">IFERROR(__xludf.DUMMYFUNCTION("""COMPUTED_VALUE"""),"GAGNEUX Sophie")</f>
        <v>GAGNEUX Sophie</v>
      </c>
      <c r="I811" t="str">
        <f ca="1">IFERROR(__xludf.DUMMYFUNCTION("""COMPUTED_VALUE"""),"sophie.gagneux@systeme-u.fr")</f>
        <v>sophie.gagneux@systeme-u.fr</v>
      </c>
      <c r="J811" t="str">
        <f ca="1">IFERROR(__xludf.DUMMYFUNCTION("""COMPUTED_VALUE"""),"Gagneux Pascal")</f>
        <v>Gagneux Pascal</v>
      </c>
      <c r="K811" t="str">
        <f ca="1">IFERROR(__xludf.DUMMYFUNCTION("""COMPUTED_VALUE"""),"Pascal.gagneux@systeme-u.fr")</f>
        <v>Pascal.gagneux@systeme-u.fr</v>
      </c>
      <c r="L811" t="str">
        <f ca="1">IFERROR(__xludf.DUMMYFUNCTION("""COMPUTED_VALUE"""),"")</f>
        <v/>
      </c>
      <c r="M811" t="str">
        <f ca="1">IFERROR(__xludf.DUMMYFUNCTION("""COMPUTED_VALUE"""),"99.Hors Périmetre")</f>
        <v>99.Hors Périmetre</v>
      </c>
      <c r="N811" t="str">
        <f ca="1">IFERROR(__xludf.DUMMYFUNCTION("""COMPUTED_VALUE"""),"")</f>
        <v/>
      </c>
      <c r="O811" t="str">
        <f ca="1">IFERROR(__xludf.DUMMYFUNCTION("""COMPUTED_VALUE"""),"")</f>
        <v/>
      </c>
      <c r="P811" t="str">
        <f ca="1">IFERROR(__xludf.DUMMYFUNCTION("""COMPUTED_VALUE"""),"")</f>
        <v/>
      </c>
      <c r="Q811" s="5" t="str">
        <f ca="1">IFERROR(__xludf.DUMMYFUNCTION("""COMPUTED_VALUE"""),"")</f>
        <v/>
      </c>
      <c r="R811" s="6" t="str">
        <f ca="1">IFERROR(__xludf.DUMMYFUNCTION("""COMPUTED_VALUE"""),"")</f>
        <v/>
      </c>
      <c r="S811" t="str">
        <f ca="1">IFERROR(__xludf.DUMMYFUNCTION("""COMPUTED_VALUE"""),"")</f>
        <v/>
      </c>
      <c r="T811" t="str">
        <f ca="1">IFERROR(__xludf.DUMMYFUNCTION("""COMPUTED_VALUE"""),"")</f>
        <v/>
      </c>
      <c r="U811" t="str">
        <f ca="1">IFERROR(__xludf.DUMMYFUNCTION("""COMPUTED_VALUE"""),"")</f>
        <v/>
      </c>
      <c r="V811" t="str">
        <f ca="1">IFERROR(__xludf.DUMMYFUNCTION("""COMPUTED_VALUE"""),"")</f>
        <v/>
      </c>
      <c r="W811" t="str">
        <f ca="1">IFERROR(__xludf.DUMMYFUNCTION("""COMPUTED_VALUE"""),"")</f>
        <v/>
      </c>
      <c r="X811" t="str">
        <f ca="1">IFERROR(__xludf.DUMMYFUNCTION("""COMPUTED_VALUE"""),"")</f>
        <v/>
      </c>
      <c r="Y811" t="str">
        <f ca="1">IFERROR(__xludf.DUMMYFUNCTION("""COMPUTED_VALUE"""),"")</f>
        <v/>
      </c>
      <c r="Z811" t="str">
        <f ca="1">IFERROR(__xludf.DUMMYFUNCTION("""COMPUTED_VALUE"""),"")</f>
        <v/>
      </c>
      <c r="AA811" t="str">
        <f ca="1">IFERROR(__xludf.DUMMYFUNCTION("""COMPUTED_VALUE"""),"Pas de commande")</f>
        <v>Pas de commande</v>
      </c>
      <c r="AB811" s="8" t="str">
        <f ca="1">IFERROR(__xludf.DUMMYFUNCTION("""COMPUTED_VALUE"""),"")</f>
        <v/>
      </c>
      <c r="AC811" s="8" t="str">
        <f ca="1">IFERROR(__xludf.DUMMYFUNCTION("""COMPUTED_VALUE"""),"")</f>
        <v/>
      </c>
      <c r="AD811" s="11" t="str">
        <f ca="1">IFERROR(__xludf.DUMMYFUNCTION("""COMPUTED_VALUE"""),"")</f>
        <v/>
      </c>
      <c r="AE811" t="str">
        <f ca="1">IFERROR(__xludf.DUMMYFUNCTION("""COMPUTED_VALUE"""),"")</f>
        <v/>
      </c>
    </row>
    <row r="812" spans="1:31" ht="12.75" x14ac:dyDescent="0.2">
      <c r="A812">
        <f ca="1">IFERROR(__xludf.DUMMYFUNCTION("""COMPUTED_VALUE"""),33816)</f>
        <v>33816</v>
      </c>
      <c r="B812" t="str">
        <f ca="1">IFERROR(__xludf.DUMMYFUNCTION("""COMPUTED_VALUE"""),"POUANCE")</f>
        <v>POUANCE</v>
      </c>
      <c r="C812" t="str">
        <f ca="1">IFERROR(__xludf.DUMMYFUNCTION("""COMPUTED_VALUE"""),"Super U")</f>
        <v>Super U</v>
      </c>
      <c r="D812" t="str">
        <f ca="1">IFERROR(__xludf.DUMMYFUNCTION("""COMPUTED_VALUE"""),"Coop U Enseigne Ouest")</f>
        <v>Coop U Enseigne Ouest</v>
      </c>
      <c r="E812">
        <f ca="1">IFERROR(__xludf.DUMMYFUNCTION("""COMPUTED_VALUE"""),49420)</f>
        <v>49420</v>
      </c>
      <c r="F812" t="str">
        <f ca="1">IFERROR(__xludf.DUMMYFUNCTION("""COMPUTED_VALUE"""),"5, RUE DE LA GRANDE PRÉE")</f>
        <v>5, RUE DE LA GRANDE PRÉE</v>
      </c>
      <c r="G812" t="str">
        <f ca="1">IFERROR(__xludf.DUMMYFUNCTION("""COMPUTED_VALUE"""),"02.41.92.45.19")</f>
        <v>02.41.92.45.19</v>
      </c>
      <c r="H812" t="str">
        <f ca="1">IFERROR(__xludf.DUMMYFUNCTION("""COMPUTED_VALUE"""),"GROSBOIS Arnaud")</f>
        <v>GROSBOIS Arnaud</v>
      </c>
      <c r="I812" t="str">
        <f ca="1">IFERROR(__xludf.DUMMYFUNCTION("""COMPUTED_VALUE"""),"arnaud.grosbois@systeme-u.fr")</f>
        <v>arnaud.grosbois@systeme-u.fr</v>
      </c>
      <c r="J812" t="str">
        <f ca="1">IFERROR(__xludf.DUMMYFUNCTION("""COMPUTED_VALUE"""),"")</f>
        <v/>
      </c>
      <c r="K812" t="str">
        <f ca="1">IFERROR(__xludf.DUMMYFUNCTION("""COMPUTED_VALUE"""),"")</f>
        <v/>
      </c>
      <c r="L812" t="str">
        <f ca="1">IFERROR(__xludf.DUMMYFUNCTION("""COMPUTED_VALUE"""),"")</f>
        <v/>
      </c>
      <c r="M812" t="str">
        <f ca="1">IFERROR(__xludf.DUMMYFUNCTION("""COMPUTED_VALUE"""),"99.Hors Périmetre")</f>
        <v>99.Hors Périmetre</v>
      </c>
      <c r="N812" t="str">
        <f ca="1">IFERROR(__xludf.DUMMYFUNCTION("""COMPUTED_VALUE"""),"")</f>
        <v/>
      </c>
      <c r="O812" t="str">
        <f ca="1">IFERROR(__xludf.DUMMYFUNCTION("""COMPUTED_VALUE"""),"")</f>
        <v/>
      </c>
      <c r="P812" t="str">
        <f ca="1">IFERROR(__xludf.DUMMYFUNCTION("""COMPUTED_VALUE"""),"")</f>
        <v/>
      </c>
      <c r="Q812" s="5" t="str">
        <f ca="1">IFERROR(__xludf.DUMMYFUNCTION("""COMPUTED_VALUE"""),"")</f>
        <v/>
      </c>
      <c r="R812" s="6" t="str">
        <f ca="1">IFERROR(__xludf.DUMMYFUNCTION("""COMPUTED_VALUE"""),"")</f>
        <v/>
      </c>
      <c r="S812" t="str">
        <f ca="1">IFERROR(__xludf.DUMMYFUNCTION("""COMPUTED_VALUE"""),"")</f>
        <v/>
      </c>
      <c r="T812" t="str">
        <f ca="1">IFERROR(__xludf.DUMMYFUNCTION("""COMPUTED_VALUE"""),"")</f>
        <v/>
      </c>
      <c r="U812" t="str">
        <f ca="1">IFERROR(__xludf.DUMMYFUNCTION("""COMPUTED_VALUE"""),"")</f>
        <v/>
      </c>
      <c r="V812" t="str">
        <f ca="1">IFERROR(__xludf.DUMMYFUNCTION("""COMPUTED_VALUE"""),"")</f>
        <v/>
      </c>
      <c r="W812" t="str">
        <f ca="1">IFERROR(__xludf.DUMMYFUNCTION("""COMPUTED_VALUE"""),"")</f>
        <v/>
      </c>
      <c r="X812" t="str">
        <f ca="1">IFERROR(__xludf.DUMMYFUNCTION("""COMPUTED_VALUE"""),"")</f>
        <v/>
      </c>
      <c r="Y812" t="str">
        <f ca="1">IFERROR(__xludf.DUMMYFUNCTION("""COMPUTED_VALUE"""),"")</f>
        <v/>
      </c>
      <c r="Z812" t="str">
        <f ca="1">IFERROR(__xludf.DUMMYFUNCTION("""COMPUTED_VALUE"""),"")</f>
        <v/>
      </c>
      <c r="AA812" t="str">
        <f ca="1">IFERROR(__xludf.DUMMYFUNCTION("""COMPUTED_VALUE"""),"Pas de commande")</f>
        <v>Pas de commande</v>
      </c>
      <c r="AB812" s="8" t="str">
        <f ca="1">IFERROR(__xludf.DUMMYFUNCTION("""COMPUTED_VALUE"""),"")</f>
        <v/>
      </c>
      <c r="AC812" s="8" t="str">
        <f ca="1">IFERROR(__xludf.DUMMYFUNCTION("""COMPUTED_VALUE"""),"")</f>
        <v/>
      </c>
      <c r="AD812" s="11" t="str">
        <f ca="1">IFERROR(__xludf.DUMMYFUNCTION("""COMPUTED_VALUE"""),"")</f>
        <v/>
      </c>
      <c r="AE812" t="str">
        <f ca="1">IFERROR(__xludf.DUMMYFUNCTION("""COMPUTED_VALUE"""),"")</f>
        <v/>
      </c>
    </row>
    <row r="813" spans="1:31" ht="12.75" x14ac:dyDescent="0.2">
      <c r="A813">
        <f ca="1">IFERROR(__xludf.DUMMYFUNCTION("""COMPUTED_VALUE"""),62088)</f>
        <v>62088</v>
      </c>
      <c r="B813" t="str">
        <f ca="1">IFERROR(__xludf.DUMMYFUNCTION("""COMPUTED_VALUE"""),"POUILLEY LES VIGNES")</f>
        <v>POUILLEY LES VIGNES</v>
      </c>
      <c r="C813" t="str">
        <f ca="1">IFERROR(__xludf.DUMMYFUNCTION("""COMPUTED_VALUE"""),"Super U")</f>
        <v>Super U</v>
      </c>
      <c r="D813" t="str">
        <f ca="1">IFERROR(__xludf.DUMMYFUNCTION("""COMPUTED_VALUE"""),"Coop U Enseigne Est")</f>
        <v>Coop U Enseigne Est</v>
      </c>
      <c r="E813">
        <f ca="1">IFERROR(__xludf.DUMMYFUNCTION("""COMPUTED_VALUE"""),25115)</f>
        <v>25115</v>
      </c>
      <c r="F813" t="str">
        <f ca="1">IFERROR(__xludf.DUMMYFUNCTION("""COMPUTED_VALUE"""),"Zone artisanale")</f>
        <v>Zone artisanale</v>
      </c>
      <c r="G813" t="str">
        <f ca="1">IFERROR(__xludf.DUMMYFUNCTION("""COMPUTED_VALUE"""),"03.81.60.23.23")</f>
        <v>03.81.60.23.23</v>
      </c>
      <c r="H813" t="str">
        <f ca="1">IFERROR(__xludf.DUMMYFUNCTION("""COMPUTED_VALUE"""),"DUPREZ RPT SAS D.B.H Olivier")</f>
        <v>DUPREZ RPT SAS D.B.H Olivier</v>
      </c>
      <c r="I813" t="str">
        <f ca="1">IFERROR(__xludf.DUMMYFUNCTION("""COMPUTED_VALUE"""),"olivier.duprez@systeme-u.fr")</f>
        <v>olivier.duprez@systeme-u.fr</v>
      </c>
      <c r="J813" t="str">
        <f ca="1">IFERROR(__xludf.DUMMYFUNCTION("""COMPUTED_VALUE"""),"M. BAULIER")</f>
        <v>M. BAULIER</v>
      </c>
      <c r="K813" t="str">
        <f ca="1">IFERROR(__xludf.DUMMYFUNCTION("""COMPUTED_VALUE"""),"gerald.baulier@systeme-u.fr")</f>
        <v>gerald.baulier@systeme-u.fr</v>
      </c>
      <c r="L813" t="str">
        <f ca="1">IFERROR(__xludf.DUMMYFUNCTION("""COMPUTED_VALUE"""),"")</f>
        <v/>
      </c>
      <c r="M813" t="str">
        <f ca="1">IFERROR(__xludf.DUMMYFUNCTION("""COMPUTED_VALUE"""),"99.Hors Périmetre")</f>
        <v>99.Hors Périmetre</v>
      </c>
      <c r="N813" t="str">
        <f ca="1">IFERROR(__xludf.DUMMYFUNCTION("""COMPUTED_VALUE"""),"")</f>
        <v/>
      </c>
      <c r="O813" t="str">
        <f ca="1">IFERROR(__xludf.DUMMYFUNCTION("""COMPUTED_VALUE"""),"")</f>
        <v/>
      </c>
      <c r="P813" t="str">
        <f ca="1">IFERROR(__xludf.DUMMYFUNCTION("""COMPUTED_VALUE"""),"")</f>
        <v/>
      </c>
      <c r="Q813" s="5" t="str">
        <f ca="1">IFERROR(__xludf.DUMMYFUNCTION("""COMPUTED_VALUE"""),"")</f>
        <v/>
      </c>
      <c r="R813" s="6" t="str">
        <f ca="1">IFERROR(__xludf.DUMMYFUNCTION("""COMPUTED_VALUE"""),"")</f>
        <v/>
      </c>
      <c r="S813" t="str">
        <f ca="1">IFERROR(__xludf.DUMMYFUNCTION("""COMPUTED_VALUE"""),"")</f>
        <v/>
      </c>
      <c r="T813" t="str">
        <f ca="1">IFERROR(__xludf.DUMMYFUNCTION("""COMPUTED_VALUE"""),"")</f>
        <v/>
      </c>
      <c r="U813" t="str">
        <f ca="1">IFERROR(__xludf.DUMMYFUNCTION("""COMPUTED_VALUE"""),"")</f>
        <v/>
      </c>
      <c r="V813" t="str">
        <f ca="1">IFERROR(__xludf.DUMMYFUNCTION("""COMPUTED_VALUE"""),"")</f>
        <v/>
      </c>
      <c r="W813" t="str">
        <f ca="1">IFERROR(__xludf.DUMMYFUNCTION("""COMPUTED_VALUE"""),"")</f>
        <v/>
      </c>
      <c r="X813" t="str">
        <f ca="1">IFERROR(__xludf.DUMMYFUNCTION("""COMPUTED_VALUE"""),"")</f>
        <v/>
      </c>
      <c r="Y813" t="str">
        <f ca="1">IFERROR(__xludf.DUMMYFUNCTION("""COMPUTED_VALUE"""),"")</f>
        <v/>
      </c>
      <c r="Z813" t="str">
        <f ca="1">IFERROR(__xludf.DUMMYFUNCTION("""COMPUTED_VALUE"""),"")</f>
        <v/>
      </c>
      <c r="AA813" t="str">
        <f ca="1">IFERROR(__xludf.DUMMYFUNCTION("""COMPUTED_VALUE"""),"Pas de commande")</f>
        <v>Pas de commande</v>
      </c>
      <c r="AB813" s="8" t="str">
        <f ca="1">IFERROR(__xludf.DUMMYFUNCTION("""COMPUTED_VALUE"""),"")</f>
        <v/>
      </c>
      <c r="AC813" s="8" t="str">
        <f ca="1">IFERROR(__xludf.DUMMYFUNCTION("""COMPUTED_VALUE"""),"")</f>
        <v/>
      </c>
      <c r="AD813" s="11" t="str">
        <f ca="1">IFERROR(__xludf.DUMMYFUNCTION("""COMPUTED_VALUE"""),"")</f>
        <v/>
      </c>
      <c r="AE813" t="str">
        <f ca="1">IFERROR(__xludf.DUMMYFUNCTION("""COMPUTED_VALUE"""),"")</f>
        <v/>
      </c>
    </row>
    <row r="814" spans="1:31" ht="12.75" x14ac:dyDescent="0.2">
      <c r="A814">
        <f ca="1">IFERROR(__xludf.DUMMYFUNCTION("""COMPUTED_VALUE"""),62127)</f>
        <v>62127</v>
      </c>
      <c r="B814" t="str">
        <f ca="1">IFERROR(__xludf.DUMMYFUNCTION("""COMPUTED_VALUE"""),"POUILLY EN AUXOIS")</f>
        <v>POUILLY EN AUXOIS</v>
      </c>
      <c r="C814" t="str">
        <f ca="1">IFERROR(__xludf.DUMMYFUNCTION("""COMPUTED_VALUE"""),"Super U")</f>
        <v>Super U</v>
      </c>
      <c r="D814" t="str">
        <f ca="1">IFERROR(__xludf.DUMMYFUNCTION("""COMPUTED_VALUE"""),"Coop U Enseigne Est")</f>
        <v>Coop U Enseigne Est</v>
      </c>
      <c r="E814">
        <f ca="1">IFERROR(__xludf.DUMMYFUNCTION("""COMPUTED_VALUE"""),21320)</f>
        <v>21320</v>
      </c>
      <c r="F814" t="str">
        <f ca="1">IFERROR(__xludf.DUMMYFUNCTION("""COMPUTED_VALUE"""),"8 RUE SERGENT MAZEAU")</f>
        <v>8 RUE SERGENT MAZEAU</v>
      </c>
      <c r="G814" t="str">
        <f ca="1">IFERROR(__xludf.DUMMYFUNCTION("""COMPUTED_VALUE"""),"03.80.90.81.88")</f>
        <v>03.80.90.81.88</v>
      </c>
      <c r="H814" t="str">
        <f ca="1">IFERROR(__xludf.DUMMYFUNCTION("""COMPUTED_VALUE"""),"MERCEY Emmanuelle")</f>
        <v>MERCEY Emmanuelle</v>
      </c>
      <c r="I814" t="str">
        <f ca="1">IFERROR(__xludf.DUMMYFUNCTION("""COMPUTED_VALUE"""),"emmanuelle.mercey@systeme-u.fr")</f>
        <v>emmanuelle.mercey@systeme-u.fr</v>
      </c>
      <c r="J814" t="str">
        <f ca="1">IFERROR(__xludf.DUMMYFUNCTION("""COMPUTED_VALUE"""),"")</f>
        <v/>
      </c>
      <c r="K814" t="str">
        <f ca="1">IFERROR(__xludf.DUMMYFUNCTION("""COMPUTED_VALUE"""),"")</f>
        <v/>
      </c>
      <c r="L814" t="str">
        <f ca="1">IFERROR(__xludf.DUMMYFUNCTION("""COMPUTED_VALUE"""),"Standard")</f>
        <v>Standard</v>
      </c>
      <c r="M814" t="str">
        <f ca="1">IFERROR(__xludf.DUMMYFUNCTION("""COMPUTED_VALUE"""),"0. Non démarré")</f>
        <v>0. Non démarré</v>
      </c>
      <c r="N814" t="str">
        <f ca="1">IFERROR(__xludf.DUMMYFUNCTION("""COMPUTED_VALUE"""),"")</f>
        <v/>
      </c>
      <c r="O814" t="str">
        <f ca="1">IFERROR(__xludf.DUMMYFUNCTION("""COMPUTED_VALUE"""),"")</f>
        <v/>
      </c>
      <c r="P814" t="str">
        <f ca="1">IFERROR(__xludf.DUMMYFUNCTION("""COMPUTED_VALUE"""),"")</f>
        <v/>
      </c>
      <c r="Q814" s="5" t="str">
        <f ca="1">IFERROR(__xludf.DUMMYFUNCTION("""COMPUTED_VALUE"""),"")</f>
        <v/>
      </c>
      <c r="R814" s="6" t="str">
        <f ca="1">IFERROR(__xludf.DUMMYFUNCTION("""COMPUTED_VALUE"""),"")</f>
        <v/>
      </c>
      <c r="S814" t="str">
        <f ca="1">IFERROR(__xludf.DUMMYFUNCTION("""COMPUTED_VALUE"""),"")</f>
        <v/>
      </c>
      <c r="T814" t="str">
        <f ca="1">IFERROR(__xludf.DUMMYFUNCTION("""COMPUTED_VALUE"""),"")</f>
        <v/>
      </c>
      <c r="U814" t="str">
        <f ca="1">IFERROR(__xludf.DUMMYFUNCTION("""COMPUTED_VALUE"""),"")</f>
        <v/>
      </c>
      <c r="V814" t="str">
        <f ca="1">IFERROR(__xludf.DUMMYFUNCTION("""COMPUTED_VALUE"""),"")</f>
        <v/>
      </c>
      <c r="W814" t="str">
        <f ca="1">IFERROR(__xludf.DUMMYFUNCTION("""COMPUTED_VALUE"""),"R3")</f>
        <v>R3</v>
      </c>
      <c r="X814" t="str">
        <f ca="1">IFERROR(__xludf.DUMMYFUNCTION("""COMPUTED_VALUE"""),"Pricer &lt;8Go")</f>
        <v>Pricer &lt;8Go</v>
      </c>
      <c r="Y814" t="str">
        <f ca="1">IFERROR(__xludf.DUMMYFUNCTION("""COMPUTED_VALUE"""),"")</f>
        <v/>
      </c>
      <c r="Z814" t="str">
        <f ca="1">IFERROR(__xludf.DUMMYFUNCTION("""COMPUTED_VALUE"""),"")</f>
        <v/>
      </c>
      <c r="AA814" t="str">
        <f ca="1">IFERROR(__xludf.DUMMYFUNCTION("""COMPUTED_VALUE"""),"Pas de commande")</f>
        <v>Pas de commande</v>
      </c>
      <c r="AB814" s="8" t="str">
        <f ca="1">IFERROR(__xludf.DUMMYFUNCTION("""COMPUTED_VALUE"""),"")</f>
        <v/>
      </c>
      <c r="AC814" s="8" t="str">
        <f ca="1">IFERROR(__xludf.DUMMYFUNCTION("""COMPUTED_VALUE"""),"")</f>
        <v/>
      </c>
      <c r="AD814" s="11" t="str">
        <f ca="1">IFERROR(__xludf.DUMMYFUNCTION("""COMPUTED_VALUE"""),"")</f>
        <v/>
      </c>
      <c r="AE814" t="str">
        <f ca="1">IFERROR(__xludf.DUMMYFUNCTION("""COMPUTED_VALUE"""),"")</f>
        <v/>
      </c>
    </row>
    <row r="815" spans="1:31" ht="12.75" x14ac:dyDescent="0.2">
      <c r="A815">
        <f ca="1">IFERROR(__xludf.DUMMYFUNCTION("""COMPUTED_VALUE"""),90801)</f>
        <v>90801</v>
      </c>
      <c r="B815" t="str">
        <f ca="1">IFERROR(__xludf.DUMMYFUNCTION("""COMPUTED_VALUE"""),"POURRIERES BASTIDES")</f>
        <v>POURRIERES BASTIDES</v>
      </c>
      <c r="C815" t="str">
        <f ca="1">IFERROR(__xludf.DUMMYFUNCTION("""COMPUTED_VALUE"""),"U Express")</f>
        <v>U Express</v>
      </c>
      <c r="D815" t="str">
        <f ca="1">IFERROR(__xludf.DUMMYFUNCTION("""COMPUTED_VALUE"""),"Coop MISTRAL")</f>
        <v>Coop MISTRAL</v>
      </c>
      <c r="E815">
        <f ca="1">IFERROR(__xludf.DUMMYFUNCTION("""COMPUTED_VALUE"""),83910)</f>
        <v>83910</v>
      </c>
      <c r="F815" t="str">
        <f ca="1">IFERROR(__xludf.DUMMYFUNCTION("""COMPUTED_VALUE"""),"AVENUE DES BASTIDES")</f>
        <v>AVENUE DES BASTIDES</v>
      </c>
      <c r="G815" t="str">
        <f ca="1">IFERROR(__xludf.DUMMYFUNCTION("""COMPUTED_VALUE"""),"04.94.78.47.57")</f>
        <v>04.94.78.47.57</v>
      </c>
      <c r="H815" t="str">
        <f ca="1">IFERROR(__xludf.DUMMYFUNCTION("""COMPUTED_VALUE"""),"KHAOUANI JIBRIL")</f>
        <v>KHAOUANI JIBRIL</v>
      </c>
      <c r="I815" t="str">
        <f ca="1">IFERROR(__xludf.DUMMYFUNCTION("""COMPUTED_VALUE"""),"uexpress.pourrieres@mistral-u.fr")</f>
        <v>uexpress.pourrieres@mistral-u.fr</v>
      </c>
      <c r="J815" t="str">
        <f ca="1">IFERROR(__xludf.DUMMYFUNCTION("""COMPUTED_VALUE"""),"")</f>
        <v/>
      </c>
      <c r="K815" t="str">
        <f ca="1">IFERROR(__xludf.DUMMYFUNCTION("""COMPUTED_VALUE"""),"")</f>
        <v/>
      </c>
      <c r="L815" t="str">
        <f ca="1">IFERROR(__xludf.DUMMYFUNCTION("""COMPUTED_VALUE"""),"")</f>
        <v/>
      </c>
      <c r="M815" t="str">
        <f ca="1">IFERROR(__xludf.DUMMYFUNCTION("""COMPUTED_VALUE"""),"99.Hors Périmetre")</f>
        <v>99.Hors Périmetre</v>
      </c>
      <c r="N815" t="str">
        <f ca="1">IFERROR(__xludf.DUMMYFUNCTION("""COMPUTED_VALUE"""),"")</f>
        <v/>
      </c>
      <c r="O815" t="str">
        <f ca="1">IFERROR(__xludf.DUMMYFUNCTION("""COMPUTED_VALUE"""),"")</f>
        <v/>
      </c>
      <c r="P815" t="str">
        <f ca="1">IFERROR(__xludf.DUMMYFUNCTION("""COMPUTED_VALUE"""),"")</f>
        <v/>
      </c>
      <c r="Q815" s="5" t="str">
        <f ca="1">IFERROR(__xludf.DUMMYFUNCTION("""COMPUTED_VALUE"""),"")</f>
        <v/>
      </c>
      <c r="R815" s="6" t="str">
        <f ca="1">IFERROR(__xludf.DUMMYFUNCTION("""COMPUTED_VALUE"""),"")</f>
        <v/>
      </c>
      <c r="S815" t="str">
        <f ca="1">IFERROR(__xludf.DUMMYFUNCTION("""COMPUTED_VALUE"""),"")</f>
        <v/>
      </c>
      <c r="T815" t="str">
        <f ca="1">IFERROR(__xludf.DUMMYFUNCTION("""COMPUTED_VALUE"""),"")</f>
        <v/>
      </c>
      <c r="U815" t="str">
        <f ca="1">IFERROR(__xludf.DUMMYFUNCTION("""COMPUTED_VALUE"""),"")</f>
        <v/>
      </c>
      <c r="V815" t="str">
        <f ca="1">IFERROR(__xludf.DUMMYFUNCTION("""COMPUTED_VALUE"""),"")</f>
        <v/>
      </c>
      <c r="W815" t="str">
        <f ca="1">IFERROR(__xludf.DUMMYFUNCTION("""COMPUTED_VALUE"""),"")</f>
        <v/>
      </c>
      <c r="X815" t="str">
        <f ca="1">IFERROR(__xludf.DUMMYFUNCTION("""COMPUTED_VALUE"""),"")</f>
        <v/>
      </c>
      <c r="Y815" t="str">
        <f ca="1">IFERROR(__xludf.DUMMYFUNCTION("""COMPUTED_VALUE"""),"")</f>
        <v/>
      </c>
      <c r="Z815" t="str">
        <f ca="1">IFERROR(__xludf.DUMMYFUNCTION("""COMPUTED_VALUE"""),"")</f>
        <v/>
      </c>
      <c r="AA815" t="str">
        <f ca="1">IFERROR(__xludf.DUMMYFUNCTION("""COMPUTED_VALUE"""),"Pas de commande")</f>
        <v>Pas de commande</v>
      </c>
      <c r="AB815" s="8" t="str">
        <f ca="1">IFERROR(__xludf.DUMMYFUNCTION("""COMPUTED_VALUE"""),"")</f>
        <v/>
      </c>
      <c r="AC815" s="8" t="str">
        <f ca="1">IFERROR(__xludf.DUMMYFUNCTION("""COMPUTED_VALUE"""),"")</f>
        <v/>
      </c>
      <c r="AD815" s="11" t="str">
        <f ca="1">IFERROR(__xludf.DUMMYFUNCTION("""COMPUTED_VALUE"""),"")</f>
        <v/>
      </c>
      <c r="AE815" t="str">
        <f ca="1">IFERROR(__xludf.DUMMYFUNCTION("""COMPUTED_VALUE"""),"")</f>
        <v/>
      </c>
    </row>
    <row r="816" spans="1:31" ht="12.75" x14ac:dyDescent="0.2">
      <c r="A816">
        <f ca="1">IFERROR(__xludf.DUMMYFUNCTION("""COMPUTED_VALUE"""),65459)</f>
        <v>65459</v>
      </c>
      <c r="B816" t="str">
        <f ca="1">IFERROR(__xludf.DUMMYFUNCTION("""COMPUTED_VALUE"""),"POUXEUX")</f>
        <v>POUXEUX</v>
      </c>
      <c r="C816" t="str">
        <f ca="1">IFERROR(__xludf.DUMMYFUNCTION("""COMPUTED_VALUE"""),"Super U")</f>
        <v>Super U</v>
      </c>
      <c r="D816" t="str">
        <f ca="1">IFERROR(__xludf.DUMMYFUNCTION("""COMPUTED_VALUE"""),"Coop U Enseigne Est")</f>
        <v>Coop U Enseigne Est</v>
      </c>
      <c r="E816">
        <f ca="1">IFERROR(__xludf.DUMMYFUNCTION("""COMPUTED_VALUE"""),88550)</f>
        <v>88550</v>
      </c>
      <c r="F816" t="str">
        <f ca="1">IFERROR(__xludf.DUMMYFUNCTION("""COMPUTED_VALUE"""),"ROUTE DE REMIREMONT ZA LES SAVRONS")</f>
        <v>ROUTE DE REMIREMONT ZA LES SAVRONS</v>
      </c>
      <c r="G816" t="str">
        <f ca="1">IFERROR(__xludf.DUMMYFUNCTION("""COMPUTED_VALUE"""),"03.29.36.91.92")</f>
        <v>03.29.36.91.92</v>
      </c>
      <c r="H816" t="str">
        <f ca="1">IFERROR(__xludf.DUMMYFUNCTION("""COMPUTED_VALUE"""),"CLAUDEL Sylvain")</f>
        <v>CLAUDEL Sylvain</v>
      </c>
      <c r="I816" t="str">
        <f ca="1">IFERROR(__xludf.DUMMYFUNCTION("""COMPUTED_VALUE"""),"sylvain.claudel@systeme-u.fr")</f>
        <v>sylvain.claudel@systeme-u.fr</v>
      </c>
      <c r="J816" t="str">
        <f ca="1">IFERROR(__xludf.DUMMYFUNCTION("""COMPUTED_VALUE"""),"Mr Taillandier (directeur)")</f>
        <v>Mr Taillandier (directeur)</v>
      </c>
      <c r="K816" t="str">
        <f ca="1">IFERROR(__xludf.DUMMYFUNCTION("""COMPUTED_VALUE"""),"superu.pouxeux@systeme-u.fr")</f>
        <v>superu.pouxeux@systeme-u.fr</v>
      </c>
      <c r="L816" t="str">
        <f ca="1">IFERROR(__xludf.DUMMYFUNCTION("""COMPUTED_VALUE"""),"")</f>
        <v/>
      </c>
      <c r="M816" t="str">
        <f ca="1">IFERROR(__xludf.DUMMYFUNCTION("""COMPUTED_VALUE"""),"99.Hors Périmetre")</f>
        <v>99.Hors Périmetre</v>
      </c>
      <c r="N816" t="str">
        <f ca="1">IFERROR(__xludf.DUMMYFUNCTION("""COMPUTED_VALUE"""),"")</f>
        <v/>
      </c>
      <c r="O816" t="str">
        <f ca="1">IFERROR(__xludf.DUMMYFUNCTION("""COMPUTED_VALUE"""),"")</f>
        <v/>
      </c>
      <c r="P816" t="str">
        <f ca="1">IFERROR(__xludf.DUMMYFUNCTION("""COMPUTED_VALUE"""),"")</f>
        <v/>
      </c>
      <c r="Q816" s="5" t="str">
        <f ca="1">IFERROR(__xludf.DUMMYFUNCTION("""COMPUTED_VALUE"""),"")</f>
        <v/>
      </c>
      <c r="R816" s="6" t="str">
        <f ca="1">IFERROR(__xludf.DUMMYFUNCTION("""COMPUTED_VALUE"""),"")</f>
        <v/>
      </c>
      <c r="S816" t="str">
        <f ca="1">IFERROR(__xludf.DUMMYFUNCTION("""COMPUTED_VALUE"""),"")</f>
        <v/>
      </c>
      <c r="T816" t="str">
        <f ca="1">IFERROR(__xludf.DUMMYFUNCTION("""COMPUTED_VALUE"""),"")</f>
        <v/>
      </c>
      <c r="U816" t="str">
        <f ca="1">IFERROR(__xludf.DUMMYFUNCTION("""COMPUTED_VALUE"""),"")</f>
        <v/>
      </c>
      <c r="V816" t="str">
        <f ca="1">IFERROR(__xludf.DUMMYFUNCTION("""COMPUTED_VALUE"""),"")</f>
        <v/>
      </c>
      <c r="W816" t="str">
        <f ca="1">IFERROR(__xludf.DUMMYFUNCTION("""COMPUTED_VALUE"""),"")</f>
        <v/>
      </c>
      <c r="X816" t="str">
        <f ca="1">IFERROR(__xludf.DUMMYFUNCTION("""COMPUTED_VALUE"""),"")</f>
        <v/>
      </c>
      <c r="Y816" t="str">
        <f ca="1">IFERROR(__xludf.DUMMYFUNCTION("""COMPUTED_VALUE"""),"")</f>
        <v/>
      </c>
      <c r="Z816" t="str">
        <f ca="1">IFERROR(__xludf.DUMMYFUNCTION("""COMPUTED_VALUE"""),"")</f>
        <v/>
      </c>
      <c r="AA816" t="str">
        <f ca="1">IFERROR(__xludf.DUMMYFUNCTION("""COMPUTED_VALUE"""),"Pas de commande")</f>
        <v>Pas de commande</v>
      </c>
      <c r="AB816" s="8" t="str">
        <f ca="1">IFERROR(__xludf.DUMMYFUNCTION("""COMPUTED_VALUE"""),"")</f>
        <v/>
      </c>
      <c r="AC816" s="8" t="str">
        <f ca="1">IFERROR(__xludf.DUMMYFUNCTION("""COMPUTED_VALUE"""),"")</f>
        <v/>
      </c>
      <c r="AD816" s="11" t="str">
        <f ca="1">IFERROR(__xludf.DUMMYFUNCTION("""COMPUTED_VALUE"""),"")</f>
        <v/>
      </c>
      <c r="AE816" t="str">
        <f ca="1">IFERROR(__xludf.DUMMYFUNCTION("""COMPUTED_VALUE"""),"")</f>
        <v/>
      </c>
    </row>
    <row r="817" spans="1:31" ht="12.75" x14ac:dyDescent="0.2">
      <c r="A817">
        <f ca="1">IFERROR(__xludf.DUMMYFUNCTION("""COMPUTED_VALUE"""),32976)</f>
        <v>32976</v>
      </c>
      <c r="B817" t="str">
        <f ca="1">IFERROR(__xludf.DUMMYFUNCTION("""COMPUTED_VALUE"""),"POUZAUGES")</f>
        <v>POUZAUGES</v>
      </c>
      <c r="C817" t="str">
        <f ca="1">IFERROR(__xludf.DUMMYFUNCTION("""COMPUTED_VALUE"""),"Super U")</f>
        <v>Super U</v>
      </c>
      <c r="D817" t="str">
        <f ca="1">IFERROR(__xludf.DUMMYFUNCTION("""COMPUTED_VALUE"""),"Coop U Enseigne Ouest")</f>
        <v>Coop U Enseigne Ouest</v>
      </c>
      <c r="E817">
        <f ca="1">IFERROR(__xludf.DUMMYFUNCTION("""COMPUTED_VALUE"""),85700)</f>
        <v>85700</v>
      </c>
      <c r="F817" t="str">
        <f ca="1">IFERROR(__xludf.DUMMYFUNCTION("""COMPUTED_VALUE"""),"RUE CHARLES LARGETEAU")</f>
        <v>RUE CHARLES LARGETEAU</v>
      </c>
      <c r="G817" t="str">
        <f ca="1">IFERROR(__xludf.DUMMYFUNCTION("""COMPUTED_VALUE"""),"02.51.57.53.53")</f>
        <v>02.51.57.53.53</v>
      </c>
      <c r="H817" t="str">
        <f ca="1">IFERROR(__xludf.DUMMYFUNCTION("""COMPUTED_VALUE"""),"BAZANTAY RPT SARL MCN DISTRI Philippe")</f>
        <v>BAZANTAY RPT SARL MCN DISTRI Philippe</v>
      </c>
      <c r="I817" t="str">
        <f ca="1">IFERROR(__xludf.DUMMYFUNCTION("""COMPUTED_VALUE"""),"philippe.bazantay@systeme-u.fr")</f>
        <v>philippe.bazantay@systeme-u.fr</v>
      </c>
      <c r="J817" t="str">
        <f ca="1">IFERROR(__xludf.DUMMYFUNCTION("""COMPUTED_VALUE"""),"M. CHAIGNEAU
Mme BRILLOUET")</f>
        <v>M. CHAIGNEAU
Mme BRILLOUET</v>
      </c>
      <c r="K817" t="str">
        <f ca="1">IFERROR(__xludf.DUMMYFUNCTION("""COMPUTED_VALUE"""),"superu.pouzauges.compta@systeme-u.fr,superu.pouzauges@systeme-u.fr")</f>
        <v>superu.pouzauges.compta@systeme-u.fr,superu.pouzauges@systeme-u.fr</v>
      </c>
      <c r="L817" t="str">
        <f ca="1">IFERROR(__xludf.DUMMYFUNCTION("""COMPUTED_VALUE"""),"")</f>
        <v/>
      </c>
      <c r="M817" t="str">
        <f ca="1">IFERROR(__xludf.DUMMYFUNCTION("""COMPUTED_VALUE"""),"99.Hors Périmetre")</f>
        <v>99.Hors Périmetre</v>
      </c>
      <c r="N817" t="str">
        <f ca="1">IFERROR(__xludf.DUMMYFUNCTION("""COMPUTED_VALUE"""),"")</f>
        <v/>
      </c>
      <c r="O817" t="str">
        <f ca="1">IFERROR(__xludf.DUMMYFUNCTION("""COMPUTED_VALUE"""),"")</f>
        <v/>
      </c>
      <c r="P817" t="str">
        <f ca="1">IFERROR(__xludf.DUMMYFUNCTION("""COMPUTED_VALUE"""),"")</f>
        <v/>
      </c>
      <c r="Q817" s="5" t="str">
        <f ca="1">IFERROR(__xludf.DUMMYFUNCTION("""COMPUTED_VALUE"""),"")</f>
        <v/>
      </c>
      <c r="R817" s="6" t="str">
        <f ca="1">IFERROR(__xludf.DUMMYFUNCTION("""COMPUTED_VALUE"""),"")</f>
        <v/>
      </c>
      <c r="S817" t="str">
        <f ca="1">IFERROR(__xludf.DUMMYFUNCTION("""COMPUTED_VALUE"""),"")</f>
        <v/>
      </c>
      <c r="T817" t="str">
        <f ca="1">IFERROR(__xludf.DUMMYFUNCTION("""COMPUTED_VALUE"""),"")</f>
        <v/>
      </c>
      <c r="U817" t="str">
        <f ca="1">IFERROR(__xludf.DUMMYFUNCTION("""COMPUTED_VALUE"""),"")</f>
        <v/>
      </c>
      <c r="V817" t="str">
        <f ca="1">IFERROR(__xludf.DUMMYFUNCTION("""COMPUTED_VALUE"""),"")</f>
        <v/>
      </c>
      <c r="W817" t="str">
        <f ca="1">IFERROR(__xludf.DUMMYFUNCTION("""COMPUTED_VALUE"""),"")</f>
        <v/>
      </c>
      <c r="X817" t="str">
        <f ca="1">IFERROR(__xludf.DUMMYFUNCTION("""COMPUTED_VALUE"""),"")</f>
        <v/>
      </c>
      <c r="Y817" t="str">
        <f ca="1">IFERROR(__xludf.DUMMYFUNCTION("""COMPUTED_VALUE"""),"")</f>
        <v/>
      </c>
      <c r="Z817" t="str">
        <f ca="1">IFERROR(__xludf.DUMMYFUNCTION("""COMPUTED_VALUE"""),"")</f>
        <v/>
      </c>
      <c r="AA817" t="str">
        <f ca="1">IFERROR(__xludf.DUMMYFUNCTION("""COMPUTED_VALUE"""),"Pas de commande")</f>
        <v>Pas de commande</v>
      </c>
      <c r="AB817" s="8" t="str">
        <f ca="1">IFERROR(__xludf.DUMMYFUNCTION("""COMPUTED_VALUE"""),"")</f>
        <v/>
      </c>
      <c r="AC817" s="8" t="str">
        <f ca="1">IFERROR(__xludf.DUMMYFUNCTION("""COMPUTED_VALUE"""),"")</f>
        <v/>
      </c>
      <c r="AD817" s="11" t="str">
        <f ca="1">IFERROR(__xludf.DUMMYFUNCTION("""COMPUTED_VALUE"""),"")</f>
        <v/>
      </c>
      <c r="AE817" t="str">
        <f ca="1">IFERROR(__xludf.DUMMYFUNCTION("""COMPUTED_VALUE"""),"")</f>
        <v/>
      </c>
    </row>
    <row r="818" spans="1:31" ht="12.75" x14ac:dyDescent="0.2">
      <c r="A818">
        <f ca="1">IFERROR(__xludf.DUMMYFUNCTION("""COMPUTED_VALUE"""),90200)</f>
        <v>90200</v>
      </c>
      <c r="B818" t="str">
        <f ca="1">IFERROR(__xludf.DUMMYFUNCTION("""COMPUTED_VALUE"""),"PRADES")</f>
        <v>PRADES</v>
      </c>
      <c r="C818" t="str">
        <f ca="1">IFERROR(__xludf.DUMMYFUNCTION("""COMPUTED_VALUE"""),"Super U")</f>
        <v>Super U</v>
      </c>
      <c r="D818" t="str">
        <f ca="1">IFERROR(__xludf.DUMMYFUNCTION("""COMPUTED_VALUE"""),"Coop U Enseigne Sud")</f>
        <v>Coop U Enseigne Sud</v>
      </c>
      <c r="E818">
        <f ca="1">IFERROR(__xludf.DUMMYFUNCTION("""COMPUTED_VALUE"""),66500)</f>
        <v>66500</v>
      </c>
      <c r="F818" t="str">
        <f ca="1">IFERROR(__xludf.DUMMYFUNCTION("""COMPUTED_VALUE"""),"CC LA GRANDE ROCADE")</f>
        <v>CC LA GRANDE ROCADE</v>
      </c>
      <c r="G818" t="str">
        <f ca="1">IFERROR(__xludf.DUMMYFUNCTION("""COMPUTED_VALUE"""),"04.68.05.46.30")</f>
        <v>04.68.05.46.30</v>
      </c>
      <c r="H818" t="str">
        <f ca="1">IFERROR(__xludf.DUMMYFUNCTION("""COMPUTED_VALUE"""),"ELLUL Marc")</f>
        <v>ELLUL Marc</v>
      </c>
      <c r="I818" t="str">
        <f ca="1">IFERROR(__xludf.DUMMYFUNCTION("""COMPUTED_VALUE"""),"marc.ellul@systeme-u.fr")</f>
        <v>marc.ellul@systeme-u.fr</v>
      </c>
      <c r="J818" t="str">
        <f ca="1">IFERROR(__xludf.DUMMYFUNCTION("""COMPUTED_VALUE"""),"M. PONS")</f>
        <v>M. PONS</v>
      </c>
      <c r="K818" t="str">
        <f ca="1">IFERROR(__xludf.DUMMYFUNCTION("""COMPUTED_VALUE"""),"superu.prades.direction@systeme-u.fr")</f>
        <v>superu.prades.direction@systeme-u.fr</v>
      </c>
      <c r="L818" t="str">
        <f ca="1">IFERROR(__xludf.DUMMYFUNCTION("""COMPUTED_VALUE"""),"")</f>
        <v/>
      </c>
      <c r="M818" t="str">
        <f ca="1">IFERROR(__xludf.DUMMYFUNCTION("""COMPUTED_VALUE"""),"")</f>
        <v/>
      </c>
      <c r="N818" t="str">
        <f ca="1">IFERROR(__xludf.DUMMYFUNCTION("""COMPUTED_VALUE"""),"")</f>
        <v/>
      </c>
      <c r="O818" t="str">
        <f ca="1">IFERROR(__xludf.DUMMYFUNCTION("""COMPUTED_VALUE"""),"")</f>
        <v/>
      </c>
      <c r="P818" t="str">
        <f ca="1">IFERROR(__xludf.DUMMYFUNCTION("""COMPUTED_VALUE"""),"")</f>
        <v/>
      </c>
      <c r="Q818" s="5" t="str">
        <f ca="1">IFERROR(__xludf.DUMMYFUNCTION("""COMPUTED_VALUE"""),"")</f>
        <v/>
      </c>
      <c r="R818" s="6" t="str">
        <f ca="1">IFERROR(__xludf.DUMMYFUNCTION("""COMPUTED_VALUE"""),"")</f>
        <v/>
      </c>
      <c r="S818" t="str">
        <f ca="1">IFERROR(__xludf.DUMMYFUNCTION("""COMPUTED_VALUE"""),"")</f>
        <v/>
      </c>
      <c r="T818" t="str">
        <f ca="1">IFERROR(__xludf.DUMMYFUNCTION("""COMPUTED_VALUE"""),"")</f>
        <v/>
      </c>
      <c r="U818" t="str">
        <f ca="1">IFERROR(__xludf.DUMMYFUNCTION("""COMPUTED_VALUE"""),"")</f>
        <v/>
      </c>
      <c r="V818" t="str">
        <f ca="1">IFERROR(__xludf.DUMMYFUNCTION("""COMPUTED_VALUE"""),"")</f>
        <v/>
      </c>
      <c r="W818" t="str">
        <f ca="1">IFERROR(__xludf.DUMMYFUNCTION("""COMPUTED_VALUE"""),"R3")</f>
        <v>R3</v>
      </c>
      <c r="X818" t="str">
        <f ca="1">IFERROR(__xludf.DUMMYFUNCTION("""COMPUTED_VALUE"""),"Toshiba")</f>
        <v>Toshiba</v>
      </c>
      <c r="Y818" t="str">
        <f ca="1">IFERROR(__xludf.DUMMYFUNCTION("""COMPUTED_VALUE"""),"")</f>
        <v/>
      </c>
      <c r="Z818" t="str">
        <f ca="1">IFERROR(__xludf.DUMMYFUNCTION("""COMPUTED_VALUE"""),"")</f>
        <v/>
      </c>
      <c r="AA818" t="str">
        <f ca="1">IFERROR(__xludf.DUMMYFUNCTION("""COMPUTED_VALUE"""),"Pas de commande")</f>
        <v>Pas de commande</v>
      </c>
      <c r="AB818" s="8" t="str">
        <f ca="1">IFERROR(__xludf.DUMMYFUNCTION("""COMPUTED_VALUE"""),"")</f>
        <v/>
      </c>
      <c r="AC818" s="8" t="str">
        <f ca="1">IFERROR(__xludf.DUMMYFUNCTION("""COMPUTED_VALUE"""),"")</f>
        <v/>
      </c>
      <c r="AD818" s="11" t="str">
        <f ca="1">IFERROR(__xludf.DUMMYFUNCTION("""COMPUTED_VALUE"""),"")</f>
        <v/>
      </c>
      <c r="AE818" t="str">
        <f ca="1">IFERROR(__xludf.DUMMYFUNCTION("""COMPUTED_VALUE"""),"")</f>
        <v/>
      </c>
    </row>
    <row r="819" spans="1:31" ht="12.75" x14ac:dyDescent="0.2">
      <c r="A819">
        <f ca="1">IFERROR(__xludf.DUMMYFUNCTION("""COMPUTED_VALUE"""),38060)</f>
        <v>38060</v>
      </c>
      <c r="B819" t="str">
        <f ca="1">IFERROR(__xludf.DUMMYFUNCTION("""COMPUTED_VALUE"""),"PRE-EN-PAIL")</f>
        <v>PRE-EN-PAIL</v>
      </c>
      <c r="C819" t="str">
        <f ca="1">IFERROR(__xludf.DUMMYFUNCTION("""COMPUTED_VALUE"""),"Super U")</f>
        <v>Super U</v>
      </c>
      <c r="D819" t="str">
        <f ca="1">IFERROR(__xludf.DUMMYFUNCTION("""COMPUTED_VALUE"""),"Coop U Enseigne Ouest")</f>
        <v>Coop U Enseigne Ouest</v>
      </c>
      <c r="E819">
        <f ca="1">IFERROR(__xludf.DUMMYFUNCTION("""COMPUTED_VALUE"""),53140)</f>
        <v>53140</v>
      </c>
      <c r="F819" t="str">
        <f ca="1">IFERROR(__xludf.DUMMYFUNCTION("""COMPUTED_VALUE"""),"ZONE NORMANDIE MAINE")</f>
        <v>ZONE NORMANDIE MAINE</v>
      </c>
      <c r="G819" t="str">
        <f ca="1">IFERROR(__xludf.DUMMYFUNCTION("""COMPUTED_VALUE"""),"02.43.03.05.59")</f>
        <v>02.43.03.05.59</v>
      </c>
      <c r="H819" t="str">
        <f ca="1">IFERROR(__xludf.DUMMYFUNCTION("""COMPUTED_VALUE"""),"BOURDAIS Philippe")</f>
        <v>BOURDAIS Philippe</v>
      </c>
      <c r="I819" t="str">
        <f ca="1">IFERROR(__xludf.DUMMYFUNCTION("""COMPUTED_VALUE"""),"philippe.bourdais@systeme-u.fr")</f>
        <v>philippe.bourdais@systeme-u.fr</v>
      </c>
      <c r="J819" t="str">
        <f ca="1">IFERROR(__xludf.DUMMYFUNCTION("""COMPUTED_VALUE"""),"Bourdais Thomas")</f>
        <v>Bourdais Thomas</v>
      </c>
      <c r="K819" t="str">
        <f ca="1">IFERROR(__xludf.DUMMYFUNCTION("""COMPUTED_VALUE"""),"thomas.bourdais@systeme-u.fr")</f>
        <v>thomas.bourdais@systeme-u.fr</v>
      </c>
      <c r="L819" t="str">
        <f ca="1">IFERROR(__xludf.DUMMYFUNCTION("""COMPUTED_VALUE"""),"")</f>
        <v/>
      </c>
      <c r="M819" t="str">
        <f ca="1">IFERROR(__xludf.DUMMYFUNCTION("""COMPUTED_VALUE"""),"99.Hors Périmetre")</f>
        <v>99.Hors Périmetre</v>
      </c>
      <c r="N819" t="str">
        <f ca="1">IFERROR(__xludf.DUMMYFUNCTION("""COMPUTED_VALUE"""),"")</f>
        <v/>
      </c>
      <c r="O819" t="str">
        <f ca="1">IFERROR(__xludf.DUMMYFUNCTION("""COMPUTED_VALUE"""),"")</f>
        <v/>
      </c>
      <c r="P819" t="str">
        <f ca="1">IFERROR(__xludf.DUMMYFUNCTION("""COMPUTED_VALUE"""),"")</f>
        <v/>
      </c>
      <c r="Q819" s="5" t="str">
        <f ca="1">IFERROR(__xludf.DUMMYFUNCTION("""COMPUTED_VALUE"""),"")</f>
        <v/>
      </c>
      <c r="R819" s="6" t="str">
        <f ca="1">IFERROR(__xludf.DUMMYFUNCTION("""COMPUTED_VALUE"""),"")</f>
        <v/>
      </c>
      <c r="S819" t="str">
        <f ca="1">IFERROR(__xludf.DUMMYFUNCTION("""COMPUTED_VALUE"""),"")</f>
        <v/>
      </c>
      <c r="T819" t="str">
        <f ca="1">IFERROR(__xludf.DUMMYFUNCTION("""COMPUTED_VALUE"""),"")</f>
        <v/>
      </c>
      <c r="U819" t="str">
        <f ca="1">IFERROR(__xludf.DUMMYFUNCTION("""COMPUTED_VALUE"""),"")</f>
        <v/>
      </c>
      <c r="V819" t="str">
        <f ca="1">IFERROR(__xludf.DUMMYFUNCTION("""COMPUTED_VALUE"""),"")</f>
        <v/>
      </c>
      <c r="W819" t="str">
        <f ca="1">IFERROR(__xludf.DUMMYFUNCTION("""COMPUTED_VALUE"""),"")</f>
        <v/>
      </c>
      <c r="X819" t="str">
        <f ca="1">IFERROR(__xludf.DUMMYFUNCTION("""COMPUTED_VALUE"""),"")</f>
        <v/>
      </c>
      <c r="Y819" t="str">
        <f ca="1">IFERROR(__xludf.DUMMYFUNCTION("""COMPUTED_VALUE"""),"")</f>
        <v/>
      </c>
      <c r="Z819" t="str">
        <f ca="1">IFERROR(__xludf.DUMMYFUNCTION("""COMPUTED_VALUE"""),"")</f>
        <v/>
      </c>
      <c r="AA819" t="str">
        <f ca="1">IFERROR(__xludf.DUMMYFUNCTION("""COMPUTED_VALUE"""),"Pas de commande")</f>
        <v>Pas de commande</v>
      </c>
      <c r="AB819" s="8" t="str">
        <f ca="1">IFERROR(__xludf.DUMMYFUNCTION("""COMPUTED_VALUE"""),"")</f>
        <v/>
      </c>
      <c r="AC819" s="8" t="str">
        <f ca="1">IFERROR(__xludf.DUMMYFUNCTION("""COMPUTED_VALUE"""),"")</f>
        <v/>
      </c>
      <c r="AD819" s="11" t="str">
        <f ca="1">IFERROR(__xludf.DUMMYFUNCTION("""COMPUTED_VALUE"""),"")</f>
        <v/>
      </c>
      <c r="AE819" t="str">
        <f ca="1">IFERROR(__xludf.DUMMYFUNCTION("""COMPUTED_VALUE"""),"")</f>
        <v/>
      </c>
    </row>
    <row r="820" spans="1:31" ht="12.75" x14ac:dyDescent="0.2">
      <c r="A820">
        <f ca="1">IFERROR(__xludf.DUMMYFUNCTION("""COMPUTED_VALUE"""),66167)</f>
        <v>66167</v>
      </c>
      <c r="B820" t="str">
        <f ca="1">IFERROR(__xludf.DUMMYFUNCTION("""COMPUTED_VALUE"""),"PRINGY")</f>
        <v>PRINGY</v>
      </c>
      <c r="C820" t="str">
        <f ca="1">IFERROR(__xludf.DUMMYFUNCTION("""COMPUTED_VALUE"""),"Super U")</f>
        <v>Super U</v>
      </c>
      <c r="D820" t="str">
        <f ca="1">IFERROR(__xludf.DUMMYFUNCTION("""COMPUTED_VALUE"""),"Coop U Enseigne Est")</f>
        <v>Coop U Enseigne Est</v>
      </c>
      <c r="E820">
        <f ca="1">IFERROR(__xludf.DUMMYFUNCTION("""COMPUTED_VALUE"""),74370)</f>
        <v>74370</v>
      </c>
      <c r="F820" t="str">
        <f ca="1">IFERROR(__xludf.DUMMYFUNCTION("""COMPUTED_VALUE"""),"93 ROUTE DE LA RAVOIRE")</f>
        <v>93 ROUTE DE LA RAVOIRE</v>
      </c>
      <c r="G820" t="str">
        <f ca="1">IFERROR(__xludf.DUMMYFUNCTION("""COMPUTED_VALUE"""),"04.50.27.23.31")</f>
        <v>04.50.27.23.31</v>
      </c>
      <c r="H820" t="str">
        <f ca="1">IFERROR(__xludf.DUMMYFUNCTION("""COMPUTED_VALUE"""),"DERONZIER Eric")</f>
        <v>DERONZIER Eric</v>
      </c>
      <c r="I820" t="str">
        <f ca="1">IFERROR(__xludf.DUMMYFUNCTION("""COMPUTED_VALUE"""),"eric.deronzier@systeme-u.fr")</f>
        <v>eric.deronzier@systeme-u.fr</v>
      </c>
      <c r="J820" t="str">
        <f ca="1">IFERROR(__xludf.DUMMYFUNCTION("""COMPUTED_VALUE"""),"France")</f>
        <v>France</v>
      </c>
      <c r="K820" t="str">
        <f ca="1">IFERROR(__xludf.DUMMYFUNCTION("""COMPUTED_VALUE"""),"superu.pringy.compta@systeme-u.fr")</f>
        <v>superu.pringy.compta@systeme-u.fr</v>
      </c>
      <c r="L820" t="str">
        <f ca="1">IFERROR(__xludf.DUMMYFUNCTION("""COMPUTED_VALUE"""),"")</f>
        <v/>
      </c>
      <c r="M820" t="str">
        <f ca="1">IFERROR(__xludf.DUMMYFUNCTION("""COMPUTED_VALUE"""),"99.Hors Périmetre")</f>
        <v>99.Hors Périmetre</v>
      </c>
      <c r="N820" t="str">
        <f ca="1">IFERROR(__xludf.DUMMYFUNCTION("""COMPUTED_VALUE"""),"")</f>
        <v/>
      </c>
      <c r="O820" t="str">
        <f ca="1">IFERROR(__xludf.DUMMYFUNCTION("""COMPUTED_VALUE"""),"")</f>
        <v/>
      </c>
      <c r="P820" t="str">
        <f ca="1">IFERROR(__xludf.DUMMYFUNCTION("""COMPUTED_VALUE"""),"")</f>
        <v/>
      </c>
      <c r="Q820" s="5" t="str">
        <f ca="1">IFERROR(__xludf.DUMMYFUNCTION("""COMPUTED_VALUE"""),"")</f>
        <v/>
      </c>
      <c r="R820" s="6" t="str">
        <f ca="1">IFERROR(__xludf.DUMMYFUNCTION("""COMPUTED_VALUE"""),"")</f>
        <v/>
      </c>
      <c r="S820" t="str">
        <f ca="1">IFERROR(__xludf.DUMMYFUNCTION("""COMPUTED_VALUE"""),"")</f>
        <v/>
      </c>
      <c r="T820" t="str">
        <f ca="1">IFERROR(__xludf.DUMMYFUNCTION("""COMPUTED_VALUE"""),"")</f>
        <v/>
      </c>
      <c r="U820" t="str">
        <f ca="1">IFERROR(__xludf.DUMMYFUNCTION("""COMPUTED_VALUE"""),"")</f>
        <v/>
      </c>
      <c r="V820" t="str">
        <f ca="1">IFERROR(__xludf.DUMMYFUNCTION("""COMPUTED_VALUE"""),"")</f>
        <v/>
      </c>
      <c r="W820" t="str">
        <f ca="1">IFERROR(__xludf.DUMMYFUNCTION("""COMPUTED_VALUE"""),"")</f>
        <v/>
      </c>
      <c r="X820" t="str">
        <f ca="1">IFERROR(__xludf.DUMMYFUNCTION("""COMPUTED_VALUE"""),"")</f>
        <v/>
      </c>
      <c r="Y820" t="str">
        <f ca="1">IFERROR(__xludf.DUMMYFUNCTION("""COMPUTED_VALUE"""),"")</f>
        <v/>
      </c>
      <c r="Z820" t="str">
        <f ca="1">IFERROR(__xludf.DUMMYFUNCTION("""COMPUTED_VALUE"""),"")</f>
        <v/>
      </c>
      <c r="AA820" t="str">
        <f ca="1">IFERROR(__xludf.DUMMYFUNCTION("""COMPUTED_VALUE"""),"Pas de commande")</f>
        <v>Pas de commande</v>
      </c>
      <c r="AB820" s="8" t="str">
        <f ca="1">IFERROR(__xludf.DUMMYFUNCTION("""COMPUTED_VALUE"""),"")</f>
        <v/>
      </c>
      <c r="AC820" s="8" t="str">
        <f ca="1">IFERROR(__xludf.DUMMYFUNCTION("""COMPUTED_VALUE"""),"")</f>
        <v/>
      </c>
      <c r="AD820" s="11" t="str">
        <f ca="1">IFERROR(__xludf.DUMMYFUNCTION("""COMPUTED_VALUE"""),"")</f>
        <v/>
      </c>
      <c r="AE820" t="str">
        <f ca="1">IFERROR(__xludf.DUMMYFUNCTION("""COMPUTED_VALUE"""),"")</f>
        <v/>
      </c>
    </row>
    <row r="821" spans="1:31" ht="12.75" x14ac:dyDescent="0.2">
      <c r="A821">
        <f ca="1">IFERROR(__xludf.DUMMYFUNCTION("""COMPUTED_VALUE"""),62303)</f>
        <v>62303</v>
      </c>
      <c r="B821" t="str">
        <f ca="1">IFERROR(__xludf.DUMMYFUNCTION("""COMPUTED_VALUE"""),"PRISSE")</f>
        <v>PRISSE</v>
      </c>
      <c r="C821" t="str">
        <f ca="1">IFERROR(__xludf.DUMMYFUNCTION("""COMPUTED_VALUE"""),"Super U")</f>
        <v>Super U</v>
      </c>
      <c r="D821" t="str">
        <f ca="1">IFERROR(__xludf.DUMMYFUNCTION("""COMPUTED_VALUE"""),"Coop U Enseigne Est")</f>
        <v>Coop U Enseigne Est</v>
      </c>
      <c r="E821">
        <f ca="1">IFERROR(__xludf.DUMMYFUNCTION("""COMPUTED_VALUE"""),71960)</f>
        <v>71960</v>
      </c>
      <c r="F821" t="str">
        <f ca="1">IFERROR(__xludf.DUMMYFUNCTION("""COMPUTED_VALUE"""),"ZA LE PRÉ DE LIT")</f>
        <v>ZA LE PRÉ DE LIT</v>
      </c>
      <c r="G821" t="str">
        <f ca="1">IFERROR(__xludf.DUMMYFUNCTION("""COMPUTED_VALUE"""),"03.85.50.91.11")</f>
        <v>03.85.50.91.11</v>
      </c>
      <c r="H821" t="str">
        <f ca="1">IFERROR(__xludf.DUMMYFUNCTION("""COMPUTED_VALUE"""),"DEPELLEY Patrick")</f>
        <v>DEPELLEY Patrick</v>
      </c>
      <c r="I821" t="str">
        <f ca="1">IFERROR(__xludf.DUMMYFUNCTION("""COMPUTED_VALUE"""),"patrick.depelley@systeme-u.fr")</f>
        <v>patrick.depelley@systeme-u.fr</v>
      </c>
      <c r="J821" t="str">
        <f ca="1">IFERROR(__xludf.DUMMYFUNCTION("""COMPUTED_VALUE"""),"Anthony Vincent")</f>
        <v>Anthony Vincent</v>
      </c>
      <c r="K821" t="str">
        <f ca="1">IFERROR(__xludf.DUMMYFUNCTION("""COMPUTED_VALUE"""),"superu.prisse.direction@systeme-u.fr")</f>
        <v>superu.prisse.direction@systeme-u.fr</v>
      </c>
      <c r="L821" t="str">
        <f ca="1">IFERROR(__xludf.DUMMYFUNCTION("""COMPUTED_VALUE"""),"Standard")</f>
        <v>Standard</v>
      </c>
      <c r="M821" t="str">
        <f ca="1">IFERROR(__xludf.DUMMYFUNCTION("""COMPUTED_VALUE"""),"0. Non démarré")</f>
        <v>0. Non démarré</v>
      </c>
      <c r="N821" t="str">
        <f ca="1">IFERROR(__xludf.DUMMYFUNCTION("""COMPUTED_VALUE"""),"")</f>
        <v/>
      </c>
      <c r="O821" t="str">
        <f ca="1">IFERROR(__xludf.DUMMYFUNCTION("""COMPUTED_VALUE"""),"")</f>
        <v/>
      </c>
      <c r="P821" t="str">
        <f ca="1">IFERROR(__xludf.DUMMYFUNCTION("""COMPUTED_VALUE"""),"")</f>
        <v/>
      </c>
      <c r="Q821" s="5" t="str">
        <f ca="1">IFERROR(__xludf.DUMMYFUNCTION("""COMPUTED_VALUE"""),"")</f>
        <v/>
      </c>
      <c r="R821" s="6" t="str">
        <f ca="1">IFERROR(__xludf.DUMMYFUNCTION("""COMPUTED_VALUE"""),"")</f>
        <v/>
      </c>
      <c r="S821" t="str">
        <f ca="1">IFERROR(__xludf.DUMMYFUNCTION("""COMPUTED_VALUE"""),"")</f>
        <v/>
      </c>
      <c r="T821" t="str">
        <f ca="1">IFERROR(__xludf.DUMMYFUNCTION("""COMPUTED_VALUE"""),"")</f>
        <v/>
      </c>
      <c r="U821" t="str">
        <f ca="1">IFERROR(__xludf.DUMMYFUNCTION("""COMPUTED_VALUE"""),"")</f>
        <v/>
      </c>
      <c r="V821" t="str">
        <f ca="1">IFERROR(__xludf.DUMMYFUNCTION("""COMPUTED_VALUE"""),"")</f>
        <v/>
      </c>
      <c r="W821" t="str">
        <f ca="1">IFERROR(__xludf.DUMMYFUNCTION("""COMPUTED_VALUE"""),"R5")</f>
        <v>R5</v>
      </c>
      <c r="X821" t="str">
        <f ca="1">IFERROR(__xludf.DUMMYFUNCTION("""COMPUTED_VALUE"""),"Pricer")</f>
        <v>Pricer</v>
      </c>
      <c r="Y821" t="str">
        <f ca="1">IFERROR(__xludf.DUMMYFUNCTION("""COMPUTED_VALUE"""),"")</f>
        <v/>
      </c>
      <c r="Z821" t="str">
        <f ca="1">IFERROR(__xludf.DUMMYFUNCTION("""COMPUTED_VALUE"""),"")</f>
        <v/>
      </c>
      <c r="AA821" t="str">
        <f ca="1">IFERROR(__xludf.DUMMYFUNCTION("""COMPUTED_VALUE"""),"Pas de commande")</f>
        <v>Pas de commande</v>
      </c>
      <c r="AB821" s="8" t="str">
        <f ca="1">IFERROR(__xludf.DUMMYFUNCTION("""COMPUTED_VALUE"""),"")</f>
        <v/>
      </c>
      <c r="AC821" s="8" t="str">
        <f ca="1">IFERROR(__xludf.DUMMYFUNCTION("""COMPUTED_VALUE"""),"")</f>
        <v/>
      </c>
      <c r="AD821" s="11" t="str">
        <f ca="1">IFERROR(__xludf.DUMMYFUNCTION("""COMPUTED_VALUE"""),"")</f>
        <v/>
      </c>
      <c r="AE821" t="str">
        <f ca="1">IFERROR(__xludf.DUMMYFUNCTION("""COMPUTED_VALUE"""),"")</f>
        <v/>
      </c>
    </row>
    <row r="822" spans="1:31" ht="12.75" x14ac:dyDescent="0.2">
      <c r="A822">
        <f ca="1">IFERROR(__xludf.DUMMYFUNCTION("""COMPUTED_VALUE"""),37796)</f>
        <v>37796</v>
      </c>
      <c r="B822" t="str">
        <f ca="1">IFERROR(__xludf.DUMMYFUNCTION("""COMPUTED_VALUE"""),"PRUNIERS-EN-SOLOGNE")</f>
        <v>PRUNIERS-EN-SOLOGNE</v>
      </c>
      <c r="C822" t="str">
        <f ca="1">IFERROR(__xludf.DUMMYFUNCTION("""COMPUTED_VALUE"""),"Super U")</f>
        <v>Super U</v>
      </c>
      <c r="D822" t="str">
        <f ca="1">IFERROR(__xludf.DUMMYFUNCTION("""COMPUTED_VALUE"""),"Coop U Enseigne Ouest")</f>
        <v>Coop U Enseigne Ouest</v>
      </c>
      <c r="E822">
        <f ca="1">IFERROR(__xludf.DUMMYFUNCTION("""COMPUTED_VALUE"""),41200)</f>
        <v>41200</v>
      </c>
      <c r="F822" t="str">
        <f ca="1">IFERROR(__xludf.DUMMYFUNCTION("""COMPUTED_VALUE"""),"LA BRIGAUDIÈRE")</f>
        <v>LA BRIGAUDIÈRE</v>
      </c>
      <c r="G822" t="str">
        <f ca="1">IFERROR(__xludf.DUMMYFUNCTION("""COMPUTED_VALUE"""),"02.54.96.83.18")</f>
        <v>02.54.96.83.18</v>
      </c>
      <c r="H822" t="str">
        <f ca="1">IFERROR(__xludf.DUMMYFUNCTION("""COMPUTED_VALUE"""),"LAURIERE Jonathan")</f>
        <v>LAURIERE Jonathan</v>
      </c>
      <c r="I822" t="str">
        <f ca="1">IFERROR(__xludf.DUMMYFUNCTION("""COMPUTED_VALUE"""),"jonathan.lauriere@systeme-u.fr")</f>
        <v>jonathan.lauriere@systeme-u.fr</v>
      </c>
      <c r="J822" t="str">
        <f ca="1">IFERROR(__xludf.DUMMYFUNCTION("""COMPUTED_VALUE"""),"")</f>
        <v/>
      </c>
      <c r="K822" t="str">
        <f ca="1">IFERROR(__xludf.DUMMYFUNCTION("""COMPUTED_VALUE"""),"")</f>
        <v/>
      </c>
      <c r="L822" t="str">
        <f ca="1">IFERROR(__xludf.DUMMYFUNCTION("""COMPUTED_VALUE"""),"")</f>
        <v/>
      </c>
      <c r="M822" t="str">
        <f ca="1">IFERROR(__xludf.DUMMYFUNCTION("""COMPUTED_VALUE"""),"99.Hors Périmetre")</f>
        <v>99.Hors Périmetre</v>
      </c>
      <c r="N822" t="str">
        <f ca="1">IFERROR(__xludf.DUMMYFUNCTION("""COMPUTED_VALUE"""),"")</f>
        <v/>
      </c>
      <c r="O822" t="str">
        <f ca="1">IFERROR(__xludf.DUMMYFUNCTION("""COMPUTED_VALUE"""),"")</f>
        <v/>
      </c>
      <c r="P822" t="str">
        <f ca="1">IFERROR(__xludf.DUMMYFUNCTION("""COMPUTED_VALUE"""),"")</f>
        <v/>
      </c>
      <c r="Q822" s="5" t="str">
        <f ca="1">IFERROR(__xludf.DUMMYFUNCTION("""COMPUTED_VALUE"""),"")</f>
        <v/>
      </c>
      <c r="R822" s="6" t="str">
        <f ca="1">IFERROR(__xludf.DUMMYFUNCTION("""COMPUTED_VALUE"""),"")</f>
        <v/>
      </c>
      <c r="S822" t="str">
        <f ca="1">IFERROR(__xludf.DUMMYFUNCTION("""COMPUTED_VALUE"""),"")</f>
        <v/>
      </c>
      <c r="T822" t="str">
        <f ca="1">IFERROR(__xludf.DUMMYFUNCTION("""COMPUTED_VALUE"""),"")</f>
        <v/>
      </c>
      <c r="U822" t="str">
        <f ca="1">IFERROR(__xludf.DUMMYFUNCTION("""COMPUTED_VALUE"""),"")</f>
        <v/>
      </c>
      <c r="V822" t="str">
        <f ca="1">IFERROR(__xludf.DUMMYFUNCTION("""COMPUTED_VALUE"""),"")</f>
        <v/>
      </c>
      <c r="W822" t="str">
        <f ca="1">IFERROR(__xludf.DUMMYFUNCTION("""COMPUTED_VALUE"""),"")</f>
        <v/>
      </c>
      <c r="X822" t="str">
        <f ca="1">IFERROR(__xludf.DUMMYFUNCTION("""COMPUTED_VALUE"""),"")</f>
        <v/>
      </c>
      <c r="Y822" t="str">
        <f ca="1">IFERROR(__xludf.DUMMYFUNCTION("""COMPUTED_VALUE"""),"")</f>
        <v/>
      </c>
      <c r="Z822" t="str">
        <f ca="1">IFERROR(__xludf.DUMMYFUNCTION("""COMPUTED_VALUE"""),"")</f>
        <v/>
      </c>
      <c r="AA822" t="str">
        <f ca="1">IFERROR(__xludf.DUMMYFUNCTION("""COMPUTED_VALUE"""),"Pas de commande")</f>
        <v>Pas de commande</v>
      </c>
      <c r="AB822" s="8" t="str">
        <f ca="1">IFERROR(__xludf.DUMMYFUNCTION("""COMPUTED_VALUE"""),"")</f>
        <v/>
      </c>
      <c r="AC822" s="8" t="str">
        <f ca="1">IFERROR(__xludf.DUMMYFUNCTION("""COMPUTED_VALUE"""),"")</f>
        <v/>
      </c>
      <c r="AD822" s="11" t="str">
        <f ca="1">IFERROR(__xludf.DUMMYFUNCTION("""COMPUTED_VALUE"""),"")</f>
        <v/>
      </c>
      <c r="AE822" t="str">
        <f ca="1">IFERROR(__xludf.DUMMYFUNCTION("""COMPUTED_VALUE"""),"")</f>
        <v/>
      </c>
    </row>
    <row r="823" spans="1:31" ht="12.75" x14ac:dyDescent="0.2">
      <c r="A823">
        <f ca="1">IFERROR(__xludf.DUMMYFUNCTION("""COMPUTED_VALUE"""),90632)</f>
        <v>90632</v>
      </c>
      <c r="B823" t="str">
        <f ca="1">IFERROR(__xludf.DUMMYFUNCTION("""COMPUTED_VALUE"""),"PUY ST MARTIN")</f>
        <v>PUY ST MARTIN</v>
      </c>
      <c r="C823" t="str">
        <f ca="1">IFERROR(__xludf.DUMMYFUNCTION("""COMPUTED_VALUE"""),"U Express")</f>
        <v>U Express</v>
      </c>
      <c r="D823" t="str">
        <f ca="1">IFERROR(__xludf.DUMMYFUNCTION("""COMPUTED_VALUE"""),"Coop MISTRAL")</f>
        <v>Coop MISTRAL</v>
      </c>
      <c r="E823">
        <f ca="1">IFERROR(__xludf.DUMMYFUNCTION("""COMPUTED_VALUE"""),26450)</f>
        <v>26450</v>
      </c>
      <c r="F823" t="str">
        <f ca="1">IFERROR(__xludf.DUMMYFUNCTION("""COMPUTED_VALUE"""),"ZA ROUTE DE CLEON D ANDRAN")</f>
        <v>ZA ROUTE DE CLEON D ANDRAN</v>
      </c>
      <c r="G823" t="str">
        <f ca="1">IFERROR(__xludf.DUMMYFUNCTION("""COMPUTED_VALUE"""),"04.75.90.42.49")</f>
        <v>04.75.90.42.49</v>
      </c>
      <c r="H823" t="str">
        <f ca="1">IFERROR(__xludf.DUMMYFUNCTION("""COMPUTED_VALUE"""),"VERRIER Yohan")</f>
        <v>VERRIER Yohan</v>
      </c>
      <c r="I823" t="str">
        <f ca="1">IFERROR(__xludf.DUMMYFUNCTION("""COMPUTED_VALUE"""),"")</f>
        <v/>
      </c>
      <c r="J823" t="str">
        <f ca="1">IFERROR(__xludf.DUMMYFUNCTION("""COMPUTED_VALUE"""),"")</f>
        <v/>
      </c>
      <c r="K823" t="str">
        <f ca="1">IFERROR(__xludf.DUMMYFUNCTION("""COMPUTED_VALUE"""),"delphine.damian@lemistral.fr,helene.mina@lemistral.fr")</f>
        <v>delphine.damian@lemistral.fr,helene.mina@lemistral.fr</v>
      </c>
      <c r="L823" t="str">
        <f ca="1">IFERROR(__xludf.DUMMYFUNCTION("""COMPUTED_VALUE"""),"")</f>
        <v/>
      </c>
      <c r="M823" t="str">
        <f ca="1">IFERROR(__xludf.DUMMYFUNCTION("""COMPUTED_VALUE"""),"99.Hors Périmetre")</f>
        <v>99.Hors Périmetre</v>
      </c>
      <c r="N823" t="str">
        <f ca="1">IFERROR(__xludf.DUMMYFUNCTION("""COMPUTED_VALUE"""),"")</f>
        <v/>
      </c>
      <c r="O823" t="str">
        <f ca="1">IFERROR(__xludf.DUMMYFUNCTION("""COMPUTED_VALUE"""),"")</f>
        <v/>
      </c>
      <c r="P823" t="str">
        <f ca="1">IFERROR(__xludf.DUMMYFUNCTION("""COMPUTED_VALUE"""),"")</f>
        <v/>
      </c>
      <c r="Q823" s="5" t="str">
        <f ca="1">IFERROR(__xludf.DUMMYFUNCTION("""COMPUTED_VALUE"""),"")</f>
        <v/>
      </c>
      <c r="R823" s="6" t="str">
        <f ca="1">IFERROR(__xludf.DUMMYFUNCTION("""COMPUTED_VALUE"""),"")</f>
        <v/>
      </c>
      <c r="S823" t="str">
        <f ca="1">IFERROR(__xludf.DUMMYFUNCTION("""COMPUTED_VALUE"""),"")</f>
        <v/>
      </c>
      <c r="T823" t="str">
        <f ca="1">IFERROR(__xludf.DUMMYFUNCTION("""COMPUTED_VALUE"""),"")</f>
        <v/>
      </c>
      <c r="U823" t="str">
        <f ca="1">IFERROR(__xludf.DUMMYFUNCTION("""COMPUTED_VALUE"""),"")</f>
        <v/>
      </c>
      <c r="V823" t="str">
        <f ca="1">IFERROR(__xludf.DUMMYFUNCTION("""COMPUTED_VALUE"""),"")</f>
        <v/>
      </c>
      <c r="W823" t="str">
        <f ca="1">IFERROR(__xludf.DUMMYFUNCTION("""COMPUTED_VALUE"""),"")</f>
        <v/>
      </c>
      <c r="X823" t="str">
        <f ca="1">IFERROR(__xludf.DUMMYFUNCTION("""COMPUTED_VALUE"""),"")</f>
        <v/>
      </c>
      <c r="Y823" t="str">
        <f ca="1">IFERROR(__xludf.DUMMYFUNCTION("""COMPUTED_VALUE"""),"")</f>
        <v/>
      </c>
      <c r="Z823" t="str">
        <f ca="1">IFERROR(__xludf.DUMMYFUNCTION("""COMPUTED_VALUE"""),"")</f>
        <v/>
      </c>
      <c r="AA823" t="str">
        <f ca="1">IFERROR(__xludf.DUMMYFUNCTION("""COMPUTED_VALUE"""),"Pas de commande")</f>
        <v>Pas de commande</v>
      </c>
      <c r="AB823" s="8" t="str">
        <f ca="1">IFERROR(__xludf.DUMMYFUNCTION("""COMPUTED_VALUE"""),"")</f>
        <v/>
      </c>
      <c r="AC823" s="8" t="str">
        <f ca="1">IFERROR(__xludf.DUMMYFUNCTION("""COMPUTED_VALUE"""),"")</f>
        <v/>
      </c>
      <c r="AD823" s="11" t="str">
        <f ca="1">IFERROR(__xludf.DUMMYFUNCTION("""COMPUTED_VALUE"""),"")</f>
        <v/>
      </c>
      <c r="AE823" t="str">
        <f ca="1">IFERROR(__xludf.DUMMYFUNCTION("""COMPUTED_VALUE"""),"")</f>
        <v/>
      </c>
    </row>
    <row r="824" spans="1:31" ht="12.75" x14ac:dyDescent="0.2">
      <c r="A824">
        <f ca="1">IFERROR(__xludf.DUMMYFUNCTION("""COMPUTED_VALUE"""),90422)</f>
        <v>90422</v>
      </c>
      <c r="B824" t="str">
        <f ca="1">IFERROR(__xludf.DUMMYFUNCTION("""COMPUTED_VALUE"""),"PUYVERT")</f>
        <v>PUYVERT</v>
      </c>
      <c r="C824" t="str">
        <f ca="1">IFERROR(__xludf.DUMMYFUNCTION("""COMPUTED_VALUE"""),"Super U")</f>
        <v>Super U</v>
      </c>
      <c r="D824" t="str">
        <f ca="1">IFERROR(__xludf.DUMMYFUNCTION("""COMPUTED_VALUE"""),"Coop U Enseigne Sud")</f>
        <v>Coop U Enseigne Sud</v>
      </c>
      <c r="E824">
        <f ca="1">IFERROR(__xludf.DUMMYFUNCTION("""COMPUTED_VALUE"""),84160)</f>
        <v>84160</v>
      </c>
      <c r="F824" t="str">
        <f ca="1">IFERROR(__xludf.DUMMYFUNCTION("""COMPUTED_VALUE"""),"CTRE COMM DU LUBERON")</f>
        <v>CTRE COMM DU LUBERON</v>
      </c>
      <c r="G824" t="str">
        <f ca="1">IFERROR(__xludf.DUMMYFUNCTION("""COMPUTED_VALUE"""),"04.90.08.40.73")</f>
        <v>04.90.08.40.73</v>
      </c>
      <c r="H824" t="str">
        <f ca="1">IFERROR(__xludf.DUMMYFUNCTION("""COMPUTED_VALUE"""),"DEVOLDER NICOLAS")</f>
        <v>DEVOLDER NICOLAS</v>
      </c>
      <c r="I824" t="str">
        <f ca="1">IFERROR(__xludf.DUMMYFUNCTION("""COMPUTED_VALUE"""),"nicolas.devolder@systeme-u.fr")</f>
        <v>nicolas.devolder@systeme-u.fr</v>
      </c>
      <c r="J824" t="str">
        <f ca="1">IFERROR(__xludf.DUMMYFUNCTION("""COMPUTED_VALUE"""),"(Mme Sonia BARTHELEMY) Laurence CHOLLET ")</f>
        <v xml:space="preserve">(Mme Sonia BARTHELEMY) Laurence CHOLLET </v>
      </c>
      <c r="K824" t="str">
        <f ca="1">IFERROR(__xludf.DUMMYFUNCTION("""COMPUTED_VALUE"""),"superu.puyvert.compta@systeme-u.fr,superu.puyvert.caisse@systeme-u.fr")</f>
        <v>superu.puyvert.compta@systeme-u.fr,superu.puyvert.caisse@systeme-u.fr</v>
      </c>
      <c r="L824" t="str">
        <f ca="1">IFERROR(__xludf.DUMMYFUNCTION("""COMPUTED_VALUE"""),"Standard")</f>
        <v>Standard</v>
      </c>
      <c r="M824" t="str">
        <f ca="1">IFERROR(__xludf.DUMMYFUNCTION("""COMPUTED_VALUE"""),"0. Non démarré")</f>
        <v>0. Non démarré</v>
      </c>
      <c r="N824" t="str">
        <f ca="1">IFERROR(__xludf.DUMMYFUNCTION("""COMPUTED_VALUE"""),"")</f>
        <v/>
      </c>
      <c r="O824" t="str">
        <f ca="1">IFERROR(__xludf.DUMMYFUNCTION("""COMPUTED_VALUE"""),"")</f>
        <v/>
      </c>
      <c r="P824" t="str">
        <f ca="1">IFERROR(__xludf.DUMMYFUNCTION("""COMPUTED_VALUE"""),"")</f>
        <v/>
      </c>
      <c r="Q824" s="5" t="str">
        <f ca="1">IFERROR(__xludf.DUMMYFUNCTION("""COMPUTED_VALUE"""),"")</f>
        <v/>
      </c>
      <c r="R824" s="6" t="str">
        <f ca="1">IFERROR(__xludf.DUMMYFUNCTION("""COMPUTED_VALUE"""),"")</f>
        <v/>
      </c>
      <c r="S824" t="str">
        <f ca="1">IFERROR(__xludf.DUMMYFUNCTION("""COMPUTED_VALUE"""),"")</f>
        <v/>
      </c>
      <c r="T824" t="str">
        <f ca="1">IFERROR(__xludf.DUMMYFUNCTION("""COMPUTED_VALUE"""),"")</f>
        <v/>
      </c>
      <c r="U824" t="str">
        <f ca="1">IFERROR(__xludf.DUMMYFUNCTION("""COMPUTED_VALUE"""),"")</f>
        <v/>
      </c>
      <c r="V824" t="str">
        <f ca="1">IFERROR(__xludf.DUMMYFUNCTION("""COMPUTED_VALUE"""),"")</f>
        <v/>
      </c>
      <c r="W824" t="str">
        <f ca="1">IFERROR(__xludf.DUMMYFUNCTION("""COMPUTED_VALUE"""),"R5")</f>
        <v>R5</v>
      </c>
      <c r="X824" t="str">
        <f ca="1">IFERROR(__xludf.DUMMYFUNCTION("""COMPUTED_VALUE"""),"Pricer")</f>
        <v>Pricer</v>
      </c>
      <c r="Y824" t="str">
        <f ca="1">IFERROR(__xludf.DUMMYFUNCTION("""COMPUTED_VALUE"""),"")</f>
        <v/>
      </c>
      <c r="Z824" t="str">
        <f ca="1">IFERROR(__xludf.DUMMYFUNCTION("""COMPUTED_VALUE"""),"")</f>
        <v/>
      </c>
      <c r="AA824" t="str">
        <f ca="1">IFERROR(__xludf.DUMMYFUNCTION("""COMPUTED_VALUE"""),"Pas de commande")</f>
        <v>Pas de commande</v>
      </c>
      <c r="AB824" s="8" t="str">
        <f ca="1">IFERROR(__xludf.DUMMYFUNCTION("""COMPUTED_VALUE"""),"")</f>
        <v/>
      </c>
      <c r="AC824" s="8" t="str">
        <f ca="1">IFERROR(__xludf.DUMMYFUNCTION("""COMPUTED_VALUE"""),"")</f>
        <v/>
      </c>
      <c r="AD824" s="11" t="str">
        <f ca="1">IFERROR(__xludf.DUMMYFUNCTION("""COMPUTED_VALUE"""),"")</f>
        <v/>
      </c>
      <c r="AE824" t="str">
        <f ca="1">IFERROR(__xludf.DUMMYFUNCTION("""COMPUTED_VALUE"""),"")</f>
        <v/>
      </c>
    </row>
    <row r="825" spans="1:31" ht="12.75" x14ac:dyDescent="0.2">
      <c r="A825">
        <f ca="1">IFERROR(__xludf.DUMMYFUNCTION("""COMPUTED_VALUE"""),32151)</f>
        <v>32151</v>
      </c>
      <c r="B825" t="str">
        <f ca="1">IFERROR(__xludf.DUMMYFUNCTION("""COMPUTED_VALUE"""),"QUIBERON")</f>
        <v>QUIBERON</v>
      </c>
      <c r="C825" t="str">
        <f ca="1">IFERROR(__xludf.DUMMYFUNCTION("""COMPUTED_VALUE"""),"Super U")</f>
        <v>Super U</v>
      </c>
      <c r="D825" t="str">
        <f ca="1">IFERROR(__xludf.DUMMYFUNCTION("""COMPUTED_VALUE"""),"Coop U Enseigne Ouest")</f>
        <v>Coop U Enseigne Ouest</v>
      </c>
      <c r="E825">
        <f ca="1">IFERROR(__xludf.DUMMYFUNCTION("""COMPUTED_VALUE"""),56170)</f>
        <v>56170</v>
      </c>
      <c r="F825" t="str">
        <f ca="1">IFERROR(__xludf.DUMMYFUNCTION("""COMPUTED_VALUE"""),"116 RUE DU PORT DE PÊCHE")</f>
        <v>116 RUE DU PORT DE PÊCHE</v>
      </c>
      <c r="G825" t="str">
        <f ca="1">IFERROR(__xludf.DUMMYFUNCTION("""COMPUTED_VALUE"""),"02.97.30.42.09")</f>
        <v>02.97.30.42.09</v>
      </c>
      <c r="H825" t="str">
        <f ca="1">IFERROR(__xludf.DUMMYFUNCTION("""COMPUTED_VALUE"""),"RABARD Frédéric")</f>
        <v>RABARD Frédéric</v>
      </c>
      <c r="I825" t="str">
        <f ca="1">IFERROR(__xludf.DUMMYFUNCTION("""COMPUTED_VALUE"""),"frederic.rabard@systeme-u.fr")</f>
        <v>frederic.rabard@systeme-u.fr</v>
      </c>
      <c r="J825" t="str">
        <f ca="1">IFERROR(__xludf.DUMMYFUNCTION("""COMPUTED_VALUE"""),"Mme TOAMASSACCI
")</f>
        <v xml:space="preserve">Mme TOAMASSACCI
</v>
      </c>
      <c r="K825" t="str">
        <f ca="1">IFERROR(__xludf.DUMMYFUNCTION("""COMPUTED_VALUE"""),"superu.quiberon@systeme-u.fr")</f>
        <v>superu.quiberon@systeme-u.fr</v>
      </c>
      <c r="L825" t="str">
        <f ca="1">IFERROR(__xludf.DUMMYFUNCTION("""COMPUTED_VALUE"""),"")</f>
        <v/>
      </c>
      <c r="M825" t="str">
        <f ca="1">IFERROR(__xludf.DUMMYFUNCTION("""COMPUTED_VALUE"""),"99.Hors Périmetre")</f>
        <v>99.Hors Périmetre</v>
      </c>
      <c r="N825" t="str">
        <f ca="1">IFERROR(__xludf.DUMMYFUNCTION("""COMPUTED_VALUE"""),"")</f>
        <v/>
      </c>
      <c r="O825" t="str">
        <f ca="1">IFERROR(__xludf.DUMMYFUNCTION("""COMPUTED_VALUE"""),"")</f>
        <v/>
      </c>
      <c r="P825" t="str">
        <f ca="1">IFERROR(__xludf.DUMMYFUNCTION("""COMPUTED_VALUE"""),"")</f>
        <v/>
      </c>
      <c r="Q825" s="5" t="str">
        <f ca="1">IFERROR(__xludf.DUMMYFUNCTION("""COMPUTED_VALUE"""),"")</f>
        <v/>
      </c>
      <c r="R825" s="6" t="str">
        <f ca="1">IFERROR(__xludf.DUMMYFUNCTION("""COMPUTED_VALUE"""),"")</f>
        <v/>
      </c>
      <c r="S825" t="str">
        <f ca="1">IFERROR(__xludf.DUMMYFUNCTION("""COMPUTED_VALUE"""),"")</f>
        <v/>
      </c>
      <c r="T825" t="str">
        <f ca="1">IFERROR(__xludf.DUMMYFUNCTION("""COMPUTED_VALUE"""),"")</f>
        <v/>
      </c>
      <c r="U825" t="str">
        <f ca="1">IFERROR(__xludf.DUMMYFUNCTION("""COMPUTED_VALUE"""),"")</f>
        <v/>
      </c>
      <c r="V825" t="str">
        <f ca="1">IFERROR(__xludf.DUMMYFUNCTION("""COMPUTED_VALUE"""),"")</f>
        <v/>
      </c>
      <c r="W825" t="str">
        <f ca="1">IFERROR(__xludf.DUMMYFUNCTION("""COMPUTED_VALUE"""),"")</f>
        <v/>
      </c>
      <c r="X825" t="str">
        <f ca="1">IFERROR(__xludf.DUMMYFUNCTION("""COMPUTED_VALUE"""),"")</f>
        <v/>
      </c>
      <c r="Y825" t="str">
        <f ca="1">IFERROR(__xludf.DUMMYFUNCTION("""COMPUTED_VALUE"""),"")</f>
        <v/>
      </c>
      <c r="Z825" t="str">
        <f ca="1">IFERROR(__xludf.DUMMYFUNCTION("""COMPUTED_VALUE"""),"")</f>
        <v/>
      </c>
      <c r="AA825" t="str">
        <f ca="1">IFERROR(__xludf.DUMMYFUNCTION("""COMPUTED_VALUE"""),"Pas de commande")</f>
        <v>Pas de commande</v>
      </c>
      <c r="AB825" s="8" t="str">
        <f ca="1">IFERROR(__xludf.DUMMYFUNCTION("""COMPUTED_VALUE"""),"")</f>
        <v/>
      </c>
      <c r="AC825" s="8" t="str">
        <f ca="1">IFERROR(__xludf.DUMMYFUNCTION("""COMPUTED_VALUE"""),"")</f>
        <v/>
      </c>
      <c r="AD825" s="11" t="str">
        <f ca="1">IFERROR(__xludf.DUMMYFUNCTION("""COMPUTED_VALUE"""),"")</f>
        <v/>
      </c>
      <c r="AE825" t="str">
        <f ca="1">IFERROR(__xludf.DUMMYFUNCTION("""COMPUTED_VALUE"""),"")</f>
        <v/>
      </c>
    </row>
    <row r="826" spans="1:31" ht="12.75" x14ac:dyDescent="0.2">
      <c r="A826">
        <f ca="1">IFERROR(__xludf.DUMMYFUNCTION("""COMPUTED_VALUE"""),35094)</f>
        <v>35094</v>
      </c>
      <c r="B826" t="str">
        <f ca="1">IFERROR(__xludf.DUMMYFUNCTION("""COMPUTED_VALUE"""),"QUIMPER")</f>
        <v>QUIMPER</v>
      </c>
      <c r="C826" t="str">
        <f ca="1">IFERROR(__xludf.DUMMYFUNCTION("""COMPUTED_VALUE"""),"U Express")</f>
        <v>U Express</v>
      </c>
      <c r="D826" t="str">
        <f ca="1">IFERROR(__xludf.DUMMYFUNCTION("""COMPUTED_VALUE"""),"Coop U Enseigne Ouest")</f>
        <v>Coop U Enseigne Ouest</v>
      </c>
      <c r="E826">
        <f ca="1">IFERROR(__xludf.DUMMYFUNCTION("""COMPUTED_VALUE"""),29000)</f>
        <v>29000</v>
      </c>
      <c r="F826" t="str">
        <f ca="1">IFERROR(__xludf.DUMMYFUNCTION("""COMPUTED_VALUE"""),"82, QUAI DE L'ODET")</f>
        <v>82, QUAI DE L'ODET</v>
      </c>
      <c r="G826" t="str">
        <f ca="1">IFERROR(__xludf.DUMMYFUNCTION("""COMPUTED_VALUE"""),"02.98.53.43.83")</f>
        <v>02.98.53.43.83</v>
      </c>
      <c r="H826" t="str">
        <f ca="1">IFERROR(__xludf.DUMMYFUNCTION("""COMPUTED_VALUE"""),"SEVERE JOCELYNE")</f>
        <v>SEVERE JOCELYNE</v>
      </c>
      <c r="I826" t="str">
        <f ca="1">IFERROR(__xludf.DUMMYFUNCTION("""COMPUTED_VALUE"""),"jocelyne.severe@systeme-u.fr")</f>
        <v>jocelyne.severe@systeme-u.fr</v>
      </c>
      <c r="J826" t="str">
        <f ca="1">IFERROR(__xludf.DUMMYFUNCTION("""COMPUTED_VALUE"""),"SEVERE Marianne")</f>
        <v>SEVERE Marianne</v>
      </c>
      <c r="K826" t="str">
        <f ca="1">IFERROR(__xludf.DUMMYFUNCTION("""COMPUTED_VALUE"""),"marianne.severe@systeme-u.fr")</f>
        <v>marianne.severe@systeme-u.fr</v>
      </c>
      <c r="L826" t="str">
        <f ca="1">IFERROR(__xludf.DUMMYFUNCTION("""COMPUTED_VALUE"""),"")</f>
        <v/>
      </c>
      <c r="M826" t="str">
        <f ca="1">IFERROR(__xludf.DUMMYFUNCTION("""COMPUTED_VALUE"""),"99.Hors Périmetre")</f>
        <v>99.Hors Périmetre</v>
      </c>
      <c r="N826" t="str">
        <f ca="1">IFERROR(__xludf.DUMMYFUNCTION("""COMPUTED_VALUE"""),"")</f>
        <v/>
      </c>
      <c r="O826" t="str">
        <f ca="1">IFERROR(__xludf.DUMMYFUNCTION("""COMPUTED_VALUE"""),"")</f>
        <v/>
      </c>
      <c r="P826" t="str">
        <f ca="1">IFERROR(__xludf.DUMMYFUNCTION("""COMPUTED_VALUE"""),"")</f>
        <v/>
      </c>
      <c r="Q826" s="5" t="str">
        <f ca="1">IFERROR(__xludf.DUMMYFUNCTION("""COMPUTED_VALUE"""),"")</f>
        <v/>
      </c>
      <c r="R826" s="6" t="str">
        <f ca="1">IFERROR(__xludf.DUMMYFUNCTION("""COMPUTED_VALUE"""),"")</f>
        <v/>
      </c>
      <c r="S826" t="str">
        <f ca="1">IFERROR(__xludf.DUMMYFUNCTION("""COMPUTED_VALUE"""),"")</f>
        <v/>
      </c>
      <c r="T826" t="str">
        <f ca="1">IFERROR(__xludf.DUMMYFUNCTION("""COMPUTED_VALUE"""),"")</f>
        <v/>
      </c>
      <c r="U826" t="str">
        <f ca="1">IFERROR(__xludf.DUMMYFUNCTION("""COMPUTED_VALUE"""),"")</f>
        <v/>
      </c>
      <c r="V826" t="str">
        <f ca="1">IFERROR(__xludf.DUMMYFUNCTION("""COMPUTED_VALUE"""),"")</f>
        <v/>
      </c>
      <c r="W826" t="str">
        <f ca="1">IFERROR(__xludf.DUMMYFUNCTION("""COMPUTED_VALUE"""),"")</f>
        <v/>
      </c>
      <c r="X826" t="str">
        <f ca="1">IFERROR(__xludf.DUMMYFUNCTION("""COMPUTED_VALUE"""),"")</f>
        <v/>
      </c>
      <c r="Y826" t="str">
        <f ca="1">IFERROR(__xludf.DUMMYFUNCTION("""COMPUTED_VALUE"""),"")</f>
        <v/>
      </c>
      <c r="Z826" t="str">
        <f ca="1">IFERROR(__xludf.DUMMYFUNCTION("""COMPUTED_VALUE"""),"")</f>
        <v/>
      </c>
      <c r="AA826" t="str">
        <f ca="1">IFERROR(__xludf.DUMMYFUNCTION("""COMPUTED_VALUE"""),"Pas de commande")</f>
        <v>Pas de commande</v>
      </c>
      <c r="AB826" s="8" t="str">
        <f ca="1">IFERROR(__xludf.DUMMYFUNCTION("""COMPUTED_VALUE"""),"")</f>
        <v/>
      </c>
      <c r="AC826" s="8" t="str">
        <f ca="1">IFERROR(__xludf.DUMMYFUNCTION("""COMPUTED_VALUE"""),"")</f>
        <v/>
      </c>
      <c r="AD826" s="11" t="str">
        <f ca="1">IFERROR(__xludf.DUMMYFUNCTION("""COMPUTED_VALUE"""),"")</f>
        <v/>
      </c>
      <c r="AE826" t="str">
        <f ca="1">IFERROR(__xludf.DUMMYFUNCTION("""COMPUTED_VALUE"""),"")</f>
        <v/>
      </c>
    </row>
    <row r="827" spans="1:31" ht="12.75" x14ac:dyDescent="0.2">
      <c r="A827">
        <f ca="1">IFERROR(__xludf.DUMMYFUNCTION("""COMPUTED_VALUE"""),38826)</f>
        <v>38826</v>
      </c>
      <c r="B827" t="str">
        <f ca="1">IFERROR(__xludf.DUMMYFUNCTION("""COMPUTED_VALUE"""),"REDON")</f>
        <v>REDON</v>
      </c>
      <c r="C827" t="str">
        <f ca="1">IFERROR(__xludf.DUMMYFUNCTION("""COMPUTED_VALUE"""),"U Express")</f>
        <v>U Express</v>
      </c>
      <c r="D827" t="str">
        <f ca="1">IFERROR(__xludf.DUMMYFUNCTION("""COMPUTED_VALUE"""),"Coop U Enseigne Ouest")</f>
        <v>Coop U Enseigne Ouest</v>
      </c>
      <c r="E827">
        <f ca="1">IFERROR(__xludf.DUMMYFUNCTION("""COMPUTED_VALUE"""),35600)</f>
        <v>35600</v>
      </c>
      <c r="F827" t="str">
        <f ca="1">IFERROR(__xludf.DUMMYFUNCTION("""COMPUTED_VALUE"""),"PLACE DU PARC- ANGER")</f>
        <v>PLACE DU PARC- ANGER</v>
      </c>
      <c r="G827" t="str">
        <f ca="1">IFERROR(__xludf.DUMMYFUNCTION("""COMPUTED_VALUE"""),"02.99.71.11.35")</f>
        <v>02.99.71.11.35</v>
      </c>
      <c r="H827" t="str">
        <f ca="1">IFERROR(__xludf.DUMMYFUNCTION("""COMPUTED_VALUE"""),"LE GUILLANT RPT SARL LOCALIM Serge")</f>
        <v>LE GUILLANT RPT SARL LOCALIM Serge</v>
      </c>
      <c r="I827" t="str">
        <f ca="1">IFERROR(__xludf.DUMMYFUNCTION("""COMPUTED_VALUE"""),"serge.leguillant@systeme-u.fr")</f>
        <v>serge.leguillant@systeme-u.fr</v>
      </c>
      <c r="J827" t="str">
        <f ca="1">IFERROR(__xludf.DUMMYFUNCTION("""COMPUTED_VALUE"""),"
OGER Benjamin
HUBERT Lydia")</f>
        <v xml:space="preserve">
OGER Benjamin
HUBERT Lydia</v>
      </c>
      <c r="K827" t="str">
        <f ca="1">IFERROR(__xludf.DUMMYFUNCTION("""COMPUTED_VALUE"""),"uexpress.redon.compta@systeme-u.fr")</f>
        <v>uexpress.redon.compta@systeme-u.fr</v>
      </c>
      <c r="L827" t="str">
        <f ca="1">IFERROR(__xludf.DUMMYFUNCTION("""COMPUTED_VALUE"""),"")</f>
        <v/>
      </c>
      <c r="M827" t="str">
        <f ca="1">IFERROR(__xludf.DUMMYFUNCTION("""COMPUTED_VALUE"""),"99.Hors Périmetre")</f>
        <v>99.Hors Périmetre</v>
      </c>
      <c r="N827" t="str">
        <f ca="1">IFERROR(__xludf.DUMMYFUNCTION("""COMPUTED_VALUE"""),"")</f>
        <v/>
      </c>
      <c r="O827" t="str">
        <f ca="1">IFERROR(__xludf.DUMMYFUNCTION("""COMPUTED_VALUE"""),"")</f>
        <v/>
      </c>
      <c r="P827" t="str">
        <f ca="1">IFERROR(__xludf.DUMMYFUNCTION("""COMPUTED_VALUE"""),"")</f>
        <v/>
      </c>
      <c r="Q827" s="5" t="str">
        <f ca="1">IFERROR(__xludf.DUMMYFUNCTION("""COMPUTED_VALUE"""),"")</f>
        <v/>
      </c>
      <c r="R827" s="6" t="str">
        <f ca="1">IFERROR(__xludf.DUMMYFUNCTION("""COMPUTED_VALUE"""),"")</f>
        <v/>
      </c>
      <c r="S827" t="str">
        <f ca="1">IFERROR(__xludf.DUMMYFUNCTION("""COMPUTED_VALUE"""),"")</f>
        <v/>
      </c>
      <c r="T827" t="str">
        <f ca="1">IFERROR(__xludf.DUMMYFUNCTION("""COMPUTED_VALUE"""),"")</f>
        <v/>
      </c>
      <c r="U827" t="str">
        <f ca="1">IFERROR(__xludf.DUMMYFUNCTION("""COMPUTED_VALUE"""),"")</f>
        <v/>
      </c>
      <c r="V827" t="str">
        <f ca="1">IFERROR(__xludf.DUMMYFUNCTION("""COMPUTED_VALUE"""),"")</f>
        <v/>
      </c>
      <c r="W827" t="str">
        <f ca="1">IFERROR(__xludf.DUMMYFUNCTION("""COMPUTED_VALUE"""),"")</f>
        <v/>
      </c>
      <c r="X827" t="str">
        <f ca="1">IFERROR(__xludf.DUMMYFUNCTION("""COMPUTED_VALUE"""),"")</f>
        <v/>
      </c>
      <c r="Y827" t="str">
        <f ca="1">IFERROR(__xludf.DUMMYFUNCTION("""COMPUTED_VALUE"""),"")</f>
        <v/>
      </c>
      <c r="Z827" t="str">
        <f ca="1">IFERROR(__xludf.DUMMYFUNCTION("""COMPUTED_VALUE"""),"")</f>
        <v/>
      </c>
      <c r="AA827" t="str">
        <f ca="1">IFERROR(__xludf.DUMMYFUNCTION("""COMPUTED_VALUE"""),"Pas de commande")</f>
        <v>Pas de commande</v>
      </c>
      <c r="AB827" s="8" t="str">
        <f ca="1">IFERROR(__xludf.DUMMYFUNCTION("""COMPUTED_VALUE"""),"")</f>
        <v/>
      </c>
      <c r="AC827" s="8" t="str">
        <f ca="1">IFERROR(__xludf.DUMMYFUNCTION("""COMPUTED_VALUE"""),"")</f>
        <v/>
      </c>
      <c r="AD827" s="11" t="str">
        <f ca="1">IFERROR(__xludf.DUMMYFUNCTION("""COMPUTED_VALUE"""),"")</f>
        <v/>
      </c>
      <c r="AE827" t="str">
        <f ca="1">IFERROR(__xludf.DUMMYFUNCTION("""COMPUTED_VALUE"""),"")</f>
        <v/>
      </c>
    </row>
    <row r="828" spans="1:31" ht="12.75" x14ac:dyDescent="0.2">
      <c r="A828">
        <f ca="1">IFERROR(__xludf.DUMMYFUNCTION("""COMPUTED_VALUE"""),90525)</f>
        <v>90525</v>
      </c>
      <c r="B828" t="str">
        <f ca="1">IFERROR(__xludf.DUMMYFUNCTION("""COMPUTED_VALUE"""),"REGUSSE")</f>
        <v>REGUSSE</v>
      </c>
      <c r="C828" t="str">
        <f ca="1">IFERROR(__xludf.DUMMYFUNCTION("""COMPUTED_VALUE"""),"Super U")</f>
        <v>Super U</v>
      </c>
      <c r="D828" t="str">
        <f ca="1">IFERROR(__xludf.DUMMYFUNCTION("""COMPUTED_VALUE"""),"Coop U Enseigne Sud")</f>
        <v>Coop U Enseigne Sud</v>
      </c>
      <c r="E828">
        <f ca="1">IFERROR(__xludf.DUMMYFUNCTION("""COMPUTED_VALUE"""),83630)</f>
        <v>83630</v>
      </c>
      <c r="F828" t="str">
        <f ca="1">IFERROR(__xludf.DUMMYFUNCTION("""COMPUTED_VALUE"""),"CC LES CLOUOS")</f>
        <v>CC LES CLOUOS</v>
      </c>
      <c r="G828" t="str">
        <f ca="1">IFERROR(__xludf.DUMMYFUNCTION("""COMPUTED_VALUE"""),"04.94.60.41.90")</f>
        <v>04.94.60.41.90</v>
      </c>
      <c r="H828" t="str">
        <f ca="1">IFERROR(__xludf.DUMMYFUNCTION("""COMPUTED_VALUE"""),"KAPPLER Pierre")</f>
        <v>KAPPLER Pierre</v>
      </c>
      <c r="I828" t="str">
        <f ca="1">IFERROR(__xludf.DUMMYFUNCTION("""COMPUTED_VALUE"""),"pierre.kappler@systeme-u.fr")</f>
        <v>pierre.kappler@systeme-u.fr</v>
      </c>
      <c r="J828" t="str">
        <f ca="1">IFERROR(__xludf.DUMMYFUNCTION("""COMPUTED_VALUE"""),"Isabelle ou Célia")</f>
        <v>Isabelle ou Célia</v>
      </c>
      <c r="K828" t="str">
        <f ca="1">IFERROR(__xludf.DUMMYFUNCTION("""COMPUTED_VALUE"""),"superu.regusse.accueil@systeme-u.fr, superu.regusse.compta@systeme-u.fr")</f>
        <v>superu.regusse.accueil@systeme-u.fr, superu.regusse.compta@systeme-u.fr</v>
      </c>
      <c r="L828" t="str">
        <f ca="1">IFERROR(__xludf.DUMMYFUNCTION("""COMPUTED_VALUE"""),"")</f>
        <v/>
      </c>
      <c r="M828" t="str">
        <f ca="1">IFERROR(__xludf.DUMMYFUNCTION("""COMPUTED_VALUE"""),"99.Hors Périmetre")</f>
        <v>99.Hors Périmetre</v>
      </c>
      <c r="N828" t="str">
        <f ca="1">IFERROR(__xludf.DUMMYFUNCTION("""COMPUTED_VALUE"""),"")</f>
        <v/>
      </c>
      <c r="O828" t="str">
        <f ca="1">IFERROR(__xludf.DUMMYFUNCTION("""COMPUTED_VALUE"""),"")</f>
        <v/>
      </c>
      <c r="P828" t="str">
        <f ca="1">IFERROR(__xludf.DUMMYFUNCTION("""COMPUTED_VALUE"""),"")</f>
        <v/>
      </c>
      <c r="Q828" s="5" t="str">
        <f ca="1">IFERROR(__xludf.DUMMYFUNCTION("""COMPUTED_VALUE"""),"")</f>
        <v/>
      </c>
      <c r="R828" s="6" t="str">
        <f ca="1">IFERROR(__xludf.DUMMYFUNCTION("""COMPUTED_VALUE"""),"")</f>
        <v/>
      </c>
      <c r="S828" t="str">
        <f ca="1">IFERROR(__xludf.DUMMYFUNCTION("""COMPUTED_VALUE"""),"")</f>
        <v/>
      </c>
      <c r="T828" t="str">
        <f ca="1">IFERROR(__xludf.DUMMYFUNCTION("""COMPUTED_VALUE"""),"")</f>
        <v/>
      </c>
      <c r="U828" t="str">
        <f ca="1">IFERROR(__xludf.DUMMYFUNCTION("""COMPUTED_VALUE"""),"")</f>
        <v/>
      </c>
      <c r="V828" t="str">
        <f ca="1">IFERROR(__xludf.DUMMYFUNCTION("""COMPUTED_VALUE"""),"")</f>
        <v/>
      </c>
      <c r="W828" t="str">
        <f ca="1">IFERROR(__xludf.DUMMYFUNCTION("""COMPUTED_VALUE"""),"")</f>
        <v/>
      </c>
      <c r="X828" t="str">
        <f ca="1">IFERROR(__xludf.DUMMYFUNCTION("""COMPUTED_VALUE"""),"")</f>
        <v/>
      </c>
      <c r="Y828" t="str">
        <f ca="1">IFERROR(__xludf.DUMMYFUNCTION("""COMPUTED_VALUE"""),"")</f>
        <v/>
      </c>
      <c r="Z828" t="str">
        <f ca="1">IFERROR(__xludf.DUMMYFUNCTION("""COMPUTED_VALUE"""),"")</f>
        <v/>
      </c>
      <c r="AA828" t="str">
        <f ca="1">IFERROR(__xludf.DUMMYFUNCTION("""COMPUTED_VALUE"""),"Pas de commande")</f>
        <v>Pas de commande</v>
      </c>
      <c r="AB828" s="8" t="str">
        <f ca="1">IFERROR(__xludf.DUMMYFUNCTION("""COMPUTED_VALUE"""),"")</f>
        <v/>
      </c>
      <c r="AC828" s="8" t="str">
        <f ca="1">IFERROR(__xludf.DUMMYFUNCTION("""COMPUTED_VALUE"""),"")</f>
        <v/>
      </c>
      <c r="AD828" s="11" t="str">
        <f ca="1">IFERROR(__xludf.DUMMYFUNCTION("""COMPUTED_VALUE"""),"")</f>
        <v/>
      </c>
      <c r="AE828" t="str">
        <f ca="1">IFERROR(__xludf.DUMMYFUNCTION("""COMPUTED_VALUE"""),"")</f>
        <v/>
      </c>
    </row>
    <row r="829" spans="1:31" ht="12.75" x14ac:dyDescent="0.2">
      <c r="A829">
        <f ca="1">IFERROR(__xludf.DUMMYFUNCTION("""COMPUTED_VALUE"""),65461)</f>
        <v>65461</v>
      </c>
      <c r="B829" t="str">
        <f ca="1">IFERROR(__xludf.DUMMYFUNCTION("""COMPUTED_VALUE"""),"REIMS COURCELLES")</f>
        <v>REIMS COURCELLES</v>
      </c>
      <c r="C829" t="str">
        <f ca="1">IFERROR(__xludf.DUMMYFUNCTION("""COMPUTED_VALUE"""),"U Express")</f>
        <v>U Express</v>
      </c>
      <c r="D829" t="str">
        <f ca="1">IFERROR(__xludf.DUMMYFUNCTION("""COMPUTED_VALUE"""),"Coop U Enseigne Est")</f>
        <v>Coop U Enseigne Est</v>
      </c>
      <c r="E829">
        <f ca="1">IFERROR(__xludf.DUMMYFUNCTION("""COMPUTED_VALUE"""),51100)</f>
        <v>51100</v>
      </c>
      <c r="F829" t="str">
        <f ca="1">IFERROR(__xludf.DUMMYFUNCTION("""COMPUTED_VALUE"""),"108 RUE MONT D'ARENE")</f>
        <v>108 RUE MONT D'ARENE</v>
      </c>
      <c r="G829" t="str">
        <f ca="1">IFERROR(__xludf.DUMMYFUNCTION("""COMPUTED_VALUE"""),"03.26.88.24.04")</f>
        <v>03.26.88.24.04</v>
      </c>
      <c r="H829" t="str">
        <f ca="1">IFERROR(__xludf.DUMMYFUNCTION("""COMPUTED_VALUE"""),"BRESSON RPT SAS VERTEX INVEST Antoine")</f>
        <v>BRESSON RPT SAS VERTEX INVEST Antoine</v>
      </c>
      <c r="I829" t="str">
        <f ca="1">IFERROR(__xludf.DUMMYFUNCTION("""COMPUTED_VALUE"""),"antoine.bresson@systeme-u.fr")</f>
        <v>antoine.bresson@systeme-u.fr</v>
      </c>
      <c r="J829" t="str">
        <f ca="1">IFERROR(__xludf.DUMMYFUNCTION("""COMPUTED_VALUE"""),"DEMESSANCE Vincent")</f>
        <v>DEMESSANCE Vincent</v>
      </c>
      <c r="K829" t="str">
        <f ca="1">IFERROR(__xludf.DUMMYFUNCTION("""COMPUTED_VALUE"""),"uexpress.reims.direction@systeme-u.fr")</f>
        <v>uexpress.reims.direction@systeme-u.fr</v>
      </c>
      <c r="L829" t="str">
        <f ca="1">IFERROR(__xludf.DUMMYFUNCTION("""COMPUTED_VALUE"""),"")</f>
        <v/>
      </c>
      <c r="M829" t="str">
        <f ca="1">IFERROR(__xludf.DUMMYFUNCTION("""COMPUTED_VALUE"""),"99.Hors Périmetre")</f>
        <v>99.Hors Périmetre</v>
      </c>
      <c r="N829" t="str">
        <f ca="1">IFERROR(__xludf.DUMMYFUNCTION("""COMPUTED_VALUE"""),"")</f>
        <v/>
      </c>
      <c r="O829" t="str">
        <f ca="1">IFERROR(__xludf.DUMMYFUNCTION("""COMPUTED_VALUE"""),"")</f>
        <v/>
      </c>
      <c r="P829" t="str">
        <f ca="1">IFERROR(__xludf.DUMMYFUNCTION("""COMPUTED_VALUE"""),"")</f>
        <v/>
      </c>
      <c r="Q829" s="5" t="str">
        <f ca="1">IFERROR(__xludf.DUMMYFUNCTION("""COMPUTED_VALUE"""),"")</f>
        <v/>
      </c>
      <c r="R829" s="6" t="str">
        <f ca="1">IFERROR(__xludf.DUMMYFUNCTION("""COMPUTED_VALUE"""),"")</f>
        <v/>
      </c>
      <c r="S829" t="str">
        <f ca="1">IFERROR(__xludf.DUMMYFUNCTION("""COMPUTED_VALUE"""),"")</f>
        <v/>
      </c>
      <c r="T829" t="str">
        <f ca="1">IFERROR(__xludf.DUMMYFUNCTION("""COMPUTED_VALUE"""),"")</f>
        <v/>
      </c>
      <c r="U829" t="str">
        <f ca="1">IFERROR(__xludf.DUMMYFUNCTION("""COMPUTED_VALUE"""),"")</f>
        <v/>
      </c>
      <c r="V829" t="str">
        <f ca="1">IFERROR(__xludf.DUMMYFUNCTION("""COMPUTED_VALUE"""),"")</f>
        <v/>
      </c>
      <c r="W829" t="str">
        <f ca="1">IFERROR(__xludf.DUMMYFUNCTION("""COMPUTED_VALUE"""),"")</f>
        <v/>
      </c>
      <c r="X829" t="str">
        <f ca="1">IFERROR(__xludf.DUMMYFUNCTION("""COMPUTED_VALUE"""),"")</f>
        <v/>
      </c>
      <c r="Y829" t="str">
        <f ca="1">IFERROR(__xludf.DUMMYFUNCTION("""COMPUTED_VALUE"""),"")</f>
        <v/>
      </c>
      <c r="Z829" t="str">
        <f ca="1">IFERROR(__xludf.DUMMYFUNCTION("""COMPUTED_VALUE"""),"")</f>
        <v/>
      </c>
      <c r="AA829" t="str">
        <f ca="1">IFERROR(__xludf.DUMMYFUNCTION("""COMPUTED_VALUE"""),"Pas de commande")</f>
        <v>Pas de commande</v>
      </c>
      <c r="AB829" s="8" t="str">
        <f ca="1">IFERROR(__xludf.DUMMYFUNCTION("""COMPUTED_VALUE"""),"")</f>
        <v/>
      </c>
      <c r="AC829" s="8" t="str">
        <f ca="1">IFERROR(__xludf.DUMMYFUNCTION("""COMPUTED_VALUE"""),"")</f>
        <v/>
      </c>
      <c r="AD829" s="11" t="str">
        <f ca="1">IFERROR(__xludf.DUMMYFUNCTION("""COMPUTED_VALUE"""),"")</f>
        <v/>
      </c>
      <c r="AE829" t="str">
        <f ca="1">IFERROR(__xludf.DUMMYFUNCTION("""COMPUTED_VALUE"""),"")</f>
        <v/>
      </c>
    </row>
    <row r="830" spans="1:31" ht="12.75" x14ac:dyDescent="0.2">
      <c r="A830">
        <f ca="1">IFERROR(__xludf.DUMMYFUNCTION("""COMPUTED_VALUE"""),37345)</f>
        <v>37345</v>
      </c>
      <c r="B830" t="str">
        <f ca="1">IFERROR(__xludf.DUMMYFUNCTION("""COMPUTED_VALUE"""),"RENNES BEAUREGARD")</f>
        <v>RENNES BEAUREGARD</v>
      </c>
      <c r="C830" t="str">
        <f ca="1">IFERROR(__xludf.DUMMYFUNCTION("""COMPUTED_VALUE"""),"U Express")</f>
        <v>U Express</v>
      </c>
      <c r="D830" t="str">
        <f ca="1">IFERROR(__xludf.DUMMYFUNCTION("""COMPUTED_VALUE"""),"Coop U Enseigne Ouest")</f>
        <v>Coop U Enseigne Ouest</v>
      </c>
      <c r="E830">
        <f ca="1">IFERROR(__xludf.DUMMYFUNCTION("""COMPUTED_VALUE"""),35000)</f>
        <v>35000</v>
      </c>
      <c r="F830" t="str">
        <f ca="1">IFERROR(__xludf.DUMMYFUNCTION("""COMPUTED_VALUE"""),"14, AVENUE DE CUCILLE")</f>
        <v>14, AVENUE DE CUCILLE</v>
      </c>
      <c r="G830" t="str">
        <f ca="1">IFERROR(__xludf.DUMMYFUNCTION("""COMPUTED_VALUE"""),"02.23.42.35.40")</f>
        <v>02.23.42.35.40</v>
      </c>
      <c r="H830" t="str">
        <f ca="1">IFERROR(__xludf.DUMMYFUNCTION("""COMPUTED_VALUE"""),"GOUSSET RPT FGH FINANCES Franck")</f>
        <v>GOUSSET RPT FGH FINANCES Franck</v>
      </c>
      <c r="I830" t="str">
        <f ca="1">IFERROR(__xludf.DUMMYFUNCTION("""COMPUTED_VALUE"""),"franck.gousset@systeme-u.fr")</f>
        <v>franck.gousset@systeme-u.fr</v>
      </c>
      <c r="J830" t="str">
        <f ca="1">IFERROR(__xludf.DUMMYFUNCTION("""COMPUTED_VALUE"""),"Freddy REGNARD")</f>
        <v>Freddy REGNARD</v>
      </c>
      <c r="K830" t="str">
        <f ca="1">IFERROR(__xludf.DUMMYFUNCTION("""COMPUTED_VALUE"""),"uexpress.rennesbeauregard@systeme-u.fr")</f>
        <v>uexpress.rennesbeauregard@systeme-u.fr</v>
      </c>
      <c r="L830" t="str">
        <f ca="1">IFERROR(__xludf.DUMMYFUNCTION("""COMPUTED_VALUE"""),"")</f>
        <v/>
      </c>
      <c r="M830" t="str">
        <f ca="1">IFERROR(__xludf.DUMMYFUNCTION("""COMPUTED_VALUE"""),"99.Hors Périmetre")</f>
        <v>99.Hors Périmetre</v>
      </c>
      <c r="N830" t="str">
        <f ca="1">IFERROR(__xludf.DUMMYFUNCTION("""COMPUTED_VALUE"""),"")</f>
        <v/>
      </c>
      <c r="O830" t="str">
        <f ca="1">IFERROR(__xludf.DUMMYFUNCTION("""COMPUTED_VALUE"""),"")</f>
        <v/>
      </c>
      <c r="P830" t="str">
        <f ca="1">IFERROR(__xludf.DUMMYFUNCTION("""COMPUTED_VALUE"""),"")</f>
        <v/>
      </c>
      <c r="Q830" s="5" t="str">
        <f ca="1">IFERROR(__xludf.DUMMYFUNCTION("""COMPUTED_VALUE"""),"")</f>
        <v/>
      </c>
      <c r="R830" s="6" t="str">
        <f ca="1">IFERROR(__xludf.DUMMYFUNCTION("""COMPUTED_VALUE"""),"")</f>
        <v/>
      </c>
      <c r="S830" t="str">
        <f ca="1">IFERROR(__xludf.DUMMYFUNCTION("""COMPUTED_VALUE"""),"")</f>
        <v/>
      </c>
      <c r="T830" t="str">
        <f ca="1">IFERROR(__xludf.DUMMYFUNCTION("""COMPUTED_VALUE"""),"")</f>
        <v/>
      </c>
      <c r="U830" t="str">
        <f ca="1">IFERROR(__xludf.DUMMYFUNCTION("""COMPUTED_VALUE"""),"")</f>
        <v/>
      </c>
      <c r="V830" t="str">
        <f ca="1">IFERROR(__xludf.DUMMYFUNCTION("""COMPUTED_VALUE"""),"")</f>
        <v/>
      </c>
      <c r="W830" t="str">
        <f ca="1">IFERROR(__xludf.DUMMYFUNCTION("""COMPUTED_VALUE"""),"")</f>
        <v/>
      </c>
      <c r="X830" t="str">
        <f ca="1">IFERROR(__xludf.DUMMYFUNCTION("""COMPUTED_VALUE"""),"")</f>
        <v/>
      </c>
      <c r="Y830" t="str">
        <f ca="1">IFERROR(__xludf.DUMMYFUNCTION("""COMPUTED_VALUE"""),"")</f>
        <v/>
      </c>
      <c r="Z830" t="str">
        <f ca="1">IFERROR(__xludf.DUMMYFUNCTION("""COMPUTED_VALUE"""),"")</f>
        <v/>
      </c>
      <c r="AA830" t="str">
        <f ca="1">IFERROR(__xludf.DUMMYFUNCTION("""COMPUTED_VALUE"""),"Pas de commande")</f>
        <v>Pas de commande</v>
      </c>
      <c r="AB830" s="8" t="str">
        <f ca="1">IFERROR(__xludf.DUMMYFUNCTION("""COMPUTED_VALUE"""),"")</f>
        <v/>
      </c>
      <c r="AC830" s="8" t="str">
        <f ca="1">IFERROR(__xludf.DUMMYFUNCTION("""COMPUTED_VALUE"""),"")</f>
        <v/>
      </c>
      <c r="AD830" s="11" t="str">
        <f ca="1">IFERROR(__xludf.DUMMYFUNCTION("""COMPUTED_VALUE"""),"")</f>
        <v/>
      </c>
      <c r="AE830" t="str">
        <f ca="1">IFERROR(__xludf.DUMMYFUNCTION("""COMPUTED_VALUE"""),"")</f>
        <v/>
      </c>
    </row>
    <row r="831" spans="1:31" ht="12.75" x14ac:dyDescent="0.2">
      <c r="A831">
        <f ca="1">IFERROR(__xludf.DUMMYFUNCTION("""COMPUTED_VALUE"""),37366)</f>
        <v>37366</v>
      </c>
      <c r="B831" t="str">
        <f ca="1">IFERROR(__xludf.DUMMYFUNCTION("""COMPUTED_VALUE"""),"RENNES BREST")</f>
        <v>RENNES BREST</v>
      </c>
      <c r="C831" t="str">
        <f ca="1">IFERROR(__xludf.DUMMYFUNCTION("""COMPUTED_VALUE"""),"U Express")</f>
        <v>U Express</v>
      </c>
      <c r="D831" t="str">
        <f ca="1">IFERROR(__xludf.DUMMYFUNCTION("""COMPUTED_VALUE"""),"Coop U Enseigne Ouest")</f>
        <v>Coop U Enseigne Ouest</v>
      </c>
      <c r="E831">
        <f ca="1">IFERROR(__xludf.DUMMYFUNCTION("""COMPUTED_VALUE"""),35000)</f>
        <v>35000</v>
      </c>
      <c r="F831" t="str">
        <f ca="1">IFERROR(__xludf.DUMMYFUNCTION("""COMPUTED_VALUE"""),"21 RUE DE BREST")</f>
        <v>21 RUE DE BREST</v>
      </c>
      <c r="G831" t="str">
        <f ca="1">IFERROR(__xludf.DUMMYFUNCTION("""COMPUTED_VALUE"""),"02.99.14.31.10")</f>
        <v>02.99.14.31.10</v>
      </c>
      <c r="H831" t="str">
        <f ca="1">IFERROR(__xludf.DUMMYFUNCTION("""COMPUTED_VALUE"""),"LANGLOIS RPT SARL DU PARC Rémy")</f>
        <v>LANGLOIS RPT SARL DU PARC Rémy</v>
      </c>
      <c r="I831" t="str">
        <f ca="1">IFERROR(__xludf.DUMMYFUNCTION("""COMPUTED_VALUE"""),"remy.langlois@systeme-u.fr")</f>
        <v>remy.langlois@systeme-u.fr</v>
      </c>
      <c r="J831" t="str">
        <f ca="1">IFERROR(__xludf.DUMMYFUNCTION("""COMPUTED_VALUE"""),"Mme Sabrina LOLLIVIER")</f>
        <v>Mme Sabrina LOLLIVIER</v>
      </c>
      <c r="K831" t="str">
        <f ca="1">IFERROR(__xludf.DUMMYFUNCTION("""COMPUTED_VALUE"""),"uexpress.rennesbrest.compta1@systeme-u.fr")</f>
        <v>uexpress.rennesbrest.compta1@systeme-u.fr</v>
      </c>
      <c r="L831" t="str">
        <f ca="1">IFERROR(__xludf.DUMMYFUNCTION("""COMPUTED_VALUE"""),"")</f>
        <v/>
      </c>
      <c r="M831" t="str">
        <f ca="1">IFERROR(__xludf.DUMMYFUNCTION("""COMPUTED_VALUE"""),"99.Hors Périmetre")</f>
        <v>99.Hors Périmetre</v>
      </c>
      <c r="N831" t="str">
        <f ca="1">IFERROR(__xludf.DUMMYFUNCTION("""COMPUTED_VALUE"""),"")</f>
        <v/>
      </c>
      <c r="O831" t="str">
        <f ca="1">IFERROR(__xludf.DUMMYFUNCTION("""COMPUTED_VALUE"""),"")</f>
        <v/>
      </c>
      <c r="P831" t="str">
        <f ca="1">IFERROR(__xludf.DUMMYFUNCTION("""COMPUTED_VALUE"""),"")</f>
        <v/>
      </c>
      <c r="Q831" s="5" t="str">
        <f ca="1">IFERROR(__xludf.DUMMYFUNCTION("""COMPUTED_VALUE"""),"")</f>
        <v/>
      </c>
      <c r="R831" s="6" t="str">
        <f ca="1">IFERROR(__xludf.DUMMYFUNCTION("""COMPUTED_VALUE"""),"")</f>
        <v/>
      </c>
      <c r="S831" t="str">
        <f ca="1">IFERROR(__xludf.DUMMYFUNCTION("""COMPUTED_VALUE"""),"")</f>
        <v/>
      </c>
      <c r="T831" t="str">
        <f ca="1">IFERROR(__xludf.DUMMYFUNCTION("""COMPUTED_VALUE"""),"")</f>
        <v/>
      </c>
      <c r="U831" t="str">
        <f ca="1">IFERROR(__xludf.DUMMYFUNCTION("""COMPUTED_VALUE"""),"")</f>
        <v/>
      </c>
      <c r="V831" t="str">
        <f ca="1">IFERROR(__xludf.DUMMYFUNCTION("""COMPUTED_VALUE"""),"")</f>
        <v/>
      </c>
      <c r="W831" t="str">
        <f ca="1">IFERROR(__xludf.DUMMYFUNCTION("""COMPUTED_VALUE"""),"")</f>
        <v/>
      </c>
      <c r="X831" t="str">
        <f ca="1">IFERROR(__xludf.DUMMYFUNCTION("""COMPUTED_VALUE"""),"")</f>
        <v/>
      </c>
      <c r="Y831" t="str">
        <f ca="1">IFERROR(__xludf.DUMMYFUNCTION("""COMPUTED_VALUE"""),"")</f>
        <v/>
      </c>
      <c r="Z831" t="str">
        <f ca="1">IFERROR(__xludf.DUMMYFUNCTION("""COMPUTED_VALUE"""),"")</f>
        <v/>
      </c>
      <c r="AA831" t="str">
        <f ca="1">IFERROR(__xludf.DUMMYFUNCTION("""COMPUTED_VALUE"""),"Pas de commande")</f>
        <v>Pas de commande</v>
      </c>
      <c r="AB831" s="8" t="str">
        <f ca="1">IFERROR(__xludf.DUMMYFUNCTION("""COMPUTED_VALUE"""),"")</f>
        <v/>
      </c>
      <c r="AC831" s="8" t="str">
        <f ca="1">IFERROR(__xludf.DUMMYFUNCTION("""COMPUTED_VALUE"""),"")</f>
        <v/>
      </c>
      <c r="AD831" s="11" t="str">
        <f ca="1">IFERROR(__xludf.DUMMYFUNCTION("""COMPUTED_VALUE"""),"")</f>
        <v/>
      </c>
      <c r="AE831" t="str">
        <f ca="1">IFERROR(__xludf.DUMMYFUNCTION("""COMPUTED_VALUE"""),"")</f>
        <v/>
      </c>
    </row>
    <row r="832" spans="1:31" ht="12.75" x14ac:dyDescent="0.2">
      <c r="A832">
        <f ca="1">IFERROR(__xludf.DUMMYFUNCTION("""COMPUTED_VALUE"""),38354)</f>
        <v>38354</v>
      </c>
      <c r="B832" t="str">
        <f ca="1">IFERROR(__xludf.DUMMYFUNCTION("""COMPUTED_VALUE"""),"RENNES FOUGERES")</f>
        <v>RENNES FOUGERES</v>
      </c>
      <c r="C832" t="str">
        <f ca="1">IFERROR(__xludf.DUMMYFUNCTION("""COMPUTED_VALUE"""),"Super U")</f>
        <v>Super U</v>
      </c>
      <c r="D832" t="str">
        <f ca="1">IFERROR(__xludf.DUMMYFUNCTION("""COMPUTED_VALUE"""),"Coop U Enseigne Ouest")</f>
        <v>Coop U Enseigne Ouest</v>
      </c>
      <c r="E832">
        <f ca="1">IFERROR(__xludf.DUMMYFUNCTION("""COMPUTED_VALUE"""),35000)</f>
        <v>35000</v>
      </c>
      <c r="F832" t="str">
        <f ca="1">IFERROR(__xludf.DUMMYFUNCTION("""COMPUTED_VALUE"""),"205, RUE DE FOUGÈRES")</f>
        <v>205, RUE DE FOUGÈRES</v>
      </c>
      <c r="G832" t="str">
        <f ca="1">IFERROR(__xludf.DUMMYFUNCTION("""COMPUTED_VALUE"""),"02.99.36.04.26")</f>
        <v>02.99.36.04.26</v>
      </c>
      <c r="H832" t="str">
        <f ca="1">IFERROR(__xludf.DUMMYFUNCTION("""COMPUTED_VALUE"""),"GUILLEMOT RPT SA NOGINVEST Rémi")</f>
        <v>GUILLEMOT RPT SA NOGINVEST Rémi</v>
      </c>
      <c r="I832" t="str">
        <f ca="1">IFERROR(__xludf.DUMMYFUNCTION("""COMPUTED_VALUE"""),"remi.guillemot@systeme-u.fr")</f>
        <v>remi.guillemot@systeme-u.fr</v>
      </c>
      <c r="J832" t="str">
        <f ca="1">IFERROR(__xludf.DUMMYFUNCTION("""COMPUTED_VALUE"""),"GEFFROY STEPHANE")</f>
        <v>GEFFROY STEPHANE</v>
      </c>
      <c r="K832" t="str">
        <f ca="1">IFERROR(__xludf.DUMMYFUNCTION("""COMPUTED_VALUE"""),"stephane.geffroy@systeme-u.fr")</f>
        <v>stephane.geffroy@systeme-u.fr</v>
      </c>
      <c r="L832" t="str">
        <f ca="1">IFERROR(__xludf.DUMMYFUNCTION("""COMPUTED_VALUE"""),"")</f>
        <v/>
      </c>
      <c r="M832" t="str">
        <f ca="1">IFERROR(__xludf.DUMMYFUNCTION("""COMPUTED_VALUE"""),"99.Hors Périmetre")</f>
        <v>99.Hors Périmetre</v>
      </c>
      <c r="N832" t="str">
        <f ca="1">IFERROR(__xludf.DUMMYFUNCTION("""COMPUTED_VALUE"""),"")</f>
        <v/>
      </c>
      <c r="O832" t="str">
        <f ca="1">IFERROR(__xludf.DUMMYFUNCTION("""COMPUTED_VALUE"""),"")</f>
        <v/>
      </c>
      <c r="P832" t="str">
        <f ca="1">IFERROR(__xludf.DUMMYFUNCTION("""COMPUTED_VALUE"""),"")</f>
        <v/>
      </c>
      <c r="Q832" s="5" t="str">
        <f ca="1">IFERROR(__xludf.DUMMYFUNCTION("""COMPUTED_VALUE"""),"")</f>
        <v/>
      </c>
      <c r="R832" s="6" t="str">
        <f ca="1">IFERROR(__xludf.DUMMYFUNCTION("""COMPUTED_VALUE"""),"")</f>
        <v/>
      </c>
      <c r="S832" t="str">
        <f ca="1">IFERROR(__xludf.DUMMYFUNCTION("""COMPUTED_VALUE"""),"")</f>
        <v/>
      </c>
      <c r="T832" t="str">
        <f ca="1">IFERROR(__xludf.DUMMYFUNCTION("""COMPUTED_VALUE"""),"")</f>
        <v/>
      </c>
      <c r="U832" t="str">
        <f ca="1">IFERROR(__xludf.DUMMYFUNCTION("""COMPUTED_VALUE"""),"")</f>
        <v/>
      </c>
      <c r="V832" t="str">
        <f ca="1">IFERROR(__xludf.DUMMYFUNCTION("""COMPUTED_VALUE"""),"")</f>
        <v/>
      </c>
      <c r="W832" t="str">
        <f ca="1">IFERROR(__xludf.DUMMYFUNCTION("""COMPUTED_VALUE"""),"")</f>
        <v/>
      </c>
      <c r="X832" t="str">
        <f ca="1">IFERROR(__xludf.DUMMYFUNCTION("""COMPUTED_VALUE"""),"")</f>
        <v/>
      </c>
      <c r="Y832" t="str">
        <f ca="1">IFERROR(__xludf.DUMMYFUNCTION("""COMPUTED_VALUE"""),"")</f>
        <v/>
      </c>
      <c r="Z832" t="str">
        <f ca="1">IFERROR(__xludf.DUMMYFUNCTION("""COMPUTED_VALUE"""),"")</f>
        <v/>
      </c>
      <c r="AA832" t="str">
        <f ca="1">IFERROR(__xludf.DUMMYFUNCTION("""COMPUTED_VALUE"""),"Pas de commande")</f>
        <v>Pas de commande</v>
      </c>
      <c r="AB832" s="8" t="str">
        <f ca="1">IFERROR(__xludf.DUMMYFUNCTION("""COMPUTED_VALUE"""),"")</f>
        <v/>
      </c>
      <c r="AC832" s="8" t="str">
        <f ca="1">IFERROR(__xludf.DUMMYFUNCTION("""COMPUTED_VALUE"""),"")</f>
        <v/>
      </c>
      <c r="AD832" s="11" t="str">
        <f ca="1">IFERROR(__xludf.DUMMYFUNCTION("""COMPUTED_VALUE"""),"")</f>
        <v/>
      </c>
      <c r="AE832" t="str">
        <f ca="1">IFERROR(__xludf.DUMMYFUNCTION("""COMPUTED_VALUE"""),"")</f>
        <v/>
      </c>
    </row>
    <row r="833" spans="1:31" ht="12.75" x14ac:dyDescent="0.2">
      <c r="A833">
        <f ca="1">IFERROR(__xludf.DUMMYFUNCTION("""COMPUTED_VALUE"""),30272)</f>
        <v>30272</v>
      </c>
      <c r="B833" t="str">
        <f ca="1">IFERROR(__xludf.DUMMYFUNCTION("""COMPUTED_VALUE"""),"RENNES GROS CHENE")</f>
        <v>RENNES GROS CHENE</v>
      </c>
      <c r="C833" t="str">
        <f ca="1">IFERROR(__xludf.DUMMYFUNCTION("""COMPUTED_VALUE"""),"U Express")</f>
        <v>U Express</v>
      </c>
      <c r="D833" t="str">
        <f ca="1">IFERROR(__xludf.DUMMYFUNCTION("""COMPUTED_VALUE"""),"Coop U Enseigne Ouest")</f>
        <v>Coop U Enseigne Ouest</v>
      </c>
      <c r="E833">
        <f ca="1">IFERROR(__xludf.DUMMYFUNCTION("""COMPUTED_VALUE"""),35700)</f>
        <v>35700</v>
      </c>
      <c r="F833" t="str">
        <f ca="1">IFERROR(__xludf.DUMMYFUNCTION("""COMPUTED_VALUE"""),"12, PLACE DU GROS CHÊNE")</f>
        <v>12, PLACE DU GROS CHÊNE</v>
      </c>
      <c r="G833" t="str">
        <f ca="1">IFERROR(__xludf.DUMMYFUNCTION("""COMPUTED_VALUE"""),"02.99.63.14.02")</f>
        <v>02.99.63.14.02</v>
      </c>
      <c r="H833" t="str">
        <f ca="1">IFERROR(__xludf.DUMMYFUNCTION("""COMPUTED_VALUE"""),"GUILLEMOT RPT SA NOGINVEST Remi")</f>
        <v>GUILLEMOT RPT SA NOGINVEST Remi</v>
      </c>
      <c r="I833" t="str">
        <f ca="1">IFERROR(__xludf.DUMMYFUNCTION("""COMPUTED_VALUE"""),"remi.guillemot@systeme-u.fr")</f>
        <v>remi.guillemot@systeme-u.fr</v>
      </c>
      <c r="J833" t="str">
        <f ca="1">IFERROR(__xludf.DUMMYFUNCTION("""COMPUTED_VALUE"""),"COLLIN grégory")</f>
        <v>COLLIN grégory</v>
      </c>
      <c r="K833" t="str">
        <f ca="1">IFERROR(__xludf.DUMMYFUNCTION("""COMPUTED_VALUE"""),"gregory.collin@systeme-u.fr")</f>
        <v>gregory.collin@systeme-u.fr</v>
      </c>
      <c r="L833" t="str">
        <f ca="1">IFERROR(__xludf.DUMMYFUNCTION("""COMPUTED_VALUE"""),"")</f>
        <v/>
      </c>
      <c r="M833" t="str">
        <f ca="1">IFERROR(__xludf.DUMMYFUNCTION("""COMPUTED_VALUE"""),"99.Hors Périmetre")</f>
        <v>99.Hors Périmetre</v>
      </c>
      <c r="N833" t="str">
        <f ca="1">IFERROR(__xludf.DUMMYFUNCTION("""COMPUTED_VALUE"""),"")</f>
        <v/>
      </c>
      <c r="O833" t="str">
        <f ca="1">IFERROR(__xludf.DUMMYFUNCTION("""COMPUTED_VALUE"""),"")</f>
        <v/>
      </c>
      <c r="P833" t="str">
        <f ca="1">IFERROR(__xludf.DUMMYFUNCTION("""COMPUTED_VALUE"""),"")</f>
        <v/>
      </c>
      <c r="Q833" s="5" t="str">
        <f ca="1">IFERROR(__xludf.DUMMYFUNCTION("""COMPUTED_VALUE"""),"")</f>
        <v/>
      </c>
      <c r="R833" s="6" t="str">
        <f ca="1">IFERROR(__xludf.DUMMYFUNCTION("""COMPUTED_VALUE"""),"")</f>
        <v/>
      </c>
      <c r="S833" t="str">
        <f ca="1">IFERROR(__xludf.DUMMYFUNCTION("""COMPUTED_VALUE"""),"")</f>
        <v/>
      </c>
      <c r="T833" t="str">
        <f ca="1">IFERROR(__xludf.DUMMYFUNCTION("""COMPUTED_VALUE"""),"")</f>
        <v/>
      </c>
      <c r="U833" t="str">
        <f ca="1">IFERROR(__xludf.DUMMYFUNCTION("""COMPUTED_VALUE"""),"")</f>
        <v/>
      </c>
      <c r="V833" t="str">
        <f ca="1">IFERROR(__xludf.DUMMYFUNCTION("""COMPUTED_VALUE"""),"")</f>
        <v/>
      </c>
      <c r="W833" t="str">
        <f ca="1">IFERROR(__xludf.DUMMYFUNCTION("""COMPUTED_VALUE"""),"")</f>
        <v/>
      </c>
      <c r="X833" t="str">
        <f ca="1">IFERROR(__xludf.DUMMYFUNCTION("""COMPUTED_VALUE"""),"")</f>
        <v/>
      </c>
      <c r="Y833" t="str">
        <f ca="1">IFERROR(__xludf.DUMMYFUNCTION("""COMPUTED_VALUE"""),"")</f>
        <v/>
      </c>
      <c r="Z833" t="str">
        <f ca="1">IFERROR(__xludf.DUMMYFUNCTION("""COMPUTED_VALUE"""),"")</f>
        <v/>
      </c>
      <c r="AA833" t="str">
        <f ca="1">IFERROR(__xludf.DUMMYFUNCTION("""COMPUTED_VALUE"""),"Pas de commande")</f>
        <v>Pas de commande</v>
      </c>
      <c r="AB833" s="8" t="str">
        <f ca="1">IFERROR(__xludf.DUMMYFUNCTION("""COMPUTED_VALUE"""),"")</f>
        <v/>
      </c>
      <c r="AC833" s="8" t="str">
        <f ca="1">IFERROR(__xludf.DUMMYFUNCTION("""COMPUTED_VALUE"""),"")</f>
        <v/>
      </c>
      <c r="AD833" s="11" t="str">
        <f ca="1">IFERROR(__xludf.DUMMYFUNCTION("""COMPUTED_VALUE"""),"")</f>
        <v/>
      </c>
      <c r="AE833" t="str">
        <f ca="1">IFERROR(__xludf.DUMMYFUNCTION("""COMPUTED_VALUE"""),"")</f>
        <v/>
      </c>
    </row>
    <row r="834" spans="1:31" ht="12.75" x14ac:dyDescent="0.2">
      <c r="A834">
        <f ca="1">IFERROR(__xludf.DUMMYFUNCTION("""COMPUTED_VALUE"""),38672)</f>
        <v>38672</v>
      </c>
      <c r="B834" t="str">
        <f ca="1">IFERROR(__xludf.DUMMYFUNCTION("""COMPUTED_VALUE"""),"RENNES HOCHE")</f>
        <v>RENNES HOCHE</v>
      </c>
      <c r="C834" t="str">
        <f ca="1">IFERROR(__xludf.DUMMYFUNCTION("""COMPUTED_VALUE"""),"U Express")</f>
        <v>U Express</v>
      </c>
      <c r="D834" t="str">
        <f ca="1">IFERROR(__xludf.DUMMYFUNCTION("""COMPUTED_VALUE"""),"Coop U Enseigne Ouest")</f>
        <v>Coop U Enseigne Ouest</v>
      </c>
      <c r="E834">
        <f ca="1">IFERROR(__xludf.DUMMYFUNCTION("""COMPUTED_VALUE"""),35000)</f>
        <v>35000</v>
      </c>
      <c r="F834" t="str">
        <f ca="1">IFERROR(__xludf.DUMMYFUNCTION("""COMPUTED_VALUE"""),"10 PLACE HOCHE")</f>
        <v>10 PLACE HOCHE</v>
      </c>
      <c r="G834" t="str">
        <f ca="1">IFERROR(__xludf.DUMMYFUNCTION("""COMPUTED_VALUE"""),"02.23.21.10.60")</f>
        <v>02.23.21.10.60</v>
      </c>
      <c r="H834" t="str">
        <f ca="1">IFERROR(__xludf.DUMMYFUNCTION("""COMPUTED_VALUE"""),"GOUSSET RPT FGH FINANCES Franck")</f>
        <v>GOUSSET RPT FGH FINANCES Franck</v>
      </c>
      <c r="I834" t="str">
        <f ca="1">IFERROR(__xludf.DUMMYFUNCTION("""COMPUTED_VALUE"""),"franck.gousset@systeme-u.fr")</f>
        <v>franck.gousset@systeme-u.fr</v>
      </c>
      <c r="J834" t="str">
        <f ca="1">IFERROR(__xludf.DUMMYFUNCTION("""COMPUTED_VALUE"""),"Sébastien LEPAGE")</f>
        <v>Sébastien LEPAGE</v>
      </c>
      <c r="K834" t="str">
        <f ca="1">IFERROR(__xludf.DUMMYFUNCTION("""COMPUTED_VALUE"""),"uexpress.renneshoche@systeme-u.fr")</f>
        <v>uexpress.renneshoche@systeme-u.fr</v>
      </c>
      <c r="L834" t="str">
        <f ca="1">IFERROR(__xludf.DUMMYFUNCTION("""COMPUTED_VALUE"""),"")</f>
        <v/>
      </c>
      <c r="M834" t="str">
        <f ca="1">IFERROR(__xludf.DUMMYFUNCTION("""COMPUTED_VALUE"""),"99.Hors Périmetre")</f>
        <v>99.Hors Périmetre</v>
      </c>
      <c r="N834" t="str">
        <f ca="1">IFERROR(__xludf.DUMMYFUNCTION("""COMPUTED_VALUE"""),"")</f>
        <v/>
      </c>
      <c r="O834" t="str">
        <f ca="1">IFERROR(__xludf.DUMMYFUNCTION("""COMPUTED_VALUE"""),"")</f>
        <v/>
      </c>
      <c r="P834" t="str">
        <f ca="1">IFERROR(__xludf.DUMMYFUNCTION("""COMPUTED_VALUE"""),"")</f>
        <v/>
      </c>
      <c r="Q834" s="5" t="str">
        <f ca="1">IFERROR(__xludf.DUMMYFUNCTION("""COMPUTED_VALUE"""),"")</f>
        <v/>
      </c>
      <c r="R834" s="6" t="str">
        <f ca="1">IFERROR(__xludf.DUMMYFUNCTION("""COMPUTED_VALUE"""),"")</f>
        <v/>
      </c>
      <c r="S834" t="str">
        <f ca="1">IFERROR(__xludf.DUMMYFUNCTION("""COMPUTED_VALUE"""),"")</f>
        <v/>
      </c>
      <c r="T834" t="str">
        <f ca="1">IFERROR(__xludf.DUMMYFUNCTION("""COMPUTED_VALUE"""),"")</f>
        <v/>
      </c>
      <c r="U834" t="str">
        <f ca="1">IFERROR(__xludf.DUMMYFUNCTION("""COMPUTED_VALUE"""),"")</f>
        <v/>
      </c>
      <c r="V834" t="str">
        <f ca="1">IFERROR(__xludf.DUMMYFUNCTION("""COMPUTED_VALUE"""),"")</f>
        <v/>
      </c>
      <c r="W834" t="str">
        <f ca="1">IFERROR(__xludf.DUMMYFUNCTION("""COMPUTED_VALUE"""),"")</f>
        <v/>
      </c>
      <c r="X834" t="str">
        <f ca="1">IFERROR(__xludf.DUMMYFUNCTION("""COMPUTED_VALUE"""),"")</f>
        <v/>
      </c>
      <c r="Y834" t="str">
        <f ca="1">IFERROR(__xludf.DUMMYFUNCTION("""COMPUTED_VALUE"""),"")</f>
        <v/>
      </c>
      <c r="Z834" t="str">
        <f ca="1">IFERROR(__xludf.DUMMYFUNCTION("""COMPUTED_VALUE"""),"")</f>
        <v/>
      </c>
      <c r="AA834" t="str">
        <f ca="1">IFERROR(__xludf.DUMMYFUNCTION("""COMPUTED_VALUE"""),"Pas de commande")</f>
        <v>Pas de commande</v>
      </c>
      <c r="AB834" s="8" t="str">
        <f ca="1">IFERROR(__xludf.DUMMYFUNCTION("""COMPUTED_VALUE"""),"")</f>
        <v/>
      </c>
      <c r="AC834" s="8" t="str">
        <f ca="1">IFERROR(__xludf.DUMMYFUNCTION("""COMPUTED_VALUE"""),"")</f>
        <v/>
      </c>
      <c r="AD834" s="11" t="str">
        <f ca="1">IFERROR(__xludf.DUMMYFUNCTION("""COMPUTED_VALUE"""),"")</f>
        <v/>
      </c>
      <c r="AE834" t="str">
        <f ca="1">IFERROR(__xludf.DUMMYFUNCTION("""COMPUTED_VALUE"""),"")</f>
        <v/>
      </c>
    </row>
    <row r="835" spans="1:31" ht="12.75" x14ac:dyDescent="0.2">
      <c r="A835">
        <f ca="1">IFERROR(__xludf.DUMMYFUNCTION("""COMPUTED_VALUE"""),37910)</f>
        <v>37910</v>
      </c>
      <c r="B835" t="str">
        <f ca="1">IFERROR(__xludf.DUMMYFUNCTION("""COMPUTED_VALUE"""),"RENNES LIBERTE")</f>
        <v>RENNES LIBERTE</v>
      </c>
      <c r="C835" t="str">
        <f ca="1">IFERROR(__xludf.DUMMYFUNCTION("""COMPUTED_VALUE"""),"U Express")</f>
        <v>U Express</v>
      </c>
      <c r="D835" t="str">
        <f ca="1">IFERROR(__xludf.DUMMYFUNCTION("""COMPUTED_VALUE"""),"Coop U Enseigne Ouest")</f>
        <v>Coop U Enseigne Ouest</v>
      </c>
      <c r="E835">
        <f ca="1">IFERROR(__xludf.DUMMYFUNCTION("""COMPUTED_VALUE"""),35000)</f>
        <v>35000</v>
      </c>
      <c r="F835" t="str">
        <f ca="1">IFERROR(__xludf.DUMMYFUNCTION("""COMPUTED_VALUE"""),"27-31 RUE POULLAIN DUPARC")</f>
        <v>27-31 RUE POULLAIN DUPARC</v>
      </c>
      <c r="G835" t="str">
        <f ca="1">IFERROR(__xludf.DUMMYFUNCTION("""COMPUTED_VALUE"""),"02.99.53.53.63")</f>
        <v>02.99.53.53.63</v>
      </c>
      <c r="H835" t="str">
        <f ca="1">IFERROR(__xludf.DUMMYFUNCTION("""COMPUTED_VALUE"""),"TROTEL Damien")</f>
        <v>TROTEL Damien</v>
      </c>
      <c r="I835" t="str">
        <f ca="1">IFERROR(__xludf.DUMMYFUNCTION("""COMPUTED_VALUE"""),"damien.trotel@systeme-u.fr")</f>
        <v>damien.trotel@systeme-u.fr</v>
      </c>
      <c r="J835" t="str">
        <f ca="1">IFERROR(__xludf.DUMMYFUNCTION("""COMPUTED_VALUE"""),"")</f>
        <v/>
      </c>
      <c r="K835" t="str">
        <f ca="1">IFERROR(__xludf.DUMMYFUNCTION("""COMPUTED_VALUE"""),"")</f>
        <v/>
      </c>
      <c r="L835" t="str">
        <f ca="1">IFERROR(__xludf.DUMMYFUNCTION("""COMPUTED_VALUE"""),"")</f>
        <v/>
      </c>
      <c r="M835" t="str">
        <f ca="1">IFERROR(__xludf.DUMMYFUNCTION("""COMPUTED_VALUE"""),"99.Hors Périmetre")</f>
        <v>99.Hors Périmetre</v>
      </c>
      <c r="N835" t="str">
        <f ca="1">IFERROR(__xludf.DUMMYFUNCTION("""COMPUTED_VALUE"""),"")</f>
        <v/>
      </c>
      <c r="O835" t="str">
        <f ca="1">IFERROR(__xludf.DUMMYFUNCTION("""COMPUTED_VALUE"""),"")</f>
        <v/>
      </c>
      <c r="P835" t="str">
        <f ca="1">IFERROR(__xludf.DUMMYFUNCTION("""COMPUTED_VALUE"""),"")</f>
        <v/>
      </c>
      <c r="Q835" s="5" t="str">
        <f ca="1">IFERROR(__xludf.DUMMYFUNCTION("""COMPUTED_VALUE"""),"")</f>
        <v/>
      </c>
      <c r="R835" s="6" t="str">
        <f ca="1">IFERROR(__xludf.DUMMYFUNCTION("""COMPUTED_VALUE"""),"")</f>
        <v/>
      </c>
      <c r="S835" t="str">
        <f ca="1">IFERROR(__xludf.DUMMYFUNCTION("""COMPUTED_VALUE"""),"")</f>
        <v/>
      </c>
      <c r="T835" t="str">
        <f ca="1">IFERROR(__xludf.DUMMYFUNCTION("""COMPUTED_VALUE"""),"")</f>
        <v/>
      </c>
      <c r="U835" t="str">
        <f ca="1">IFERROR(__xludf.DUMMYFUNCTION("""COMPUTED_VALUE"""),"")</f>
        <v/>
      </c>
      <c r="V835" t="str">
        <f ca="1">IFERROR(__xludf.DUMMYFUNCTION("""COMPUTED_VALUE"""),"")</f>
        <v/>
      </c>
      <c r="W835" t="str">
        <f ca="1">IFERROR(__xludf.DUMMYFUNCTION("""COMPUTED_VALUE"""),"")</f>
        <v/>
      </c>
      <c r="X835" t="str">
        <f ca="1">IFERROR(__xludf.DUMMYFUNCTION("""COMPUTED_VALUE"""),"")</f>
        <v/>
      </c>
      <c r="Y835" t="str">
        <f ca="1">IFERROR(__xludf.DUMMYFUNCTION("""COMPUTED_VALUE"""),"")</f>
        <v/>
      </c>
      <c r="Z835" t="str">
        <f ca="1">IFERROR(__xludf.DUMMYFUNCTION("""COMPUTED_VALUE"""),"")</f>
        <v/>
      </c>
      <c r="AA835" t="str">
        <f ca="1">IFERROR(__xludf.DUMMYFUNCTION("""COMPUTED_VALUE"""),"Pas de commande")</f>
        <v>Pas de commande</v>
      </c>
      <c r="AB835" s="8" t="str">
        <f ca="1">IFERROR(__xludf.DUMMYFUNCTION("""COMPUTED_VALUE"""),"")</f>
        <v/>
      </c>
      <c r="AC835" s="8" t="str">
        <f ca="1">IFERROR(__xludf.DUMMYFUNCTION("""COMPUTED_VALUE"""),"")</f>
        <v/>
      </c>
      <c r="AD835" s="11" t="str">
        <f ca="1">IFERROR(__xludf.DUMMYFUNCTION("""COMPUTED_VALUE"""),"")</f>
        <v/>
      </c>
      <c r="AE835" t="str">
        <f ca="1">IFERROR(__xludf.DUMMYFUNCTION("""COMPUTED_VALUE"""),"")</f>
        <v/>
      </c>
    </row>
    <row r="836" spans="1:31" ht="12.75" x14ac:dyDescent="0.2">
      <c r="A836">
        <f ca="1">IFERROR(__xludf.DUMMYFUNCTION("""COMPUTED_VALUE"""),32879)</f>
        <v>32879</v>
      </c>
      <c r="B836" t="str">
        <f ca="1">IFERROR(__xludf.DUMMYFUNCTION("""COMPUTED_VALUE"""),"RENNES SARAH BERNHARDT")</f>
        <v>RENNES SARAH BERNHARDT</v>
      </c>
      <c r="C836" t="str">
        <f ca="1">IFERROR(__xludf.DUMMYFUNCTION("""COMPUTED_VALUE"""),"Super U")</f>
        <v>Super U</v>
      </c>
      <c r="D836" t="str">
        <f ca="1">IFERROR(__xludf.DUMMYFUNCTION("""COMPUTED_VALUE"""),"Coop U Enseigne Ouest")</f>
        <v>Coop U Enseigne Ouest</v>
      </c>
      <c r="E836">
        <f ca="1">IFERROR(__xludf.DUMMYFUNCTION("""COMPUTED_VALUE"""),35200)</f>
        <v>35200</v>
      </c>
      <c r="F836" t="str">
        <f ca="1">IFERROR(__xludf.DUMMYFUNCTION("""COMPUTED_VALUE"""),"7, BOULEVARD DE L'YSER")</f>
        <v>7, BOULEVARD DE L'YSER</v>
      </c>
      <c r="G836" t="str">
        <f ca="1">IFERROR(__xludf.DUMMYFUNCTION("""COMPUTED_VALUE"""),"02.99.53.66.66")</f>
        <v>02.99.53.66.66</v>
      </c>
      <c r="H836" t="str">
        <f ca="1">IFERROR(__xludf.DUMMYFUNCTION("""COMPUTED_VALUE"""),"CARDINAL Nicolas")</f>
        <v>CARDINAL Nicolas</v>
      </c>
      <c r="I836" t="str">
        <f ca="1">IFERROR(__xludf.DUMMYFUNCTION("""COMPUTED_VALUE"""),"nicolas.cardinal@systeme-u.fr")</f>
        <v>nicolas.cardinal@systeme-u.fr</v>
      </c>
      <c r="J836" t="str">
        <f ca="1">IFERROR(__xludf.DUMMYFUNCTION("""COMPUTED_VALUE"""),"Christian CARDINAL
MOREL Virgnie")</f>
        <v>Christian CARDINAL
MOREL Virgnie</v>
      </c>
      <c r="K836" t="str">
        <f ca="1">IFERROR(__xludf.DUMMYFUNCTION("""COMPUTED_VALUE"""),"ccardinal58@gmail.com,superu.rennessarahbernhardt@systeme-u.fr")</f>
        <v>ccardinal58@gmail.com,superu.rennessarahbernhardt@systeme-u.fr</v>
      </c>
      <c r="L836" t="str">
        <f ca="1">IFERROR(__xludf.DUMMYFUNCTION("""COMPUTED_VALUE"""),"")</f>
        <v/>
      </c>
      <c r="M836" t="str">
        <f ca="1">IFERROR(__xludf.DUMMYFUNCTION("""COMPUTED_VALUE"""),"99.Hors Périmetre")</f>
        <v>99.Hors Périmetre</v>
      </c>
      <c r="N836" t="str">
        <f ca="1">IFERROR(__xludf.DUMMYFUNCTION("""COMPUTED_VALUE"""),"")</f>
        <v/>
      </c>
      <c r="O836" t="str">
        <f ca="1">IFERROR(__xludf.DUMMYFUNCTION("""COMPUTED_VALUE"""),"")</f>
        <v/>
      </c>
      <c r="P836" t="str">
        <f ca="1">IFERROR(__xludf.DUMMYFUNCTION("""COMPUTED_VALUE"""),"")</f>
        <v/>
      </c>
      <c r="Q836" s="5" t="str">
        <f ca="1">IFERROR(__xludf.DUMMYFUNCTION("""COMPUTED_VALUE"""),"")</f>
        <v/>
      </c>
      <c r="R836" s="6" t="str">
        <f ca="1">IFERROR(__xludf.DUMMYFUNCTION("""COMPUTED_VALUE"""),"")</f>
        <v/>
      </c>
      <c r="S836" t="str">
        <f ca="1">IFERROR(__xludf.DUMMYFUNCTION("""COMPUTED_VALUE"""),"")</f>
        <v/>
      </c>
      <c r="T836" t="str">
        <f ca="1">IFERROR(__xludf.DUMMYFUNCTION("""COMPUTED_VALUE"""),"")</f>
        <v/>
      </c>
      <c r="U836" t="str">
        <f ca="1">IFERROR(__xludf.DUMMYFUNCTION("""COMPUTED_VALUE"""),"")</f>
        <v/>
      </c>
      <c r="V836" t="str">
        <f ca="1">IFERROR(__xludf.DUMMYFUNCTION("""COMPUTED_VALUE"""),"")</f>
        <v/>
      </c>
      <c r="W836" t="str">
        <f ca="1">IFERROR(__xludf.DUMMYFUNCTION("""COMPUTED_VALUE"""),"")</f>
        <v/>
      </c>
      <c r="X836" t="str">
        <f ca="1">IFERROR(__xludf.DUMMYFUNCTION("""COMPUTED_VALUE"""),"")</f>
        <v/>
      </c>
      <c r="Y836" t="str">
        <f ca="1">IFERROR(__xludf.DUMMYFUNCTION("""COMPUTED_VALUE"""),"")</f>
        <v/>
      </c>
      <c r="Z836" t="str">
        <f ca="1">IFERROR(__xludf.DUMMYFUNCTION("""COMPUTED_VALUE"""),"")</f>
        <v/>
      </c>
      <c r="AA836" t="str">
        <f ca="1">IFERROR(__xludf.DUMMYFUNCTION("""COMPUTED_VALUE"""),"Pas de commande")</f>
        <v>Pas de commande</v>
      </c>
      <c r="AB836" s="8" t="str">
        <f ca="1">IFERROR(__xludf.DUMMYFUNCTION("""COMPUTED_VALUE"""),"")</f>
        <v/>
      </c>
      <c r="AC836" s="8" t="str">
        <f ca="1">IFERROR(__xludf.DUMMYFUNCTION("""COMPUTED_VALUE"""),"")</f>
        <v/>
      </c>
      <c r="AD836" s="11" t="str">
        <f ca="1">IFERROR(__xludf.DUMMYFUNCTION("""COMPUTED_VALUE"""),"")</f>
        <v/>
      </c>
      <c r="AE836" t="str">
        <f ca="1">IFERROR(__xludf.DUMMYFUNCTION("""COMPUTED_VALUE"""),"")</f>
        <v/>
      </c>
    </row>
    <row r="837" spans="1:31" ht="12.75" x14ac:dyDescent="0.2">
      <c r="A837">
        <f ca="1">IFERROR(__xludf.DUMMYFUNCTION("""COMPUTED_VALUE"""),33565)</f>
        <v>33565</v>
      </c>
      <c r="B837" t="str">
        <f ca="1">IFERROR(__xludf.DUMMYFUNCTION("""COMPUTED_VALUE"""),"RENNES ST JACQUES")</f>
        <v>RENNES ST JACQUES</v>
      </c>
      <c r="C837" t="str">
        <f ca="1">IFERROR(__xludf.DUMMYFUNCTION("""COMPUTED_VALUE"""),"Super U")</f>
        <v>Super U</v>
      </c>
      <c r="D837" t="str">
        <f ca="1">IFERROR(__xludf.DUMMYFUNCTION("""COMPUTED_VALUE"""),"Coop U Enseigne Ouest")</f>
        <v>Coop U Enseigne Ouest</v>
      </c>
      <c r="E837">
        <f ca="1">IFERROR(__xludf.DUMMYFUNCTION("""COMPUTED_VALUE"""),35136)</f>
        <v>35136</v>
      </c>
      <c r="F837" t="str">
        <f ca="1">IFERROR(__xludf.DUMMYFUNCTION("""COMPUTED_VALUE"""),"256, RUE DE NANTES")</f>
        <v>256, RUE DE NANTES</v>
      </c>
      <c r="G837" t="str">
        <f ca="1">IFERROR(__xludf.DUMMYFUNCTION("""COMPUTED_VALUE"""),"02.99.65.14.36")</f>
        <v>02.99.65.14.36</v>
      </c>
      <c r="H837" t="str">
        <f ca="1">IFERROR(__xludf.DUMMYFUNCTION("""COMPUTED_VALUE"""),"FERRE RPT SARL HOLDING FERRE Loic")</f>
        <v>FERRE RPT SARL HOLDING FERRE Loic</v>
      </c>
      <c r="I837" t="str">
        <f ca="1">IFERROR(__xludf.DUMMYFUNCTION("""COMPUTED_VALUE"""),"loic.ferre@systeme-u.fr")</f>
        <v>loic.ferre@systeme-u.fr</v>
      </c>
      <c r="J837" t="str">
        <f ca="1">IFERROR(__xludf.DUMMYFUNCTION("""COMPUTED_VALUE"""),"Sophie FERRE")</f>
        <v>Sophie FERRE</v>
      </c>
      <c r="K837" t="str">
        <f ca="1">IFERROR(__xludf.DUMMYFUNCTION("""COMPUTED_VALUE"""),"sophie.ferre@systeme-u.fr")</f>
        <v>sophie.ferre@systeme-u.fr</v>
      </c>
      <c r="L837" t="str">
        <f ca="1">IFERROR(__xludf.DUMMYFUNCTION("""COMPUTED_VALUE"""),"")</f>
        <v/>
      </c>
      <c r="M837" t="str">
        <f ca="1">IFERROR(__xludf.DUMMYFUNCTION("""COMPUTED_VALUE"""),"99.Hors Périmetre")</f>
        <v>99.Hors Périmetre</v>
      </c>
      <c r="N837" t="str">
        <f ca="1">IFERROR(__xludf.DUMMYFUNCTION("""COMPUTED_VALUE"""),"")</f>
        <v/>
      </c>
      <c r="O837" t="str">
        <f ca="1">IFERROR(__xludf.DUMMYFUNCTION("""COMPUTED_VALUE"""),"")</f>
        <v/>
      </c>
      <c r="P837" t="str">
        <f ca="1">IFERROR(__xludf.DUMMYFUNCTION("""COMPUTED_VALUE"""),"")</f>
        <v/>
      </c>
      <c r="Q837" s="5" t="str">
        <f ca="1">IFERROR(__xludf.DUMMYFUNCTION("""COMPUTED_VALUE"""),"")</f>
        <v/>
      </c>
      <c r="R837" s="6" t="str">
        <f ca="1">IFERROR(__xludf.DUMMYFUNCTION("""COMPUTED_VALUE"""),"")</f>
        <v/>
      </c>
      <c r="S837" t="str">
        <f ca="1">IFERROR(__xludf.DUMMYFUNCTION("""COMPUTED_VALUE"""),"")</f>
        <v/>
      </c>
      <c r="T837" t="str">
        <f ca="1">IFERROR(__xludf.DUMMYFUNCTION("""COMPUTED_VALUE"""),"")</f>
        <v/>
      </c>
      <c r="U837" t="str">
        <f ca="1">IFERROR(__xludf.DUMMYFUNCTION("""COMPUTED_VALUE"""),"")</f>
        <v/>
      </c>
      <c r="V837" t="str">
        <f ca="1">IFERROR(__xludf.DUMMYFUNCTION("""COMPUTED_VALUE"""),"")</f>
        <v/>
      </c>
      <c r="W837" t="str">
        <f ca="1">IFERROR(__xludf.DUMMYFUNCTION("""COMPUTED_VALUE"""),"")</f>
        <v/>
      </c>
      <c r="X837" t="str">
        <f ca="1">IFERROR(__xludf.DUMMYFUNCTION("""COMPUTED_VALUE"""),"")</f>
        <v/>
      </c>
      <c r="Y837" t="str">
        <f ca="1">IFERROR(__xludf.DUMMYFUNCTION("""COMPUTED_VALUE"""),"")</f>
        <v/>
      </c>
      <c r="Z837" t="str">
        <f ca="1">IFERROR(__xludf.DUMMYFUNCTION("""COMPUTED_VALUE"""),"")</f>
        <v/>
      </c>
      <c r="AA837" t="str">
        <f ca="1">IFERROR(__xludf.DUMMYFUNCTION("""COMPUTED_VALUE"""),"Pas de commande")</f>
        <v>Pas de commande</v>
      </c>
      <c r="AB837" s="8" t="str">
        <f ca="1">IFERROR(__xludf.DUMMYFUNCTION("""COMPUTED_VALUE"""),"")</f>
        <v/>
      </c>
      <c r="AC837" s="8" t="str">
        <f ca="1">IFERROR(__xludf.DUMMYFUNCTION("""COMPUTED_VALUE"""),"")</f>
        <v/>
      </c>
      <c r="AD837" s="11" t="str">
        <f ca="1">IFERROR(__xludf.DUMMYFUNCTION("""COMPUTED_VALUE"""),"")</f>
        <v/>
      </c>
      <c r="AE837" t="str">
        <f ca="1">IFERROR(__xludf.DUMMYFUNCTION("""COMPUTED_VALUE"""),"")</f>
        <v/>
      </c>
    </row>
    <row r="838" spans="1:31" ht="12.75" x14ac:dyDescent="0.2">
      <c r="A838">
        <f ca="1">IFERROR(__xludf.DUMMYFUNCTION("""COMPUTED_VALUE"""),38246)</f>
        <v>38246</v>
      </c>
      <c r="B838" t="str">
        <f ca="1">IFERROR(__xludf.DUMMYFUNCTION("""COMPUTED_VALUE"""),"RENNES ST-HELIER")</f>
        <v>RENNES ST-HELIER</v>
      </c>
      <c r="C838" t="str">
        <f ca="1">IFERROR(__xludf.DUMMYFUNCTION("""COMPUTED_VALUE"""),"U Express")</f>
        <v>U Express</v>
      </c>
      <c r="D838" t="str">
        <f ca="1">IFERROR(__xludf.DUMMYFUNCTION("""COMPUTED_VALUE"""),"Coop U Enseigne Ouest")</f>
        <v>Coop U Enseigne Ouest</v>
      </c>
      <c r="E838">
        <f ca="1">IFERROR(__xludf.DUMMYFUNCTION("""COMPUTED_VALUE"""),35000)</f>
        <v>35000</v>
      </c>
      <c r="F838" t="str">
        <f ca="1">IFERROR(__xludf.DUMMYFUNCTION("""COMPUTED_VALUE"""),"75, RUE SAINT-HÉLIER")</f>
        <v>75, RUE SAINT-HÉLIER</v>
      </c>
      <c r="G838" t="str">
        <f ca="1">IFERROR(__xludf.DUMMYFUNCTION("""COMPUTED_VALUE"""),"02.99.31.40.40")</f>
        <v>02.99.31.40.40</v>
      </c>
      <c r="H838" t="str">
        <f ca="1">IFERROR(__xludf.DUMMYFUNCTION("""COMPUTED_VALUE"""),"VETTIER Eric")</f>
        <v>VETTIER Eric</v>
      </c>
      <c r="I838" t="str">
        <f ca="1">IFERROR(__xludf.DUMMYFUNCTION("""COMPUTED_VALUE"""),"eric.vettier@systeme-u.fr")</f>
        <v>eric.vettier@systeme-u.fr</v>
      </c>
      <c r="J838" t="str">
        <f ca="1">IFERROR(__xludf.DUMMYFUNCTION("""COMPUTED_VALUE"""),"kernin sébastien")</f>
        <v>kernin sébastien</v>
      </c>
      <c r="K838" t="str">
        <f ca="1">IFERROR(__xludf.DUMMYFUNCTION("""COMPUTED_VALUE"""),"uexpress.rennessainthelier@systeme-u.fr")</f>
        <v>uexpress.rennessainthelier@systeme-u.fr</v>
      </c>
      <c r="L838" t="str">
        <f ca="1">IFERROR(__xludf.DUMMYFUNCTION("""COMPUTED_VALUE"""),"")</f>
        <v/>
      </c>
      <c r="M838" t="str">
        <f ca="1">IFERROR(__xludf.DUMMYFUNCTION("""COMPUTED_VALUE"""),"99.Hors Périmetre")</f>
        <v>99.Hors Périmetre</v>
      </c>
      <c r="N838" t="str">
        <f ca="1">IFERROR(__xludf.DUMMYFUNCTION("""COMPUTED_VALUE"""),"")</f>
        <v/>
      </c>
      <c r="O838" t="str">
        <f ca="1">IFERROR(__xludf.DUMMYFUNCTION("""COMPUTED_VALUE"""),"")</f>
        <v/>
      </c>
      <c r="P838" t="str">
        <f ca="1">IFERROR(__xludf.DUMMYFUNCTION("""COMPUTED_VALUE"""),"")</f>
        <v/>
      </c>
      <c r="Q838" s="5" t="str">
        <f ca="1">IFERROR(__xludf.DUMMYFUNCTION("""COMPUTED_VALUE"""),"")</f>
        <v/>
      </c>
      <c r="R838" s="6" t="str">
        <f ca="1">IFERROR(__xludf.DUMMYFUNCTION("""COMPUTED_VALUE"""),"")</f>
        <v/>
      </c>
      <c r="S838" t="str">
        <f ca="1">IFERROR(__xludf.DUMMYFUNCTION("""COMPUTED_VALUE"""),"")</f>
        <v/>
      </c>
      <c r="T838" t="str">
        <f ca="1">IFERROR(__xludf.DUMMYFUNCTION("""COMPUTED_VALUE"""),"")</f>
        <v/>
      </c>
      <c r="U838" t="str">
        <f ca="1">IFERROR(__xludf.DUMMYFUNCTION("""COMPUTED_VALUE"""),"")</f>
        <v/>
      </c>
      <c r="V838" t="str">
        <f ca="1">IFERROR(__xludf.DUMMYFUNCTION("""COMPUTED_VALUE"""),"")</f>
        <v/>
      </c>
      <c r="W838" t="str">
        <f ca="1">IFERROR(__xludf.DUMMYFUNCTION("""COMPUTED_VALUE"""),"")</f>
        <v/>
      </c>
      <c r="X838" t="str">
        <f ca="1">IFERROR(__xludf.DUMMYFUNCTION("""COMPUTED_VALUE"""),"")</f>
        <v/>
      </c>
      <c r="Y838" t="str">
        <f ca="1">IFERROR(__xludf.DUMMYFUNCTION("""COMPUTED_VALUE"""),"")</f>
        <v/>
      </c>
      <c r="Z838" t="str">
        <f ca="1">IFERROR(__xludf.DUMMYFUNCTION("""COMPUTED_VALUE"""),"")</f>
        <v/>
      </c>
      <c r="AA838" t="str">
        <f ca="1">IFERROR(__xludf.DUMMYFUNCTION("""COMPUTED_VALUE"""),"Pas de commande")</f>
        <v>Pas de commande</v>
      </c>
      <c r="AB838" s="8" t="str">
        <f ca="1">IFERROR(__xludf.DUMMYFUNCTION("""COMPUTED_VALUE"""),"")</f>
        <v/>
      </c>
      <c r="AC838" s="8" t="str">
        <f ca="1">IFERROR(__xludf.DUMMYFUNCTION("""COMPUTED_VALUE"""),"")</f>
        <v/>
      </c>
      <c r="AD838" s="11" t="str">
        <f ca="1">IFERROR(__xludf.DUMMYFUNCTION("""COMPUTED_VALUE"""),"")</f>
        <v/>
      </c>
      <c r="AE838" t="str">
        <f ca="1">IFERROR(__xludf.DUMMYFUNCTION("""COMPUTED_VALUE"""),"")</f>
        <v/>
      </c>
    </row>
    <row r="839" spans="1:31" ht="12.75" x14ac:dyDescent="0.2">
      <c r="A839">
        <f ca="1">IFERROR(__xludf.DUMMYFUNCTION("""COMPUTED_VALUE"""),32429)</f>
        <v>32429</v>
      </c>
      <c r="B839" t="str">
        <f ca="1">IFERROR(__xludf.DUMMYFUNCTION("""COMPUTED_VALUE"""),"RETIERS")</f>
        <v>RETIERS</v>
      </c>
      <c r="C839" t="str">
        <f ca="1">IFERROR(__xludf.DUMMYFUNCTION("""COMPUTED_VALUE"""),"Super U")</f>
        <v>Super U</v>
      </c>
      <c r="D839" t="str">
        <f ca="1">IFERROR(__xludf.DUMMYFUNCTION("""COMPUTED_VALUE"""),"Coop U Enseigne Ouest")</f>
        <v>Coop U Enseigne Ouest</v>
      </c>
      <c r="E839">
        <f ca="1">IFERROR(__xludf.DUMMYFUNCTION("""COMPUTED_VALUE"""),35240)</f>
        <v>35240</v>
      </c>
      <c r="F839" t="str">
        <f ca="1">IFERROR(__xludf.DUMMYFUNCTION("""COMPUTED_VALUE"""),"43 RUE AUGUSTE PAVIE")</f>
        <v>43 RUE AUGUSTE PAVIE</v>
      </c>
      <c r="G839" t="str">
        <f ca="1">IFERROR(__xludf.DUMMYFUNCTION("""COMPUTED_VALUE"""),"02.99.43.50.75")</f>
        <v>02.99.43.50.75</v>
      </c>
      <c r="H839" t="str">
        <f ca="1">IFERROR(__xludf.DUMMYFUNCTION("""COMPUTED_VALUE"""),"BARRE Olivier")</f>
        <v>BARRE Olivier</v>
      </c>
      <c r="I839" t="str">
        <f ca="1">IFERROR(__xludf.DUMMYFUNCTION("""COMPUTED_VALUE"""),"olivier.barre@systeme-u.fr")</f>
        <v>olivier.barre@systeme-u.fr</v>
      </c>
      <c r="J839" t="str">
        <f ca="1">IFERROR(__xludf.DUMMYFUNCTION("""COMPUTED_VALUE"""),"SOURDRIL Sylvie")</f>
        <v>SOURDRIL Sylvie</v>
      </c>
      <c r="K839" t="str">
        <f ca="1">IFERROR(__xludf.DUMMYFUNCTION("""COMPUTED_VALUE"""),"superu.retiers@systeme-u.fr")</f>
        <v>superu.retiers@systeme-u.fr</v>
      </c>
      <c r="L839" t="str">
        <f ca="1">IFERROR(__xludf.DUMMYFUNCTION("""COMPUTED_VALUE"""),"")</f>
        <v/>
      </c>
      <c r="M839" t="str">
        <f ca="1">IFERROR(__xludf.DUMMYFUNCTION("""COMPUTED_VALUE"""),"99.Hors Périmetre")</f>
        <v>99.Hors Périmetre</v>
      </c>
      <c r="N839" t="str">
        <f ca="1">IFERROR(__xludf.DUMMYFUNCTION("""COMPUTED_VALUE"""),"")</f>
        <v/>
      </c>
      <c r="O839" t="str">
        <f ca="1">IFERROR(__xludf.DUMMYFUNCTION("""COMPUTED_VALUE"""),"")</f>
        <v/>
      </c>
      <c r="P839" t="str">
        <f ca="1">IFERROR(__xludf.DUMMYFUNCTION("""COMPUTED_VALUE"""),"")</f>
        <v/>
      </c>
      <c r="Q839" s="5" t="str">
        <f ca="1">IFERROR(__xludf.DUMMYFUNCTION("""COMPUTED_VALUE"""),"")</f>
        <v/>
      </c>
      <c r="R839" s="6" t="str">
        <f ca="1">IFERROR(__xludf.DUMMYFUNCTION("""COMPUTED_VALUE"""),"")</f>
        <v/>
      </c>
      <c r="S839" t="str">
        <f ca="1">IFERROR(__xludf.DUMMYFUNCTION("""COMPUTED_VALUE"""),"")</f>
        <v/>
      </c>
      <c r="T839" t="str">
        <f ca="1">IFERROR(__xludf.DUMMYFUNCTION("""COMPUTED_VALUE"""),"")</f>
        <v/>
      </c>
      <c r="U839" t="str">
        <f ca="1">IFERROR(__xludf.DUMMYFUNCTION("""COMPUTED_VALUE"""),"")</f>
        <v/>
      </c>
      <c r="V839" t="str">
        <f ca="1">IFERROR(__xludf.DUMMYFUNCTION("""COMPUTED_VALUE"""),"")</f>
        <v/>
      </c>
      <c r="W839" t="str">
        <f ca="1">IFERROR(__xludf.DUMMYFUNCTION("""COMPUTED_VALUE"""),"")</f>
        <v/>
      </c>
      <c r="X839" t="str">
        <f ca="1">IFERROR(__xludf.DUMMYFUNCTION("""COMPUTED_VALUE"""),"")</f>
        <v/>
      </c>
      <c r="Y839" t="str">
        <f ca="1">IFERROR(__xludf.DUMMYFUNCTION("""COMPUTED_VALUE"""),"")</f>
        <v/>
      </c>
      <c r="Z839" t="str">
        <f ca="1">IFERROR(__xludf.DUMMYFUNCTION("""COMPUTED_VALUE"""),"")</f>
        <v/>
      </c>
      <c r="AA839" t="str">
        <f ca="1">IFERROR(__xludf.DUMMYFUNCTION("""COMPUTED_VALUE"""),"Pas de commande")</f>
        <v>Pas de commande</v>
      </c>
      <c r="AB839" s="8" t="str">
        <f ca="1">IFERROR(__xludf.DUMMYFUNCTION("""COMPUTED_VALUE"""),"")</f>
        <v/>
      </c>
      <c r="AC839" s="8" t="str">
        <f ca="1">IFERROR(__xludf.DUMMYFUNCTION("""COMPUTED_VALUE"""),"")</f>
        <v/>
      </c>
      <c r="AD839" s="11" t="str">
        <f ca="1">IFERROR(__xludf.DUMMYFUNCTION("""COMPUTED_VALUE"""),"")</f>
        <v/>
      </c>
      <c r="AE839" t="str">
        <f ca="1">IFERROR(__xludf.DUMMYFUNCTION("""COMPUTED_VALUE"""),"")</f>
        <v/>
      </c>
    </row>
    <row r="840" spans="1:31" ht="12.75" x14ac:dyDescent="0.2">
      <c r="A840">
        <f ca="1">IFERROR(__xludf.DUMMYFUNCTION("""COMPUTED_VALUE"""),39105)</f>
        <v>39105</v>
      </c>
      <c r="B840" t="str">
        <f ca="1">IFERROR(__xludf.DUMMYFUNCTION("""COMPUTED_VALUE"""),"REZE GALARNIERE")</f>
        <v>REZE GALARNIERE</v>
      </c>
      <c r="C840" t="str">
        <f ca="1">IFERROR(__xludf.DUMMYFUNCTION("""COMPUTED_VALUE"""),"Super U")</f>
        <v>Super U</v>
      </c>
      <c r="D840" t="str">
        <f ca="1">IFERROR(__xludf.DUMMYFUNCTION("""COMPUTED_VALUE"""),"Coop U Enseigne Ouest")</f>
        <v>Coop U Enseigne Ouest</v>
      </c>
      <c r="E840">
        <f ca="1">IFERROR(__xludf.DUMMYFUNCTION("""COMPUTED_VALUE"""),44400)</f>
        <v>44400</v>
      </c>
      <c r="F840" t="str">
        <f ca="1">IFERROR(__xludf.DUMMYFUNCTION("""COMPUTED_VALUE"""),"22, RUE DE LA GALARNIÈRE")</f>
        <v>22, RUE DE LA GALARNIÈRE</v>
      </c>
      <c r="G840" t="str">
        <f ca="1">IFERROR(__xludf.DUMMYFUNCTION("""COMPUTED_VALUE"""),"02.40.13.18.19")</f>
        <v>02.40.13.18.19</v>
      </c>
      <c r="H840" t="str">
        <f ca="1">IFERROR(__xludf.DUMMYFUNCTION("""COMPUTED_VALUE"""),"ONNEE Benoît")</f>
        <v>ONNEE Benoît</v>
      </c>
      <c r="I840" t="str">
        <f ca="1">IFERROR(__xludf.DUMMYFUNCTION("""COMPUTED_VALUE"""),"benoit.onnee@systeme-u.fr")</f>
        <v>benoit.onnee@systeme-u.fr</v>
      </c>
      <c r="J840" t="str">
        <f ca="1">IFERROR(__xludf.DUMMYFUNCTION("""COMPUTED_VALUE"""),"NOGUEIRA Melida ")</f>
        <v xml:space="preserve">NOGUEIRA Melida </v>
      </c>
      <c r="K840" t="str">
        <f ca="1">IFERROR(__xludf.DUMMYFUNCTION("""COMPUTED_VALUE"""),"superu.rezelagalarniere.affichage@systeme-u.fr")</f>
        <v>superu.rezelagalarniere.affichage@systeme-u.fr</v>
      </c>
      <c r="L840" t="str">
        <f ca="1">IFERROR(__xludf.DUMMYFUNCTION("""COMPUTED_VALUE"""),"")</f>
        <v/>
      </c>
      <c r="M840" t="str">
        <f ca="1">IFERROR(__xludf.DUMMYFUNCTION("""COMPUTED_VALUE"""),"99.Hors Périmetre")</f>
        <v>99.Hors Périmetre</v>
      </c>
      <c r="N840" t="str">
        <f ca="1">IFERROR(__xludf.DUMMYFUNCTION("""COMPUTED_VALUE"""),"")</f>
        <v/>
      </c>
      <c r="O840" t="str">
        <f ca="1">IFERROR(__xludf.DUMMYFUNCTION("""COMPUTED_VALUE"""),"")</f>
        <v/>
      </c>
      <c r="P840" t="str">
        <f ca="1">IFERROR(__xludf.DUMMYFUNCTION("""COMPUTED_VALUE"""),"")</f>
        <v/>
      </c>
      <c r="Q840" s="5" t="str">
        <f ca="1">IFERROR(__xludf.DUMMYFUNCTION("""COMPUTED_VALUE"""),"")</f>
        <v/>
      </c>
      <c r="R840" s="6" t="str">
        <f ca="1">IFERROR(__xludf.DUMMYFUNCTION("""COMPUTED_VALUE"""),"")</f>
        <v/>
      </c>
      <c r="S840" t="str">
        <f ca="1">IFERROR(__xludf.DUMMYFUNCTION("""COMPUTED_VALUE"""),"")</f>
        <v/>
      </c>
      <c r="T840" t="str">
        <f ca="1">IFERROR(__xludf.DUMMYFUNCTION("""COMPUTED_VALUE"""),"")</f>
        <v/>
      </c>
      <c r="U840" t="str">
        <f ca="1">IFERROR(__xludf.DUMMYFUNCTION("""COMPUTED_VALUE"""),"")</f>
        <v/>
      </c>
      <c r="V840" t="str">
        <f ca="1">IFERROR(__xludf.DUMMYFUNCTION("""COMPUTED_VALUE"""),"")</f>
        <v/>
      </c>
      <c r="W840" t="str">
        <f ca="1">IFERROR(__xludf.DUMMYFUNCTION("""COMPUTED_VALUE"""),"")</f>
        <v/>
      </c>
      <c r="X840" t="str">
        <f ca="1">IFERROR(__xludf.DUMMYFUNCTION("""COMPUTED_VALUE"""),"")</f>
        <v/>
      </c>
      <c r="Y840" t="str">
        <f ca="1">IFERROR(__xludf.DUMMYFUNCTION("""COMPUTED_VALUE"""),"")</f>
        <v/>
      </c>
      <c r="Z840" t="str">
        <f ca="1">IFERROR(__xludf.DUMMYFUNCTION("""COMPUTED_VALUE"""),"")</f>
        <v/>
      </c>
      <c r="AA840" t="str">
        <f ca="1">IFERROR(__xludf.DUMMYFUNCTION("""COMPUTED_VALUE"""),"Pas de commande")</f>
        <v>Pas de commande</v>
      </c>
      <c r="AB840" s="8" t="str">
        <f ca="1">IFERROR(__xludf.DUMMYFUNCTION("""COMPUTED_VALUE"""),"")</f>
        <v/>
      </c>
      <c r="AC840" s="8" t="str">
        <f ca="1">IFERROR(__xludf.DUMMYFUNCTION("""COMPUTED_VALUE"""),"")</f>
        <v/>
      </c>
      <c r="AD840" s="11" t="str">
        <f ca="1">IFERROR(__xludf.DUMMYFUNCTION("""COMPUTED_VALUE"""),"")</f>
        <v/>
      </c>
      <c r="AE840" t="str">
        <f ca="1">IFERROR(__xludf.DUMMYFUNCTION("""COMPUTED_VALUE"""),"")</f>
        <v/>
      </c>
    </row>
    <row r="841" spans="1:31" ht="12.75" x14ac:dyDescent="0.2">
      <c r="A841">
        <f ca="1">IFERROR(__xludf.DUMMYFUNCTION("""COMPUTED_VALUE"""),60200)</f>
        <v>60200</v>
      </c>
      <c r="B841" t="str">
        <f ca="1">IFERROR(__xludf.DUMMYFUNCTION("""COMPUTED_VALUE"""),"RIEDISHEIM")</f>
        <v>RIEDISHEIM</v>
      </c>
      <c r="C841" t="str">
        <f ca="1">IFERROR(__xludf.DUMMYFUNCTION("""COMPUTED_VALUE"""),"Super U")</f>
        <v>Super U</v>
      </c>
      <c r="D841" t="str">
        <f ca="1">IFERROR(__xludf.DUMMYFUNCTION("""COMPUTED_VALUE"""),"Coop U Enseigne Est")</f>
        <v>Coop U Enseigne Est</v>
      </c>
      <c r="E841">
        <f ca="1">IFERROR(__xludf.DUMMYFUNCTION("""COMPUTED_VALUE"""),68400)</f>
        <v>68400</v>
      </c>
      <c r="F841" t="str">
        <f ca="1">IFERROR(__xludf.DUMMYFUNCTION("""COMPUTED_VALUE"""),"6 Rue du stade")</f>
        <v>6 Rue du stade</v>
      </c>
      <c r="G841" t="str">
        <f ca="1">IFERROR(__xludf.DUMMYFUNCTION("""COMPUTED_VALUE"""),"03.89.54.45.64")</f>
        <v>03.89.54.45.64</v>
      </c>
      <c r="H841" t="str">
        <f ca="1">IFERROR(__xludf.DUMMYFUNCTION("""COMPUTED_VALUE"""),"MARQUIS RPT SAS V4ML&amp;C Vincent")</f>
        <v>MARQUIS RPT SAS V4ML&amp;C Vincent</v>
      </c>
      <c r="I841" t="str">
        <f ca="1">IFERROR(__xludf.DUMMYFUNCTION("""COMPUTED_VALUE"""),"vincent.marquis@systeme-u.fr")</f>
        <v>vincent.marquis@systeme-u.fr</v>
      </c>
      <c r="J841" t="str">
        <f ca="1">IFERROR(__xludf.DUMMYFUNCTION("""COMPUTED_VALUE"""),"RISS  Gisèle")</f>
        <v>RISS  Gisèle</v>
      </c>
      <c r="K841" t="str">
        <f ca="1">IFERROR(__xludf.DUMMYFUNCTION("""COMPUTED_VALUE"""),"superu.riedisheim.directeur@systeme-u.fr")</f>
        <v>superu.riedisheim.directeur@systeme-u.fr</v>
      </c>
      <c r="L841" t="str">
        <f ca="1">IFERROR(__xludf.DUMMYFUNCTION("""COMPUTED_VALUE"""),"")</f>
        <v/>
      </c>
      <c r="M841" t="str">
        <f ca="1">IFERROR(__xludf.DUMMYFUNCTION("""COMPUTED_VALUE"""),"99.Hors Périmetre")</f>
        <v>99.Hors Périmetre</v>
      </c>
      <c r="N841" t="str">
        <f ca="1">IFERROR(__xludf.DUMMYFUNCTION("""COMPUTED_VALUE"""),"")</f>
        <v/>
      </c>
      <c r="O841" t="str">
        <f ca="1">IFERROR(__xludf.DUMMYFUNCTION("""COMPUTED_VALUE"""),"")</f>
        <v/>
      </c>
      <c r="P841" t="str">
        <f ca="1">IFERROR(__xludf.DUMMYFUNCTION("""COMPUTED_VALUE"""),"")</f>
        <v/>
      </c>
      <c r="Q841" s="5" t="str">
        <f ca="1">IFERROR(__xludf.DUMMYFUNCTION("""COMPUTED_VALUE"""),"")</f>
        <v/>
      </c>
      <c r="R841" s="6" t="str">
        <f ca="1">IFERROR(__xludf.DUMMYFUNCTION("""COMPUTED_VALUE"""),"")</f>
        <v/>
      </c>
      <c r="S841" t="str">
        <f ca="1">IFERROR(__xludf.DUMMYFUNCTION("""COMPUTED_VALUE"""),"")</f>
        <v/>
      </c>
      <c r="T841" t="str">
        <f ca="1">IFERROR(__xludf.DUMMYFUNCTION("""COMPUTED_VALUE"""),"")</f>
        <v/>
      </c>
      <c r="U841" t="str">
        <f ca="1">IFERROR(__xludf.DUMMYFUNCTION("""COMPUTED_VALUE"""),"")</f>
        <v/>
      </c>
      <c r="V841" t="str">
        <f ca="1">IFERROR(__xludf.DUMMYFUNCTION("""COMPUTED_VALUE"""),"")</f>
        <v/>
      </c>
      <c r="W841" t="str">
        <f ca="1">IFERROR(__xludf.DUMMYFUNCTION("""COMPUTED_VALUE"""),"")</f>
        <v/>
      </c>
      <c r="X841" t="str">
        <f ca="1">IFERROR(__xludf.DUMMYFUNCTION("""COMPUTED_VALUE"""),"")</f>
        <v/>
      </c>
      <c r="Y841" t="str">
        <f ca="1">IFERROR(__xludf.DUMMYFUNCTION("""COMPUTED_VALUE"""),"")</f>
        <v/>
      </c>
      <c r="Z841" t="str">
        <f ca="1">IFERROR(__xludf.DUMMYFUNCTION("""COMPUTED_VALUE"""),"")</f>
        <v/>
      </c>
      <c r="AA841" t="str">
        <f ca="1">IFERROR(__xludf.DUMMYFUNCTION("""COMPUTED_VALUE"""),"Pas de commande")</f>
        <v>Pas de commande</v>
      </c>
      <c r="AB841" s="8" t="str">
        <f ca="1">IFERROR(__xludf.DUMMYFUNCTION("""COMPUTED_VALUE"""),"")</f>
        <v/>
      </c>
      <c r="AC841" s="8" t="str">
        <f ca="1">IFERROR(__xludf.DUMMYFUNCTION("""COMPUTED_VALUE"""),"")</f>
        <v/>
      </c>
      <c r="AD841" s="11" t="str">
        <f ca="1">IFERROR(__xludf.DUMMYFUNCTION("""COMPUTED_VALUE"""),"")</f>
        <v/>
      </c>
      <c r="AE841" t="str">
        <f ca="1">IFERROR(__xludf.DUMMYFUNCTION("""COMPUTED_VALUE"""),"")</f>
        <v/>
      </c>
    </row>
    <row r="842" spans="1:31" ht="12.75" x14ac:dyDescent="0.2">
      <c r="A842">
        <f ca="1">IFERROR(__xludf.DUMMYFUNCTION("""COMPUTED_VALUE"""),95458)</f>
        <v>95458</v>
      </c>
      <c r="B842" t="str">
        <f ca="1">IFERROR(__xludf.DUMMYFUNCTION("""COMPUTED_VALUE"""),"RIEUPEYROUX")</f>
        <v>RIEUPEYROUX</v>
      </c>
      <c r="C842" t="str">
        <f ca="1">IFERROR(__xludf.DUMMYFUNCTION("""COMPUTED_VALUE"""),"U Express")</f>
        <v>U Express</v>
      </c>
      <c r="D842" t="str">
        <f ca="1">IFERROR(__xludf.DUMMYFUNCTION("""COMPUTED_VALUE"""),"Coop UPSO")</f>
        <v>Coop UPSO</v>
      </c>
      <c r="E842">
        <f ca="1">IFERROR(__xludf.DUMMYFUNCTION("""COMPUTED_VALUE"""),12240)</f>
        <v>12240</v>
      </c>
      <c r="F842" t="str">
        <f ca="1">IFERROR(__xludf.DUMMYFUNCTION("""COMPUTED_VALUE"""),"5 AVENUE DU ROUERGUE SUP UTILE")</f>
        <v>5 AVENUE DU ROUERGUE SUP UTILE</v>
      </c>
      <c r="G842" t="str">
        <f ca="1">IFERROR(__xludf.DUMMYFUNCTION("""COMPUTED_VALUE"""),"05.65.65.52.09")</f>
        <v>05.65.65.52.09</v>
      </c>
      <c r="H842" t="str">
        <f ca="1">IFERROR(__xludf.DUMMYFUNCTION("""COMPUTED_VALUE"""),"THEMINES Jean-Luc")</f>
        <v>THEMINES Jean-Luc</v>
      </c>
      <c r="I842" t="str">
        <f ca="1">IFERROR(__xludf.DUMMYFUNCTION("""COMPUTED_VALUE"""),"jean-luc.themines@systeme-u.fr")</f>
        <v>jean-luc.themines@systeme-u.fr</v>
      </c>
      <c r="J842" t="str">
        <f ca="1">IFERROR(__xludf.DUMMYFUNCTION("""COMPUTED_VALUE"""),"")</f>
        <v/>
      </c>
      <c r="K842" t="str">
        <f ca="1">IFERROR(__xludf.DUMMYFUNCTION("""COMPUTED_VALUE"""),"")</f>
        <v/>
      </c>
      <c r="L842" t="str">
        <f ca="1">IFERROR(__xludf.DUMMYFUNCTION("""COMPUTED_VALUE"""),"")</f>
        <v/>
      </c>
      <c r="M842" t="str">
        <f ca="1">IFERROR(__xludf.DUMMYFUNCTION("""COMPUTED_VALUE"""),"99.Hors Périmetre")</f>
        <v>99.Hors Périmetre</v>
      </c>
      <c r="N842" t="str">
        <f ca="1">IFERROR(__xludf.DUMMYFUNCTION("""COMPUTED_VALUE"""),"")</f>
        <v/>
      </c>
      <c r="O842" t="str">
        <f ca="1">IFERROR(__xludf.DUMMYFUNCTION("""COMPUTED_VALUE"""),"")</f>
        <v/>
      </c>
      <c r="P842" t="str">
        <f ca="1">IFERROR(__xludf.DUMMYFUNCTION("""COMPUTED_VALUE"""),"")</f>
        <v/>
      </c>
      <c r="Q842" s="5" t="str">
        <f ca="1">IFERROR(__xludf.DUMMYFUNCTION("""COMPUTED_VALUE"""),"")</f>
        <v/>
      </c>
      <c r="R842" s="6" t="str">
        <f ca="1">IFERROR(__xludf.DUMMYFUNCTION("""COMPUTED_VALUE"""),"")</f>
        <v/>
      </c>
      <c r="S842" t="str">
        <f ca="1">IFERROR(__xludf.DUMMYFUNCTION("""COMPUTED_VALUE"""),"")</f>
        <v/>
      </c>
      <c r="T842" t="str">
        <f ca="1">IFERROR(__xludf.DUMMYFUNCTION("""COMPUTED_VALUE"""),"")</f>
        <v/>
      </c>
      <c r="U842" t="str">
        <f ca="1">IFERROR(__xludf.DUMMYFUNCTION("""COMPUTED_VALUE"""),"")</f>
        <v/>
      </c>
      <c r="V842" t="str">
        <f ca="1">IFERROR(__xludf.DUMMYFUNCTION("""COMPUTED_VALUE"""),"")</f>
        <v/>
      </c>
      <c r="W842" t="str">
        <f ca="1">IFERROR(__xludf.DUMMYFUNCTION("""COMPUTED_VALUE"""),"")</f>
        <v/>
      </c>
      <c r="X842" t="str">
        <f ca="1">IFERROR(__xludf.DUMMYFUNCTION("""COMPUTED_VALUE"""),"")</f>
        <v/>
      </c>
      <c r="Y842" t="str">
        <f ca="1">IFERROR(__xludf.DUMMYFUNCTION("""COMPUTED_VALUE"""),"")</f>
        <v/>
      </c>
      <c r="Z842" t="str">
        <f ca="1">IFERROR(__xludf.DUMMYFUNCTION("""COMPUTED_VALUE"""),"")</f>
        <v/>
      </c>
      <c r="AA842" t="str">
        <f ca="1">IFERROR(__xludf.DUMMYFUNCTION("""COMPUTED_VALUE"""),"Pas de commande")</f>
        <v>Pas de commande</v>
      </c>
      <c r="AB842" s="8" t="str">
        <f ca="1">IFERROR(__xludf.DUMMYFUNCTION("""COMPUTED_VALUE"""),"")</f>
        <v/>
      </c>
      <c r="AC842" s="8" t="str">
        <f ca="1">IFERROR(__xludf.DUMMYFUNCTION("""COMPUTED_VALUE"""),"")</f>
        <v/>
      </c>
      <c r="AD842" s="11" t="str">
        <f ca="1">IFERROR(__xludf.DUMMYFUNCTION("""COMPUTED_VALUE"""),"")</f>
        <v/>
      </c>
      <c r="AE842" t="str">
        <f ca="1">IFERROR(__xludf.DUMMYFUNCTION("""COMPUTED_VALUE"""),"")</f>
        <v/>
      </c>
    </row>
    <row r="843" spans="1:31" ht="12.75" x14ac:dyDescent="0.2">
      <c r="A843">
        <f ca="1">IFERROR(__xludf.DUMMYFUNCTION("""COMPUTED_VALUE"""),95457)</f>
        <v>95457</v>
      </c>
      <c r="B843" t="str">
        <f ca="1">IFERROR(__xludf.DUMMYFUNCTION("""COMPUTED_VALUE"""),"RIGNAC")</f>
        <v>RIGNAC</v>
      </c>
      <c r="C843" t="str">
        <f ca="1">IFERROR(__xludf.DUMMYFUNCTION("""COMPUTED_VALUE"""),"U Express")</f>
        <v>U Express</v>
      </c>
      <c r="D843" t="str">
        <f ca="1">IFERROR(__xludf.DUMMYFUNCTION("""COMPUTED_VALUE"""),"Coop UPSO")</f>
        <v>Coop UPSO</v>
      </c>
      <c r="E843">
        <f ca="1">IFERROR(__xludf.DUMMYFUNCTION("""COMPUTED_VALUE"""),12390)</f>
        <v>12390</v>
      </c>
      <c r="F843" t="str">
        <f ca="1">IFERROR(__xludf.DUMMYFUNCTION("""COMPUTED_VALUE"""),"ROND POINT DE LA CASSAGNE")</f>
        <v>ROND POINT DE LA CASSAGNE</v>
      </c>
      <c r="G843" t="str">
        <f ca="1">IFERROR(__xludf.DUMMYFUNCTION("""COMPUTED_VALUE"""),"05.65.64.44.44")</f>
        <v>05.65.64.44.44</v>
      </c>
      <c r="H843" t="str">
        <f ca="1">IFERROR(__xludf.DUMMYFUNCTION("""COMPUTED_VALUE"""),"THEMINES Jean-Luc")</f>
        <v>THEMINES Jean-Luc</v>
      </c>
      <c r="I843" t="str">
        <f ca="1">IFERROR(__xludf.DUMMYFUNCTION("""COMPUTED_VALUE"""),"jean-luc.themines@systeme-u.fr")</f>
        <v>jean-luc.themines@systeme-u.fr</v>
      </c>
      <c r="J843" t="str">
        <f ca="1">IFERROR(__xludf.DUMMYFUNCTION("""COMPUTED_VALUE"""),"ARIES ALINE")</f>
        <v>ARIES ALINE</v>
      </c>
      <c r="K843" t="str">
        <f ca="1">IFERROR(__xludf.DUMMYFUNCTION("""COMPUTED_VALUE"""),"rignac.distrib@orange.fr")</f>
        <v>rignac.distrib@orange.fr</v>
      </c>
      <c r="L843" t="str">
        <f ca="1">IFERROR(__xludf.DUMMYFUNCTION("""COMPUTED_VALUE"""),"")</f>
        <v/>
      </c>
      <c r="M843" t="str">
        <f ca="1">IFERROR(__xludf.DUMMYFUNCTION("""COMPUTED_VALUE"""),"99.Hors Périmetre")</f>
        <v>99.Hors Périmetre</v>
      </c>
      <c r="N843" t="str">
        <f ca="1">IFERROR(__xludf.DUMMYFUNCTION("""COMPUTED_VALUE"""),"")</f>
        <v/>
      </c>
      <c r="O843" t="str">
        <f ca="1">IFERROR(__xludf.DUMMYFUNCTION("""COMPUTED_VALUE"""),"")</f>
        <v/>
      </c>
      <c r="P843" t="str">
        <f ca="1">IFERROR(__xludf.DUMMYFUNCTION("""COMPUTED_VALUE"""),"")</f>
        <v/>
      </c>
      <c r="Q843" s="5" t="str">
        <f ca="1">IFERROR(__xludf.DUMMYFUNCTION("""COMPUTED_VALUE"""),"")</f>
        <v/>
      </c>
      <c r="R843" s="6" t="str">
        <f ca="1">IFERROR(__xludf.DUMMYFUNCTION("""COMPUTED_VALUE"""),"")</f>
        <v/>
      </c>
      <c r="S843" t="str">
        <f ca="1">IFERROR(__xludf.DUMMYFUNCTION("""COMPUTED_VALUE"""),"")</f>
        <v/>
      </c>
      <c r="T843" t="str">
        <f ca="1">IFERROR(__xludf.DUMMYFUNCTION("""COMPUTED_VALUE"""),"")</f>
        <v/>
      </c>
      <c r="U843" t="str">
        <f ca="1">IFERROR(__xludf.DUMMYFUNCTION("""COMPUTED_VALUE"""),"")</f>
        <v/>
      </c>
      <c r="V843" t="str">
        <f ca="1">IFERROR(__xludf.DUMMYFUNCTION("""COMPUTED_VALUE"""),"")</f>
        <v/>
      </c>
      <c r="W843" t="str">
        <f ca="1">IFERROR(__xludf.DUMMYFUNCTION("""COMPUTED_VALUE"""),"")</f>
        <v/>
      </c>
      <c r="X843" t="str">
        <f ca="1">IFERROR(__xludf.DUMMYFUNCTION("""COMPUTED_VALUE"""),"")</f>
        <v/>
      </c>
      <c r="Y843" t="str">
        <f ca="1">IFERROR(__xludf.DUMMYFUNCTION("""COMPUTED_VALUE"""),"")</f>
        <v/>
      </c>
      <c r="Z843" t="str">
        <f ca="1">IFERROR(__xludf.DUMMYFUNCTION("""COMPUTED_VALUE"""),"")</f>
        <v/>
      </c>
      <c r="AA843" t="str">
        <f ca="1">IFERROR(__xludf.DUMMYFUNCTION("""COMPUTED_VALUE"""),"Pas de commande")</f>
        <v>Pas de commande</v>
      </c>
      <c r="AB843" s="8" t="str">
        <f ca="1">IFERROR(__xludf.DUMMYFUNCTION("""COMPUTED_VALUE"""),"")</f>
        <v/>
      </c>
      <c r="AC843" s="8" t="str">
        <f ca="1">IFERROR(__xludf.DUMMYFUNCTION("""COMPUTED_VALUE"""),"")</f>
        <v/>
      </c>
      <c r="AD843" s="11" t="str">
        <f ca="1">IFERROR(__xludf.DUMMYFUNCTION("""COMPUTED_VALUE"""),"")</f>
        <v/>
      </c>
      <c r="AE843" t="str">
        <f ca="1">IFERROR(__xludf.DUMMYFUNCTION("""COMPUTED_VALUE"""),"")</f>
        <v/>
      </c>
    </row>
    <row r="844" spans="1:31" ht="12.75" x14ac:dyDescent="0.2">
      <c r="A844">
        <f ca="1">IFERROR(__xludf.DUMMYFUNCTION("""COMPUTED_VALUE"""),38094)</f>
        <v>38094</v>
      </c>
      <c r="B844" t="str">
        <f ca="1">IFERROR(__xludf.DUMMYFUNCTION("""COMPUTED_VALUE"""),"RIVEDOUX PLAGE")</f>
        <v>RIVEDOUX PLAGE</v>
      </c>
      <c r="C844" t="str">
        <f ca="1">IFERROR(__xludf.DUMMYFUNCTION("""COMPUTED_VALUE"""),"U Express")</f>
        <v>U Express</v>
      </c>
      <c r="D844" t="str">
        <f ca="1">IFERROR(__xludf.DUMMYFUNCTION("""COMPUTED_VALUE"""),"Coop U Enseigne Ouest")</f>
        <v>Coop U Enseigne Ouest</v>
      </c>
      <c r="E844">
        <f ca="1">IFERROR(__xludf.DUMMYFUNCTION("""COMPUTED_VALUE"""),17940)</f>
        <v>17940</v>
      </c>
      <c r="F844" t="str">
        <f ca="1">IFERROR(__xludf.DUMMYFUNCTION("""COMPUTED_VALUE"""),"360 AVENUE GUSTAVE PERREAU")</f>
        <v>360 AVENUE GUSTAVE PERREAU</v>
      </c>
      <c r="G844" t="str">
        <f ca="1">IFERROR(__xludf.DUMMYFUNCTION("""COMPUTED_VALUE"""),"05.46.67.17.20")</f>
        <v>05.46.67.17.20</v>
      </c>
      <c r="H844" t="str">
        <f ca="1">IFERROR(__xludf.DUMMYFUNCTION("""COMPUTED_VALUE"""),"MOTTE Baptiste")</f>
        <v>MOTTE Baptiste</v>
      </c>
      <c r="I844" t="str">
        <f ca="1">IFERROR(__xludf.DUMMYFUNCTION("""COMPUTED_VALUE"""),"baptiste.motte@systeme-u.fr")</f>
        <v>baptiste.motte@systeme-u.fr</v>
      </c>
      <c r="J844" t="str">
        <f ca="1">IFERROR(__xludf.DUMMYFUNCTION("""COMPUTED_VALUE"""),"")</f>
        <v/>
      </c>
      <c r="K844" t="str">
        <f ca="1">IFERROR(__xludf.DUMMYFUNCTION("""COMPUTED_VALUE"""),"")</f>
        <v/>
      </c>
      <c r="L844" t="str">
        <f ca="1">IFERROR(__xludf.DUMMYFUNCTION("""COMPUTED_VALUE"""),"")</f>
        <v/>
      </c>
      <c r="M844" t="str">
        <f ca="1">IFERROR(__xludf.DUMMYFUNCTION("""COMPUTED_VALUE"""),"99.Hors Périmetre")</f>
        <v>99.Hors Périmetre</v>
      </c>
      <c r="N844" t="str">
        <f ca="1">IFERROR(__xludf.DUMMYFUNCTION("""COMPUTED_VALUE"""),"")</f>
        <v/>
      </c>
      <c r="O844" t="str">
        <f ca="1">IFERROR(__xludf.DUMMYFUNCTION("""COMPUTED_VALUE"""),"")</f>
        <v/>
      </c>
      <c r="P844" t="str">
        <f ca="1">IFERROR(__xludf.DUMMYFUNCTION("""COMPUTED_VALUE"""),"")</f>
        <v/>
      </c>
      <c r="Q844" s="5" t="str">
        <f ca="1">IFERROR(__xludf.DUMMYFUNCTION("""COMPUTED_VALUE"""),"")</f>
        <v/>
      </c>
      <c r="R844" s="6" t="str">
        <f ca="1">IFERROR(__xludf.DUMMYFUNCTION("""COMPUTED_VALUE"""),"")</f>
        <v/>
      </c>
      <c r="S844" t="str">
        <f ca="1">IFERROR(__xludf.DUMMYFUNCTION("""COMPUTED_VALUE"""),"")</f>
        <v/>
      </c>
      <c r="T844" t="str">
        <f ca="1">IFERROR(__xludf.DUMMYFUNCTION("""COMPUTED_VALUE"""),"")</f>
        <v/>
      </c>
      <c r="U844" t="str">
        <f ca="1">IFERROR(__xludf.DUMMYFUNCTION("""COMPUTED_VALUE"""),"")</f>
        <v/>
      </c>
      <c r="V844" t="str">
        <f ca="1">IFERROR(__xludf.DUMMYFUNCTION("""COMPUTED_VALUE"""),"")</f>
        <v/>
      </c>
      <c r="W844" t="str">
        <f ca="1">IFERROR(__xludf.DUMMYFUNCTION("""COMPUTED_VALUE"""),"")</f>
        <v/>
      </c>
      <c r="X844" t="str">
        <f ca="1">IFERROR(__xludf.DUMMYFUNCTION("""COMPUTED_VALUE"""),"")</f>
        <v/>
      </c>
      <c r="Y844" t="str">
        <f ca="1">IFERROR(__xludf.DUMMYFUNCTION("""COMPUTED_VALUE"""),"")</f>
        <v/>
      </c>
      <c r="Z844" t="str">
        <f ca="1">IFERROR(__xludf.DUMMYFUNCTION("""COMPUTED_VALUE"""),"")</f>
        <v/>
      </c>
      <c r="AA844" t="str">
        <f ca="1">IFERROR(__xludf.DUMMYFUNCTION("""COMPUTED_VALUE"""),"Pas de commande")</f>
        <v>Pas de commande</v>
      </c>
      <c r="AB844" s="8" t="str">
        <f ca="1">IFERROR(__xludf.DUMMYFUNCTION("""COMPUTED_VALUE"""),"")</f>
        <v/>
      </c>
      <c r="AC844" s="8" t="str">
        <f ca="1">IFERROR(__xludf.DUMMYFUNCTION("""COMPUTED_VALUE"""),"")</f>
        <v/>
      </c>
      <c r="AD844" s="11" t="str">
        <f ca="1">IFERROR(__xludf.DUMMYFUNCTION("""COMPUTED_VALUE"""),"")</f>
        <v/>
      </c>
      <c r="AE844" t="str">
        <f ca="1">IFERROR(__xludf.DUMMYFUNCTION("""COMPUTED_VALUE"""),"")</f>
        <v/>
      </c>
    </row>
    <row r="845" spans="1:31" ht="12.75" x14ac:dyDescent="0.2">
      <c r="A845">
        <f ca="1">IFERROR(__xludf.DUMMYFUNCTION("""COMPUTED_VALUE"""),90519)</f>
        <v>90519</v>
      </c>
      <c r="B845" t="str">
        <f ca="1">IFERROR(__xludf.DUMMYFUNCTION("""COMPUTED_VALUE"""),"ROCBARON")</f>
        <v>ROCBARON</v>
      </c>
      <c r="C845" t="str">
        <f ca="1">IFERROR(__xludf.DUMMYFUNCTION("""COMPUTED_VALUE"""),"Super U")</f>
        <v>Super U</v>
      </c>
      <c r="D845" t="str">
        <f ca="1">IFERROR(__xludf.DUMMYFUNCTION("""COMPUTED_VALUE"""),"Coop U Enseigne Sud")</f>
        <v>Coop U Enseigne Sud</v>
      </c>
      <c r="E845">
        <f ca="1">IFERROR(__xludf.DUMMYFUNCTION("""COMPUTED_VALUE"""),83136)</f>
        <v>83136</v>
      </c>
      <c r="F845" t="str">
        <f ca="1">IFERROR(__xludf.DUMMYFUNCTION("""COMPUTED_VALUE"""),"ZAC DU FRAY REDON")</f>
        <v>ZAC DU FRAY REDON</v>
      </c>
      <c r="G845" t="str">
        <f ca="1">IFERROR(__xludf.DUMMYFUNCTION("""COMPUTED_VALUE"""),"04.94.72.88.88")</f>
        <v>04.94.72.88.88</v>
      </c>
      <c r="H845" t="str">
        <f ca="1">IFERROR(__xludf.DUMMYFUNCTION("""COMPUTED_VALUE"""),"HUCHETTE Angelique")</f>
        <v>HUCHETTE Angelique</v>
      </c>
      <c r="I845" t="str">
        <f ca="1">IFERROR(__xludf.DUMMYFUNCTION("""COMPUTED_VALUE"""),"angelique.huchette@systeme-u.fr")</f>
        <v>angelique.huchette@systeme-u.fr</v>
      </c>
      <c r="J845" t="str">
        <f ca="1">IFERROR(__xludf.DUMMYFUNCTION("""COMPUTED_VALUE"""),"SUIHLI Mehrez")</f>
        <v>SUIHLI Mehrez</v>
      </c>
      <c r="K845" t="str">
        <f ca="1">IFERROR(__xludf.DUMMYFUNCTION("""COMPUTED_VALUE"""),"superu.rocbaron.direction@systeme-u.fr")</f>
        <v>superu.rocbaron.direction@systeme-u.fr</v>
      </c>
      <c r="L845" t="str">
        <f ca="1">IFERROR(__xludf.DUMMYFUNCTION("""COMPUTED_VALUE"""),"")</f>
        <v/>
      </c>
      <c r="M845" t="str">
        <f ca="1">IFERROR(__xludf.DUMMYFUNCTION("""COMPUTED_VALUE"""),"99.Hors Périmetre")</f>
        <v>99.Hors Périmetre</v>
      </c>
      <c r="N845" t="str">
        <f ca="1">IFERROR(__xludf.DUMMYFUNCTION("""COMPUTED_VALUE"""),"")</f>
        <v/>
      </c>
      <c r="O845" t="str">
        <f ca="1">IFERROR(__xludf.DUMMYFUNCTION("""COMPUTED_VALUE"""),"")</f>
        <v/>
      </c>
      <c r="P845" t="str">
        <f ca="1">IFERROR(__xludf.DUMMYFUNCTION("""COMPUTED_VALUE"""),"")</f>
        <v/>
      </c>
      <c r="Q845" s="5" t="str">
        <f ca="1">IFERROR(__xludf.DUMMYFUNCTION("""COMPUTED_VALUE"""),"")</f>
        <v/>
      </c>
      <c r="R845" s="6" t="str">
        <f ca="1">IFERROR(__xludf.DUMMYFUNCTION("""COMPUTED_VALUE"""),"")</f>
        <v/>
      </c>
      <c r="S845" t="str">
        <f ca="1">IFERROR(__xludf.DUMMYFUNCTION("""COMPUTED_VALUE"""),"")</f>
        <v/>
      </c>
      <c r="T845" t="str">
        <f ca="1">IFERROR(__xludf.DUMMYFUNCTION("""COMPUTED_VALUE"""),"")</f>
        <v/>
      </c>
      <c r="U845" t="str">
        <f ca="1">IFERROR(__xludf.DUMMYFUNCTION("""COMPUTED_VALUE"""),"")</f>
        <v/>
      </c>
      <c r="V845" t="str">
        <f ca="1">IFERROR(__xludf.DUMMYFUNCTION("""COMPUTED_VALUE"""),"")</f>
        <v/>
      </c>
      <c r="W845" t="str">
        <f ca="1">IFERROR(__xludf.DUMMYFUNCTION("""COMPUTED_VALUE"""),"")</f>
        <v/>
      </c>
      <c r="X845" t="str">
        <f ca="1">IFERROR(__xludf.DUMMYFUNCTION("""COMPUTED_VALUE"""),"")</f>
        <v/>
      </c>
      <c r="Y845" t="str">
        <f ca="1">IFERROR(__xludf.DUMMYFUNCTION("""COMPUTED_VALUE"""),"")</f>
        <v/>
      </c>
      <c r="Z845" t="str">
        <f ca="1">IFERROR(__xludf.DUMMYFUNCTION("""COMPUTED_VALUE"""),"")</f>
        <v/>
      </c>
      <c r="AA845" t="str">
        <f ca="1">IFERROR(__xludf.DUMMYFUNCTION("""COMPUTED_VALUE"""),"Pas de commande")</f>
        <v>Pas de commande</v>
      </c>
      <c r="AB845" s="8" t="str">
        <f ca="1">IFERROR(__xludf.DUMMYFUNCTION("""COMPUTED_VALUE"""),"")</f>
        <v/>
      </c>
      <c r="AC845" s="8" t="str">
        <f ca="1">IFERROR(__xludf.DUMMYFUNCTION("""COMPUTED_VALUE"""),"")</f>
        <v/>
      </c>
      <c r="AD845" s="11" t="str">
        <f ca="1">IFERROR(__xludf.DUMMYFUNCTION("""COMPUTED_VALUE"""),"")</f>
        <v/>
      </c>
      <c r="AE845" t="str">
        <f ca="1">IFERROR(__xludf.DUMMYFUNCTION("""COMPUTED_VALUE"""),"")</f>
        <v/>
      </c>
    </row>
    <row r="846" spans="1:31" ht="12.75" x14ac:dyDescent="0.2">
      <c r="A846">
        <f ca="1">IFERROR(__xludf.DUMMYFUNCTION("""COMPUTED_VALUE"""),68508)</f>
        <v>68508</v>
      </c>
      <c r="B846" t="str">
        <f ca="1">IFERROR(__xludf.DUMMYFUNCTION("""COMPUTED_VALUE"""),"ROCHE LEZ BEAUPRE")</f>
        <v>ROCHE LEZ BEAUPRE</v>
      </c>
      <c r="C846" t="str">
        <f ca="1">IFERROR(__xludf.DUMMYFUNCTION("""COMPUTED_VALUE"""),"Super U")</f>
        <v>Super U</v>
      </c>
      <c r="D846" t="str">
        <f ca="1">IFERROR(__xludf.DUMMYFUNCTION("""COMPUTED_VALUE"""),"Coop U Enseigne Est")</f>
        <v>Coop U Enseigne Est</v>
      </c>
      <c r="E846">
        <f ca="1">IFERROR(__xludf.DUMMYFUNCTION("""COMPUTED_VALUE"""),25220)</f>
        <v>25220</v>
      </c>
      <c r="F846" t="str">
        <f ca="1">IFERROR(__xludf.DUMMYFUNCTION("""COMPUTED_VALUE"""),"Zone Artisanale des Prés Chalots")</f>
        <v>Zone Artisanale des Prés Chalots</v>
      </c>
      <c r="G846" t="str">
        <f ca="1">IFERROR(__xludf.DUMMYFUNCTION("""COMPUTED_VALUE"""),"03.81.55.44.85")</f>
        <v>03.81.55.44.85</v>
      </c>
      <c r="H846" t="str">
        <f ca="1">IFERROR(__xludf.DUMMYFUNCTION("""COMPUTED_VALUE"""),"NEUVILLE Geoffroy")</f>
        <v>NEUVILLE Geoffroy</v>
      </c>
      <c r="I846" t="str">
        <f ca="1">IFERROR(__xludf.DUMMYFUNCTION("""COMPUTED_VALUE"""),"geoffroy.neuville@systeme-u.fr")</f>
        <v>geoffroy.neuville@systeme-u.fr</v>
      </c>
      <c r="J846" t="str">
        <f ca="1">IFERROR(__xludf.DUMMYFUNCTION("""COMPUTED_VALUE"""),"")</f>
        <v/>
      </c>
      <c r="K846" t="str">
        <f ca="1">IFERROR(__xludf.DUMMYFUNCTION("""COMPUTED_VALUE"""),"")</f>
        <v/>
      </c>
      <c r="L846" t="str">
        <f ca="1">IFERROR(__xludf.DUMMYFUNCTION("""COMPUTED_VALUE"""),"")</f>
        <v/>
      </c>
      <c r="M846" t="str">
        <f ca="1">IFERROR(__xludf.DUMMYFUNCTION("""COMPUTED_VALUE"""),"99.Hors Périmetre")</f>
        <v>99.Hors Périmetre</v>
      </c>
      <c r="N846" t="str">
        <f ca="1">IFERROR(__xludf.DUMMYFUNCTION("""COMPUTED_VALUE"""),"")</f>
        <v/>
      </c>
      <c r="O846" t="str">
        <f ca="1">IFERROR(__xludf.DUMMYFUNCTION("""COMPUTED_VALUE"""),"")</f>
        <v/>
      </c>
      <c r="P846" t="str">
        <f ca="1">IFERROR(__xludf.DUMMYFUNCTION("""COMPUTED_VALUE"""),"")</f>
        <v/>
      </c>
      <c r="Q846" s="5" t="str">
        <f ca="1">IFERROR(__xludf.DUMMYFUNCTION("""COMPUTED_VALUE"""),"")</f>
        <v/>
      </c>
      <c r="R846" s="6" t="str">
        <f ca="1">IFERROR(__xludf.DUMMYFUNCTION("""COMPUTED_VALUE"""),"")</f>
        <v/>
      </c>
      <c r="S846" t="str">
        <f ca="1">IFERROR(__xludf.DUMMYFUNCTION("""COMPUTED_VALUE"""),"")</f>
        <v/>
      </c>
      <c r="T846" t="str">
        <f ca="1">IFERROR(__xludf.DUMMYFUNCTION("""COMPUTED_VALUE"""),"")</f>
        <v/>
      </c>
      <c r="U846" t="str">
        <f ca="1">IFERROR(__xludf.DUMMYFUNCTION("""COMPUTED_VALUE"""),"")</f>
        <v/>
      </c>
      <c r="V846" t="str">
        <f ca="1">IFERROR(__xludf.DUMMYFUNCTION("""COMPUTED_VALUE"""),"")</f>
        <v/>
      </c>
      <c r="W846" t="str">
        <f ca="1">IFERROR(__xludf.DUMMYFUNCTION("""COMPUTED_VALUE"""),"")</f>
        <v/>
      </c>
      <c r="X846" t="str">
        <f ca="1">IFERROR(__xludf.DUMMYFUNCTION("""COMPUTED_VALUE"""),"")</f>
        <v/>
      </c>
      <c r="Y846" t="str">
        <f ca="1">IFERROR(__xludf.DUMMYFUNCTION("""COMPUTED_VALUE"""),"")</f>
        <v/>
      </c>
      <c r="Z846" t="str">
        <f ca="1">IFERROR(__xludf.DUMMYFUNCTION("""COMPUTED_VALUE"""),"")</f>
        <v/>
      </c>
      <c r="AA846" t="str">
        <f ca="1">IFERROR(__xludf.DUMMYFUNCTION("""COMPUTED_VALUE"""),"Pas de commande")</f>
        <v>Pas de commande</v>
      </c>
      <c r="AB846" s="8" t="str">
        <f ca="1">IFERROR(__xludf.DUMMYFUNCTION("""COMPUTED_VALUE"""),"")</f>
        <v/>
      </c>
      <c r="AC846" s="8" t="str">
        <f ca="1">IFERROR(__xludf.DUMMYFUNCTION("""COMPUTED_VALUE"""),"")</f>
        <v/>
      </c>
      <c r="AD846" s="11" t="str">
        <f ca="1">IFERROR(__xludf.DUMMYFUNCTION("""COMPUTED_VALUE"""),"")</f>
        <v/>
      </c>
      <c r="AE846" t="str">
        <f ca="1">IFERROR(__xludf.DUMMYFUNCTION("""COMPUTED_VALUE"""),"")</f>
        <v/>
      </c>
    </row>
    <row r="847" spans="1:31" ht="12.75" x14ac:dyDescent="0.2">
      <c r="A847">
        <f ca="1">IFERROR(__xludf.DUMMYFUNCTION("""COMPUTED_VALUE"""),90629)</f>
        <v>90629</v>
      </c>
      <c r="B847" t="str">
        <f ca="1">IFERROR(__xludf.DUMMYFUNCTION("""COMPUTED_VALUE"""),"ROCHEFORT DU GARD")</f>
        <v>ROCHEFORT DU GARD</v>
      </c>
      <c r="C847" t="str">
        <f ca="1">IFERROR(__xludf.DUMMYFUNCTION("""COMPUTED_VALUE"""),"U Express")</f>
        <v>U Express</v>
      </c>
      <c r="D847" t="str">
        <f ca="1">IFERROR(__xludf.DUMMYFUNCTION("""COMPUTED_VALUE"""),"Coop MISTRAL")</f>
        <v>Coop MISTRAL</v>
      </c>
      <c r="E847">
        <f ca="1">IFERROR(__xludf.DUMMYFUNCTION("""COMPUTED_VALUE"""),30650)</f>
        <v>30650</v>
      </c>
      <c r="F847" t="str">
        <f ca="1">IFERROR(__xludf.DUMMYFUNCTION("""COMPUTED_VALUE"""),"QUARTIER LE BARRI")</f>
        <v>QUARTIER LE BARRI</v>
      </c>
      <c r="G847" t="str">
        <f ca="1">IFERROR(__xludf.DUMMYFUNCTION("""COMPUTED_VALUE"""),"04.90.31.77.02")</f>
        <v>04.90.31.77.02</v>
      </c>
      <c r="H847" t="str">
        <f ca="1">IFERROR(__xludf.DUMMYFUNCTION("""COMPUTED_VALUE"""),"GARCIA Daniel et Carine")</f>
        <v>GARCIA Daniel et Carine</v>
      </c>
      <c r="I847" t="str">
        <f ca="1">IFERROR(__xludf.DUMMYFUNCTION("""COMPUTED_VALUE"""),"uexpress.rochefort@mistral-u.fr")</f>
        <v>uexpress.rochefort@mistral-u.fr</v>
      </c>
      <c r="J847" t="str">
        <f ca="1">IFERROR(__xludf.DUMMYFUNCTION("""COMPUTED_VALUE"""),"")</f>
        <v/>
      </c>
      <c r="K847" t="str">
        <f ca="1">IFERROR(__xludf.DUMMYFUNCTION("""COMPUTED_VALUE"""),"delphine.damian@lemistral.fr,helene.mina@lemistral.fr")</f>
        <v>delphine.damian@lemistral.fr,helene.mina@lemistral.fr</v>
      </c>
      <c r="L847" t="str">
        <f ca="1">IFERROR(__xludf.DUMMYFUNCTION("""COMPUTED_VALUE"""),"Standard")</f>
        <v>Standard</v>
      </c>
      <c r="M847" t="str">
        <f ca="1">IFERROR(__xludf.DUMMYFUNCTION("""COMPUTED_VALUE"""),"0. Non démarré")</f>
        <v>0. Non démarré</v>
      </c>
      <c r="N847" t="str">
        <f ca="1">IFERROR(__xludf.DUMMYFUNCTION("""COMPUTED_VALUE"""),"")</f>
        <v/>
      </c>
      <c r="O847" t="str">
        <f ca="1">IFERROR(__xludf.DUMMYFUNCTION("""COMPUTED_VALUE"""),"")</f>
        <v/>
      </c>
      <c r="P847" t="str">
        <f ca="1">IFERROR(__xludf.DUMMYFUNCTION("""COMPUTED_VALUE"""),"")</f>
        <v/>
      </c>
      <c r="Q847" s="5" t="str">
        <f ca="1">IFERROR(__xludf.DUMMYFUNCTION("""COMPUTED_VALUE"""),"")</f>
        <v/>
      </c>
      <c r="R847" s="6" t="str">
        <f ca="1">IFERROR(__xludf.DUMMYFUNCTION("""COMPUTED_VALUE"""),"")</f>
        <v/>
      </c>
      <c r="S847" t="str">
        <f ca="1">IFERROR(__xludf.DUMMYFUNCTION("""COMPUTED_VALUE"""),"")</f>
        <v/>
      </c>
      <c r="T847" t="str">
        <f ca="1">IFERROR(__xludf.DUMMYFUNCTION("""COMPUTED_VALUE"""),"")</f>
        <v/>
      </c>
      <c r="U847" t="str">
        <f ca="1">IFERROR(__xludf.DUMMYFUNCTION("""COMPUTED_VALUE"""),"")</f>
        <v/>
      </c>
      <c r="V847" t="str">
        <f ca="1">IFERROR(__xludf.DUMMYFUNCTION("""COMPUTED_VALUE"""),"")</f>
        <v/>
      </c>
      <c r="W847" t="str">
        <f ca="1">IFERROR(__xludf.DUMMYFUNCTION("""COMPUTED_VALUE"""),"R5")</f>
        <v>R5</v>
      </c>
      <c r="X847" t="str">
        <f ca="1">IFERROR(__xludf.DUMMYFUNCTION("""COMPUTED_VALUE"""),"Pricer")</f>
        <v>Pricer</v>
      </c>
      <c r="Y847" t="str">
        <f ca="1">IFERROR(__xludf.DUMMYFUNCTION("""COMPUTED_VALUE"""),"")</f>
        <v/>
      </c>
      <c r="Z847" t="str">
        <f ca="1">IFERROR(__xludf.DUMMYFUNCTION("""COMPUTED_VALUE"""),"")</f>
        <v/>
      </c>
      <c r="AA847" t="str">
        <f ca="1">IFERROR(__xludf.DUMMYFUNCTION("""COMPUTED_VALUE"""),"Pas de commande")</f>
        <v>Pas de commande</v>
      </c>
      <c r="AB847" s="8" t="str">
        <f ca="1">IFERROR(__xludf.DUMMYFUNCTION("""COMPUTED_VALUE"""),"")</f>
        <v/>
      </c>
      <c r="AC847" s="8" t="str">
        <f ca="1">IFERROR(__xludf.DUMMYFUNCTION("""COMPUTED_VALUE"""),"")</f>
        <v/>
      </c>
      <c r="AD847" s="11" t="str">
        <f ca="1">IFERROR(__xludf.DUMMYFUNCTION("""COMPUTED_VALUE"""),"")</f>
        <v/>
      </c>
      <c r="AE847" t="str">
        <f ca="1">IFERROR(__xludf.DUMMYFUNCTION("""COMPUTED_VALUE"""),"")</f>
        <v/>
      </c>
    </row>
    <row r="848" spans="1:31" ht="12.75" x14ac:dyDescent="0.2">
      <c r="A848">
        <f ca="1">IFERROR(__xludf.DUMMYFUNCTION("""COMPUTED_VALUE"""),21805)</f>
        <v>21805</v>
      </c>
      <c r="B848" t="str">
        <f ca="1">IFERROR(__xludf.DUMMYFUNCTION("""COMPUTED_VALUE"""),"ROCQUENCOURT")</f>
        <v>ROCQUENCOURT</v>
      </c>
      <c r="C848" t="str">
        <f ca="1">IFERROR(__xludf.DUMMYFUNCTION("""COMPUTED_VALUE"""),"U Express")</f>
        <v>U Express</v>
      </c>
      <c r="D848" t="str">
        <f ca="1">IFERROR(__xludf.DUMMYFUNCTION("""COMPUTED_VALUE"""),"Coop U Enseigne NordOuest")</f>
        <v>Coop U Enseigne NordOuest</v>
      </c>
      <c r="E848">
        <f ca="1">IFERROR(__xludf.DUMMYFUNCTION("""COMPUTED_VALUE"""),78150)</f>
        <v>78150</v>
      </c>
      <c r="F848" t="str">
        <f ca="1">IFERROR(__xludf.DUMMYFUNCTION("""COMPUTED_VALUE"""),"25 RUE DES ERABLES")</f>
        <v>25 RUE DES ERABLES</v>
      </c>
      <c r="G848" t="str">
        <f ca="1">IFERROR(__xludf.DUMMYFUNCTION("""COMPUTED_VALUE"""),"01.39.55.09.81")</f>
        <v>01.39.55.09.81</v>
      </c>
      <c r="H848" t="str">
        <f ca="1">IFERROR(__xludf.DUMMYFUNCTION("""COMPUTED_VALUE"""),"GEORGELIN Jean-Yves")</f>
        <v>GEORGELIN Jean-Yves</v>
      </c>
      <c r="I848" t="str">
        <f ca="1">IFERROR(__xludf.DUMMYFUNCTION("""COMPUTED_VALUE"""),"")</f>
        <v/>
      </c>
      <c r="J848" t="str">
        <f ca="1">IFERROR(__xludf.DUMMYFUNCTION("""COMPUTED_VALUE"""),"DIAZ Virginie")</f>
        <v>DIAZ Virginie</v>
      </c>
      <c r="K848" t="str">
        <f ca="1">IFERROR(__xludf.DUMMYFUNCTION("""COMPUTED_VALUE"""),"uexpress.rocquencourt@systeme-u.fr")</f>
        <v>uexpress.rocquencourt@systeme-u.fr</v>
      </c>
      <c r="L848" t="str">
        <f ca="1">IFERROR(__xludf.DUMMYFUNCTION("""COMPUTED_VALUE"""),"")</f>
        <v/>
      </c>
      <c r="M848" t="str">
        <f ca="1">IFERROR(__xludf.DUMMYFUNCTION("""COMPUTED_VALUE"""),"99.Hors Périmetre")</f>
        <v>99.Hors Périmetre</v>
      </c>
      <c r="N848" t="str">
        <f ca="1">IFERROR(__xludf.DUMMYFUNCTION("""COMPUTED_VALUE"""),"")</f>
        <v/>
      </c>
      <c r="O848" t="str">
        <f ca="1">IFERROR(__xludf.DUMMYFUNCTION("""COMPUTED_VALUE"""),"")</f>
        <v/>
      </c>
      <c r="P848" t="str">
        <f ca="1">IFERROR(__xludf.DUMMYFUNCTION("""COMPUTED_VALUE"""),"")</f>
        <v/>
      </c>
      <c r="Q848" s="5" t="str">
        <f ca="1">IFERROR(__xludf.DUMMYFUNCTION("""COMPUTED_VALUE"""),"")</f>
        <v/>
      </c>
      <c r="R848" s="6" t="str">
        <f ca="1">IFERROR(__xludf.DUMMYFUNCTION("""COMPUTED_VALUE"""),"")</f>
        <v/>
      </c>
      <c r="S848" t="str">
        <f ca="1">IFERROR(__xludf.DUMMYFUNCTION("""COMPUTED_VALUE"""),"")</f>
        <v/>
      </c>
      <c r="T848" t="str">
        <f ca="1">IFERROR(__xludf.DUMMYFUNCTION("""COMPUTED_VALUE"""),"")</f>
        <v/>
      </c>
      <c r="U848" t="str">
        <f ca="1">IFERROR(__xludf.DUMMYFUNCTION("""COMPUTED_VALUE"""),"")</f>
        <v/>
      </c>
      <c r="V848" t="str">
        <f ca="1">IFERROR(__xludf.DUMMYFUNCTION("""COMPUTED_VALUE"""),"")</f>
        <v/>
      </c>
      <c r="W848" t="str">
        <f ca="1">IFERROR(__xludf.DUMMYFUNCTION("""COMPUTED_VALUE"""),"")</f>
        <v/>
      </c>
      <c r="X848" t="str">
        <f ca="1">IFERROR(__xludf.DUMMYFUNCTION("""COMPUTED_VALUE"""),"")</f>
        <v/>
      </c>
      <c r="Y848" t="str">
        <f ca="1">IFERROR(__xludf.DUMMYFUNCTION("""COMPUTED_VALUE"""),"")</f>
        <v/>
      </c>
      <c r="Z848" t="str">
        <f ca="1">IFERROR(__xludf.DUMMYFUNCTION("""COMPUTED_VALUE"""),"")</f>
        <v/>
      </c>
      <c r="AA848" t="str">
        <f ca="1">IFERROR(__xludf.DUMMYFUNCTION("""COMPUTED_VALUE"""),"Pas de commande")</f>
        <v>Pas de commande</v>
      </c>
      <c r="AB848" s="8" t="str">
        <f ca="1">IFERROR(__xludf.DUMMYFUNCTION("""COMPUTED_VALUE"""),"")</f>
        <v/>
      </c>
      <c r="AC848" s="8" t="str">
        <f ca="1">IFERROR(__xludf.DUMMYFUNCTION("""COMPUTED_VALUE"""),"")</f>
        <v/>
      </c>
      <c r="AD848" s="11" t="str">
        <f ca="1">IFERROR(__xludf.DUMMYFUNCTION("""COMPUTED_VALUE"""),"")</f>
        <v/>
      </c>
      <c r="AE848" t="str">
        <f ca="1">IFERROR(__xludf.DUMMYFUNCTION("""COMPUTED_VALUE"""),"")</f>
        <v/>
      </c>
    </row>
    <row r="849" spans="1:31" ht="12.75" x14ac:dyDescent="0.2">
      <c r="A849">
        <f ca="1">IFERROR(__xludf.DUMMYFUNCTION("""COMPUTED_VALUE"""),90611)</f>
        <v>90611</v>
      </c>
      <c r="B849" t="str">
        <f ca="1">IFERROR(__xludf.DUMMYFUNCTION("""COMPUTED_VALUE"""),"ROGNONAS")</f>
        <v>ROGNONAS</v>
      </c>
      <c r="C849" t="str">
        <f ca="1">IFERROR(__xludf.DUMMYFUNCTION("""COMPUTED_VALUE"""),"U Express")</f>
        <v>U Express</v>
      </c>
      <c r="D849" t="str">
        <f ca="1">IFERROR(__xludf.DUMMYFUNCTION("""COMPUTED_VALUE"""),"Coop MISTRAL")</f>
        <v>Coop MISTRAL</v>
      </c>
      <c r="E849">
        <f ca="1">IFERROR(__xludf.DUMMYFUNCTION("""COMPUTED_VALUE"""),13870)</f>
        <v>13870</v>
      </c>
      <c r="F849" t="str">
        <f ca="1">IFERROR(__xludf.DUMMYFUNCTION("""COMPUTED_VALUE"""),"25 ROUTE D AVIGNON")</f>
        <v>25 ROUTE D AVIGNON</v>
      </c>
      <c r="G849" t="str">
        <f ca="1">IFERROR(__xludf.DUMMYFUNCTION("""COMPUTED_VALUE"""),"04.90.94.81.34")</f>
        <v>04.90.94.81.34</v>
      </c>
      <c r="H849" t="str">
        <f ca="1">IFERROR(__xludf.DUMMYFUNCTION("""COMPUTED_VALUE"""),"MARIANI Olivier")</f>
        <v>MARIANI Olivier</v>
      </c>
      <c r="I849" t="str">
        <f ca="1">IFERROR(__xludf.DUMMYFUNCTION("""COMPUTED_VALUE"""),"uexpressrognonas@orange.fr")</f>
        <v>uexpressrognonas@orange.fr</v>
      </c>
      <c r="J849" t="str">
        <f ca="1">IFERROR(__xludf.DUMMYFUNCTION("""COMPUTED_VALUE"""),"")</f>
        <v/>
      </c>
      <c r="K849" t="str">
        <f ca="1">IFERROR(__xludf.DUMMYFUNCTION("""COMPUTED_VALUE"""),"delphine.damian@lemistral.fr,helene.mina@lemistral.fr")</f>
        <v>delphine.damian@lemistral.fr,helene.mina@lemistral.fr</v>
      </c>
      <c r="L849" t="str">
        <f ca="1">IFERROR(__xludf.DUMMYFUNCTION("""COMPUTED_VALUE"""),"Standard")</f>
        <v>Standard</v>
      </c>
      <c r="M849" t="str">
        <f ca="1">IFERROR(__xludf.DUMMYFUNCTION("""COMPUTED_VALUE"""),"0. Non démarré")</f>
        <v>0. Non démarré</v>
      </c>
      <c r="N849" t="str">
        <f ca="1">IFERROR(__xludf.DUMMYFUNCTION("""COMPUTED_VALUE"""),"")</f>
        <v/>
      </c>
      <c r="O849" t="str">
        <f ca="1">IFERROR(__xludf.DUMMYFUNCTION("""COMPUTED_VALUE"""),"")</f>
        <v/>
      </c>
      <c r="P849" t="str">
        <f ca="1">IFERROR(__xludf.DUMMYFUNCTION("""COMPUTED_VALUE"""),"")</f>
        <v/>
      </c>
      <c r="Q849" s="5" t="str">
        <f ca="1">IFERROR(__xludf.DUMMYFUNCTION("""COMPUTED_VALUE"""),"")</f>
        <v/>
      </c>
      <c r="R849" s="6" t="str">
        <f ca="1">IFERROR(__xludf.DUMMYFUNCTION("""COMPUTED_VALUE"""),"")</f>
        <v/>
      </c>
      <c r="S849" t="str">
        <f ca="1">IFERROR(__xludf.DUMMYFUNCTION("""COMPUTED_VALUE"""),"")</f>
        <v/>
      </c>
      <c r="T849" t="str">
        <f ca="1">IFERROR(__xludf.DUMMYFUNCTION("""COMPUTED_VALUE"""),"")</f>
        <v/>
      </c>
      <c r="U849" t="str">
        <f ca="1">IFERROR(__xludf.DUMMYFUNCTION("""COMPUTED_VALUE"""),"")</f>
        <v/>
      </c>
      <c r="V849" t="str">
        <f ca="1">IFERROR(__xludf.DUMMYFUNCTION("""COMPUTED_VALUE"""),"")</f>
        <v/>
      </c>
      <c r="W849" t="str">
        <f ca="1">IFERROR(__xludf.DUMMYFUNCTION("""COMPUTED_VALUE"""),"R5")</f>
        <v>R5</v>
      </c>
      <c r="X849" t="str">
        <f ca="1">IFERROR(__xludf.DUMMYFUNCTION("""COMPUTED_VALUE"""),"Pricer")</f>
        <v>Pricer</v>
      </c>
      <c r="Y849" t="str">
        <f ca="1">IFERROR(__xludf.DUMMYFUNCTION("""COMPUTED_VALUE"""),"")</f>
        <v/>
      </c>
      <c r="Z849" t="str">
        <f ca="1">IFERROR(__xludf.DUMMYFUNCTION("""COMPUTED_VALUE"""),"")</f>
        <v/>
      </c>
      <c r="AA849" t="str">
        <f ca="1">IFERROR(__xludf.DUMMYFUNCTION("""COMPUTED_VALUE"""),"Pas de commande")</f>
        <v>Pas de commande</v>
      </c>
      <c r="AB849" s="8" t="str">
        <f ca="1">IFERROR(__xludf.DUMMYFUNCTION("""COMPUTED_VALUE"""),"")</f>
        <v/>
      </c>
      <c r="AC849" s="8" t="str">
        <f ca="1">IFERROR(__xludf.DUMMYFUNCTION("""COMPUTED_VALUE"""),"")</f>
        <v/>
      </c>
      <c r="AD849" s="11" t="str">
        <f ca="1">IFERROR(__xludf.DUMMYFUNCTION("""COMPUTED_VALUE"""),"")</f>
        <v/>
      </c>
      <c r="AE849" t="str">
        <f ca="1">IFERROR(__xludf.DUMMYFUNCTION("""COMPUTED_VALUE"""),"")</f>
        <v/>
      </c>
    </row>
    <row r="850" spans="1:31" ht="12.75" x14ac:dyDescent="0.2">
      <c r="A850">
        <f ca="1">IFERROR(__xludf.DUMMYFUNCTION("""COMPUTED_VALUE"""),60020)</f>
        <v>60020</v>
      </c>
      <c r="B850" t="str">
        <f ca="1">IFERROR(__xludf.DUMMYFUNCTION("""COMPUTED_VALUE"""),"ROHRBACH LES BITCHE")</f>
        <v>ROHRBACH LES BITCHE</v>
      </c>
      <c r="C850" t="str">
        <f ca="1">IFERROR(__xludf.DUMMYFUNCTION("""COMPUTED_VALUE"""),"Super U")</f>
        <v>Super U</v>
      </c>
      <c r="D850" t="str">
        <f ca="1">IFERROR(__xludf.DUMMYFUNCTION("""COMPUTED_VALUE"""),"Coop U Enseigne Est")</f>
        <v>Coop U Enseigne Est</v>
      </c>
      <c r="E850">
        <f ca="1">IFERROR(__xludf.DUMMYFUNCTION("""COMPUTED_VALUE"""),57410)</f>
        <v>57410</v>
      </c>
      <c r="F850" t="str">
        <f ca="1">IFERROR(__xludf.DUMMYFUNCTION("""COMPUTED_VALUE"""),"ROUTE DE STRASBOURG")</f>
        <v>ROUTE DE STRASBOURG</v>
      </c>
      <c r="G850" t="str">
        <f ca="1">IFERROR(__xludf.DUMMYFUNCTION("""COMPUTED_VALUE"""),"03.87.09.79.09")</f>
        <v>03.87.09.79.09</v>
      </c>
      <c r="H850" t="str">
        <f ca="1">IFERROR(__xludf.DUMMYFUNCTION("""COMPUTED_VALUE"""),"GAUB Jean-Luc")</f>
        <v>GAUB Jean-Luc</v>
      </c>
      <c r="I850" t="str">
        <f ca="1">IFERROR(__xludf.DUMMYFUNCTION("""COMPUTED_VALUE"""),"jean-luc.gaub@systeme-u.fr")</f>
        <v>jean-luc.gaub@systeme-u.fr</v>
      </c>
      <c r="J850" t="str">
        <f ca="1">IFERROR(__xludf.DUMMYFUNCTION("""COMPUTED_VALUE"""),"")</f>
        <v/>
      </c>
      <c r="K850" t="str">
        <f ca="1">IFERROR(__xludf.DUMMYFUNCTION("""COMPUTED_VALUE"""),"")</f>
        <v/>
      </c>
      <c r="L850" t="str">
        <f ca="1">IFERROR(__xludf.DUMMYFUNCTION("""COMPUTED_VALUE"""),"Standard")</f>
        <v>Standard</v>
      </c>
      <c r="M850" t="str">
        <f ca="1">IFERROR(__xludf.DUMMYFUNCTION("""COMPUTED_VALUE"""),"0. Non démarré")</f>
        <v>0. Non démarré</v>
      </c>
      <c r="N850" t="str">
        <f ca="1">IFERROR(__xludf.DUMMYFUNCTION("""COMPUTED_VALUE"""),"")</f>
        <v/>
      </c>
      <c r="O850" t="str">
        <f ca="1">IFERROR(__xludf.DUMMYFUNCTION("""COMPUTED_VALUE"""),"")</f>
        <v/>
      </c>
      <c r="P850" t="str">
        <f ca="1">IFERROR(__xludf.DUMMYFUNCTION("""COMPUTED_VALUE"""),"")</f>
        <v/>
      </c>
      <c r="Q850" s="5" t="str">
        <f ca="1">IFERROR(__xludf.DUMMYFUNCTION("""COMPUTED_VALUE"""),"")</f>
        <v/>
      </c>
      <c r="R850" s="6" t="str">
        <f ca="1">IFERROR(__xludf.DUMMYFUNCTION("""COMPUTED_VALUE"""),"")</f>
        <v/>
      </c>
      <c r="S850" t="str">
        <f ca="1">IFERROR(__xludf.DUMMYFUNCTION("""COMPUTED_VALUE"""),"")</f>
        <v/>
      </c>
      <c r="T850" t="str">
        <f ca="1">IFERROR(__xludf.DUMMYFUNCTION("""COMPUTED_VALUE"""),"")</f>
        <v/>
      </c>
      <c r="U850" t="str">
        <f ca="1">IFERROR(__xludf.DUMMYFUNCTION("""COMPUTED_VALUE"""),"")</f>
        <v/>
      </c>
      <c r="V850" t="str">
        <f ca="1">IFERROR(__xludf.DUMMYFUNCTION("""COMPUTED_VALUE"""),"")</f>
        <v/>
      </c>
      <c r="W850" t="str">
        <f ca="1">IFERROR(__xludf.DUMMYFUNCTION("""COMPUTED_VALUE"""),"R5")</f>
        <v>R5</v>
      </c>
      <c r="X850" t="str">
        <f ca="1">IFERROR(__xludf.DUMMYFUNCTION("""COMPUTED_VALUE"""),"Pricer")</f>
        <v>Pricer</v>
      </c>
      <c r="Y850" t="str">
        <f ca="1">IFERROR(__xludf.DUMMYFUNCTION("""COMPUTED_VALUE"""),"")</f>
        <v/>
      </c>
      <c r="Z850" t="str">
        <f ca="1">IFERROR(__xludf.DUMMYFUNCTION("""COMPUTED_VALUE"""),"")</f>
        <v/>
      </c>
      <c r="AA850" t="str">
        <f ca="1">IFERROR(__xludf.DUMMYFUNCTION("""COMPUTED_VALUE"""),"Pas de commande")</f>
        <v>Pas de commande</v>
      </c>
      <c r="AB850" s="8" t="str">
        <f ca="1">IFERROR(__xludf.DUMMYFUNCTION("""COMPUTED_VALUE"""),"")</f>
        <v/>
      </c>
      <c r="AC850" s="8" t="str">
        <f ca="1">IFERROR(__xludf.DUMMYFUNCTION("""COMPUTED_VALUE"""),"")</f>
        <v/>
      </c>
      <c r="AD850" s="11" t="str">
        <f ca="1">IFERROR(__xludf.DUMMYFUNCTION("""COMPUTED_VALUE"""),"")</f>
        <v/>
      </c>
      <c r="AE850" t="str">
        <f ca="1">IFERROR(__xludf.DUMMYFUNCTION("""COMPUTED_VALUE"""),"")</f>
        <v/>
      </c>
    </row>
    <row r="851" spans="1:31" ht="12.75" x14ac:dyDescent="0.2">
      <c r="A851">
        <f ca="1">IFERROR(__xludf.DUMMYFUNCTION("""COMPUTED_VALUE"""),23840)</f>
        <v>23840</v>
      </c>
      <c r="B851" t="str">
        <f ca="1">IFERROR(__xludf.DUMMYFUNCTION("""COMPUTED_VALUE"""),"ROISSY EN BRIE")</f>
        <v>ROISSY EN BRIE</v>
      </c>
      <c r="C851" t="str">
        <f ca="1">IFERROR(__xludf.DUMMYFUNCTION("""COMPUTED_VALUE"""),"Super U")</f>
        <v>Super U</v>
      </c>
      <c r="D851" t="str">
        <f ca="1">IFERROR(__xludf.DUMMYFUNCTION("""COMPUTED_VALUE"""),"Coop U Enseigne NordOuest")</f>
        <v>Coop U Enseigne NordOuest</v>
      </c>
      <c r="E851">
        <f ca="1">IFERROR(__xludf.DUMMYFUNCTION("""COMPUTED_VALUE"""),77680)</f>
        <v>77680</v>
      </c>
      <c r="F851" t="str">
        <f ca="1">IFERROR(__xludf.DUMMYFUNCTION("""COMPUTED_VALUE"""),"2 RUE DE LA CANARDERIE")</f>
        <v>2 RUE DE LA CANARDERIE</v>
      </c>
      <c r="G851" t="str">
        <f ca="1">IFERROR(__xludf.DUMMYFUNCTION("""COMPUTED_VALUE"""),"01.60.34.03.40")</f>
        <v>01.60.34.03.40</v>
      </c>
      <c r="H851" t="str">
        <f ca="1">IFERROR(__xludf.DUMMYFUNCTION("""COMPUTED_VALUE"""),"PROUX Stéphane")</f>
        <v>PROUX Stéphane</v>
      </c>
      <c r="I851" t="str">
        <f ca="1">IFERROR(__xludf.DUMMYFUNCTION("""COMPUTED_VALUE"""),"stephane.proux@systeme-u.fr")</f>
        <v>stephane.proux@systeme-u.fr</v>
      </c>
      <c r="J851" t="str">
        <f ca="1">IFERROR(__xludf.DUMMYFUNCTION("""COMPUTED_VALUE"""),"M. L'HUILIER
Mme CROIN")</f>
        <v>M. L'HUILIER
Mme CROIN</v>
      </c>
      <c r="K851" t="str">
        <f ca="1">IFERROR(__xludf.DUMMYFUNCTION("""COMPUTED_VALUE"""),"lolita.croin@systeme-u.fr")</f>
        <v>lolita.croin@systeme-u.fr</v>
      </c>
      <c r="L851" t="str">
        <f ca="1">IFERROR(__xludf.DUMMYFUNCTION("""COMPUTED_VALUE"""),"")</f>
        <v/>
      </c>
      <c r="M851" t="str">
        <f ca="1">IFERROR(__xludf.DUMMYFUNCTION("""COMPUTED_VALUE"""),"99.Hors Périmetre")</f>
        <v>99.Hors Périmetre</v>
      </c>
      <c r="N851" t="str">
        <f ca="1">IFERROR(__xludf.DUMMYFUNCTION("""COMPUTED_VALUE"""),"")</f>
        <v/>
      </c>
      <c r="O851" t="str">
        <f ca="1">IFERROR(__xludf.DUMMYFUNCTION("""COMPUTED_VALUE"""),"")</f>
        <v/>
      </c>
      <c r="P851" t="str">
        <f ca="1">IFERROR(__xludf.DUMMYFUNCTION("""COMPUTED_VALUE"""),"")</f>
        <v/>
      </c>
      <c r="Q851" s="5" t="str">
        <f ca="1">IFERROR(__xludf.DUMMYFUNCTION("""COMPUTED_VALUE"""),"")</f>
        <v/>
      </c>
      <c r="R851" s="6" t="str">
        <f ca="1">IFERROR(__xludf.DUMMYFUNCTION("""COMPUTED_VALUE"""),"")</f>
        <v/>
      </c>
      <c r="S851" t="str">
        <f ca="1">IFERROR(__xludf.DUMMYFUNCTION("""COMPUTED_VALUE"""),"")</f>
        <v/>
      </c>
      <c r="T851" t="str">
        <f ca="1">IFERROR(__xludf.DUMMYFUNCTION("""COMPUTED_VALUE"""),"")</f>
        <v/>
      </c>
      <c r="U851" t="str">
        <f ca="1">IFERROR(__xludf.DUMMYFUNCTION("""COMPUTED_VALUE"""),"")</f>
        <v/>
      </c>
      <c r="V851" t="str">
        <f ca="1">IFERROR(__xludf.DUMMYFUNCTION("""COMPUTED_VALUE"""),"")</f>
        <v/>
      </c>
      <c r="W851" t="str">
        <f ca="1">IFERROR(__xludf.DUMMYFUNCTION("""COMPUTED_VALUE"""),"")</f>
        <v/>
      </c>
      <c r="X851" t="str">
        <f ca="1">IFERROR(__xludf.DUMMYFUNCTION("""COMPUTED_VALUE"""),"")</f>
        <v/>
      </c>
      <c r="Y851" t="str">
        <f ca="1">IFERROR(__xludf.DUMMYFUNCTION("""COMPUTED_VALUE"""),"")</f>
        <v/>
      </c>
      <c r="Z851" t="str">
        <f ca="1">IFERROR(__xludf.DUMMYFUNCTION("""COMPUTED_VALUE"""),"")</f>
        <v/>
      </c>
      <c r="AA851" t="str">
        <f ca="1">IFERROR(__xludf.DUMMYFUNCTION("""COMPUTED_VALUE"""),"Pas de commande")</f>
        <v>Pas de commande</v>
      </c>
      <c r="AB851" s="8" t="str">
        <f ca="1">IFERROR(__xludf.DUMMYFUNCTION("""COMPUTED_VALUE"""),"")</f>
        <v/>
      </c>
      <c r="AC851" s="8" t="str">
        <f ca="1">IFERROR(__xludf.DUMMYFUNCTION("""COMPUTED_VALUE"""),"")</f>
        <v/>
      </c>
      <c r="AD851" s="11" t="str">
        <f ca="1">IFERROR(__xludf.DUMMYFUNCTION("""COMPUTED_VALUE"""),"")</f>
        <v/>
      </c>
      <c r="AE851" t="str">
        <f ca="1">IFERROR(__xludf.DUMMYFUNCTION("""COMPUTED_VALUE"""),"")</f>
        <v/>
      </c>
    </row>
    <row r="852" spans="1:31" ht="12.75" x14ac:dyDescent="0.2">
      <c r="A852">
        <f ca="1">IFERROR(__xludf.DUMMYFUNCTION("""COMPUTED_VALUE"""),90477)</f>
        <v>90477</v>
      </c>
      <c r="B852" t="str">
        <f ca="1">IFERROR(__xludf.DUMMYFUNCTION("""COMPUTED_VALUE"""),"ROMANS")</f>
        <v>ROMANS</v>
      </c>
      <c r="C852" t="str">
        <f ca="1">IFERROR(__xludf.DUMMYFUNCTION("""COMPUTED_VALUE"""),"Hyper U")</f>
        <v>Hyper U</v>
      </c>
      <c r="D852" t="str">
        <f ca="1">IFERROR(__xludf.DUMMYFUNCTION("""COMPUTED_VALUE"""),"Coop U Enseigne Sud")</f>
        <v>Coop U Enseigne Sud</v>
      </c>
      <c r="E852">
        <f ca="1">IFERROR(__xludf.DUMMYFUNCTION("""COMPUTED_VALUE"""),26109)</f>
        <v>26109</v>
      </c>
      <c r="F852" t="str">
        <f ca="1">IFERROR(__xludf.DUMMYFUNCTION("""COMPUTED_VALUE"""),"ROUTE DE LYON BP 187")</f>
        <v>ROUTE DE LYON BP 187</v>
      </c>
      <c r="G852" t="str">
        <f ca="1">IFERROR(__xludf.DUMMYFUNCTION("""COMPUTED_VALUE"""),"04.75.70.82.00")</f>
        <v>04.75.70.82.00</v>
      </c>
      <c r="H852" t="str">
        <f ca="1">IFERROR(__xludf.DUMMYFUNCTION("""COMPUTED_VALUE"""),"DOIRE Philippe")</f>
        <v>DOIRE Philippe</v>
      </c>
      <c r="I852" t="str">
        <f ca="1">IFERROR(__xludf.DUMMYFUNCTION("""COMPUTED_VALUE"""),"philippe.doire@systeme-u.fr")</f>
        <v>philippe.doire@systeme-u.fr</v>
      </c>
      <c r="J852" t="str">
        <f ca="1">IFERROR(__xludf.DUMMYFUNCTION("""COMPUTED_VALUE"""),"DOIRE Gary")</f>
        <v>DOIRE Gary</v>
      </c>
      <c r="K852" t="str">
        <f ca="1">IFERROR(__xludf.DUMMYFUNCTION("""COMPUTED_VALUE"""),"gary.doire@systeme-u.fr")</f>
        <v>gary.doire@systeme-u.fr</v>
      </c>
      <c r="L852" t="str">
        <f ca="1">IFERROR(__xludf.DUMMYFUNCTION("""COMPUTED_VALUE"""),"")</f>
        <v/>
      </c>
      <c r="M852" t="str">
        <f ca="1">IFERROR(__xludf.DUMMYFUNCTION("""COMPUTED_VALUE"""),"99.Hors Périmetre")</f>
        <v>99.Hors Périmetre</v>
      </c>
      <c r="N852" t="str">
        <f ca="1">IFERROR(__xludf.DUMMYFUNCTION("""COMPUTED_VALUE"""),"")</f>
        <v/>
      </c>
      <c r="O852" t="str">
        <f ca="1">IFERROR(__xludf.DUMMYFUNCTION("""COMPUTED_VALUE"""),"")</f>
        <v/>
      </c>
      <c r="P852" t="str">
        <f ca="1">IFERROR(__xludf.DUMMYFUNCTION("""COMPUTED_VALUE"""),"")</f>
        <v/>
      </c>
      <c r="Q852" s="5" t="str">
        <f ca="1">IFERROR(__xludf.DUMMYFUNCTION("""COMPUTED_VALUE"""),"")</f>
        <v/>
      </c>
      <c r="R852" s="6" t="str">
        <f ca="1">IFERROR(__xludf.DUMMYFUNCTION("""COMPUTED_VALUE"""),"")</f>
        <v/>
      </c>
      <c r="S852" t="str">
        <f ca="1">IFERROR(__xludf.DUMMYFUNCTION("""COMPUTED_VALUE"""),"")</f>
        <v/>
      </c>
      <c r="T852" t="str">
        <f ca="1">IFERROR(__xludf.DUMMYFUNCTION("""COMPUTED_VALUE"""),"")</f>
        <v/>
      </c>
      <c r="U852" t="str">
        <f ca="1">IFERROR(__xludf.DUMMYFUNCTION("""COMPUTED_VALUE"""),"")</f>
        <v/>
      </c>
      <c r="V852" t="str">
        <f ca="1">IFERROR(__xludf.DUMMYFUNCTION("""COMPUTED_VALUE"""),"")</f>
        <v/>
      </c>
      <c r="W852" t="str">
        <f ca="1">IFERROR(__xludf.DUMMYFUNCTION("""COMPUTED_VALUE"""),"")</f>
        <v/>
      </c>
      <c r="X852" t="str">
        <f ca="1">IFERROR(__xludf.DUMMYFUNCTION("""COMPUTED_VALUE"""),"")</f>
        <v/>
      </c>
      <c r="Y852" t="str">
        <f ca="1">IFERROR(__xludf.DUMMYFUNCTION("""COMPUTED_VALUE"""),"")</f>
        <v/>
      </c>
      <c r="Z852" t="str">
        <f ca="1">IFERROR(__xludf.DUMMYFUNCTION("""COMPUTED_VALUE"""),"")</f>
        <v/>
      </c>
      <c r="AA852" t="str">
        <f ca="1">IFERROR(__xludf.DUMMYFUNCTION("""COMPUTED_VALUE"""),"Pas de commande")</f>
        <v>Pas de commande</v>
      </c>
      <c r="AB852" s="8" t="str">
        <f ca="1">IFERROR(__xludf.DUMMYFUNCTION("""COMPUTED_VALUE"""),"")</f>
        <v/>
      </c>
      <c r="AC852" s="8" t="str">
        <f ca="1">IFERROR(__xludf.DUMMYFUNCTION("""COMPUTED_VALUE"""),"")</f>
        <v/>
      </c>
      <c r="AD852" s="11" t="str">
        <f ca="1">IFERROR(__xludf.DUMMYFUNCTION("""COMPUTED_VALUE"""),"")</f>
        <v/>
      </c>
      <c r="AE852" t="str">
        <f ca="1">IFERROR(__xludf.DUMMYFUNCTION("""COMPUTED_VALUE"""),"")</f>
        <v/>
      </c>
    </row>
    <row r="853" spans="1:31" ht="12.75" x14ac:dyDescent="0.2">
      <c r="A853">
        <f ca="1">IFERROR(__xludf.DUMMYFUNCTION("""COMPUTED_VALUE"""),90456)</f>
        <v>90456</v>
      </c>
      <c r="B853" t="str">
        <f ca="1">IFERROR(__xludf.DUMMYFUNCTION("""COMPUTED_VALUE"""),"ROMANS GAMBETTA")</f>
        <v>ROMANS GAMBETTA</v>
      </c>
      <c r="C853" t="str">
        <f ca="1">IFERROR(__xludf.DUMMYFUNCTION("""COMPUTED_VALUE"""),"Super U")</f>
        <v>Super U</v>
      </c>
      <c r="D853" t="str">
        <f ca="1">IFERROR(__xludf.DUMMYFUNCTION("""COMPUTED_VALUE"""),"Coop U Enseigne Sud")</f>
        <v>Coop U Enseigne Sud</v>
      </c>
      <c r="E853">
        <f ca="1">IFERROR(__xludf.DUMMYFUNCTION("""COMPUTED_VALUE"""),26100)</f>
        <v>26100</v>
      </c>
      <c r="F853" t="str">
        <f ca="1">IFERROR(__xludf.DUMMYFUNCTION("""COMPUTED_VALUE"""),"56 AVENUE GAMBETTA")</f>
        <v>56 AVENUE GAMBETTA</v>
      </c>
      <c r="G853" t="str">
        <f ca="1">IFERROR(__xludf.DUMMYFUNCTION("""COMPUTED_VALUE"""),"04.75.70.53.54")</f>
        <v>04.75.70.53.54</v>
      </c>
      <c r="H853" t="str">
        <f ca="1">IFERROR(__xludf.DUMMYFUNCTION("""COMPUTED_VALUE"""),"BEDROSSIAN David ")</f>
        <v xml:space="preserve">BEDROSSIAN David </v>
      </c>
      <c r="I853" t="str">
        <f ca="1">IFERROR(__xludf.DUMMYFUNCTION("""COMPUTED_VALUE"""),"david.bedrossian@systeme-u.fr")</f>
        <v>david.bedrossian@systeme-u.fr</v>
      </c>
      <c r="J853" t="str">
        <f ca="1">IFERROR(__xludf.DUMMYFUNCTION("""COMPUTED_VALUE"""),"")</f>
        <v/>
      </c>
      <c r="K853" t="str">
        <f ca="1">IFERROR(__xludf.DUMMYFUNCTION("""COMPUTED_VALUE"""),"")</f>
        <v/>
      </c>
      <c r="L853" t="str">
        <f ca="1">IFERROR(__xludf.DUMMYFUNCTION("""COMPUTED_VALUE"""),"")</f>
        <v/>
      </c>
      <c r="M853" t="str">
        <f ca="1">IFERROR(__xludf.DUMMYFUNCTION("""COMPUTED_VALUE"""),"99.Hors Périmetre")</f>
        <v>99.Hors Périmetre</v>
      </c>
      <c r="N853" t="str">
        <f ca="1">IFERROR(__xludf.DUMMYFUNCTION("""COMPUTED_VALUE"""),"")</f>
        <v/>
      </c>
      <c r="O853" t="str">
        <f ca="1">IFERROR(__xludf.DUMMYFUNCTION("""COMPUTED_VALUE"""),"")</f>
        <v/>
      </c>
      <c r="P853" t="str">
        <f ca="1">IFERROR(__xludf.DUMMYFUNCTION("""COMPUTED_VALUE"""),"")</f>
        <v/>
      </c>
      <c r="Q853" s="5" t="str">
        <f ca="1">IFERROR(__xludf.DUMMYFUNCTION("""COMPUTED_VALUE"""),"")</f>
        <v/>
      </c>
      <c r="R853" s="6" t="str">
        <f ca="1">IFERROR(__xludf.DUMMYFUNCTION("""COMPUTED_VALUE"""),"")</f>
        <v/>
      </c>
      <c r="S853" t="str">
        <f ca="1">IFERROR(__xludf.DUMMYFUNCTION("""COMPUTED_VALUE"""),"")</f>
        <v/>
      </c>
      <c r="T853" t="str">
        <f ca="1">IFERROR(__xludf.DUMMYFUNCTION("""COMPUTED_VALUE"""),"")</f>
        <v/>
      </c>
      <c r="U853" t="str">
        <f ca="1">IFERROR(__xludf.DUMMYFUNCTION("""COMPUTED_VALUE"""),"")</f>
        <v/>
      </c>
      <c r="V853" t="str">
        <f ca="1">IFERROR(__xludf.DUMMYFUNCTION("""COMPUTED_VALUE"""),"")</f>
        <v/>
      </c>
      <c r="W853" t="str">
        <f ca="1">IFERROR(__xludf.DUMMYFUNCTION("""COMPUTED_VALUE"""),"R3")</f>
        <v>R3</v>
      </c>
      <c r="X853" t="str">
        <f ca="1">IFERROR(__xludf.DUMMYFUNCTION("""COMPUTED_VALUE"""),"Toshiba")</f>
        <v>Toshiba</v>
      </c>
      <c r="Y853" t="str">
        <f ca="1">IFERROR(__xludf.DUMMYFUNCTION("""COMPUTED_VALUE"""),"")</f>
        <v/>
      </c>
      <c r="Z853" t="str">
        <f ca="1">IFERROR(__xludf.DUMMYFUNCTION("""COMPUTED_VALUE"""),"")</f>
        <v/>
      </c>
      <c r="AA853" t="str">
        <f ca="1">IFERROR(__xludf.DUMMYFUNCTION("""COMPUTED_VALUE"""),"Pas de commande")</f>
        <v>Pas de commande</v>
      </c>
      <c r="AB853" s="8" t="str">
        <f ca="1">IFERROR(__xludf.DUMMYFUNCTION("""COMPUTED_VALUE"""),"")</f>
        <v/>
      </c>
      <c r="AC853" s="8" t="str">
        <f ca="1">IFERROR(__xludf.DUMMYFUNCTION("""COMPUTED_VALUE"""),"")</f>
        <v/>
      </c>
      <c r="AD853" s="11" t="str">
        <f ca="1">IFERROR(__xludf.DUMMYFUNCTION("""COMPUTED_VALUE"""),"")</f>
        <v/>
      </c>
      <c r="AE853" t="str">
        <f ca="1">IFERROR(__xludf.DUMMYFUNCTION("""COMPUTED_VALUE"""),"")</f>
        <v/>
      </c>
    </row>
    <row r="854" spans="1:31" ht="12.75" x14ac:dyDescent="0.2">
      <c r="A854">
        <f ca="1">IFERROR(__xludf.DUMMYFUNCTION("""COMPUTED_VALUE"""),31821)</f>
        <v>31821</v>
      </c>
      <c r="B854" t="str">
        <f ca="1">IFERROR(__xludf.DUMMYFUNCTION("""COMPUTED_VALUE"""),"ROMILLE")</f>
        <v>ROMILLE</v>
      </c>
      <c r="C854" t="str">
        <f ca="1">IFERROR(__xludf.DUMMYFUNCTION("""COMPUTED_VALUE"""),"Super U")</f>
        <v>Super U</v>
      </c>
      <c r="D854" t="str">
        <f ca="1">IFERROR(__xludf.DUMMYFUNCTION("""COMPUTED_VALUE"""),"Coop U Enseigne Ouest")</f>
        <v>Coop U Enseigne Ouest</v>
      </c>
      <c r="E854">
        <f ca="1">IFERROR(__xludf.DUMMYFUNCTION("""COMPUTED_VALUE"""),35850)</f>
        <v>35850</v>
      </c>
      <c r="F854" t="str">
        <f ca="1">IFERROR(__xludf.DUMMYFUNCTION("""COMPUTED_VALUE"""),"2, RUE DE BROCÉLIANDE")</f>
        <v>2, RUE DE BROCÉLIANDE</v>
      </c>
      <c r="G854" t="str">
        <f ca="1">IFERROR(__xludf.DUMMYFUNCTION("""COMPUTED_VALUE"""),"02.99.68.28.30")</f>
        <v>02.99.68.28.30</v>
      </c>
      <c r="H854" t="str">
        <f ca="1">IFERROR(__xludf.DUMMYFUNCTION("""COMPUTED_VALUE"""),"VANDERKELEN RPT SARL VANDER Romain")</f>
        <v>VANDERKELEN RPT SARL VANDER Romain</v>
      </c>
      <c r="I854" t="str">
        <f ca="1">IFERROR(__xludf.DUMMYFUNCTION("""COMPUTED_VALUE"""),"romain.vanderkelen@systeme-u.fr")</f>
        <v>romain.vanderkelen@systeme-u.fr</v>
      </c>
      <c r="J854" t="str">
        <f ca="1">IFERROR(__xludf.DUMMYFUNCTION("""COMPUTED_VALUE"""),"")</f>
        <v/>
      </c>
      <c r="K854" t="str">
        <f ca="1">IFERROR(__xludf.DUMMYFUNCTION("""COMPUTED_VALUE"""),"")</f>
        <v/>
      </c>
      <c r="L854" t="str">
        <f ca="1">IFERROR(__xludf.DUMMYFUNCTION("""COMPUTED_VALUE"""),"")</f>
        <v/>
      </c>
      <c r="M854" t="str">
        <f ca="1">IFERROR(__xludf.DUMMYFUNCTION("""COMPUTED_VALUE"""),"99.Hors Périmetre")</f>
        <v>99.Hors Périmetre</v>
      </c>
      <c r="N854" t="str">
        <f ca="1">IFERROR(__xludf.DUMMYFUNCTION("""COMPUTED_VALUE"""),"")</f>
        <v/>
      </c>
      <c r="O854" t="str">
        <f ca="1">IFERROR(__xludf.DUMMYFUNCTION("""COMPUTED_VALUE"""),"")</f>
        <v/>
      </c>
      <c r="P854" t="str">
        <f ca="1">IFERROR(__xludf.DUMMYFUNCTION("""COMPUTED_VALUE"""),"")</f>
        <v/>
      </c>
      <c r="Q854" s="5" t="str">
        <f ca="1">IFERROR(__xludf.DUMMYFUNCTION("""COMPUTED_VALUE"""),"")</f>
        <v/>
      </c>
      <c r="R854" s="6" t="str">
        <f ca="1">IFERROR(__xludf.DUMMYFUNCTION("""COMPUTED_VALUE"""),"")</f>
        <v/>
      </c>
      <c r="S854" t="str">
        <f ca="1">IFERROR(__xludf.DUMMYFUNCTION("""COMPUTED_VALUE"""),"")</f>
        <v/>
      </c>
      <c r="T854" t="str">
        <f ca="1">IFERROR(__xludf.DUMMYFUNCTION("""COMPUTED_VALUE"""),"")</f>
        <v/>
      </c>
      <c r="U854" t="str">
        <f ca="1">IFERROR(__xludf.DUMMYFUNCTION("""COMPUTED_VALUE"""),"")</f>
        <v/>
      </c>
      <c r="V854" t="str">
        <f ca="1">IFERROR(__xludf.DUMMYFUNCTION("""COMPUTED_VALUE"""),"")</f>
        <v/>
      </c>
      <c r="W854" t="str">
        <f ca="1">IFERROR(__xludf.DUMMYFUNCTION("""COMPUTED_VALUE"""),"")</f>
        <v/>
      </c>
      <c r="X854" t="str">
        <f ca="1">IFERROR(__xludf.DUMMYFUNCTION("""COMPUTED_VALUE"""),"")</f>
        <v/>
      </c>
      <c r="Y854" t="str">
        <f ca="1">IFERROR(__xludf.DUMMYFUNCTION("""COMPUTED_VALUE"""),"")</f>
        <v/>
      </c>
      <c r="Z854" t="str">
        <f ca="1">IFERROR(__xludf.DUMMYFUNCTION("""COMPUTED_VALUE"""),"")</f>
        <v/>
      </c>
      <c r="AA854" t="str">
        <f ca="1">IFERROR(__xludf.DUMMYFUNCTION("""COMPUTED_VALUE"""),"Pas de commande")</f>
        <v>Pas de commande</v>
      </c>
      <c r="AB854" s="8" t="str">
        <f ca="1">IFERROR(__xludf.DUMMYFUNCTION("""COMPUTED_VALUE"""),"")</f>
        <v/>
      </c>
      <c r="AC854" s="8" t="str">
        <f ca="1">IFERROR(__xludf.DUMMYFUNCTION("""COMPUTED_VALUE"""),"")</f>
        <v/>
      </c>
      <c r="AD854" s="11" t="str">
        <f ca="1">IFERROR(__xludf.DUMMYFUNCTION("""COMPUTED_VALUE"""),"")</f>
        <v/>
      </c>
      <c r="AE854" t="str">
        <f ca="1">IFERROR(__xludf.DUMMYFUNCTION("""COMPUTED_VALUE"""),"")</f>
        <v/>
      </c>
    </row>
    <row r="855" spans="1:31" ht="12.75" x14ac:dyDescent="0.2">
      <c r="A855">
        <f ca="1">IFERROR(__xludf.DUMMYFUNCTION("""COMPUTED_VALUE"""),90470)</f>
        <v>90470</v>
      </c>
      <c r="B855" t="str">
        <f ca="1">IFERROR(__xludf.DUMMYFUNCTION("""COMPUTED_VALUE"""),"ROQUEBRUNE CAP")</f>
        <v>ROQUEBRUNE CAP</v>
      </c>
      <c r="C855" t="str">
        <f ca="1">IFERROR(__xludf.DUMMYFUNCTION("""COMPUTED_VALUE"""),"U Express")</f>
        <v>U Express</v>
      </c>
      <c r="D855" t="str">
        <f ca="1">IFERROR(__xludf.DUMMYFUNCTION("""COMPUTED_VALUE"""),"Coop U Enseigne Sud")</f>
        <v>Coop U Enseigne Sud</v>
      </c>
      <c r="E855">
        <f ca="1">IFERROR(__xludf.DUMMYFUNCTION("""COMPUTED_VALUE"""),6190)</f>
        <v>6190</v>
      </c>
      <c r="F855" t="str">
        <f ca="1">IFERROR(__xludf.DUMMYFUNCTION("""COMPUTED_VALUE"""),"20 AV MARECHAL FOCH")</f>
        <v>20 AV MARECHAL FOCH</v>
      </c>
      <c r="G855" t="str">
        <f ca="1">IFERROR(__xludf.DUMMYFUNCTION("""COMPUTED_VALUE"""),"04.93.35.92.80")</f>
        <v>04.93.35.92.80</v>
      </c>
      <c r="H855" t="str">
        <f ca="1">IFERROR(__xludf.DUMMYFUNCTION("""COMPUTED_VALUE"""),"MARIOTTI Christian")</f>
        <v>MARIOTTI Christian</v>
      </c>
      <c r="I855" t="str">
        <f ca="1">IFERROR(__xludf.DUMMYFUNCTION("""COMPUTED_VALUE"""),"christian.mariotti@systeme-u.fr")</f>
        <v>christian.mariotti@systeme-u.fr</v>
      </c>
      <c r="J855" t="str">
        <f ca="1">IFERROR(__xludf.DUMMYFUNCTION("""COMPUTED_VALUE"""),"MARIOTTI CEDRIC")</f>
        <v>MARIOTTI CEDRIC</v>
      </c>
      <c r="K855" t="str">
        <f ca="1">IFERROR(__xludf.DUMMYFUNCTION("""COMPUTED_VALUE"""),"cedric.mariotti@systeme-u.fr")</f>
        <v>cedric.mariotti@systeme-u.fr</v>
      </c>
      <c r="L855" t="str">
        <f ca="1">IFERROR(__xludf.DUMMYFUNCTION("""COMPUTED_VALUE"""),"")</f>
        <v/>
      </c>
      <c r="M855" t="str">
        <f ca="1">IFERROR(__xludf.DUMMYFUNCTION("""COMPUTED_VALUE"""),"99.Hors Périmetre")</f>
        <v>99.Hors Périmetre</v>
      </c>
      <c r="N855" t="str">
        <f ca="1">IFERROR(__xludf.DUMMYFUNCTION("""COMPUTED_VALUE"""),"")</f>
        <v/>
      </c>
      <c r="O855" t="str">
        <f ca="1">IFERROR(__xludf.DUMMYFUNCTION("""COMPUTED_VALUE"""),"")</f>
        <v/>
      </c>
      <c r="P855" t="str">
        <f ca="1">IFERROR(__xludf.DUMMYFUNCTION("""COMPUTED_VALUE"""),"")</f>
        <v/>
      </c>
      <c r="Q855" s="5" t="str">
        <f ca="1">IFERROR(__xludf.DUMMYFUNCTION("""COMPUTED_VALUE"""),"")</f>
        <v/>
      </c>
      <c r="R855" s="6" t="str">
        <f ca="1">IFERROR(__xludf.DUMMYFUNCTION("""COMPUTED_VALUE"""),"")</f>
        <v/>
      </c>
      <c r="S855" t="str">
        <f ca="1">IFERROR(__xludf.DUMMYFUNCTION("""COMPUTED_VALUE"""),"")</f>
        <v/>
      </c>
      <c r="T855" t="str">
        <f ca="1">IFERROR(__xludf.DUMMYFUNCTION("""COMPUTED_VALUE"""),"")</f>
        <v/>
      </c>
      <c r="U855" t="str">
        <f ca="1">IFERROR(__xludf.DUMMYFUNCTION("""COMPUTED_VALUE"""),"")</f>
        <v/>
      </c>
      <c r="V855" t="str">
        <f ca="1">IFERROR(__xludf.DUMMYFUNCTION("""COMPUTED_VALUE"""),"")</f>
        <v/>
      </c>
      <c r="W855" t="str">
        <f ca="1">IFERROR(__xludf.DUMMYFUNCTION("""COMPUTED_VALUE"""),"")</f>
        <v/>
      </c>
      <c r="X855" t="str">
        <f ca="1">IFERROR(__xludf.DUMMYFUNCTION("""COMPUTED_VALUE"""),"")</f>
        <v/>
      </c>
      <c r="Y855" t="str">
        <f ca="1">IFERROR(__xludf.DUMMYFUNCTION("""COMPUTED_VALUE"""),"")</f>
        <v/>
      </c>
      <c r="Z855" t="str">
        <f ca="1">IFERROR(__xludf.DUMMYFUNCTION("""COMPUTED_VALUE"""),"")</f>
        <v/>
      </c>
      <c r="AA855" t="str">
        <f ca="1">IFERROR(__xludf.DUMMYFUNCTION("""COMPUTED_VALUE"""),"Pas de commande")</f>
        <v>Pas de commande</v>
      </c>
      <c r="AB855" s="8" t="str">
        <f ca="1">IFERROR(__xludf.DUMMYFUNCTION("""COMPUTED_VALUE"""),"")</f>
        <v/>
      </c>
      <c r="AC855" s="8" t="str">
        <f ca="1">IFERROR(__xludf.DUMMYFUNCTION("""COMPUTED_VALUE"""),"")</f>
        <v/>
      </c>
      <c r="AD855" s="11" t="str">
        <f ca="1">IFERROR(__xludf.DUMMYFUNCTION("""COMPUTED_VALUE"""),"")</f>
        <v/>
      </c>
      <c r="AE855" t="str">
        <f ca="1">IFERROR(__xludf.DUMMYFUNCTION("""COMPUTED_VALUE"""),"")</f>
        <v/>
      </c>
    </row>
    <row r="856" spans="1:31" ht="12.75" x14ac:dyDescent="0.2">
      <c r="A856">
        <f ca="1">IFERROR(__xludf.DUMMYFUNCTION("""COMPUTED_VALUE"""),23573)</f>
        <v>23573</v>
      </c>
      <c r="B856" t="str">
        <f ca="1">IFERROR(__xludf.DUMMYFUNCTION("""COMPUTED_VALUE"""),"ROSNY SUR SEINE")</f>
        <v>ROSNY SUR SEINE</v>
      </c>
      <c r="C856" t="str">
        <f ca="1">IFERROR(__xludf.DUMMYFUNCTION("""COMPUTED_VALUE"""),"U Express")</f>
        <v>U Express</v>
      </c>
      <c r="D856" t="str">
        <f ca="1">IFERROR(__xludf.DUMMYFUNCTION("""COMPUTED_VALUE"""),"Coop U Enseigne NordOuest")</f>
        <v>Coop U Enseigne NordOuest</v>
      </c>
      <c r="E856">
        <f ca="1">IFERROR(__xludf.DUMMYFUNCTION("""COMPUTED_VALUE"""),78710)</f>
        <v>78710</v>
      </c>
      <c r="F856" t="str">
        <f ca="1">IFERROR(__xludf.DUMMYFUNCTION("""COMPUTED_VALUE"""),"12 GRAND PLACE")</f>
        <v>12 GRAND PLACE</v>
      </c>
      <c r="G856" t="str">
        <f ca="1">IFERROR(__xludf.DUMMYFUNCTION("""COMPUTED_VALUE"""),"01.30.98.98.10")</f>
        <v>01.30.98.98.10</v>
      </c>
      <c r="H856" t="str">
        <f ca="1">IFERROR(__xludf.DUMMYFUNCTION("""COMPUTED_VALUE"""),"SCHOUTTETEN Géry")</f>
        <v>SCHOUTTETEN Géry</v>
      </c>
      <c r="I856" t="str">
        <f ca="1">IFERROR(__xludf.DUMMYFUNCTION("""COMPUTED_VALUE"""),"gery.schoutteten@systeme-u.fr")</f>
        <v>gery.schoutteten@systeme-u.fr</v>
      </c>
      <c r="J856" t="str">
        <f ca="1">IFERROR(__xludf.DUMMYFUNCTION("""COMPUTED_VALUE"""),"HACQUIN Karine")</f>
        <v>HACQUIN Karine</v>
      </c>
      <c r="K856" t="str">
        <f ca="1">IFERROR(__xludf.DUMMYFUNCTION("""COMPUTED_VALUE"""),"uexpress.rosnysurseine@systeme-u.fr")</f>
        <v>uexpress.rosnysurseine@systeme-u.fr</v>
      </c>
      <c r="L856" t="str">
        <f ca="1">IFERROR(__xludf.DUMMYFUNCTION("""COMPUTED_VALUE"""),"Standard")</f>
        <v>Standard</v>
      </c>
      <c r="M856" t="str">
        <f ca="1">IFERROR(__xludf.DUMMYFUNCTION("""COMPUTED_VALUE"""),"0. Non démarré")</f>
        <v>0. Non démarré</v>
      </c>
      <c r="N856" t="str">
        <f ca="1">IFERROR(__xludf.DUMMYFUNCTION("""COMPUTED_VALUE"""),"")</f>
        <v/>
      </c>
      <c r="O856" t="str">
        <f ca="1">IFERROR(__xludf.DUMMYFUNCTION("""COMPUTED_VALUE"""),"")</f>
        <v/>
      </c>
      <c r="P856" t="str">
        <f ca="1">IFERROR(__xludf.DUMMYFUNCTION("""COMPUTED_VALUE"""),"")</f>
        <v/>
      </c>
      <c r="Q856" s="5" t="str">
        <f ca="1">IFERROR(__xludf.DUMMYFUNCTION("""COMPUTED_VALUE"""),"")</f>
        <v/>
      </c>
      <c r="R856" s="6" t="str">
        <f ca="1">IFERROR(__xludf.DUMMYFUNCTION("""COMPUTED_VALUE"""),"")</f>
        <v/>
      </c>
      <c r="S856" t="str">
        <f ca="1">IFERROR(__xludf.DUMMYFUNCTION("""COMPUTED_VALUE"""),"")</f>
        <v/>
      </c>
      <c r="T856" t="str">
        <f ca="1">IFERROR(__xludf.DUMMYFUNCTION("""COMPUTED_VALUE"""),"")</f>
        <v/>
      </c>
      <c r="U856" t="str">
        <f ca="1">IFERROR(__xludf.DUMMYFUNCTION("""COMPUTED_VALUE"""),"")</f>
        <v/>
      </c>
      <c r="V856" t="str">
        <f ca="1">IFERROR(__xludf.DUMMYFUNCTION("""COMPUTED_VALUE"""),"")</f>
        <v/>
      </c>
      <c r="W856" t="str">
        <f ca="1">IFERROR(__xludf.DUMMYFUNCTION("""COMPUTED_VALUE"""),"R3")</f>
        <v>R3</v>
      </c>
      <c r="X856" t="str">
        <f ca="1">IFERROR(__xludf.DUMMYFUNCTION("""COMPUTED_VALUE"""),"Pricer &lt;8Go")</f>
        <v>Pricer &lt;8Go</v>
      </c>
      <c r="Y856" t="str">
        <f ca="1">IFERROR(__xludf.DUMMYFUNCTION("""COMPUTED_VALUE"""),"")</f>
        <v/>
      </c>
      <c r="Z856" t="str">
        <f ca="1">IFERROR(__xludf.DUMMYFUNCTION("""COMPUTED_VALUE"""),"")</f>
        <v/>
      </c>
      <c r="AA856" t="str">
        <f ca="1">IFERROR(__xludf.DUMMYFUNCTION("""COMPUTED_VALUE"""),"Pas de commande")</f>
        <v>Pas de commande</v>
      </c>
      <c r="AB856" s="8" t="str">
        <f ca="1">IFERROR(__xludf.DUMMYFUNCTION("""COMPUTED_VALUE"""),"")</f>
        <v/>
      </c>
      <c r="AC856" s="8" t="str">
        <f ca="1">IFERROR(__xludf.DUMMYFUNCTION("""COMPUTED_VALUE"""),"")</f>
        <v/>
      </c>
      <c r="AD856" s="11" t="str">
        <f ca="1">IFERROR(__xludf.DUMMYFUNCTION("""COMPUTED_VALUE"""),"")</f>
        <v/>
      </c>
      <c r="AE856" t="str">
        <f ca="1">IFERROR(__xludf.DUMMYFUNCTION("""COMPUTED_VALUE"""),"")</f>
        <v/>
      </c>
    </row>
    <row r="857" spans="1:31" ht="12.75" x14ac:dyDescent="0.2">
      <c r="A857">
        <f ca="1">IFERROR(__xludf.DUMMYFUNCTION("""COMPUTED_VALUE"""),31961)</f>
        <v>31961</v>
      </c>
      <c r="B857" t="str">
        <f ca="1">IFERROR(__xludf.DUMMYFUNCTION("""COMPUTED_VALUE"""),"ROSPORDEN")</f>
        <v>ROSPORDEN</v>
      </c>
      <c r="C857" t="str">
        <f ca="1">IFERROR(__xludf.DUMMYFUNCTION("""COMPUTED_VALUE"""),"Super U")</f>
        <v>Super U</v>
      </c>
      <c r="D857" t="str">
        <f ca="1">IFERROR(__xludf.DUMMYFUNCTION("""COMPUTED_VALUE"""),"Coop U Enseigne Ouest")</f>
        <v>Coop U Enseigne Ouest</v>
      </c>
      <c r="E857">
        <f ca="1">IFERROR(__xludf.DUMMYFUNCTION("""COMPUTED_VALUE"""),29140)</f>
        <v>29140</v>
      </c>
      <c r="F857" t="str">
        <f ca="1">IFERROR(__xludf.DUMMYFUNCTION("""COMPUTED_VALUE"""),"ROUTE DE QUIMPER")</f>
        <v>ROUTE DE QUIMPER</v>
      </c>
      <c r="G857" t="str">
        <f ca="1">IFERROR(__xludf.DUMMYFUNCTION("""COMPUTED_VALUE"""),"02.98.59.25.14")</f>
        <v>02.98.59.25.14</v>
      </c>
      <c r="H857" t="str">
        <f ca="1">IFERROR(__xludf.DUMMYFUNCTION("""COMPUTED_VALUE"""),"MORAND RPT SARL MORAND DISTRI Alexandre")</f>
        <v>MORAND RPT SARL MORAND DISTRI Alexandre</v>
      </c>
      <c r="I857" t="str">
        <f ca="1">IFERROR(__xludf.DUMMYFUNCTION("""COMPUTED_VALUE"""),"alexandre.morand@systeme-u.fr")</f>
        <v>alexandre.morand@systeme-u.fr</v>
      </c>
      <c r="J857" t="str">
        <f ca="1">IFERROR(__xludf.DUMMYFUNCTION("""COMPUTED_VALUE"""),"Carole (UPLV)")</f>
        <v>Carole (UPLV)</v>
      </c>
      <c r="K857" t="str">
        <f ca="1">IFERROR(__xludf.DUMMYFUNCTION("""COMPUTED_VALUE"""),"superu.rosporden.direction@systeme-u.fr")</f>
        <v>superu.rosporden.direction@systeme-u.fr</v>
      </c>
      <c r="L857" t="str">
        <f ca="1">IFERROR(__xludf.DUMMYFUNCTION("""COMPUTED_VALUE"""),"")</f>
        <v/>
      </c>
      <c r="M857" t="str">
        <f ca="1">IFERROR(__xludf.DUMMYFUNCTION("""COMPUTED_VALUE"""),"99.Hors Périmetre")</f>
        <v>99.Hors Périmetre</v>
      </c>
      <c r="N857" t="str">
        <f ca="1">IFERROR(__xludf.DUMMYFUNCTION("""COMPUTED_VALUE"""),"")</f>
        <v/>
      </c>
      <c r="O857" t="str">
        <f ca="1">IFERROR(__xludf.DUMMYFUNCTION("""COMPUTED_VALUE"""),"")</f>
        <v/>
      </c>
      <c r="P857" t="str">
        <f ca="1">IFERROR(__xludf.DUMMYFUNCTION("""COMPUTED_VALUE"""),"")</f>
        <v/>
      </c>
      <c r="Q857" s="5" t="str">
        <f ca="1">IFERROR(__xludf.DUMMYFUNCTION("""COMPUTED_VALUE"""),"")</f>
        <v/>
      </c>
      <c r="R857" s="6" t="str">
        <f ca="1">IFERROR(__xludf.DUMMYFUNCTION("""COMPUTED_VALUE"""),"")</f>
        <v/>
      </c>
      <c r="S857" t="str">
        <f ca="1">IFERROR(__xludf.DUMMYFUNCTION("""COMPUTED_VALUE"""),"")</f>
        <v/>
      </c>
      <c r="T857" t="str">
        <f ca="1">IFERROR(__xludf.DUMMYFUNCTION("""COMPUTED_VALUE"""),"")</f>
        <v/>
      </c>
      <c r="U857" t="str">
        <f ca="1">IFERROR(__xludf.DUMMYFUNCTION("""COMPUTED_VALUE"""),"")</f>
        <v/>
      </c>
      <c r="V857" t="str">
        <f ca="1">IFERROR(__xludf.DUMMYFUNCTION("""COMPUTED_VALUE"""),"")</f>
        <v/>
      </c>
      <c r="W857" t="str">
        <f ca="1">IFERROR(__xludf.DUMMYFUNCTION("""COMPUTED_VALUE"""),"")</f>
        <v/>
      </c>
      <c r="X857" t="str">
        <f ca="1">IFERROR(__xludf.DUMMYFUNCTION("""COMPUTED_VALUE"""),"")</f>
        <v/>
      </c>
      <c r="Y857" t="str">
        <f ca="1">IFERROR(__xludf.DUMMYFUNCTION("""COMPUTED_VALUE"""),"")</f>
        <v/>
      </c>
      <c r="Z857" t="str">
        <f ca="1">IFERROR(__xludf.DUMMYFUNCTION("""COMPUTED_VALUE"""),"")</f>
        <v/>
      </c>
      <c r="AA857" t="str">
        <f ca="1">IFERROR(__xludf.DUMMYFUNCTION("""COMPUTED_VALUE"""),"Pas de commande")</f>
        <v>Pas de commande</v>
      </c>
      <c r="AB857" s="8" t="str">
        <f ca="1">IFERROR(__xludf.DUMMYFUNCTION("""COMPUTED_VALUE"""),"")</f>
        <v/>
      </c>
      <c r="AC857" s="8" t="str">
        <f ca="1">IFERROR(__xludf.DUMMYFUNCTION("""COMPUTED_VALUE"""),"")</f>
        <v/>
      </c>
      <c r="AD857" s="11" t="str">
        <f ca="1">IFERROR(__xludf.DUMMYFUNCTION("""COMPUTED_VALUE"""),"")</f>
        <v/>
      </c>
      <c r="AE857" t="str">
        <f ca="1">IFERROR(__xludf.DUMMYFUNCTION("""COMPUTED_VALUE"""),"")</f>
        <v/>
      </c>
    </row>
    <row r="858" spans="1:31" ht="12.75" x14ac:dyDescent="0.2">
      <c r="A858">
        <f ca="1">IFERROR(__xludf.DUMMYFUNCTION("""COMPUTED_VALUE"""),68506)</f>
        <v>68506</v>
      </c>
      <c r="B858" t="str">
        <f ca="1">IFERROR(__xludf.DUMMYFUNCTION("""COMPUTED_VALUE"""),"ROTH-HAMBACH")</f>
        <v>ROTH-HAMBACH</v>
      </c>
      <c r="C858" t="str">
        <f ca="1">IFERROR(__xludf.DUMMYFUNCTION("""COMPUTED_VALUE"""),"Super U")</f>
        <v>Super U</v>
      </c>
      <c r="D858" t="str">
        <f ca="1">IFERROR(__xludf.DUMMYFUNCTION("""COMPUTED_VALUE"""),"Coop U Enseigne Est")</f>
        <v>Coop U Enseigne Est</v>
      </c>
      <c r="E858">
        <f ca="1">IFERROR(__xludf.DUMMYFUNCTION("""COMPUTED_VALUE"""),57910)</f>
        <v>57910</v>
      </c>
      <c r="F858" t="str">
        <f ca="1">IFERROR(__xludf.DUMMYFUNCTION("""COMPUTED_VALUE"""),"89 RUE PRINCIPALE")</f>
        <v>89 RUE PRINCIPALE</v>
      </c>
      <c r="G858" t="str">
        <f ca="1">IFERROR(__xludf.DUMMYFUNCTION("""COMPUTED_VALUE"""),"03.87.98.92.80")</f>
        <v>03.87.98.92.80</v>
      </c>
      <c r="H858" t="str">
        <f ca="1">IFERROR(__xludf.DUMMYFUNCTION("""COMPUTED_VALUE"""),"DIAGUE Michel")</f>
        <v>DIAGUE Michel</v>
      </c>
      <c r="I858" t="str">
        <f ca="1">IFERROR(__xludf.DUMMYFUNCTION("""COMPUTED_VALUE"""),"michel.diague@systeme-u.fr")</f>
        <v>michel.diague@systeme-u.fr</v>
      </c>
      <c r="J858" t="str">
        <f ca="1">IFERROR(__xludf.DUMMYFUNCTION("""COMPUTED_VALUE"""),"Christelle Kanny (UPLV)")</f>
        <v>Christelle Kanny (UPLV)</v>
      </c>
      <c r="K858" t="str">
        <f ca="1">IFERROR(__xludf.DUMMYFUNCTION("""COMPUTED_VALUE"""),"")</f>
        <v/>
      </c>
      <c r="L858" t="str">
        <f ca="1">IFERROR(__xludf.DUMMYFUNCTION("""COMPUTED_VALUE"""),"")</f>
        <v/>
      </c>
      <c r="M858" t="str">
        <f ca="1">IFERROR(__xludf.DUMMYFUNCTION("""COMPUTED_VALUE"""),"99.Hors Périmetre")</f>
        <v>99.Hors Périmetre</v>
      </c>
      <c r="N858" t="str">
        <f ca="1">IFERROR(__xludf.DUMMYFUNCTION("""COMPUTED_VALUE"""),"")</f>
        <v/>
      </c>
      <c r="O858" t="str">
        <f ca="1">IFERROR(__xludf.DUMMYFUNCTION("""COMPUTED_VALUE"""),"")</f>
        <v/>
      </c>
      <c r="P858" t="str">
        <f ca="1">IFERROR(__xludf.DUMMYFUNCTION("""COMPUTED_VALUE"""),"")</f>
        <v/>
      </c>
      <c r="Q858" s="5" t="str">
        <f ca="1">IFERROR(__xludf.DUMMYFUNCTION("""COMPUTED_VALUE"""),"")</f>
        <v/>
      </c>
      <c r="R858" s="6" t="str">
        <f ca="1">IFERROR(__xludf.DUMMYFUNCTION("""COMPUTED_VALUE"""),"")</f>
        <v/>
      </c>
      <c r="S858" t="str">
        <f ca="1">IFERROR(__xludf.DUMMYFUNCTION("""COMPUTED_VALUE"""),"")</f>
        <v/>
      </c>
      <c r="T858" t="str">
        <f ca="1">IFERROR(__xludf.DUMMYFUNCTION("""COMPUTED_VALUE"""),"")</f>
        <v/>
      </c>
      <c r="U858" t="str">
        <f ca="1">IFERROR(__xludf.DUMMYFUNCTION("""COMPUTED_VALUE"""),"")</f>
        <v/>
      </c>
      <c r="V858" t="str">
        <f ca="1">IFERROR(__xludf.DUMMYFUNCTION("""COMPUTED_VALUE"""),"")</f>
        <v/>
      </c>
      <c r="W858" t="str">
        <f ca="1">IFERROR(__xludf.DUMMYFUNCTION("""COMPUTED_VALUE"""),"")</f>
        <v/>
      </c>
      <c r="X858" t="str">
        <f ca="1">IFERROR(__xludf.DUMMYFUNCTION("""COMPUTED_VALUE"""),"")</f>
        <v/>
      </c>
      <c r="Y858" t="str">
        <f ca="1">IFERROR(__xludf.DUMMYFUNCTION("""COMPUTED_VALUE"""),"")</f>
        <v/>
      </c>
      <c r="Z858" t="str">
        <f ca="1">IFERROR(__xludf.DUMMYFUNCTION("""COMPUTED_VALUE"""),"")</f>
        <v/>
      </c>
      <c r="AA858" t="str">
        <f ca="1">IFERROR(__xludf.DUMMYFUNCTION("""COMPUTED_VALUE"""),"Pas de commande")</f>
        <v>Pas de commande</v>
      </c>
      <c r="AB858" s="8" t="str">
        <f ca="1">IFERROR(__xludf.DUMMYFUNCTION("""COMPUTED_VALUE"""),"")</f>
        <v/>
      </c>
      <c r="AC858" s="8" t="str">
        <f ca="1">IFERROR(__xludf.DUMMYFUNCTION("""COMPUTED_VALUE"""),"")</f>
        <v/>
      </c>
      <c r="AD858" s="11" t="str">
        <f ca="1">IFERROR(__xludf.DUMMYFUNCTION("""COMPUTED_VALUE"""),"")</f>
        <v/>
      </c>
      <c r="AE858" t="str">
        <f ca="1">IFERROR(__xludf.DUMMYFUNCTION("""COMPUTED_VALUE"""),"")</f>
        <v/>
      </c>
    </row>
    <row r="859" spans="1:31" ht="12.75" x14ac:dyDescent="0.2">
      <c r="A859">
        <f ca="1">IFERROR(__xludf.DUMMYFUNCTION("""COMPUTED_VALUE"""),25584)</f>
        <v>25584</v>
      </c>
      <c r="B859" t="str">
        <f ca="1">IFERROR(__xludf.DUMMYFUNCTION("""COMPUTED_VALUE"""),"ROUEN DE GAULLE")</f>
        <v>ROUEN DE GAULLE</v>
      </c>
      <c r="C859" t="str">
        <f ca="1">IFERROR(__xludf.DUMMYFUNCTION("""COMPUTED_VALUE"""),"U Express")</f>
        <v>U Express</v>
      </c>
      <c r="D859" t="str">
        <f ca="1">IFERROR(__xludf.DUMMYFUNCTION("""COMPUTED_VALUE"""),"Coop U Enseigne NordOuest")</f>
        <v>Coop U Enseigne NordOuest</v>
      </c>
      <c r="E859">
        <f ca="1">IFERROR(__xludf.DUMMYFUNCTION("""COMPUTED_VALUE"""),76000)</f>
        <v>76000</v>
      </c>
      <c r="F859" t="str">
        <f ca="1">IFERROR(__xludf.DUMMYFUNCTION("""COMPUTED_VALUE"""),"11 PLACE DU GÉNÉRAL DE GAULLE")</f>
        <v>11 PLACE DU GÉNÉRAL DE GAULLE</v>
      </c>
      <c r="G859" t="str">
        <f ca="1">IFERROR(__xludf.DUMMYFUNCTION("""COMPUTED_VALUE"""),"02.32.76.11.50")</f>
        <v>02.32.76.11.50</v>
      </c>
      <c r="H859" t="str">
        <f ca="1">IFERROR(__xludf.DUMMYFUNCTION("""COMPUTED_VALUE"""),"DE BILIO Salvator")</f>
        <v>DE BILIO Salvator</v>
      </c>
      <c r="I859" t="str">
        <f ca="1">IFERROR(__xludf.DUMMYFUNCTION("""COMPUTED_VALUE"""),"salvator.debilio@systeme-u.fr")</f>
        <v>salvator.debilio@systeme-u.fr</v>
      </c>
      <c r="J859" t="str">
        <f ca="1">IFERROR(__xludf.DUMMYFUNCTION("""COMPUTED_VALUE"""),"")</f>
        <v/>
      </c>
      <c r="K859" t="str">
        <f ca="1">IFERROR(__xludf.DUMMYFUNCTION("""COMPUTED_VALUE"""),"")</f>
        <v/>
      </c>
      <c r="L859" t="str">
        <f ca="1">IFERROR(__xludf.DUMMYFUNCTION("""COMPUTED_VALUE"""),"")</f>
        <v/>
      </c>
      <c r="M859" t="str">
        <f ca="1">IFERROR(__xludf.DUMMYFUNCTION("""COMPUTED_VALUE"""),"99.Hors Périmetre")</f>
        <v>99.Hors Périmetre</v>
      </c>
      <c r="N859" t="str">
        <f ca="1">IFERROR(__xludf.DUMMYFUNCTION("""COMPUTED_VALUE"""),"")</f>
        <v/>
      </c>
      <c r="O859" t="str">
        <f ca="1">IFERROR(__xludf.DUMMYFUNCTION("""COMPUTED_VALUE"""),"")</f>
        <v/>
      </c>
      <c r="P859" t="str">
        <f ca="1">IFERROR(__xludf.DUMMYFUNCTION("""COMPUTED_VALUE"""),"")</f>
        <v/>
      </c>
      <c r="Q859" s="5" t="str">
        <f ca="1">IFERROR(__xludf.DUMMYFUNCTION("""COMPUTED_VALUE"""),"")</f>
        <v/>
      </c>
      <c r="R859" s="6" t="str">
        <f ca="1">IFERROR(__xludf.DUMMYFUNCTION("""COMPUTED_VALUE"""),"")</f>
        <v/>
      </c>
      <c r="S859" t="str">
        <f ca="1">IFERROR(__xludf.DUMMYFUNCTION("""COMPUTED_VALUE"""),"")</f>
        <v/>
      </c>
      <c r="T859" t="str">
        <f ca="1">IFERROR(__xludf.DUMMYFUNCTION("""COMPUTED_VALUE"""),"")</f>
        <v/>
      </c>
      <c r="U859" t="str">
        <f ca="1">IFERROR(__xludf.DUMMYFUNCTION("""COMPUTED_VALUE"""),"")</f>
        <v/>
      </c>
      <c r="V859" t="str">
        <f ca="1">IFERROR(__xludf.DUMMYFUNCTION("""COMPUTED_VALUE"""),"")</f>
        <v/>
      </c>
      <c r="W859" t="str">
        <f ca="1">IFERROR(__xludf.DUMMYFUNCTION("""COMPUTED_VALUE"""),"")</f>
        <v/>
      </c>
      <c r="X859" t="str">
        <f ca="1">IFERROR(__xludf.DUMMYFUNCTION("""COMPUTED_VALUE"""),"")</f>
        <v/>
      </c>
      <c r="Y859" t="str">
        <f ca="1">IFERROR(__xludf.DUMMYFUNCTION("""COMPUTED_VALUE"""),"")</f>
        <v/>
      </c>
      <c r="Z859" t="str">
        <f ca="1">IFERROR(__xludf.DUMMYFUNCTION("""COMPUTED_VALUE"""),"")</f>
        <v/>
      </c>
      <c r="AA859" t="str">
        <f ca="1">IFERROR(__xludf.DUMMYFUNCTION("""COMPUTED_VALUE"""),"Pas de commande")</f>
        <v>Pas de commande</v>
      </c>
      <c r="AB859" s="8" t="str">
        <f ca="1">IFERROR(__xludf.DUMMYFUNCTION("""COMPUTED_VALUE"""),"")</f>
        <v/>
      </c>
      <c r="AC859" s="8" t="str">
        <f ca="1">IFERROR(__xludf.DUMMYFUNCTION("""COMPUTED_VALUE"""),"")</f>
        <v/>
      </c>
      <c r="AD859" s="11" t="str">
        <f ca="1">IFERROR(__xludf.DUMMYFUNCTION("""COMPUTED_VALUE"""),"")</f>
        <v/>
      </c>
      <c r="AE859" t="str">
        <f ca="1">IFERROR(__xludf.DUMMYFUNCTION("""COMPUTED_VALUE"""),"")</f>
        <v/>
      </c>
    </row>
    <row r="860" spans="1:31" ht="12.75" x14ac:dyDescent="0.2">
      <c r="A860">
        <f ca="1">IFERROR(__xludf.DUMMYFUNCTION("""COMPUTED_VALUE"""),63308)</f>
        <v>63308</v>
      </c>
      <c r="B860" t="str">
        <f ca="1">IFERROR(__xludf.DUMMYFUNCTION("""COMPUTED_VALUE"""),"ROUGEMONT")</f>
        <v>ROUGEMONT</v>
      </c>
      <c r="C860" t="str">
        <f ca="1">IFERROR(__xludf.DUMMYFUNCTION("""COMPUTED_VALUE"""),"U Express")</f>
        <v>U Express</v>
      </c>
      <c r="D860" t="str">
        <f ca="1">IFERROR(__xludf.DUMMYFUNCTION("""COMPUTED_VALUE"""),"Coop U Enseigne Est")</f>
        <v>Coop U Enseigne Est</v>
      </c>
      <c r="E860">
        <f ca="1">IFERROR(__xludf.DUMMYFUNCTION("""COMPUTED_VALUE"""),25680)</f>
        <v>25680</v>
      </c>
      <c r="F860" t="str">
        <f ca="1">IFERROR(__xludf.DUMMYFUNCTION("""COMPUTED_VALUE"""),"1 AVENUE DE LA GARE")</f>
        <v>1 AVENUE DE LA GARE</v>
      </c>
      <c r="G860" t="str">
        <f ca="1">IFERROR(__xludf.DUMMYFUNCTION("""COMPUTED_VALUE"""),"03.81.86.91.98")</f>
        <v>03.81.86.91.98</v>
      </c>
      <c r="H860" t="str">
        <f ca="1">IFERROR(__xludf.DUMMYFUNCTION("""COMPUTED_VALUE"""),"SANDOZ Michel")</f>
        <v>SANDOZ Michel</v>
      </c>
      <c r="I860" t="str">
        <f ca="1">IFERROR(__xludf.DUMMYFUNCTION("""COMPUTED_VALUE"""),"michel.sandoz@systeme-u.fr")</f>
        <v>michel.sandoz@systeme-u.fr</v>
      </c>
      <c r="J860" t="str">
        <f ca="1">IFERROR(__xludf.DUMMYFUNCTION("""COMPUTED_VALUE"""),"")</f>
        <v/>
      </c>
      <c r="K860" t="str">
        <f ca="1">IFERROR(__xludf.DUMMYFUNCTION("""COMPUTED_VALUE"""),"")</f>
        <v/>
      </c>
      <c r="L860" t="str">
        <f ca="1">IFERROR(__xludf.DUMMYFUNCTION("""COMPUTED_VALUE"""),"")</f>
        <v/>
      </c>
      <c r="M860" t="str">
        <f ca="1">IFERROR(__xludf.DUMMYFUNCTION("""COMPUTED_VALUE"""),"99.Hors Périmetre")</f>
        <v>99.Hors Périmetre</v>
      </c>
      <c r="N860" t="str">
        <f ca="1">IFERROR(__xludf.DUMMYFUNCTION("""COMPUTED_VALUE"""),"")</f>
        <v/>
      </c>
      <c r="O860" t="str">
        <f ca="1">IFERROR(__xludf.DUMMYFUNCTION("""COMPUTED_VALUE"""),"")</f>
        <v/>
      </c>
      <c r="P860" t="str">
        <f ca="1">IFERROR(__xludf.DUMMYFUNCTION("""COMPUTED_VALUE"""),"")</f>
        <v/>
      </c>
      <c r="Q860" s="5" t="str">
        <f ca="1">IFERROR(__xludf.DUMMYFUNCTION("""COMPUTED_VALUE"""),"")</f>
        <v/>
      </c>
      <c r="R860" s="6" t="str">
        <f ca="1">IFERROR(__xludf.DUMMYFUNCTION("""COMPUTED_VALUE"""),"")</f>
        <v/>
      </c>
      <c r="S860" t="str">
        <f ca="1">IFERROR(__xludf.DUMMYFUNCTION("""COMPUTED_VALUE"""),"")</f>
        <v/>
      </c>
      <c r="T860" t="str">
        <f ca="1">IFERROR(__xludf.DUMMYFUNCTION("""COMPUTED_VALUE"""),"")</f>
        <v/>
      </c>
      <c r="U860" t="str">
        <f ca="1">IFERROR(__xludf.DUMMYFUNCTION("""COMPUTED_VALUE"""),"")</f>
        <v/>
      </c>
      <c r="V860" t="str">
        <f ca="1">IFERROR(__xludf.DUMMYFUNCTION("""COMPUTED_VALUE"""),"")</f>
        <v/>
      </c>
      <c r="W860" t="str">
        <f ca="1">IFERROR(__xludf.DUMMYFUNCTION("""COMPUTED_VALUE"""),"")</f>
        <v/>
      </c>
      <c r="X860" t="str">
        <f ca="1">IFERROR(__xludf.DUMMYFUNCTION("""COMPUTED_VALUE"""),"")</f>
        <v/>
      </c>
      <c r="Y860" t="str">
        <f ca="1">IFERROR(__xludf.DUMMYFUNCTION("""COMPUTED_VALUE"""),"")</f>
        <v/>
      </c>
      <c r="Z860" t="str">
        <f ca="1">IFERROR(__xludf.DUMMYFUNCTION("""COMPUTED_VALUE"""),"")</f>
        <v/>
      </c>
      <c r="AA860" t="str">
        <f ca="1">IFERROR(__xludf.DUMMYFUNCTION("""COMPUTED_VALUE"""),"Pas de commande")</f>
        <v>Pas de commande</v>
      </c>
      <c r="AB860" s="8" t="str">
        <f ca="1">IFERROR(__xludf.DUMMYFUNCTION("""COMPUTED_VALUE"""),"")</f>
        <v/>
      </c>
      <c r="AC860" s="8" t="str">
        <f ca="1">IFERROR(__xludf.DUMMYFUNCTION("""COMPUTED_VALUE"""),"")</f>
        <v/>
      </c>
      <c r="AD860" s="11" t="str">
        <f ca="1">IFERROR(__xludf.DUMMYFUNCTION("""COMPUTED_VALUE"""),"")</f>
        <v/>
      </c>
      <c r="AE860" t="str">
        <f ca="1">IFERROR(__xludf.DUMMYFUNCTION("""COMPUTED_VALUE"""),"")</f>
        <v/>
      </c>
    </row>
    <row r="861" spans="1:31" ht="12.75" x14ac:dyDescent="0.2">
      <c r="A861">
        <f ca="1">IFERROR(__xludf.DUMMYFUNCTION("""COMPUTED_VALUE"""),35118)</f>
        <v>35118</v>
      </c>
      <c r="B861" t="str">
        <f ca="1">IFERROR(__xludf.DUMMYFUNCTION("""COMPUTED_VALUE"""),"ROUILLAC")</f>
        <v>ROUILLAC</v>
      </c>
      <c r="C861" t="str">
        <f ca="1">IFERROR(__xludf.DUMMYFUNCTION("""COMPUTED_VALUE"""),"Super U")</f>
        <v>Super U</v>
      </c>
      <c r="D861" t="str">
        <f ca="1">IFERROR(__xludf.DUMMYFUNCTION("""COMPUTED_VALUE"""),"Coop U Enseigne Ouest")</f>
        <v>Coop U Enseigne Ouest</v>
      </c>
      <c r="E861">
        <f ca="1">IFERROR(__xludf.DUMMYFUNCTION("""COMPUTED_VALUE"""),16170)</f>
        <v>16170</v>
      </c>
      <c r="F861" t="str">
        <f ca="1">IFERROR(__xludf.DUMMYFUNCTION("""COMPUTED_VALUE"""),"ROUTE DE GENAC")</f>
        <v>ROUTE DE GENAC</v>
      </c>
      <c r="G861" t="str">
        <f ca="1">IFERROR(__xludf.DUMMYFUNCTION("""COMPUTED_VALUE"""),"05.45.96.87.88")</f>
        <v>05.45.96.87.88</v>
      </c>
      <c r="H861" t="str">
        <f ca="1">IFERROR(__xludf.DUMMYFUNCTION("""COMPUTED_VALUE"""),"TOUZEAU Philippe")</f>
        <v>TOUZEAU Philippe</v>
      </c>
      <c r="I861" t="str">
        <f ca="1">IFERROR(__xludf.DUMMYFUNCTION("""COMPUTED_VALUE"""),"philippe.touzeau@systeme-u.fr")</f>
        <v>philippe.touzeau@systeme-u.fr</v>
      </c>
      <c r="J861" t="str">
        <f ca="1">IFERROR(__xludf.DUMMYFUNCTION("""COMPUTED_VALUE"""),"COLOMBIER Laeticia")</f>
        <v>COLOMBIER Laeticia</v>
      </c>
      <c r="K861" t="str">
        <f ca="1">IFERROR(__xludf.DUMMYFUNCTION("""COMPUTED_VALUE"""),"superu.rouillac@systeme-u.fr")</f>
        <v>superu.rouillac@systeme-u.fr</v>
      </c>
      <c r="L861" t="str">
        <f ca="1">IFERROR(__xludf.DUMMYFUNCTION("""COMPUTED_VALUE"""),"")</f>
        <v/>
      </c>
      <c r="M861" t="str">
        <f ca="1">IFERROR(__xludf.DUMMYFUNCTION("""COMPUTED_VALUE"""),"99.Hors Périmetre")</f>
        <v>99.Hors Périmetre</v>
      </c>
      <c r="N861" t="str">
        <f ca="1">IFERROR(__xludf.DUMMYFUNCTION("""COMPUTED_VALUE"""),"")</f>
        <v/>
      </c>
      <c r="O861" t="str">
        <f ca="1">IFERROR(__xludf.DUMMYFUNCTION("""COMPUTED_VALUE"""),"")</f>
        <v/>
      </c>
      <c r="P861" t="str">
        <f ca="1">IFERROR(__xludf.DUMMYFUNCTION("""COMPUTED_VALUE"""),"")</f>
        <v/>
      </c>
      <c r="Q861" s="5" t="str">
        <f ca="1">IFERROR(__xludf.DUMMYFUNCTION("""COMPUTED_VALUE"""),"")</f>
        <v/>
      </c>
      <c r="R861" s="6" t="str">
        <f ca="1">IFERROR(__xludf.DUMMYFUNCTION("""COMPUTED_VALUE"""),"")</f>
        <v/>
      </c>
      <c r="S861" t="str">
        <f ca="1">IFERROR(__xludf.DUMMYFUNCTION("""COMPUTED_VALUE"""),"")</f>
        <v/>
      </c>
      <c r="T861" t="str">
        <f ca="1">IFERROR(__xludf.DUMMYFUNCTION("""COMPUTED_VALUE"""),"")</f>
        <v/>
      </c>
      <c r="U861" t="str">
        <f ca="1">IFERROR(__xludf.DUMMYFUNCTION("""COMPUTED_VALUE"""),"")</f>
        <v/>
      </c>
      <c r="V861" t="str">
        <f ca="1">IFERROR(__xludf.DUMMYFUNCTION("""COMPUTED_VALUE"""),"")</f>
        <v/>
      </c>
      <c r="W861" t="str">
        <f ca="1">IFERROR(__xludf.DUMMYFUNCTION("""COMPUTED_VALUE"""),"")</f>
        <v/>
      </c>
      <c r="X861" t="str">
        <f ca="1">IFERROR(__xludf.DUMMYFUNCTION("""COMPUTED_VALUE"""),"")</f>
        <v/>
      </c>
      <c r="Y861" t="str">
        <f ca="1">IFERROR(__xludf.DUMMYFUNCTION("""COMPUTED_VALUE"""),"")</f>
        <v/>
      </c>
      <c r="Z861" t="str">
        <f ca="1">IFERROR(__xludf.DUMMYFUNCTION("""COMPUTED_VALUE"""),"")</f>
        <v/>
      </c>
      <c r="AA861" t="str">
        <f ca="1">IFERROR(__xludf.DUMMYFUNCTION("""COMPUTED_VALUE"""),"Pas de commande")</f>
        <v>Pas de commande</v>
      </c>
      <c r="AB861" s="8" t="str">
        <f ca="1">IFERROR(__xludf.DUMMYFUNCTION("""COMPUTED_VALUE"""),"")</f>
        <v/>
      </c>
      <c r="AC861" s="8" t="str">
        <f ca="1">IFERROR(__xludf.DUMMYFUNCTION("""COMPUTED_VALUE"""),"")</f>
        <v/>
      </c>
      <c r="AD861" s="11" t="str">
        <f ca="1">IFERROR(__xludf.DUMMYFUNCTION("""COMPUTED_VALUE"""),"")</f>
        <v/>
      </c>
      <c r="AE861" t="str">
        <f ca="1">IFERROR(__xludf.DUMMYFUNCTION("""COMPUTED_VALUE"""),"")</f>
        <v/>
      </c>
    </row>
    <row r="862" spans="1:31" ht="12.75" x14ac:dyDescent="0.2">
      <c r="A862">
        <f ca="1">IFERROR(__xludf.DUMMYFUNCTION("""COMPUTED_VALUE"""),90527)</f>
        <v>90527</v>
      </c>
      <c r="B862" t="str">
        <f ca="1">IFERROR(__xludf.DUMMYFUNCTION("""COMPUTED_VALUE"""),"ROUJAN")</f>
        <v>ROUJAN</v>
      </c>
      <c r="C862" t="str">
        <f ca="1">IFERROR(__xludf.DUMMYFUNCTION("""COMPUTED_VALUE"""),"Super U")</f>
        <v>Super U</v>
      </c>
      <c r="D862" t="str">
        <f ca="1">IFERROR(__xludf.DUMMYFUNCTION("""COMPUTED_VALUE"""),"Coop U Enseigne Sud")</f>
        <v>Coop U Enseigne Sud</v>
      </c>
      <c r="E862">
        <f ca="1">IFERROR(__xludf.DUMMYFUNCTION("""COMPUTED_VALUE"""),34320)</f>
        <v>34320</v>
      </c>
      <c r="F862" t="str">
        <f ca="1">IFERROR(__xludf.DUMMYFUNCTION("""COMPUTED_VALUE"""),"ZONE COMMERCIALE CAPCAROUX")</f>
        <v>ZONE COMMERCIALE CAPCAROUX</v>
      </c>
      <c r="G862" t="str">
        <f ca="1">IFERROR(__xludf.DUMMYFUNCTION("""COMPUTED_VALUE"""),"04.67.24.60.05")</f>
        <v>04.67.24.60.05</v>
      </c>
      <c r="H862" t="str">
        <f ca="1">IFERROR(__xludf.DUMMYFUNCTION("""COMPUTED_VALUE"""),"BORDES Gerald")</f>
        <v>BORDES Gerald</v>
      </c>
      <c r="I862" t="str">
        <f ca="1">IFERROR(__xludf.DUMMYFUNCTION("""COMPUTED_VALUE"""),"gerald.bordes@systeme-u.fr")</f>
        <v>gerald.bordes@systeme-u.fr</v>
      </c>
      <c r="J862" t="str">
        <f ca="1">IFERROR(__xludf.DUMMYFUNCTION("""COMPUTED_VALUE"""),"")</f>
        <v/>
      </c>
      <c r="K862" t="str">
        <f ca="1">IFERROR(__xludf.DUMMYFUNCTION("""COMPUTED_VALUE"""),"")</f>
        <v/>
      </c>
      <c r="L862" t="str">
        <f ca="1">IFERROR(__xludf.DUMMYFUNCTION("""COMPUTED_VALUE"""),"")</f>
        <v/>
      </c>
      <c r="M862" t="str">
        <f ca="1">IFERROR(__xludf.DUMMYFUNCTION("""COMPUTED_VALUE"""),"99.Hors Périmetre")</f>
        <v>99.Hors Périmetre</v>
      </c>
      <c r="N862" t="str">
        <f ca="1">IFERROR(__xludf.DUMMYFUNCTION("""COMPUTED_VALUE"""),"")</f>
        <v/>
      </c>
      <c r="O862" t="str">
        <f ca="1">IFERROR(__xludf.DUMMYFUNCTION("""COMPUTED_VALUE"""),"")</f>
        <v/>
      </c>
      <c r="P862" t="str">
        <f ca="1">IFERROR(__xludf.DUMMYFUNCTION("""COMPUTED_VALUE"""),"")</f>
        <v/>
      </c>
      <c r="Q862" s="5" t="str">
        <f ca="1">IFERROR(__xludf.DUMMYFUNCTION("""COMPUTED_VALUE"""),"")</f>
        <v/>
      </c>
      <c r="R862" s="6" t="str">
        <f ca="1">IFERROR(__xludf.DUMMYFUNCTION("""COMPUTED_VALUE"""),"")</f>
        <v/>
      </c>
      <c r="S862" t="str">
        <f ca="1">IFERROR(__xludf.DUMMYFUNCTION("""COMPUTED_VALUE"""),"")</f>
        <v/>
      </c>
      <c r="T862" t="str">
        <f ca="1">IFERROR(__xludf.DUMMYFUNCTION("""COMPUTED_VALUE"""),"")</f>
        <v/>
      </c>
      <c r="U862" t="str">
        <f ca="1">IFERROR(__xludf.DUMMYFUNCTION("""COMPUTED_VALUE"""),"")</f>
        <v/>
      </c>
      <c r="V862" t="str">
        <f ca="1">IFERROR(__xludf.DUMMYFUNCTION("""COMPUTED_VALUE"""),"")</f>
        <v/>
      </c>
      <c r="W862" t="str">
        <f ca="1">IFERROR(__xludf.DUMMYFUNCTION("""COMPUTED_VALUE"""),"")</f>
        <v/>
      </c>
      <c r="X862" t="str">
        <f ca="1">IFERROR(__xludf.DUMMYFUNCTION("""COMPUTED_VALUE"""),"")</f>
        <v/>
      </c>
      <c r="Y862" t="str">
        <f ca="1">IFERROR(__xludf.DUMMYFUNCTION("""COMPUTED_VALUE"""),"")</f>
        <v/>
      </c>
      <c r="Z862" t="str">
        <f ca="1">IFERROR(__xludf.DUMMYFUNCTION("""COMPUTED_VALUE"""),"")</f>
        <v/>
      </c>
      <c r="AA862" t="str">
        <f ca="1">IFERROR(__xludf.DUMMYFUNCTION("""COMPUTED_VALUE"""),"Pas de commande")</f>
        <v>Pas de commande</v>
      </c>
      <c r="AB862" s="8" t="str">
        <f ca="1">IFERROR(__xludf.DUMMYFUNCTION("""COMPUTED_VALUE"""),"")</f>
        <v/>
      </c>
      <c r="AC862" s="8" t="str">
        <f ca="1">IFERROR(__xludf.DUMMYFUNCTION("""COMPUTED_VALUE"""),"")</f>
        <v/>
      </c>
      <c r="AD862" s="11" t="str">
        <f ca="1">IFERROR(__xludf.DUMMYFUNCTION("""COMPUTED_VALUE"""),"")</f>
        <v/>
      </c>
      <c r="AE862" t="str">
        <f ca="1">IFERROR(__xludf.DUMMYFUNCTION("""COMPUTED_VALUE"""),"")</f>
        <v/>
      </c>
    </row>
    <row r="863" spans="1:31" ht="12.75" x14ac:dyDescent="0.2">
      <c r="A863">
        <f ca="1">IFERROR(__xludf.DUMMYFUNCTION("""COMPUTED_VALUE"""),34185)</f>
        <v>34185</v>
      </c>
      <c r="B863" t="str">
        <f ca="1">IFERROR(__xludf.DUMMYFUNCTION("""COMPUTED_VALUE"""),"ROUMAZIÈRES")</f>
        <v>ROUMAZIÈRES</v>
      </c>
      <c r="C863" t="str">
        <f ca="1">IFERROR(__xludf.DUMMYFUNCTION("""COMPUTED_VALUE"""),"U Express")</f>
        <v>U Express</v>
      </c>
      <c r="D863" t="str">
        <f ca="1">IFERROR(__xludf.DUMMYFUNCTION("""COMPUTED_VALUE"""),"Coop Atlantique")</f>
        <v>Coop Atlantique</v>
      </c>
      <c r="E863">
        <f ca="1">IFERROR(__xludf.DUMMYFUNCTION("""COMPUTED_VALUE"""),16270)</f>
        <v>16270</v>
      </c>
      <c r="F863" t="str">
        <f ca="1">IFERROR(__xludf.DUMMYFUNCTION("""COMPUTED_VALUE"""),"RUE DES PALEINES")</f>
        <v>RUE DES PALEINES</v>
      </c>
      <c r="G863" t="str">
        <f ca="1">IFERROR(__xludf.DUMMYFUNCTION("""COMPUTED_VALUE"""),"05.45.71.29.30")</f>
        <v>05.45.71.29.30</v>
      </c>
      <c r="H863" t="str">
        <f ca="1">IFERROR(__xludf.DUMMYFUNCTION("""COMPUTED_VALUE"""),"FLAMBARD Hervé")</f>
        <v>FLAMBARD Hervé</v>
      </c>
      <c r="I863" t="str">
        <f ca="1">IFERROR(__xludf.DUMMYFUNCTION("""COMPUTED_VALUE"""),"bertrand.defontaine_coop_su_uex@systeme-u.fr")</f>
        <v>bertrand.defontaine_coop_su_uex@systeme-u.fr</v>
      </c>
      <c r="J863" t="str">
        <f ca="1">IFERROR(__xludf.DUMMYFUNCTION("""COMPUTED_VALUE"""),"Thierry POINCON / Dominique LACALLE")</f>
        <v>Thierry POINCON / Dominique LACALLE</v>
      </c>
      <c r="K863" t="str">
        <f ca="1">IFERROR(__xludf.DUMMYFUNCTION("""COMPUTED_VALUE"""),"uexpress.roumazieres.direction@systeme-u.fr,nbrigant@coop-atlantique.fr,sjaud@coop-atlantique.fr, my756@coop-atlantique.fr")</f>
        <v>uexpress.roumazieres.direction@systeme-u.fr,nbrigant@coop-atlantique.fr,sjaud@coop-atlantique.fr, my756@coop-atlantique.fr</v>
      </c>
      <c r="L863" t="str">
        <f ca="1">IFERROR(__xludf.DUMMYFUNCTION("""COMPUTED_VALUE"""),"")</f>
        <v/>
      </c>
      <c r="M863" t="str">
        <f ca="1">IFERROR(__xludf.DUMMYFUNCTION("""COMPUTED_VALUE"""),"99.Hors Périmetre")</f>
        <v>99.Hors Périmetre</v>
      </c>
      <c r="N863" t="str">
        <f ca="1">IFERROR(__xludf.DUMMYFUNCTION("""COMPUTED_VALUE"""),"")</f>
        <v/>
      </c>
      <c r="O863" t="str">
        <f ca="1">IFERROR(__xludf.DUMMYFUNCTION("""COMPUTED_VALUE"""),"")</f>
        <v/>
      </c>
      <c r="P863" t="str">
        <f ca="1">IFERROR(__xludf.DUMMYFUNCTION("""COMPUTED_VALUE"""),"")</f>
        <v/>
      </c>
      <c r="Q863" s="5" t="str">
        <f ca="1">IFERROR(__xludf.DUMMYFUNCTION("""COMPUTED_VALUE"""),"")</f>
        <v/>
      </c>
      <c r="R863" s="6" t="str">
        <f ca="1">IFERROR(__xludf.DUMMYFUNCTION("""COMPUTED_VALUE"""),"")</f>
        <v/>
      </c>
      <c r="S863" t="str">
        <f ca="1">IFERROR(__xludf.DUMMYFUNCTION("""COMPUTED_VALUE"""),"")</f>
        <v/>
      </c>
      <c r="T863" t="str">
        <f ca="1">IFERROR(__xludf.DUMMYFUNCTION("""COMPUTED_VALUE"""),"")</f>
        <v/>
      </c>
      <c r="U863" t="str">
        <f ca="1">IFERROR(__xludf.DUMMYFUNCTION("""COMPUTED_VALUE"""),"")</f>
        <v/>
      </c>
      <c r="V863" t="str">
        <f ca="1">IFERROR(__xludf.DUMMYFUNCTION("""COMPUTED_VALUE"""),"")</f>
        <v/>
      </c>
      <c r="W863" t="str">
        <f ca="1">IFERROR(__xludf.DUMMYFUNCTION("""COMPUTED_VALUE"""),"")</f>
        <v/>
      </c>
      <c r="X863" t="str">
        <f ca="1">IFERROR(__xludf.DUMMYFUNCTION("""COMPUTED_VALUE"""),"")</f>
        <v/>
      </c>
      <c r="Y863" t="str">
        <f ca="1">IFERROR(__xludf.DUMMYFUNCTION("""COMPUTED_VALUE"""),"")</f>
        <v/>
      </c>
      <c r="Z863" t="str">
        <f ca="1">IFERROR(__xludf.DUMMYFUNCTION("""COMPUTED_VALUE"""),"")</f>
        <v/>
      </c>
      <c r="AA863" t="str">
        <f ca="1">IFERROR(__xludf.DUMMYFUNCTION("""COMPUTED_VALUE"""),"Pas de commande")</f>
        <v>Pas de commande</v>
      </c>
      <c r="AB863" s="8" t="str">
        <f ca="1">IFERROR(__xludf.DUMMYFUNCTION("""COMPUTED_VALUE"""),"")</f>
        <v/>
      </c>
      <c r="AC863" s="8" t="str">
        <f ca="1">IFERROR(__xludf.DUMMYFUNCTION("""COMPUTED_VALUE"""),"")</f>
        <v/>
      </c>
      <c r="AD863" s="11" t="str">
        <f ca="1">IFERROR(__xludf.DUMMYFUNCTION("""COMPUTED_VALUE"""),"")</f>
        <v/>
      </c>
      <c r="AE863" t="str">
        <f ca="1">IFERROR(__xludf.DUMMYFUNCTION("""COMPUTED_VALUE"""),"")</f>
        <v/>
      </c>
    </row>
    <row r="864" spans="1:31" ht="12.75" x14ac:dyDescent="0.2">
      <c r="A864">
        <f ca="1">IFERROR(__xludf.DUMMYFUNCTION("""COMPUTED_VALUE"""),32082)</f>
        <v>32082</v>
      </c>
      <c r="B864" t="str">
        <f ca="1">IFERROR(__xludf.DUMMYFUNCTION("""COMPUTED_VALUE"""),"ROYAN")</f>
        <v>ROYAN</v>
      </c>
      <c r="C864" t="str">
        <f ca="1">IFERROR(__xludf.DUMMYFUNCTION("""COMPUTED_VALUE"""),"Super U")</f>
        <v>Super U</v>
      </c>
      <c r="D864" t="str">
        <f ca="1">IFERROR(__xludf.DUMMYFUNCTION("""COMPUTED_VALUE"""),"Coop Atlantique")</f>
        <v>Coop Atlantique</v>
      </c>
      <c r="E864">
        <f ca="1">IFERROR(__xludf.DUMMYFUNCTION("""COMPUTED_VALUE"""),17200)</f>
        <v>17200</v>
      </c>
      <c r="F864" t="str">
        <f ca="1">IFERROR(__xludf.DUMMYFUNCTION("""COMPUTED_VALUE"""),"BOULEVARD DU COLONEL BAILLET")</f>
        <v>BOULEVARD DU COLONEL BAILLET</v>
      </c>
      <c r="G864" t="str">
        <f ca="1">IFERROR(__xludf.DUMMYFUNCTION("""COMPUTED_VALUE"""),"05.46.38.79.99")</f>
        <v>05.46.38.79.99</v>
      </c>
      <c r="H864" t="str">
        <f ca="1">IFERROR(__xludf.DUMMYFUNCTION("""COMPUTED_VALUE"""),"FLAMBARD Hervé")</f>
        <v>FLAMBARD Hervé</v>
      </c>
      <c r="I864" t="str">
        <f ca="1">IFERROR(__xludf.DUMMYFUNCTION("""COMPUTED_VALUE"""),"bertrand.defontaine_coop_su_uex@systeme-u.fr")</f>
        <v>bertrand.defontaine_coop_su_uex@systeme-u.fr</v>
      </c>
      <c r="J864" t="str">
        <f ca="1">IFERROR(__xludf.DUMMYFUNCTION("""COMPUTED_VALUE"""),"Catherine CARTON")</f>
        <v>Catherine CARTON</v>
      </c>
      <c r="K864" t="str">
        <f ca="1">IFERROR(__xludf.DUMMYFUNCTION("""COMPUTED_VALUE"""),"superu.royan.direction@systeme-u.fr,nbrigant@coop-atlantique.fr,sjaud@coop-atlantique.fr, scollin@coop-atlantique.fr")</f>
        <v>superu.royan.direction@systeme-u.fr,nbrigant@coop-atlantique.fr,sjaud@coop-atlantique.fr, scollin@coop-atlantique.fr</v>
      </c>
      <c r="L864" t="str">
        <f ca="1">IFERROR(__xludf.DUMMYFUNCTION("""COMPUTED_VALUE"""),"Standard")</f>
        <v>Standard</v>
      </c>
      <c r="M864" t="str">
        <f ca="1">IFERROR(__xludf.DUMMYFUNCTION("""COMPUTED_VALUE"""),"0. Non démarré")</f>
        <v>0. Non démarré</v>
      </c>
      <c r="N864" t="str">
        <f ca="1">IFERROR(__xludf.DUMMYFUNCTION("""COMPUTED_VALUE"""),"")</f>
        <v/>
      </c>
      <c r="O864" t="str">
        <f ca="1">IFERROR(__xludf.DUMMYFUNCTION("""COMPUTED_VALUE"""),"")</f>
        <v/>
      </c>
      <c r="P864" t="str">
        <f ca="1">IFERROR(__xludf.DUMMYFUNCTION("""COMPUTED_VALUE"""),"")</f>
        <v/>
      </c>
      <c r="Q864" s="5" t="str">
        <f ca="1">IFERROR(__xludf.DUMMYFUNCTION("""COMPUTED_VALUE"""),"")</f>
        <v/>
      </c>
      <c r="R864" s="6" t="str">
        <f ca="1">IFERROR(__xludf.DUMMYFUNCTION("""COMPUTED_VALUE"""),"")</f>
        <v/>
      </c>
      <c r="S864" t="str">
        <f ca="1">IFERROR(__xludf.DUMMYFUNCTION("""COMPUTED_VALUE"""),"")</f>
        <v/>
      </c>
      <c r="T864" t="str">
        <f ca="1">IFERROR(__xludf.DUMMYFUNCTION("""COMPUTED_VALUE"""),"")</f>
        <v/>
      </c>
      <c r="U864" t="str">
        <f ca="1">IFERROR(__xludf.DUMMYFUNCTION("""COMPUTED_VALUE"""),"")</f>
        <v/>
      </c>
      <c r="V864" t="str">
        <f ca="1">IFERROR(__xludf.DUMMYFUNCTION("""COMPUTED_VALUE"""),"")</f>
        <v/>
      </c>
      <c r="W864" t="str">
        <f ca="1">IFERROR(__xludf.DUMMYFUNCTION("""COMPUTED_VALUE"""),"R5")</f>
        <v>R5</v>
      </c>
      <c r="X864" t="str">
        <f ca="1">IFERROR(__xludf.DUMMYFUNCTION("""COMPUTED_VALUE"""),"PC mag &lt;8Go")</f>
        <v>PC mag &lt;8Go</v>
      </c>
      <c r="Y864" t="str">
        <f ca="1">IFERROR(__xludf.DUMMYFUNCTION("""COMPUTED_VALUE"""),"")</f>
        <v/>
      </c>
      <c r="Z864" t="str">
        <f ca="1">IFERROR(__xludf.DUMMYFUNCTION("""COMPUTED_VALUE"""),"")</f>
        <v/>
      </c>
      <c r="AA864" t="str">
        <f ca="1">IFERROR(__xludf.DUMMYFUNCTION("""COMPUTED_VALUE"""),"Pas de commande")</f>
        <v>Pas de commande</v>
      </c>
      <c r="AB864" s="8" t="str">
        <f ca="1">IFERROR(__xludf.DUMMYFUNCTION("""COMPUTED_VALUE"""),"")</f>
        <v/>
      </c>
      <c r="AC864" s="8" t="str">
        <f ca="1">IFERROR(__xludf.DUMMYFUNCTION("""COMPUTED_VALUE"""),"")</f>
        <v/>
      </c>
      <c r="AD864" s="11" t="str">
        <f ca="1">IFERROR(__xludf.DUMMYFUNCTION("""COMPUTED_VALUE"""),"")</f>
        <v/>
      </c>
      <c r="AE864" t="str">
        <f ca="1">IFERROR(__xludf.DUMMYFUNCTION("""COMPUTED_VALUE"""),"")</f>
        <v/>
      </c>
    </row>
    <row r="865" spans="1:31" ht="12.75" x14ac:dyDescent="0.2">
      <c r="A865">
        <f ca="1">IFERROR(__xludf.DUMMYFUNCTION("""COMPUTED_VALUE"""),37013)</f>
        <v>37013</v>
      </c>
      <c r="B865" t="str">
        <f ca="1">IFERROR(__xludf.DUMMYFUNCTION("""COMPUTED_VALUE"""),"ROYAN")</f>
        <v>ROYAN</v>
      </c>
      <c r="C865" t="str">
        <f ca="1">IFERROR(__xludf.DUMMYFUNCTION("""COMPUTED_VALUE"""),"U Express")</f>
        <v>U Express</v>
      </c>
      <c r="D865" t="str">
        <f ca="1">IFERROR(__xludf.DUMMYFUNCTION("""COMPUTED_VALUE"""),"Coop U Enseigne Ouest")</f>
        <v>Coop U Enseigne Ouest</v>
      </c>
      <c r="E865">
        <f ca="1">IFERROR(__xludf.DUMMYFUNCTION("""COMPUTED_VALUE"""),17200)</f>
        <v>17200</v>
      </c>
      <c r="F865" t="str">
        <f ca="1">IFERROR(__xludf.DUMMYFUNCTION("""COMPUTED_VALUE"""),"1 AVENUE DES TILLEULS")</f>
        <v>1 AVENUE DES TILLEULS</v>
      </c>
      <c r="G865" t="str">
        <f ca="1">IFERROR(__xludf.DUMMYFUNCTION("""COMPUTED_VALUE"""),"05.46.05.87.75")</f>
        <v>05.46.05.87.75</v>
      </c>
      <c r="H865" t="str">
        <f ca="1">IFERROR(__xludf.DUMMYFUNCTION("""COMPUTED_VALUE"""),"GEORGET Cyrille")</f>
        <v>GEORGET Cyrille</v>
      </c>
      <c r="I865" t="str">
        <f ca="1">IFERROR(__xludf.DUMMYFUNCTION("""COMPUTED_VALUE"""),"cyrille.georget@systeme-u.fr")</f>
        <v>cyrille.georget@systeme-u.fr</v>
      </c>
      <c r="J865" t="str">
        <f ca="1">IFERROR(__xludf.DUMMYFUNCTION("""COMPUTED_VALUE"""),"M Georget")</f>
        <v>M Georget</v>
      </c>
      <c r="K865" t="str">
        <f ca="1">IFERROR(__xludf.DUMMYFUNCTION("""COMPUTED_VALUE"""),"cyrille.georget@systeme-u.fr")</f>
        <v>cyrille.georget@systeme-u.fr</v>
      </c>
      <c r="L865" t="str">
        <f ca="1">IFERROR(__xludf.DUMMYFUNCTION("""COMPUTED_VALUE"""),"")</f>
        <v/>
      </c>
      <c r="M865" t="str">
        <f ca="1">IFERROR(__xludf.DUMMYFUNCTION("""COMPUTED_VALUE"""),"99.Hors Périmetre")</f>
        <v>99.Hors Périmetre</v>
      </c>
      <c r="N865" t="str">
        <f ca="1">IFERROR(__xludf.DUMMYFUNCTION("""COMPUTED_VALUE"""),"")</f>
        <v/>
      </c>
      <c r="O865" t="str">
        <f ca="1">IFERROR(__xludf.DUMMYFUNCTION("""COMPUTED_VALUE"""),"")</f>
        <v/>
      </c>
      <c r="P865" t="str">
        <f ca="1">IFERROR(__xludf.DUMMYFUNCTION("""COMPUTED_VALUE"""),"")</f>
        <v/>
      </c>
      <c r="Q865" s="5" t="str">
        <f ca="1">IFERROR(__xludf.DUMMYFUNCTION("""COMPUTED_VALUE"""),"")</f>
        <v/>
      </c>
      <c r="R865" s="6" t="str">
        <f ca="1">IFERROR(__xludf.DUMMYFUNCTION("""COMPUTED_VALUE"""),"")</f>
        <v/>
      </c>
      <c r="S865" t="str">
        <f ca="1">IFERROR(__xludf.DUMMYFUNCTION("""COMPUTED_VALUE"""),"")</f>
        <v/>
      </c>
      <c r="T865" t="str">
        <f ca="1">IFERROR(__xludf.DUMMYFUNCTION("""COMPUTED_VALUE"""),"")</f>
        <v/>
      </c>
      <c r="U865" t="str">
        <f ca="1">IFERROR(__xludf.DUMMYFUNCTION("""COMPUTED_VALUE"""),"")</f>
        <v/>
      </c>
      <c r="V865" t="str">
        <f ca="1">IFERROR(__xludf.DUMMYFUNCTION("""COMPUTED_VALUE"""),"")</f>
        <v/>
      </c>
      <c r="W865" t="str">
        <f ca="1">IFERROR(__xludf.DUMMYFUNCTION("""COMPUTED_VALUE"""),"")</f>
        <v/>
      </c>
      <c r="X865" t="str">
        <f ca="1">IFERROR(__xludf.DUMMYFUNCTION("""COMPUTED_VALUE"""),"")</f>
        <v/>
      </c>
      <c r="Y865" t="str">
        <f ca="1">IFERROR(__xludf.DUMMYFUNCTION("""COMPUTED_VALUE"""),"")</f>
        <v/>
      </c>
      <c r="Z865" t="str">
        <f ca="1">IFERROR(__xludf.DUMMYFUNCTION("""COMPUTED_VALUE"""),"")</f>
        <v/>
      </c>
      <c r="AA865" t="str">
        <f ca="1">IFERROR(__xludf.DUMMYFUNCTION("""COMPUTED_VALUE"""),"Pas de commande")</f>
        <v>Pas de commande</v>
      </c>
      <c r="AB865" s="8" t="str">
        <f ca="1">IFERROR(__xludf.DUMMYFUNCTION("""COMPUTED_VALUE"""),"")</f>
        <v/>
      </c>
      <c r="AC865" s="8" t="str">
        <f ca="1">IFERROR(__xludf.DUMMYFUNCTION("""COMPUTED_VALUE"""),"")</f>
        <v/>
      </c>
      <c r="AD865" s="11" t="str">
        <f ca="1">IFERROR(__xludf.DUMMYFUNCTION("""COMPUTED_VALUE"""),"")</f>
        <v/>
      </c>
      <c r="AE865" t="str">
        <f ca="1">IFERROR(__xludf.DUMMYFUNCTION("""COMPUTED_VALUE"""),"")</f>
        <v/>
      </c>
    </row>
    <row r="866" spans="1:31" ht="12.75" x14ac:dyDescent="0.2">
      <c r="A866">
        <f ca="1">IFERROR(__xludf.DUMMYFUNCTION("""COMPUTED_VALUE"""),23603)</f>
        <v>23603</v>
      </c>
      <c r="B866" t="str">
        <f ca="1">IFERROR(__xludf.DUMMYFUNCTION("""COMPUTED_VALUE"""),"RUEIL MALMAISON")</f>
        <v>RUEIL MALMAISON</v>
      </c>
      <c r="C866" t="str">
        <f ca="1">IFERROR(__xludf.DUMMYFUNCTION("""COMPUTED_VALUE"""),"U Express")</f>
        <v>U Express</v>
      </c>
      <c r="D866" t="str">
        <f ca="1">IFERROR(__xludf.DUMMYFUNCTION("""COMPUTED_VALUE"""),"Coop U Enseigne NordOuest")</f>
        <v>Coop U Enseigne NordOuest</v>
      </c>
      <c r="E866">
        <f ca="1">IFERROR(__xludf.DUMMYFUNCTION("""COMPUTED_VALUE"""),92500)</f>
        <v>92500</v>
      </c>
      <c r="F866" t="str">
        <f ca="1">IFERROR(__xludf.DUMMYFUNCTION("""COMPUTED_VALUE"""),"109 AVENUE PAUL DOUMER")</f>
        <v>109 AVENUE PAUL DOUMER</v>
      </c>
      <c r="G866" t="str">
        <f ca="1">IFERROR(__xludf.DUMMYFUNCTION("""COMPUTED_VALUE"""),"01.47.49.82.68")</f>
        <v>01.47.49.82.68</v>
      </c>
      <c r="H866" t="str">
        <f ca="1">IFERROR(__xludf.DUMMYFUNCTION("""COMPUTED_VALUE"""),"BENHAMOU Eric")</f>
        <v>BENHAMOU Eric</v>
      </c>
      <c r="I866" t="str">
        <f ca="1">IFERROR(__xludf.DUMMYFUNCTION("""COMPUTED_VALUE"""),"eric.benhamou@systeme-u.fr")</f>
        <v>eric.benhamou@systeme-u.fr</v>
      </c>
      <c r="J866" t="str">
        <f ca="1">IFERROR(__xludf.DUMMYFUNCTION("""COMPUTED_VALUE"""),"MESSAOUDI Zakia")</f>
        <v>MESSAOUDI Zakia</v>
      </c>
      <c r="K866" t="str">
        <f ca="1">IFERROR(__xludf.DUMMYFUNCTION("""COMPUTED_VALUE"""),"uexpress.rueilmalmaison@systeme-u.fr")</f>
        <v>uexpress.rueilmalmaison@systeme-u.fr</v>
      </c>
      <c r="L866" t="str">
        <f ca="1">IFERROR(__xludf.DUMMYFUNCTION("""COMPUTED_VALUE"""),"Standard")</f>
        <v>Standard</v>
      </c>
      <c r="M866" t="str">
        <f ca="1">IFERROR(__xludf.DUMMYFUNCTION("""COMPUTED_VALUE"""),"0. Non démarré")</f>
        <v>0. Non démarré</v>
      </c>
      <c r="N866" t="str">
        <f ca="1">IFERROR(__xludf.DUMMYFUNCTION("""COMPUTED_VALUE"""),"")</f>
        <v/>
      </c>
      <c r="O866" t="str">
        <f ca="1">IFERROR(__xludf.DUMMYFUNCTION("""COMPUTED_VALUE"""),"")</f>
        <v/>
      </c>
      <c r="P866" t="str">
        <f ca="1">IFERROR(__xludf.DUMMYFUNCTION("""COMPUTED_VALUE"""),"")</f>
        <v/>
      </c>
      <c r="Q866" s="5" t="str">
        <f ca="1">IFERROR(__xludf.DUMMYFUNCTION("""COMPUTED_VALUE"""),"")</f>
        <v/>
      </c>
      <c r="R866" s="6" t="str">
        <f ca="1">IFERROR(__xludf.DUMMYFUNCTION("""COMPUTED_VALUE"""),"")</f>
        <v/>
      </c>
      <c r="S866" t="str">
        <f ca="1">IFERROR(__xludf.DUMMYFUNCTION("""COMPUTED_VALUE"""),"")</f>
        <v/>
      </c>
      <c r="T866" t="str">
        <f ca="1">IFERROR(__xludf.DUMMYFUNCTION("""COMPUTED_VALUE"""),"")</f>
        <v/>
      </c>
      <c r="U866" t="str">
        <f ca="1">IFERROR(__xludf.DUMMYFUNCTION("""COMPUTED_VALUE"""),"")</f>
        <v/>
      </c>
      <c r="V866" t="str">
        <f ca="1">IFERROR(__xludf.DUMMYFUNCTION("""COMPUTED_VALUE"""),"")</f>
        <v/>
      </c>
      <c r="W866" t="str">
        <f ca="1">IFERROR(__xludf.DUMMYFUNCTION("""COMPUTED_VALUE"""),"R3")</f>
        <v>R3</v>
      </c>
      <c r="X866" t="str">
        <f ca="1">IFERROR(__xludf.DUMMYFUNCTION("""COMPUTED_VALUE"""),"Pricer")</f>
        <v>Pricer</v>
      </c>
      <c r="Y866" t="str">
        <f ca="1">IFERROR(__xludf.DUMMYFUNCTION("""COMPUTED_VALUE"""),"")</f>
        <v/>
      </c>
      <c r="Z866" t="str">
        <f ca="1">IFERROR(__xludf.DUMMYFUNCTION("""COMPUTED_VALUE"""),"")</f>
        <v/>
      </c>
      <c r="AA866" t="str">
        <f ca="1">IFERROR(__xludf.DUMMYFUNCTION("""COMPUTED_VALUE"""),"Pas de commande")</f>
        <v>Pas de commande</v>
      </c>
      <c r="AB866" s="8" t="str">
        <f ca="1">IFERROR(__xludf.DUMMYFUNCTION("""COMPUTED_VALUE"""),"")</f>
        <v/>
      </c>
      <c r="AC866" s="8" t="str">
        <f ca="1">IFERROR(__xludf.DUMMYFUNCTION("""COMPUTED_VALUE"""),"")</f>
        <v/>
      </c>
      <c r="AD866" s="11" t="str">
        <f ca="1">IFERROR(__xludf.DUMMYFUNCTION("""COMPUTED_VALUE"""),"")</f>
        <v/>
      </c>
      <c r="AE866" t="str">
        <f ca="1">IFERROR(__xludf.DUMMYFUNCTION("""COMPUTED_VALUE"""),"IP : 10.148.144.52 (Ivanti Ok mais bug d'authentification)")</f>
        <v>IP : 10.148.144.52 (Ivanti Ok mais bug d'authentification)</v>
      </c>
    </row>
    <row r="867" spans="1:31" ht="12.75" x14ac:dyDescent="0.2">
      <c r="A867">
        <f ca="1">IFERROR(__xludf.DUMMYFUNCTION("""COMPUTED_VALUE"""),68557)</f>
        <v>68557</v>
      </c>
      <c r="B867" t="str">
        <f ca="1">IFERROR(__xludf.DUMMYFUNCTION("""COMPUTED_VALUE"""),"RUFFIEUX")</f>
        <v>RUFFIEUX</v>
      </c>
      <c r="C867" t="str">
        <f ca="1">IFERROR(__xludf.DUMMYFUNCTION("""COMPUTED_VALUE"""),"U Express")</f>
        <v>U Express</v>
      </c>
      <c r="D867" t="str">
        <f ca="1">IFERROR(__xludf.DUMMYFUNCTION("""COMPUTED_VALUE"""),"Coop U Enseigne Est")</f>
        <v>Coop U Enseigne Est</v>
      </c>
      <c r="E867">
        <f ca="1">IFERROR(__xludf.DUMMYFUNCTION("""COMPUTED_VALUE"""),73310)</f>
        <v>73310</v>
      </c>
      <c r="F867" t="str">
        <f ca="1">IFERROR(__xludf.DUMMYFUNCTION("""COMPUTED_VALUE"""),"ZONE ARTISANALE DE SAUMONT")</f>
        <v>ZONE ARTISANALE DE SAUMONT</v>
      </c>
      <c r="G867" t="str">
        <f ca="1">IFERROR(__xludf.DUMMYFUNCTION("""COMPUTED_VALUE"""),"04.79.54.04.23")</f>
        <v>04.79.54.04.23</v>
      </c>
      <c r="H867" t="str">
        <f ca="1">IFERROR(__xludf.DUMMYFUNCTION("""COMPUTED_VALUE"""),"CATINAULT Yves")</f>
        <v>CATINAULT Yves</v>
      </c>
      <c r="I867" t="str">
        <f ca="1">IFERROR(__xludf.DUMMYFUNCTION("""COMPUTED_VALUE"""),"yves.catinault@systeme-u.fr")</f>
        <v>yves.catinault@systeme-u.fr</v>
      </c>
      <c r="J867" t="str">
        <f ca="1">IFERROR(__xludf.DUMMYFUNCTION("""COMPUTED_VALUE"""),"M. LOSANA")</f>
        <v>M. LOSANA</v>
      </c>
      <c r="K867" t="str">
        <f ca="1">IFERROR(__xludf.DUMMYFUNCTION("""COMPUTED_VALUE"""),"uexpress.ruffieux.direction@systeme-u.fr")</f>
        <v>uexpress.ruffieux.direction@systeme-u.fr</v>
      </c>
      <c r="L867" t="str">
        <f ca="1">IFERROR(__xludf.DUMMYFUNCTION("""COMPUTED_VALUE"""),"")</f>
        <v/>
      </c>
      <c r="M867" t="str">
        <f ca="1">IFERROR(__xludf.DUMMYFUNCTION("""COMPUTED_VALUE"""),"99.Hors Périmetre")</f>
        <v>99.Hors Périmetre</v>
      </c>
      <c r="N867" t="str">
        <f ca="1">IFERROR(__xludf.DUMMYFUNCTION("""COMPUTED_VALUE"""),"")</f>
        <v/>
      </c>
      <c r="O867" t="str">
        <f ca="1">IFERROR(__xludf.DUMMYFUNCTION("""COMPUTED_VALUE"""),"")</f>
        <v/>
      </c>
      <c r="P867" t="str">
        <f ca="1">IFERROR(__xludf.DUMMYFUNCTION("""COMPUTED_VALUE"""),"")</f>
        <v/>
      </c>
      <c r="Q867" s="5" t="str">
        <f ca="1">IFERROR(__xludf.DUMMYFUNCTION("""COMPUTED_VALUE"""),"")</f>
        <v/>
      </c>
      <c r="R867" s="6" t="str">
        <f ca="1">IFERROR(__xludf.DUMMYFUNCTION("""COMPUTED_VALUE"""),"")</f>
        <v/>
      </c>
      <c r="S867" t="str">
        <f ca="1">IFERROR(__xludf.DUMMYFUNCTION("""COMPUTED_VALUE"""),"")</f>
        <v/>
      </c>
      <c r="T867" t="str">
        <f ca="1">IFERROR(__xludf.DUMMYFUNCTION("""COMPUTED_VALUE"""),"")</f>
        <v/>
      </c>
      <c r="U867" t="str">
        <f ca="1">IFERROR(__xludf.DUMMYFUNCTION("""COMPUTED_VALUE"""),"")</f>
        <v/>
      </c>
      <c r="V867" t="str">
        <f ca="1">IFERROR(__xludf.DUMMYFUNCTION("""COMPUTED_VALUE"""),"")</f>
        <v/>
      </c>
      <c r="W867" t="str">
        <f ca="1">IFERROR(__xludf.DUMMYFUNCTION("""COMPUTED_VALUE"""),"")</f>
        <v/>
      </c>
      <c r="X867" t="str">
        <f ca="1">IFERROR(__xludf.DUMMYFUNCTION("""COMPUTED_VALUE"""),"")</f>
        <v/>
      </c>
      <c r="Y867" t="str">
        <f ca="1">IFERROR(__xludf.DUMMYFUNCTION("""COMPUTED_VALUE"""),"")</f>
        <v/>
      </c>
      <c r="Z867" t="str">
        <f ca="1">IFERROR(__xludf.DUMMYFUNCTION("""COMPUTED_VALUE"""),"")</f>
        <v/>
      </c>
      <c r="AA867" t="str">
        <f ca="1">IFERROR(__xludf.DUMMYFUNCTION("""COMPUTED_VALUE"""),"Pas de commande")</f>
        <v>Pas de commande</v>
      </c>
      <c r="AB867" s="8" t="str">
        <f ca="1">IFERROR(__xludf.DUMMYFUNCTION("""COMPUTED_VALUE"""),"")</f>
        <v/>
      </c>
      <c r="AC867" s="8" t="str">
        <f ca="1">IFERROR(__xludf.DUMMYFUNCTION("""COMPUTED_VALUE"""),"")</f>
        <v/>
      </c>
      <c r="AD867" s="11" t="str">
        <f ca="1">IFERROR(__xludf.DUMMYFUNCTION("""COMPUTED_VALUE"""),"")</f>
        <v/>
      </c>
      <c r="AE867" t="str">
        <f ca="1">IFERROR(__xludf.DUMMYFUNCTION("""COMPUTED_VALUE"""),"")</f>
        <v/>
      </c>
    </row>
    <row r="868" spans="1:31" ht="12.75" x14ac:dyDescent="0.2">
      <c r="A868">
        <f ca="1">IFERROR(__xludf.DUMMYFUNCTION("""COMPUTED_VALUE"""),66144)</f>
        <v>66144</v>
      </c>
      <c r="B868" t="str">
        <f ca="1">IFERROR(__xludf.DUMMYFUNCTION("""COMPUTED_VALUE"""),"RUMILLY CEDEX")</f>
        <v>RUMILLY CEDEX</v>
      </c>
      <c r="C868" t="str">
        <f ca="1">IFERROR(__xludf.DUMMYFUNCTION("""COMPUTED_VALUE"""),"Hyper U")</f>
        <v>Hyper U</v>
      </c>
      <c r="D868" t="str">
        <f ca="1">IFERROR(__xludf.DUMMYFUNCTION("""COMPUTED_VALUE"""),"Coop U Enseigne Est")</f>
        <v>Coop U Enseigne Est</v>
      </c>
      <c r="E868">
        <f ca="1">IFERROR(__xludf.DUMMYFUNCTION("""COMPUTED_VALUE"""),74150)</f>
        <v>74150</v>
      </c>
      <c r="F868" t="str">
        <f ca="1">IFERROR(__xludf.DUMMYFUNCTION("""COMPUTED_VALUE"""),"CENTRE COMMERCIAL LES 2 LACS")</f>
        <v>CENTRE COMMERCIAL LES 2 LACS</v>
      </c>
      <c r="G868" t="str">
        <f ca="1">IFERROR(__xludf.DUMMYFUNCTION("""COMPUTED_VALUE"""),"04.50.64.52.70")</f>
        <v>04.50.64.52.70</v>
      </c>
      <c r="H868" t="str">
        <f ca="1">IFERROR(__xludf.DUMMYFUNCTION("""COMPUTED_VALUE"""),"JACQUIN RPT SAS JAXAL Alexandre")</f>
        <v>JACQUIN RPT SAS JAXAL Alexandre</v>
      </c>
      <c r="I868" t="str">
        <f ca="1">IFERROR(__xludf.DUMMYFUNCTION("""COMPUTED_VALUE"""),"alexandre.jacquin@systeme-u.fr")</f>
        <v>alexandre.jacquin@systeme-u.fr</v>
      </c>
      <c r="J868" t="str">
        <f ca="1">IFERROR(__xludf.DUMMYFUNCTION("""COMPUTED_VALUE"""),"BERAUD JACQUELINE")</f>
        <v>BERAUD JACQUELINE</v>
      </c>
      <c r="K868" t="str">
        <f ca="1">IFERROR(__xludf.DUMMYFUNCTION("""COMPUTED_VALUE"""),"hyperu.rumilly.pub@systeme-u.fr")</f>
        <v>hyperu.rumilly.pub@systeme-u.fr</v>
      </c>
      <c r="L868" t="str">
        <f ca="1">IFERROR(__xludf.DUMMYFUNCTION("""COMPUTED_VALUE"""),"")</f>
        <v/>
      </c>
      <c r="M868" t="str">
        <f ca="1">IFERROR(__xludf.DUMMYFUNCTION("""COMPUTED_VALUE"""),"99.Hors Périmetre")</f>
        <v>99.Hors Périmetre</v>
      </c>
      <c r="N868" t="str">
        <f ca="1">IFERROR(__xludf.DUMMYFUNCTION("""COMPUTED_VALUE"""),"")</f>
        <v/>
      </c>
      <c r="O868" t="str">
        <f ca="1">IFERROR(__xludf.DUMMYFUNCTION("""COMPUTED_VALUE"""),"")</f>
        <v/>
      </c>
      <c r="P868" t="str">
        <f ca="1">IFERROR(__xludf.DUMMYFUNCTION("""COMPUTED_VALUE"""),"")</f>
        <v/>
      </c>
      <c r="Q868" s="5" t="str">
        <f ca="1">IFERROR(__xludf.DUMMYFUNCTION("""COMPUTED_VALUE"""),"")</f>
        <v/>
      </c>
      <c r="R868" s="6" t="str">
        <f ca="1">IFERROR(__xludf.DUMMYFUNCTION("""COMPUTED_VALUE"""),"")</f>
        <v/>
      </c>
      <c r="S868" t="str">
        <f ca="1">IFERROR(__xludf.DUMMYFUNCTION("""COMPUTED_VALUE"""),"")</f>
        <v/>
      </c>
      <c r="T868" t="str">
        <f ca="1">IFERROR(__xludf.DUMMYFUNCTION("""COMPUTED_VALUE"""),"")</f>
        <v/>
      </c>
      <c r="U868" t="str">
        <f ca="1">IFERROR(__xludf.DUMMYFUNCTION("""COMPUTED_VALUE"""),"")</f>
        <v/>
      </c>
      <c r="V868" t="str">
        <f ca="1">IFERROR(__xludf.DUMMYFUNCTION("""COMPUTED_VALUE"""),"")</f>
        <v/>
      </c>
      <c r="W868" t="str">
        <f ca="1">IFERROR(__xludf.DUMMYFUNCTION("""COMPUTED_VALUE"""),"")</f>
        <v/>
      </c>
      <c r="X868" t="str">
        <f ca="1">IFERROR(__xludf.DUMMYFUNCTION("""COMPUTED_VALUE"""),"")</f>
        <v/>
      </c>
      <c r="Y868" t="str">
        <f ca="1">IFERROR(__xludf.DUMMYFUNCTION("""COMPUTED_VALUE"""),"")</f>
        <v/>
      </c>
      <c r="Z868" t="str">
        <f ca="1">IFERROR(__xludf.DUMMYFUNCTION("""COMPUTED_VALUE"""),"")</f>
        <v/>
      </c>
      <c r="AA868" t="str">
        <f ca="1">IFERROR(__xludf.DUMMYFUNCTION("""COMPUTED_VALUE"""),"Pas de commande")</f>
        <v>Pas de commande</v>
      </c>
      <c r="AB868" s="8" t="str">
        <f ca="1">IFERROR(__xludf.DUMMYFUNCTION("""COMPUTED_VALUE"""),"")</f>
        <v/>
      </c>
      <c r="AC868" s="8" t="str">
        <f ca="1">IFERROR(__xludf.DUMMYFUNCTION("""COMPUTED_VALUE"""),"")</f>
        <v/>
      </c>
      <c r="AD868" s="11" t="str">
        <f ca="1">IFERROR(__xludf.DUMMYFUNCTION("""COMPUTED_VALUE"""),"")</f>
        <v/>
      </c>
      <c r="AE868" t="str">
        <f ca="1">IFERROR(__xludf.DUMMYFUNCTION("""COMPUTED_VALUE"""),"")</f>
        <v/>
      </c>
    </row>
    <row r="869" spans="1:31" ht="12.75" x14ac:dyDescent="0.2">
      <c r="A869">
        <f ca="1">IFERROR(__xludf.DUMMYFUNCTION("""COMPUTED_VALUE"""),90188)</f>
        <v>90188</v>
      </c>
      <c r="B869" t="str">
        <f ca="1">IFERROR(__xludf.DUMMYFUNCTION("""COMPUTED_VALUE"""),"RUOMS")</f>
        <v>RUOMS</v>
      </c>
      <c r="C869" t="str">
        <f ca="1">IFERROR(__xludf.DUMMYFUNCTION("""COMPUTED_VALUE"""),"Super U")</f>
        <v>Super U</v>
      </c>
      <c r="D869" t="str">
        <f ca="1">IFERROR(__xludf.DUMMYFUNCTION("""COMPUTED_VALUE"""),"Coop U Enseigne Sud")</f>
        <v>Coop U Enseigne Sud</v>
      </c>
      <c r="E869">
        <f ca="1">IFERROR(__xludf.DUMMYFUNCTION("""COMPUTED_VALUE"""),7120)</f>
        <v>7120</v>
      </c>
      <c r="F869" t="str">
        <f ca="1">IFERROR(__xludf.DUMMYFUNCTION("""COMPUTED_VALUE"""),"RTE DE VALLON PONT D'ARC")</f>
        <v>RTE DE VALLON PONT D'ARC</v>
      </c>
      <c r="G869" t="str">
        <f ca="1">IFERROR(__xludf.DUMMYFUNCTION("""COMPUTED_VALUE"""),"04.75.89.21.40")</f>
        <v>04.75.89.21.40</v>
      </c>
      <c r="H869" t="str">
        <f ca="1">IFERROR(__xludf.DUMMYFUNCTION("""COMPUTED_VALUE"""),"GIBERT Nicolas")</f>
        <v>GIBERT Nicolas</v>
      </c>
      <c r="I869" t="str">
        <f ca="1">IFERROR(__xludf.DUMMYFUNCTION("""COMPUTED_VALUE"""),"nicolas.gibert@systeme-u.fr")</f>
        <v>nicolas.gibert@systeme-u.fr</v>
      </c>
      <c r="J869" t="str">
        <f ca="1">IFERROR(__xludf.DUMMYFUNCTION("""COMPUTED_VALUE"""),"BONNAFFOUX Sophie")</f>
        <v>BONNAFFOUX Sophie</v>
      </c>
      <c r="K869" t="str">
        <f ca="1">IFERROR(__xludf.DUMMYFUNCTION("""COMPUTED_VALUE"""),"sophie.bonnaffoux@systeme-u.fr")</f>
        <v>sophie.bonnaffoux@systeme-u.fr</v>
      </c>
      <c r="L869" t="str">
        <f ca="1">IFERROR(__xludf.DUMMYFUNCTION("""COMPUTED_VALUE"""),"")</f>
        <v/>
      </c>
      <c r="M869" t="str">
        <f ca="1">IFERROR(__xludf.DUMMYFUNCTION("""COMPUTED_VALUE"""),"99.Hors Périmetre")</f>
        <v>99.Hors Périmetre</v>
      </c>
      <c r="N869" t="str">
        <f ca="1">IFERROR(__xludf.DUMMYFUNCTION("""COMPUTED_VALUE"""),"")</f>
        <v/>
      </c>
      <c r="O869" t="str">
        <f ca="1">IFERROR(__xludf.DUMMYFUNCTION("""COMPUTED_VALUE"""),"")</f>
        <v/>
      </c>
      <c r="P869" t="str">
        <f ca="1">IFERROR(__xludf.DUMMYFUNCTION("""COMPUTED_VALUE"""),"")</f>
        <v/>
      </c>
      <c r="Q869" s="5" t="str">
        <f ca="1">IFERROR(__xludf.DUMMYFUNCTION("""COMPUTED_VALUE"""),"")</f>
        <v/>
      </c>
      <c r="R869" s="6" t="str">
        <f ca="1">IFERROR(__xludf.DUMMYFUNCTION("""COMPUTED_VALUE"""),"")</f>
        <v/>
      </c>
      <c r="S869" t="str">
        <f ca="1">IFERROR(__xludf.DUMMYFUNCTION("""COMPUTED_VALUE"""),"")</f>
        <v/>
      </c>
      <c r="T869" t="str">
        <f ca="1">IFERROR(__xludf.DUMMYFUNCTION("""COMPUTED_VALUE"""),"")</f>
        <v/>
      </c>
      <c r="U869" t="str">
        <f ca="1">IFERROR(__xludf.DUMMYFUNCTION("""COMPUTED_VALUE"""),"")</f>
        <v/>
      </c>
      <c r="V869" t="str">
        <f ca="1">IFERROR(__xludf.DUMMYFUNCTION("""COMPUTED_VALUE"""),"")</f>
        <v/>
      </c>
      <c r="W869" t="str">
        <f ca="1">IFERROR(__xludf.DUMMYFUNCTION("""COMPUTED_VALUE"""),"")</f>
        <v/>
      </c>
      <c r="X869" t="str">
        <f ca="1">IFERROR(__xludf.DUMMYFUNCTION("""COMPUTED_VALUE"""),"")</f>
        <v/>
      </c>
      <c r="Y869" t="str">
        <f ca="1">IFERROR(__xludf.DUMMYFUNCTION("""COMPUTED_VALUE"""),"")</f>
        <v/>
      </c>
      <c r="Z869" t="str">
        <f ca="1">IFERROR(__xludf.DUMMYFUNCTION("""COMPUTED_VALUE"""),"")</f>
        <v/>
      </c>
      <c r="AA869" t="str">
        <f ca="1">IFERROR(__xludf.DUMMYFUNCTION("""COMPUTED_VALUE"""),"Pas de commande")</f>
        <v>Pas de commande</v>
      </c>
      <c r="AB869" s="8" t="str">
        <f ca="1">IFERROR(__xludf.DUMMYFUNCTION("""COMPUTED_VALUE"""),"")</f>
        <v/>
      </c>
      <c r="AC869" s="8" t="str">
        <f ca="1">IFERROR(__xludf.DUMMYFUNCTION("""COMPUTED_VALUE"""),"")</f>
        <v/>
      </c>
      <c r="AD869" s="11" t="str">
        <f ca="1">IFERROR(__xludf.DUMMYFUNCTION("""COMPUTED_VALUE"""),"")</f>
        <v/>
      </c>
      <c r="AE869" t="str">
        <f ca="1">IFERROR(__xludf.DUMMYFUNCTION("""COMPUTED_VALUE"""),"")</f>
        <v/>
      </c>
    </row>
    <row r="870" spans="1:31" ht="12.75" x14ac:dyDescent="0.2">
      <c r="A870">
        <f ca="1">IFERROR(__xludf.DUMMYFUNCTION("""COMPUTED_VALUE"""),60715)</f>
        <v>60715</v>
      </c>
      <c r="B870" t="str">
        <f ca="1">IFERROR(__xludf.DUMMYFUNCTION("""COMPUTED_VALUE"""),"RUSS SCHIRMECK")</f>
        <v>RUSS SCHIRMECK</v>
      </c>
      <c r="C870" t="str">
        <f ca="1">IFERROR(__xludf.DUMMYFUNCTION("""COMPUTED_VALUE"""),"Super U")</f>
        <v>Super U</v>
      </c>
      <c r="D870" t="str">
        <f ca="1">IFERROR(__xludf.DUMMYFUNCTION("""COMPUTED_VALUE"""),"Coop U Enseigne Est")</f>
        <v>Coop U Enseigne Est</v>
      </c>
      <c r="E870">
        <f ca="1">IFERROR(__xludf.DUMMYFUNCTION("""COMPUTED_VALUE"""),67130)</f>
        <v>67130</v>
      </c>
      <c r="F870" t="str">
        <f ca="1">IFERROR(__xludf.DUMMYFUNCTION("""COMPUTED_VALUE"""),"1 RUE DE LA CREUSE FONTAINE")</f>
        <v>1 RUE DE LA CREUSE FONTAINE</v>
      </c>
      <c r="G870" t="str">
        <f ca="1">IFERROR(__xludf.DUMMYFUNCTION("""COMPUTED_VALUE"""),"03.88.47.13.28")</f>
        <v>03.88.47.13.28</v>
      </c>
      <c r="H870" t="str">
        <f ca="1">IFERROR(__xludf.DUMMYFUNCTION("""COMPUTED_VALUE"""),"KLEFFER Charly")</f>
        <v>KLEFFER Charly</v>
      </c>
      <c r="I870" t="str">
        <f ca="1">IFERROR(__xludf.DUMMYFUNCTION("""COMPUTED_VALUE"""),"charly.kleffer@systeme-u.fr")</f>
        <v>charly.kleffer@systeme-u.fr</v>
      </c>
      <c r="J870" t="str">
        <f ca="1">IFERROR(__xludf.DUMMYFUNCTION("""COMPUTED_VALUE"""),"")</f>
        <v/>
      </c>
      <c r="K870" t="str">
        <f ca="1">IFERROR(__xludf.DUMMYFUNCTION("""COMPUTED_VALUE"""),"")</f>
        <v/>
      </c>
      <c r="L870" t="str">
        <f ca="1">IFERROR(__xludf.DUMMYFUNCTION("""COMPUTED_VALUE"""),"")</f>
        <v/>
      </c>
      <c r="M870" t="str">
        <f ca="1">IFERROR(__xludf.DUMMYFUNCTION("""COMPUTED_VALUE"""),"99.Hors Périmetre")</f>
        <v>99.Hors Périmetre</v>
      </c>
      <c r="N870" t="str">
        <f ca="1">IFERROR(__xludf.DUMMYFUNCTION("""COMPUTED_VALUE"""),"")</f>
        <v/>
      </c>
      <c r="O870" t="str">
        <f ca="1">IFERROR(__xludf.DUMMYFUNCTION("""COMPUTED_VALUE"""),"")</f>
        <v/>
      </c>
      <c r="P870" t="str">
        <f ca="1">IFERROR(__xludf.DUMMYFUNCTION("""COMPUTED_VALUE"""),"")</f>
        <v/>
      </c>
      <c r="Q870" s="5" t="str">
        <f ca="1">IFERROR(__xludf.DUMMYFUNCTION("""COMPUTED_VALUE"""),"")</f>
        <v/>
      </c>
      <c r="R870" s="6" t="str">
        <f ca="1">IFERROR(__xludf.DUMMYFUNCTION("""COMPUTED_VALUE"""),"")</f>
        <v/>
      </c>
      <c r="S870" t="str">
        <f ca="1">IFERROR(__xludf.DUMMYFUNCTION("""COMPUTED_VALUE"""),"")</f>
        <v/>
      </c>
      <c r="T870" t="str">
        <f ca="1">IFERROR(__xludf.DUMMYFUNCTION("""COMPUTED_VALUE"""),"")</f>
        <v/>
      </c>
      <c r="U870" t="str">
        <f ca="1">IFERROR(__xludf.DUMMYFUNCTION("""COMPUTED_VALUE"""),"")</f>
        <v/>
      </c>
      <c r="V870" t="str">
        <f ca="1">IFERROR(__xludf.DUMMYFUNCTION("""COMPUTED_VALUE"""),"")</f>
        <v/>
      </c>
      <c r="W870" t="str">
        <f ca="1">IFERROR(__xludf.DUMMYFUNCTION("""COMPUTED_VALUE"""),"")</f>
        <v/>
      </c>
      <c r="X870" t="str">
        <f ca="1">IFERROR(__xludf.DUMMYFUNCTION("""COMPUTED_VALUE"""),"")</f>
        <v/>
      </c>
      <c r="Y870" t="str">
        <f ca="1">IFERROR(__xludf.DUMMYFUNCTION("""COMPUTED_VALUE"""),"")</f>
        <v/>
      </c>
      <c r="Z870" t="str">
        <f ca="1">IFERROR(__xludf.DUMMYFUNCTION("""COMPUTED_VALUE"""),"")</f>
        <v/>
      </c>
      <c r="AA870" t="str">
        <f ca="1">IFERROR(__xludf.DUMMYFUNCTION("""COMPUTED_VALUE"""),"Pas de commande")</f>
        <v>Pas de commande</v>
      </c>
      <c r="AB870" s="8" t="str">
        <f ca="1">IFERROR(__xludf.DUMMYFUNCTION("""COMPUTED_VALUE"""),"")</f>
        <v/>
      </c>
      <c r="AC870" s="8" t="str">
        <f ca="1">IFERROR(__xludf.DUMMYFUNCTION("""COMPUTED_VALUE"""),"")</f>
        <v/>
      </c>
      <c r="AD870" s="11" t="str">
        <f ca="1">IFERROR(__xludf.DUMMYFUNCTION("""COMPUTED_VALUE"""),"")</f>
        <v/>
      </c>
      <c r="AE870" t="str">
        <f ca="1">IFERROR(__xludf.DUMMYFUNCTION("""COMPUTED_VALUE"""),"")</f>
        <v/>
      </c>
    </row>
    <row r="871" spans="1:31" ht="12.75" x14ac:dyDescent="0.2">
      <c r="A871">
        <f ca="1">IFERROR(__xludf.DUMMYFUNCTION("""COMPUTED_VALUE"""),32038)</f>
        <v>32038</v>
      </c>
      <c r="B871" t="str">
        <f ca="1">IFERROR(__xludf.DUMMYFUNCTION("""COMPUTED_VALUE"""),"SABLE-SUR-SARTHE")</f>
        <v>SABLE-SUR-SARTHE</v>
      </c>
      <c r="C871" t="str">
        <f ca="1">IFERROR(__xludf.DUMMYFUNCTION("""COMPUTED_VALUE"""),"Super U")</f>
        <v>Super U</v>
      </c>
      <c r="D871" t="str">
        <f ca="1">IFERROR(__xludf.DUMMYFUNCTION("""COMPUTED_VALUE"""),"Coop U Enseigne Ouest")</f>
        <v>Coop U Enseigne Ouest</v>
      </c>
      <c r="E871">
        <f ca="1">IFERROR(__xludf.DUMMYFUNCTION("""COMPUTED_VALUE"""),72300)</f>
        <v>72300</v>
      </c>
      <c r="F871" t="str">
        <f ca="1">IFERROR(__xludf.DUMMYFUNCTION("""COMPUTED_VALUE"""),"ROUTE DE LAVAL")</f>
        <v>ROUTE DE LAVAL</v>
      </c>
      <c r="G871" t="str">
        <f ca="1">IFERROR(__xludf.DUMMYFUNCTION("""COMPUTED_VALUE"""),"02.43.55.10.10")</f>
        <v>02.43.55.10.10</v>
      </c>
      <c r="H871" t="str">
        <f ca="1">IFERROR(__xludf.DUMMYFUNCTION("""COMPUTED_VALUE"""),"LECHAT RPT SARL HELIOS Hubert")</f>
        <v>LECHAT RPT SARL HELIOS Hubert</v>
      </c>
      <c r="I871" t="str">
        <f ca="1">IFERROR(__xludf.DUMMYFUNCTION("""COMPUTED_VALUE"""),"hubert.lechat@systeme-u.fr")</f>
        <v>hubert.lechat@systeme-u.fr</v>
      </c>
      <c r="J871" t="str">
        <f ca="1">IFERROR(__xludf.DUMMYFUNCTION("""COMPUTED_VALUE"""),"Mme. MENARD")</f>
        <v>Mme. MENARD</v>
      </c>
      <c r="K871" t="str">
        <f ca="1">IFERROR(__xludf.DUMMYFUNCTION("""COMPUTED_VALUE"""),"superu.evron.compta3@systeme-u.fr")</f>
        <v>superu.evron.compta3@systeme-u.fr</v>
      </c>
      <c r="L871" t="str">
        <f ca="1">IFERROR(__xludf.DUMMYFUNCTION("""COMPUTED_VALUE"""),"")</f>
        <v/>
      </c>
      <c r="M871" t="str">
        <f ca="1">IFERROR(__xludf.DUMMYFUNCTION("""COMPUTED_VALUE"""),"99.Hors Périmetre")</f>
        <v>99.Hors Périmetre</v>
      </c>
      <c r="N871" t="str">
        <f ca="1">IFERROR(__xludf.DUMMYFUNCTION("""COMPUTED_VALUE"""),"")</f>
        <v/>
      </c>
      <c r="O871" t="str">
        <f ca="1">IFERROR(__xludf.DUMMYFUNCTION("""COMPUTED_VALUE"""),"")</f>
        <v/>
      </c>
      <c r="P871" t="str">
        <f ca="1">IFERROR(__xludf.DUMMYFUNCTION("""COMPUTED_VALUE"""),"")</f>
        <v/>
      </c>
      <c r="Q871" s="5" t="str">
        <f ca="1">IFERROR(__xludf.DUMMYFUNCTION("""COMPUTED_VALUE"""),"")</f>
        <v/>
      </c>
      <c r="R871" s="6" t="str">
        <f ca="1">IFERROR(__xludf.DUMMYFUNCTION("""COMPUTED_VALUE"""),"")</f>
        <v/>
      </c>
      <c r="S871" t="str">
        <f ca="1">IFERROR(__xludf.DUMMYFUNCTION("""COMPUTED_VALUE"""),"")</f>
        <v/>
      </c>
      <c r="T871" t="str">
        <f ca="1">IFERROR(__xludf.DUMMYFUNCTION("""COMPUTED_VALUE"""),"")</f>
        <v/>
      </c>
      <c r="U871" t="str">
        <f ca="1">IFERROR(__xludf.DUMMYFUNCTION("""COMPUTED_VALUE"""),"")</f>
        <v/>
      </c>
      <c r="V871" t="str">
        <f ca="1">IFERROR(__xludf.DUMMYFUNCTION("""COMPUTED_VALUE"""),"")</f>
        <v/>
      </c>
      <c r="W871" t="str">
        <f ca="1">IFERROR(__xludf.DUMMYFUNCTION("""COMPUTED_VALUE"""),"")</f>
        <v/>
      </c>
      <c r="X871" t="str">
        <f ca="1">IFERROR(__xludf.DUMMYFUNCTION("""COMPUTED_VALUE"""),"")</f>
        <v/>
      </c>
      <c r="Y871" t="str">
        <f ca="1">IFERROR(__xludf.DUMMYFUNCTION("""COMPUTED_VALUE"""),"")</f>
        <v/>
      </c>
      <c r="Z871" t="str">
        <f ca="1">IFERROR(__xludf.DUMMYFUNCTION("""COMPUTED_VALUE"""),"")</f>
        <v/>
      </c>
      <c r="AA871" t="str">
        <f ca="1">IFERROR(__xludf.DUMMYFUNCTION("""COMPUTED_VALUE"""),"Pas de commande")</f>
        <v>Pas de commande</v>
      </c>
      <c r="AB871" s="8" t="str">
        <f ca="1">IFERROR(__xludf.DUMMYFUNCTION("""COMPUTED_VALUE"""),"")</f>
        <v/>
      </c>
      <c r="AC871" s="8" t="str">
        <f ca="1">IFERROR(__xludf.DUMMYFUNCTION("""COMPUTED_VALUE"""),"")</f>
        <v/>
      </c>
      <c r="AD871" s="11" t="str">
        <f ca="1">IFERROR(__xludf.DUMMYFUNCTION("""COMPUTED_VALUE"""),"")</f>
        <v/>
      </c>
      <c r="AE871" t="str">
        <f ca="1">IFERROR(__xludf.DUMMYFUNCTION("""COMPUTED_VALUE"""),"")</f>
        <v/>
      </c>
    </row>
    <row r="872" spans="1:31" ht="12.75" x14ac:dyDescent="0.2">
      <c r="A872">
        <f ca="1">IFERROR(__xludf.DUMMYFUNCTION("""COMPUTED_VALUE"""),90548)</f>
        <v>90548</v>
      </c>
      <c r="B872" t="str">
        <f ca="1">IFERROR(__xludf.DUMMYFUNCTION("""COMPUTED_VALUE"""),"SAGONE")</f>
        <v>SAGONE</v>
      </c>
      <c r="C872" t="str">
        <f ca="1">IFERROR(__xludf.DUMMYFUNCTION("""COMPUTED_VALUE"""),"Super U")</f>
        <v>Super U</v>
      </c>
      <c r="D872" t="str">
        <f ca="1">IFERROR(__xludf.DUMMYFUNCTION("""COMPUTED_VALUE"""),"Coop U Enseigne Sud")</f>
        <v>Coop U Enseigne Sud</v>
      </c>
      <c r="E872">
        <f ca="1">IFERROR(__xludf.DUMMYFUNCTION("""COMPUTED_VALUE"""),20118)</f>
        <v>20118</v>
      </c>
      <c r="F872" t="str">
        <f ca="1">IFERROR(__xludf.DUMMYFUNCTION("""COMPUTED_VALUE"""),"SUPER U SAGONE")</f>
        <v>SUPER U SAGONE</v>
      </c>
      <c r="G872" t="str">
        <f ca="1">IFERROR(__xludf.DUMMYFUNCTION("""COMPUTED_VALUE"""),"04.95.28.09.67")</f>
        <v>04.95.28.09.67</v>
      </c>
      <c r="H872" t="str">
        <f ca="1">IFERROR(__xludf.DUMMYFUNCTION("""COMPUTED_VALUE"""),"CASCIO Eric")</f>
        <v>CASCIO Eric</v>
      </c>
      <c r="I872" t="str">
        <f ca="1">IFERROR(__xludf.DUMMYFUNCTION("""COMPUTED_VALUE"""),"eric.cascio@systeme-u.fr")</f>
        <v>eric.cascio@systeme-u.fr</v>
      </c>
      <c r="J872" t="str">
        <f ca="1">IFERROR(__xludf.DUMMYFUNCTION("""COMPUTED_VALUE"""),"Mme CASCIO / Mlle ABRAHAM")</f>
        <v>Mme CASCIO / Mlle ABRAHAM</v>
      </c>
      <c r="K872" t="str">
        <f ca="1">IFERROR(__xludf.DUMMYFUNCTION("""COMPUTED_VALUE"""),"sabine.cascio@systeme-u.fr")</f>
        <v>sabine.cascio@systeme-u.fr</v>
      </c>
      <c r="L872" t="str">
        <f ca="1">IFERROR(__xludf.DUMMYFUNCTION("""COMPUTED_VALUE"""),"")</f>
        <v/>
      </c>
      <c r="M872" t="str">
        <f ca="1">IFERROR(__xludf.DUMMYFUNCTION("""COMPUTED_VALUE"""),"99.Hors Périmetre")</f>
        <v>99.Hors Périmetre</v>
      </c>
      <c r="N872" t="str">
        <f ca="1">IFERROR(__xludf.DUMMYFUNCTION("""COMPUTED_VALUE"""),"")</f>
        <v/>
      </c>
      <c r="O872" t="str">
        <f ca="1">IFERROR(__xludf.DUMMYFUNCTION("""COMPUTED_VALUE"""),"")</f>
        <v/>
      </c>
      <c r="P872" t="str">
        <f ca="1">IFERROR(__xludf.DUMMYFUNCTION("""COMPUTED_VALUE"""),"")</f>
        <v/>
      </c>
      <c r="Q872" s="5" t="str">
        <f ca="1">IFERROR(__xludf.DUMMYFUNCTION("""COMPUTED_VALUE"""),"")</f>
        <v/>
      </c>
      <c r="R872" s="6" t="str">
        <f ca="1">IFERROR(__xludf.DUMMYFUNCTION("""COMPUTED_VALUE"""),"")</f>
        <v/>
      </c>
      <c r="S872" t="str">
        <f ca="1">IFERROR(__xludf.DUMMYFUNCTION("""COMPUTED_VALUE"""),"")</f>
        <v/>
      </c>
      <c r="T872" t="str">
        <f ca="1">IFERROR(__xludf.DUMMYFUNCTION("""COMPUTED_VALUE"""),"")</f>
        <v/>
      </c>
      <c r="U872" t="str">
        <f ca="1">IFERROR(__xludf.DUMMYFUNCTION("""COMPUTED_VALUE"""),"")</f>
        <v/>
      </c>
      <c r="V872" t="str">
        <f ca="1">IFERROR(__xludf.DUMMYFUNCTION("""COMPUTED_VALUE"""),"")</f>
        <v/>
      </c>
      <c r="W872" t="str">
        <f ca="1">IFERROR(__xludf.DUMMYFUNCTION("""COMPUTED_VALUE"""),"")</f>
        <v/>
      </c>
      <c r="X872" t="str">
        <f ca="1">IFERROR(__xludf.DUMMYFUNCTION("""COMPUTED_VALUE"""),"")</f>
        <v/>
      </c>
      <c r="Y872" t="str">
        <f ca="1">IFERROR(__xludf.DUMMYFUNCTION("""COMPUTED_VALUE"""),"")</f>
        <v/>
      </c>
      <c r="Z872" t="str">
        <f ca="1">IFERROR(__xludf.DUMMYFUNCTION("""COMPUTED_VALUE"""),"")</f>
        <v/>
      </c>
      <c r="AA872" t="str">
        <f ca="1">IFERROR(__xludf.DUMMYFUNCTION("""COMPUTED_VALUE"""),"Pas de commande")</f>
        <v>Pas de commande</v>
      </c>
      <c r="AB872" s="8" t="str">
        <f ca="1">IFERROR(__xludf.DUMMYFUNCTION("""COMPUTED_VALUE"""),"")</f>
        <v/>
      </c>
      <c r="AC872" s="8" t="str">
        <f ca="1">IFERROR(__xludf.DUMMYFUNCTION("""COMPUTED_VALUE"""),"")</f>
        <v/>
      </c>
      <c r="AD872" s="11" t="str">
        <f ca="1">IFERROR(__xludf.DUMMYFUNCTION("""COMPUTED_VALUE"""),"")</f>
        <v/>
      </c>
      <c r="AE872" t="str">
        <f ca="1">IFERROR(__xludf.DUMMYFUNCTION("""COMPUTED_VALUE"""),"")</f>
        <v/>
      </c>
    </row>
    <row r="873" spans="1:31" ht="12.75" x14ac:dyDescent="0.2">
      <c r="A873">
        <f ca="1">IFERROR(__xludf.DUMMYFUNCTION("""COMPUTED_VALUE"""),90552)</f>
        <v>90552</v>
      </c>
      <c r="B873" t="str">
        <f ca="1">IFERROR(__xludf.DUMMYFUNCTION("""COMPUTED_VALUE"""),"ST AFFRIQUE CAVALIER")</f>
        <v>ST AFFRIQUE CAVALIER</v>
      </c>
      <c r="C873" t="str">
        <f ca="1">IFERROR(__xludf.DUMMYFUNCTION("""COMPUTED_VALUE"""),"Super U")</f>
        <v>Super U</v>
      </c>
      <c r="D873" t="str">
        <f ca="1">IFERROR(__xludf.DUMMYFUNCTION("""COMPUTED_VALUE"""),"Coop U Enseigne Sud")</f>
        <v>Coop U Enseigne Sud</v>
      </c>
      <c r="E873">
        <f ca="1">IFERROR(__xludf.DUMMYFUNCTION("""COMPUTED_VALUE"""),12400)</f>
        <v>12400</v>
      </c>
      <c r="F873" t="str">
        <f ca="1">IFERROR(__xludf.DUMMYFUNCTION("""COMPUTED_VALUE"""),"BOULEVARD ERNEST CAVALIER")</f>
        <v>BOULEVARD ERNEST CAVALIER</v>
      </c>
      <c r="G873" t="str">
        <f ca="1">IFERROR(__xludf.DUMMYFUNCTION("""COMPUTED_VALUE"""),"05.65.99.20.54")</f>
        <v>05.65.99.20.54</v>
      </c>
      <c r="H873" t="str">
        <f ca="1">IFERROR(__xludf.DUMMYFUNCTION("""COMPUTED_VALUE"""),"MOULIN Xavier")</f>
        <v>MOULIN Xavier</v>
      </c>
      <c r="I873" t="str">
        <f ca="1">IFERROR(__xludf.DUMMYFUNCTION("""COMPUTED_VALUE"""),"xavier.moulin@systeme-u.fr")</f>
        <v>xavier.moulin@systeme-u.fr</v>
      </c>
      <c r="J873" t="str">
        <f ca="1">IFERROR(__xludf.DUMMYFUNCTION("""COMPUTED_VALUE"""),"")</f>
        <v/>
      </c>
      <c r="K873" t="str">
        <f ca="1">IFERROR(__xludf.DUMMYFUNCTION("""COMPUTED_VALUE"""),"hugo.monteils@systeme-u.fr, superu.saintaffrique.compta@systeme-u.fr")</f>
        <v>hugo.monteils@systeme-u.fr, superu.saintaffrique.compta@systeme-u.fr</v>
      </c>
      <c r="L873" t="str">
        <f ca="1">IFERROR(__xludf.DUMMYFUNCTION("""COMPUTED_VALUE"""),"")</f>
        <v/>
      </c>
      <c r="M873" t="str">
        <f ca="1">IFERROR(__xludf.DUMMYFUNCTION("""COMPUTED_VALUE"""),"99.Hors Périmetre")</f>
        <v>99.Hors Périmetre</v>
      </c>
      <c r="N873" t="str">
        <f ca="1">IFERROR(__xludf.DUMMYFUNCTION("""COMPUTED_VALUE"""),"")</f>
        <v/>
      </c>
      <c r="O873" t="str">
        <f ca="1">IFERROR(__xludf.DUMMYFUNCTION("""COMPUTED_VALUE"""),"")</f>
        <v/>
      </c>
      <c r="P873" t="str">
        <f ca="1">IFERROR(__xludf.DUMMYFUNCTION("""COMPUTED_VALUE"""),"")</f>
        <v/>
      </c>
      <c r="Q873" s="5" t="str">
        <f ca="1">IFERROR(__xludf.DUMMYFUNCTION("""COMPUTED_VALUE"""),"")</f>
        <v/>
      </c>
      <c r="R873" s="6" t="str">
        <f ca="1">IFERROR(__xludf.DUMMYFUNCTION("""COMPUTED_VALUE"""),"")</f>
        <v/>
      </c>
      <c r="S873" t="str">
        <f ca="1">IFERROR(__xludf.DUMMYFUNCTION("""COMPUTED_VALUE"""),"")</f>
        <v/>
      </c>
      <c r="T873" t="str">
        <f ca="1">IFERROR(__xludf.DUMMYFUNCTION("""COMPUTED_VALUE"""),"")</f>
        <v/>
      </c>
      <c r="U873" t="str">
        <f ca="1">IFERROR(__xludf.DUMMYFUNCTION("""COMPUTED_VALUE"""),"")</f>
        <v/>
      </c>
      <c r="V873" t="str">
        <f ca="1">IFERROR(__xludf.DUMMYFUNCTION("""COMPUTED_VALUE"""),"")</f>
        <v/>
      </c>
      <c r="W873" t="str">
        <f ca="1">IFERROR(__xludf.DUMMYFUNCTION("""COMPUTED_VALUE"""),"")</f>
        <v/>
      </c>
      <c r="X873" t="str">
        <f ca="1">IFERROR(__xludf.DUMMYFUNCTION("""COMPUTED_VALUE"""),"")</f>
        <v/>
      </c>
      <c r="Y873" t="str">
        <f ca="1">IFERROR(__xludf.DUMMYFUNCTION("""COMPUTED_VALUE"""),"")</f>
        <v/>
      </c>
      <c r="Z873" t="str">
        <f ca="1">IFERROR(__xludf.DUMMYFUNCTION("""COMPUTED_VALUE"""),"")</f>
        <v/>
      </c>
      <c r="AA873" t="str">
        <f ca="1">IFERROR(__xludf.DUMMYFUNCTION("""COMPUTED_VALUE"""),"Pas de commande")</f>
        <v>Pas de commande</v>
      </c>
      <c r="AB873" s="8" t="str">
        <f ca="1">IFERROR(__xludf.DUMMYFUNCTION("""COMPUTED_VALUE"""),"")</f>
        <v/>
      </c>
      <c r="AC873" s="8" t="str">
        <f ca="1">IFERROR(__xludf.DUMMYFUNCTION("""COMPUTED_VALUE"""),"")</f>
        <v/>
      </c>
      <c r="AD873" s="11" t="str">
        <f ca="1">IFERROR(__xludf.DUMMYFUNCTION("""COMPUTED_VALUE"""),"")</f>
        <v/>
      </c>
      <c r="AE873" t="str">
        <f ca="1">IFERROR(__xludf.DUMMYFUNCTION("""COMPUTED_VALUE"""),"")</f>
        <v/>
      </c>
    </row>
    <row r="874" spans="1:31" ht="12.75" x14ac:dyDescent="0.2">
      <c r="A874">
        <f ca="1">IFERROR(__xludf.DUMMYFUNCTION("""COMPUTED_VALUE"""),30965)</f>
        <v>30965</v>
      </c>
      <c r="B874" t="str">
        <f ca="1">IFERROR(__xludf.DUMMYFUNCTION("""COMPUTED_VALUE"""),"SAINT AVE")</f>
        <v>SAINT AVE</v>
      </c>
      <c r="C874" t="str">
        <f ca="1">IFERROR(__xludf.DUMMYFUNCTION("""COMPUTED_VALUE"""),"Hyper U")</f>
        <v>Hyper U</v>
      </c>
      <c r="D874" t="str">
        <f ca="1">IFERROR(__xludf.DUMMYFUNCTION("""COMPUTED_VALUE"""),"Coop U Enseigne Ouest")</f>
        <v>Coop U Enseigne Ouest</v>
      </c>
      <c r="E874">
        <f ca="1">IFERROR(__xludf.DUMMYFUNCTION("""COMPUTED_VALUE"""),56890)</f>
        <v>56890</v>
      </c>
      <c r="F874" t="str">
        <f ca="1">IFERROR(__xludf.DUMMYFUNCTION("""COMPUTED_VALUE"""),"ROUTE DE PONTIVY")</f>
        <v>ROUTE DE PONTIVY</v>
      </c>
      <c r="G874" t="str">
        <f ca="1">IFERROR(__xludf.DUMMYFUNCTION("""COMPUTED_VALUE"""),"02.97.47.61.62")</f>
        <v>02.97.47.61.62</v>
      </c>
      <c r="H874" t="str">
        <f ca="1">IFERROR(__xludf.DUMMYFUNCTION("""COMPUTED_VALUE"""),"ONNEE Julien")</f>
        <v>ONNEE Julien</v>
      </c>
      <c r="I874" t="str">
        <f ca="1">IFERROR(__xludf.DUMMYFUNCTION("""COMPUTED_VALUE"""),"julien.onnee@systeme-u.fr")</f>
        <v>julien.onnee@systeme-u.fr</v>
      </c>
      <c r="J874" t="str">
        <f ca="1">IFERROR(__xludf.DUMMYFUNCTION("""COMPUTED_VALUE"""),"LEGAC Françoise")</f>
        <v>LEGAC Françoise</v>
      </c>
      <c r="K874" t="str">
        <f ca="1">IFERROR(__xludf.DUMMYFUNCTION("""COMPUTED_VALUE"""),"hyperu.saintave.informatique@systeme-u.fr")</f>
        <v>hyperu.saintave.informatique@systeme-u.fr</v>
      </c>
      <c r="L874" t="str">
        <f ca="1">IFERROR(__xludf.DUMMYFUNCTION("""COMPUTED_VALUE"""),"")</f>
        <v/>
      </c>
      <c r="M874" t="str">
        <f ca="1">IFERROR(__xludf.DUMMYFUNCTION("""COMPUTED_VALUE"""),"99.Hors Périmetre")</f>
        <v>99.Hors Périmetre</v>
      </c>
      <c r="N874" t="str">
        <f ca="1">IFERROR(__xludf.DUMMYFUNCTION("""COMPUTED_VALUE"""),"")</f>
        <v/>
      </c>
      <c r="O874" t="str">
        <f ca="1">IFERROR(__xludf.DUMMYFUNCTION("""COMPUTED_VALUE"""),"")</f>
        <v/>
      </c>
      <c r="P874" t="str">
        <f ca="1">IFERROR(__xludf.DUMMYFUNCTION("""COMPUTED_VALUE"""),"")</f>
        <v/>
      </c>
      <c r="Q874" s="5" t="str">
        <f ca="1">IFERROR(__xludf.DUMMYFUNCTION("""COMPUTED_VALUE"""),"")</f>
        <v/>
      </c>
      <c r="R874" s="6" t="str">
        <f ca="1">IFERROR(__xludf.DUMMYFUNCTION("""COMPUTED_VALUE"""),"")</f>
        <v/>
      </c>
      <c r="S874" t="str">
        <f ca="1">IFERROR(__xludf.DUMMYFUNCTION("""COMPUTED_VALUE"""),"")</f>
        <v/>
      </c>
      <c r="T874" t="str">
        <f ca="1">IFERROR(__xludf.DUMMYFUNCTION("""COMPUTED_VALUE"""),"")</f>
        <v/>
      </c>
      <c r="U874" t="str">
        <f ca="1">IFERROR(__xludf.DUMMYFUNCTION("""COMPUTED_VALUE"""),"")</f>
        <v/>
      </c>
      <c r="V874" t="str">
        <f ca="1">IFERROR(__xludf.DUMMYFUNCTION("""COMPUTED_VALUE"""),"")</f>
        <v/>
      </c>
      <c r="W874" t="str">
        <f ca="1">IFERROR(__xludf.DUMMYFUNCTION("""COMPUTED_VALUE"""),"")</f>
        <v/>
      </c>
      <c r="X874" t="str">
        <f ca="1">IFERROR(__xludf.DUMMYFUNCTION("""COMPUTED_VALUE"""),"")</f>
        <v/>
      </c>
      <c r="Y874" t="str">
        <f ca="1">IFERROR(__xludf.DUMMYFUNCTION("""COMPUTED_VALUE"""),"")</f>
        <v/>
      </c>
      <c r="Z874" t="str">
        <f ca="1">IFERROR(__xludf.DUMMYFUNCTION("""COMPUTED_VALUE"""),"")</f>
        <v/>
      </c>
      <c r="AA874" t="str">
        <f ca="1">IFERROR(__xludf.DUMMYFUNCTION("""COMPUTED_VALUE"""),"Pas de commande")</f>
        <v>Pas de commande</v>
      </c>
      <c r="AB874" s="8" t="str">
        <f ca="1">IFERROR(__xludf.DUMMYFUNCTION("""COMPUTED_VALUE"""),"")</f>
        <v/>
      </c>
      <c r="AC874" s="8" t="str">
        <f ca="1">IFERROR(__xludf.DUMMYFUNCTION("""COMPUTED_VALUE"""),"")</f>
        <v/>
      </c>
      <c r="AD874" s="11" t="str">
        <f ca="1">IFERROR(__xludf.DUMMYFUNCTION("""COMPUTED_VALUE"""),"")</f>
        <v/>
      </c>
      <c r="AE874" t="str">
        <f ca="1">IFERROR(__xludf.DUMMYFUNCTION("""COMPUTED_VALUE"""),"")</f>
        <v/>
      </c>
    </row>
    <row r="875" spans="1:31" ht="12.75" x14ac:dyDescent="0.2">
      <c r="A875">
        <f ca="1">IFERROR(__xludf.DUMMYFUNCTION("""COMPUTED_VALUE"""),91143)</f>
        <v>91143</v>
      </c>
      <c r="B875" t="str">
        <f ca="1">IFERROR(__xludf.DUMMYFUNCTION("""COMPUTED_VALUE"""),"SAINT AYGULF")</f>
        <v>SAINT AYGULF</v>
      </c>
      <c r="C875" t="str">
        <f ca="1">IFERROR(__xludf.DUMMYFUNCTION("""COMPUTED_VALUE"""),"U Express")</f>
        <v>U Express</v>
      </c>
      <c r="D875" t="str">
        <f ca="1">IFERROR(__xludf.DUMMYFUNCTION("""COMPUTED_VALUE"""),"Coop MISTRAL")</f>
        <v>Coop MISTRAL</v>
      </c>
      <c r="E875">
        <f ca="1">IFERROR(__xludf.DUMMYFUNCTION("""COMPUTED_VALUE"""),83370)</f>
        <v>83370</v>
      </c>
      <c r="F875" t="str">
        <f ca="1">IFERROR(__xludf.DUMMYFUNCTION("""COMPUTED_VALUE"""),"1113 AVENUE DE LA CORNICHE D'AZUR")</f>
        <v>1113 AVENUE DE LA CORNICHE D'AZUR</v>
      </c>
      <c r="G875" t="str">
        <f ca="1">IFERROR(__xludf.DUMMYFUNCTION("""COMPUTED_VALUE"""),"04.94.81.01.42")</f>
        <v>04.94.81.01.42</v>
      </c>
      <c r="H875" t="str">
        <f ca="1">IFERROR(__xludf.DUMMYFUNCTION("""COMPUTED_VALUE"""),"ESCLAPEZ Pascal &amp; Catherine")</f>
        <v>ESCLAPEZ Pascal &amp; Catherine</v>
      </c>
      <c r="I875" t="str">
        <f ca="1">IFERROR(__xludf.DUMMYFUNCTION("""COMPUTED_VALUE"""),"")</f>
        <v/>
      </c>
      <c r="J875" t="str">
        <f ca="1">IFERROR(__xludf.DUMMYFUNCTION("""COMPUTED_VALUE"""),"Genaivre Florent")</f>
        <v>Genaivre Florent</v>
      </c>
      <c r="K875" t="str">
        <f ca="1">IFERROR(__xludf.DUMMYFUNCTION("""COMPUTED_VALUE"""),"delphine.damian@lemistral.fr,helene.mina@lemistral.fr")</f>
        <v>delphine.damian@lemistral.fr,helene.mina@lemistral.fr</v>
      </c>
      <c r="L875" t="str">
        <f ca="1">IFERROR(__xludf.DUMMYFUNCTION("""COMPUTED_VALUE"""),"")</f>
        <v/>
      </c>
      <c r="M875" t="str">
        <f ca="1">IFERROR(__xludf.DUMMYFUNCTION("""COMPUTED_VALUE"""),"99.Hors Périmetre")</f>
        <v>99.Hors Périmetre</v>
      </c>
      <c r="N875" t="str">
        <f ca="1">IFERROR(__xludf.DUMMYFUNCTION("""COMPUTED_VALUE"""),"")</f>
        <v/>
      </c>
      <c r="O875" t="str">
        <f ca="1">IFERROR(__xludf.DUMMYFUNCTION("""COMPUTED_VALUE"""),"")</f>
        <v/>
      </c>
      <c r="P875" t="str">
        <f ca="1">IFERROR(__xludf.DUMMYFUNCTION("""COMPUTED_VALUE"""),"")</f>
        <v/>
      </c>
      <c r="Q875" s="5" t="str">
        <f ca="1">IFERROR(__xludf.DUMMYFUNCTION("""COMPUTED_VALUE"""),"")</f>
        <v/>
      </c>
      <c r="R875" s="6" t="str">
        <f ca="1">IFERROR(__xludf.DUMMYFUNCTION("""COMPUTED_VALUE"""),"")</f>
        <v/>
      </c>
      <c r="S875" t="str">
        <f ca="1">IFERROR(__xludf.DUMMYFUNCTION("""COMPUTED_VALUE"""),"")</f>
        <v/>
      </c>
      <c r="T875" t="str">
        <f ca="1">IFERROR(__xludf.DUMMYFUNCTION("""COMPUTED_VALUE"""),"")</f>
        <v/>
      </c>
      <c r="U875" t="str">
        <f ca="1">IFERROR(__xludf.DUMMYFUNCTION("""COMPUTED_VALUE"""),"")</f>
        <v/>
      </c>
      <c r="V875" t="str">
        <f ca="1">IFERROR(__xludf.DUMMYFUNCTION("""COMPUTED_VALUE"""),"")</f>
        <v/>
      </c>
      <c r="W875" t="str">
        <f ca="1">IFERROR(__xludf.DUMMYFUNCTION("""COMPUTED_VALUE"""),"")</f>
        <v/>
      </c>
      <c r="X875" t="str">
        <f ca="1">IFERROR(__xludf.DUMMYFUNCTION("""COMPUTED_VALUE"""),"")</f>
        <v/>
      </c>
      <c r="Y875" t="str">
        <f ca="1">IFERROR(__xludf.DUMMYFUNCTION("""COMPUTED_VALUE"""),"")</f>
        <v/>
      </c>
      <c r="Z875" t="str">
        <f ca="1">IFERROR(__xludf.DUMMYFUNCTION("""COMPUTED_VALUE"""),"")</f>
        <v/>
      </c>
      <c r="AA875" t="str">
        <f ca="1">IFERROR(__xludf.DUMMYFUNCTION("""COMPUTED_VALUE"""),"Pas de commande")</f>
        <v>Pas de commande</v>
      </c>
      <c r="AB875" s="8" t="str">
        <f ca="1">IFERROR(__xludf.DUMMYFUNCTION("""COMPUTED_VALUE"""),"")</f>
        <v/>
      </c>
      <c r="AC875" s="8" t="str">
        <f ca="1">IFERROR(__xludf.DUMMYFUNCTION("""COMPUTED_VALUE"""),"")</f>
        <v/>
      </c>
      <c r="AD875" s="11" t="str">
        <f ca="1">IFERROR(__xludf.DUMMYFUNCTION("""COMPUTED_VALUE"""),"")</f>
        <v/>
      </c>
      <c r="AE875" t="str">
        <f ca="1">IFERROR(__xludf.DUMMYFUNCTION("""COMPUTED_VALUE"""),"")</f>
        <v/>
      </c>
    </row>
    <row r="876" spans="1:31" ht="12.75" x14ac:dyDescent="0.2">
      <c r="A876">
        <f ca="1">IFERROR(__xludf.DUMMYFUNCTION("""COMPUTED_VALUE"""),66217)</f>
        <v>66217</v>
      </c>
      <c r="B876" t="str">
        <f ca="1">IFERROR(__xludf.DUMMYFUNCTION("""COMPUTED_VALUE"""),"SAINT DIDIER SUR CHALARONN")</f>
        <v>SAINT DIDIER SUR CHALARONN</v>
      </c>
      <c r="C876" t="str">
        <f ca="1">IFERROR(__xludf.DUMMYFUNCTION("""COMPUTED_VALUE"""),"U Express")</f>
        <v>U Express</v>
      </c>
      <c r="D876" t="str">
        <f ca="1">IFERROR(__xludf.DUMMYFUNCTION("""COMPUTED_VALUE"""),"Coop U Enseigne Est")</f>
        <v>Coop U Enseigne Est</v>
      </c>
      <c r="E876">
        <f ca="1">IFERROR(__xludf.DUMMYFUNCTION("""COMPUTED_VALUE"""),1140)</f>
        <v>1140</v>
      </c>
      <c r="F876" t="str">
        <f ca="1">IFERROR(__xludf.DUMMYFUNCTION("""COMPUTED_VALUE"""),"AVENUE DE LA LIBERATION")</f>
        <v>AVENUE DE LA LIBERATION</v>
      </c>
      <c r="G876" t="str">
        <f ca="1">IFERROR(__xludf.DUMMYFUNCTION("""COMPUTED_VALUE"""),"04.74.69.70.12")</f>
        <v>04.74.69.70.12</v>
      </c>
      <c r="H876" t="str">
        <f ca="1">IFERROR(__xludf.DUMMYFUNCTION("""COMPUTED_VALUE"""),"ROBERT Stéphane")</f>
        <v>ROBERT Stéphane</v>
      </c>
      <c r="I876" t="str">
        <f ca="1">IFERROR(__xludf.DUMMYFUNCTION("""COMPUTED_VALUE"""),"")</f>
        <v/>
      </c>
      <c r="J876" t="str">
        <f ca="1">IFERROR(__xludf.DUMMYFUNCTION("""COMPUTED_VALUE"""),"")</f>
        <v/>
      </c>
      <c r="K876" t="str">
        <f ca="1">IFERROR(__xludf.DUMMYFUNCTION("""COMPUTED_VALUE"""),"")</f>
        <v/>
      </c>
      <c r="L876" t="str">
        <f ca="1">IFERROR(__xludf.DUMMYFUNCTION("""COMPUTED_VALUE"""),"")</f>
        <v/>
      </c>
      <c r="M876" t="str">
        <f ca="1">IFERROR(__xludf.DUMMYFUNCTION("""COMPUTED_VALUE"""),"99.Hors Périmetre")</f>
        <v>99.Hors Périmetre</v>
      </c>
      <c r="N876" t="str">
        <f ca="1">IFERROR(__xludf.DUMMYFUNCTION("""COMPUTED_VALUE"""),"")</f>
        <v/>
      </c>
      <c r="O876" t="str">
        <f ca="1">IFERROR(__xludf.DUMMYFUNCTION("""COMPUTED_VALUE"""),"")</f>
        <v/>
      </c>
      <c r="P876" t="str">
        <f ca="1">IFERROR(__xludf.DUMMYFUNCTION("""COMPUTED_VALUE"""),"")</f>
        <v/>
      </c>
      <c r="Q876" s="5" t="str">
        <f ca="1">IFERROR(__xludf.DUMMYFUNCTION("""COMPUTED_VALUE"""),"")</f>
        <v/>
      </c>
      <c r="R876" s="6" t="str">
        <f ca="1">IFERROR(__xludf.DUMMYFUNCTION("""COMPUTED_VALUE"""),"")</f>
        <v/>
      </c>
      <c r="S876" t="str">
        <f ca="1">IFERROR(__xludf.DUMMYFUNCTION("""COMPUTED_VALUE"""),"")</f>
        <v/>
      </c>
      <c r="T876" t="str">
        <f ca="1">IFERROR(__xludf.DUMMYFUNCTION("""COMPUTED_VALUE"""),"")</f>
        <v/>
      </c>
      <c r="U876" t="str">
        <f ca="1">IFERROR(__xludf.DUMMYFUNCTION("""COMPUTED_VALUE"""),"")</f>
        <v/>
      </c>
      <c r="V876" t="str">
        <f ca="1">IFERROR(__xludf.DUMMYFUNCTION("""COMPUTED_VALUE"""),"")</f>
        <v/>
      </c>
      <c r="W876" t="str">
        <f ca="1">IFERROR(__xludf.DUMMYFUNCTION("""COMPUTED_VALUE"""),"")</f>
        <v/>
      </c>
      <c r="X876" t="str">
        <f ca="1">IFERROR(__xludf.DUMMYFUNCTION("""COMPUTED_VALUE"""),"")</f>
        <v/>
      </c>
      <c r="Y876" t="str">
        <f ca="1">IFERROR(__xludf.DUMMYFUNCTION("""COMPUTED_VALUE"""),"")</f>
        <v/>
      </c>
      <c r="Z876" t="str">
        <f ca="1">IFERROR(__xludf.DUMMYFUNCTION("""COMPUTED_VALUE"""),"")</f>
        <v/>
      </c>
      <c r="AA876" t="str">
        <f ca="1">IFERROR(__xludf.DUMMYFUNCTION("""COMPUTED_VALUE"""),"Pas de commande")</f>
        <v>Pas de commande</v>
      </c>
      <c r="AB876" s="8" t="str">
        <f ca="1">IFERROR(__xludf.DUMMYFUNCTION("""COMPUTED_VALUE"""),"")</f>
        <v/>
      </c>
      <c r="AC876" s="8" t="str">
        <f ca="1">IFERROR(__xludf.DUMMYFUNCTION("""COMPUTED_VALUE"""),"")</f>
        <v/>
      </c>
      <c r="AD876" s="11" t="str">
        <f ca="1">IFERROR(__xludf.DUMMYFUNCTION("""COMPUTED_VALUE"""),"")</f>
        <v/>
      </c>
      <c r="AE876" t="str">
        <f ca="1">IFERROR(__xludf.DUMMYFUNCTION("""COMPUTED_VALUE"""),"")</f>
        <v/>
      </c>
    </row>
    <row r="877" spans="1:31" ht="12.75" x14ac:dyDescent="0.2">
      <c r="A877">
        <f ca="1">IFERROR(__xludf.DUMMYFUNCTION("""COMPUTED_VALUE"""),68539)</f>
        <v>68539</v>
      </c>
      <c r="B877" t="str">
        <f ca="1">IFERROR(__xludf.DUMMYFUNCTION("""COMPUTED_VALUE"""),"SAINT GERMAIN")</f>
        <v>SAINT GERMAIN</v>
      </c>
      <c r="C877" t="str">
        <f ca="1">IFERROR(__xludf.DUMMYFUNCTION("""COMPUTED_VALUE"""),"Super U")</f>
        <v>Super U</v>
      </c>
      <c r="D877" t="str">
        <f ca="1">IFERROR(__xludf.DUMMYFUNCTION("""COMPUTED_VALUE"""),"Coop U Enseigne Est")</f>
        <v>Coop U Enseigne Est</v>
      </c>
      <c r="E877">
        <f ca="1">IFERROR(__xludf.DUMMYFUNCTION("""COMPUTED_VALUE"""),10120)</f>
        <v>10120</v>
      </c>
      <c r="F877" t="str">
        <f ca="1">IFERROR(__xludf.DUMMYFUNCTION("""COMPUTED_VALUE"""),"150 ROUTE DE TROYES")</f>
        <v>150 ROUTE DE TROYES</v>
      </c>
      <c r="G877" t="str">
        <f ca="1">IFERROR(__xludf.DUMMYFUNCTION("""COMPUTED_VALUE"""),"03.25.75.93.30")</f>
        <v>03.25.75.93.30</v>
      </c>
      <c r="H877" t="str">
        <f ca="1">IFERROR(__xludf.DUMMYFUNCTION("""COMPUTED_VALUE"""),"GODARD Jérôme")</f>
        <v>GODARD Jérôme</v>
      </c>
      <c r="I877" t="str">
        <f ca="1">IFERROR(__xludf.DUMMYFUNCTION("""COMPUTED_VALUE"""),"jerome.godard@systeme-u.fr")</f>
        <v>jerome.godard@systeme-u.fr</v>
      </c>
      <c r="J877" t="str">
        <f ca="1">IFERROR(__xludf.DUMMYFUNCTION("""COMPUTED_VALUE"""),"")</f>
        <v/>
      </c>
      <c r="K877" t="str">
        <f ca="1">IFERROR(__xludf.DUMMYFUNCTION("""COMPUTED_VALUE"""),"")</f>
        <v/>
      </c>
      <c r="L877" t="str">
        <f ca="1">IFERROR(__xludf.DUMMYFUNCTION("""COMPUTED_VALUE"""),"")</f>
        <v/>
      </c>
      <c r="M877" t="str">
        <f ca="1">IFERROR(__xludf.DUMMYFUNCTION("""COMPUTED_VALUE"""),"99.Hors Périmetre")</f>
        <v>99.Hors Périmetre</v>
      </c>
      <c r="N877" t="str">
        <f ca="1">IFERROR(__xludf.DUMMYFUNCTION("""COMPUTED_VALUE"""),"")</f>
        <v/>
      </c>
      <c r="O877" t="str">
        <f ca="1">IFERROR(__xludf.DUMMYFUNCTION("""COMPUTED_VALUE"""),"")</f>
        <v/>
      </c>
      <c r="P877" t="str">
        <f ca="1">IFERROR(__xludf.DUMMYFUNCTION("""COMPUTED_VALUE"""),"")</f>
        <v/>
      </c>
      <c r="Q877" s="5" t="str">
        <f ca="1">IFERROR(__xludf.DUMMYFUNCTION("""COMPUTED_VALUE"""),"")</f>
        <v/>
      </c>
      <c r="R877" s="6" t="str">
        <f ca="1">IFERROR(__xludf.DUMMYFUNCTION("""COMPUTED_VALUE"""),"")</f>
        <v/>
      </c>
      <c r="S877" t="str">
        <f ca="1">IFERROR(__xludf.DUMMYFUNCTION("""COMPUTED_VALUE"""),"")</f>
        <v/>
      </c>
      <c r="T877" t="str">
        <f ca="1">IFERROR(__xludf.DUMMYFUNCTION("""COMPUTED_VALUE"""),"")</f>
        <v/>
      </c>
      <c r="U877" t="str">
        <f ca="1">IFERROR(__xludf.DUMMYFUNCTION("""COMPUTED_VALUE"""),"")</f>
        <v/>
      </c>
      <c r="V877" t="str">
        <f ca="1">IFERROR(__xludf.DUMMYFUNCTION("""COMPUTED_VALUE"""),"")</f>
        <v/>
      </c>
      <c r="W877" t="str">
        <f ca="1">IFERROR(__xludf.DUMMYFUNCTION("""COMPUTED_VALUE"""),"")</f>
        <v/>
      </c>
      <c r="X877" t="str">
        <f ca="1">IFERROR(__xludf.DUMMYFUNCTION("""COMPUTED_VALUE"""),"")</f>
        <v/>
      </c>
      <c r="Y877" t="str">
        <f ca="1">IFERROR(__xludf.DUMMYFUNCTION("""COMPUTED_VALUE"""),"")</f>
        <v/>
      </c>
      <c r="Z877" t="str">
        <f ca="1">IFERROR(__xludf.DUMMYFUNCTION("""COMPUTED_VALUE"""),"")</f>
        <v/>
      </c>
      <c r="AA877" t="str">
        <f ca="1">IFERROR(__xludf.DUMMYFUNCTION("""COMPUTED_VALUE"""),"Pas de commande")</f>
        <v>Pas de commande</v>
      </c>
      <c r="AB877" s="8" t="str">
        <f ca="1">IFERROR(__xludf.DUMMYFUNCTION("""COMPUTED_VALUE"""),"")</f>
        <v/>
      </c>
      <c r="AC877" s="8" t="str">
        <f ca="1">IFERROR(__xludf.DUMMYFUNCTION("""COMPUTED_VALUE"""),"")</f>
        <v/>
      </c>
      <c r="AD877" s="11" t="str">
        <f ca="1">IFERROR(__xludf.DUMMYFUNCTION("""COMPUTED_VALUE"""),"")</f>
        <v/>
      </c>
      <c r="AE877" t="str">
        <f ca="1">IFERROR(__xludf.DUMMYFUNCTION("""COMPUTED_VALUE"""),"")</f>
        <v/>
      </c>
    </row>
    <row r="878" spans="1:31" ht="12.75" x14ac:dyDescent="0.2">
      <c r="A878">
        <f ca="1">IFERROR(__xludf.DUMMYFUNCTION("""COMPUTED_VALUE"""),91148)</f>
        <v>91148</v>
      </c>
      <c r="B878" t="str">
        <f ca="1">IFERROR(__xludf.DUMMYFUNCTION("""COMPUTED_VALUE"""),"SAINT LAURENT DU VAR")</f>
        <v>SAINT LAURENT DU VAR</v>
      </c>
      <c r="C878" t="str">
        <f ca="1">IFERROR(__xludf.DUMMYFUNCTION("""COMPUTED_VALUE"""),"U Express")</f>
        <v>U Express</v>
      </c>
      <c r="D878" t="str">
        <f ca="1">IFERROR(__xludf.DUMMYFUNCTION("""COMPUTED_VALUE"""),"Coop MISTRAL")</f>
        <v>Coop MISTRAL</v>
      </c>
      <c r="E878">
        <f ca="1">IFERROR(__xludf.DUMMYFUNCTION("""COMPUTED_VALUE"""),6700)</f>
        <v>6700</v>
      </c>
      <c r="F878" t="str">
        <f ca="1">IFERROR(__xludf.DUMMYFUNCTION("""COMPUTED_VALUE"""),"243 AV DU GENERAL LECLERC")</f>
        <v>243 AV DU GENERAL LECLERC</v>
      </c>
      <c r="G878" t="str">
        <f ca="1">IFERROR(__xludf.DUMMYFUNCTION("""COMPUTED_VALUE"""),"04.93.31.19.96")</f>
        <v>04.93.31.19.96</v>
      </c>
      <c r="H878" t="str">
        <f ca="1">IFERROR(__xludf.DUMMYFUNCTION("""COMPUTED_VALUE"""),"CHAMBELLANT Jean-Claude")</f>
        <v>CHAMBELLANT Jean-Claude</v>
      </c>
      <c r="I878" t="str">
        <f ca="1">IFERROR(__xludf.DUMMYFUNCTION("""COMPUTED_VALUE"""),"")</f>
        <v/>
      </c>
      <c r="J878" t="str">
        <f ca="1">IFERROR(__xludf.DUMMYFUNCTION("""COMPUTED_VALUE"""),"RIMBOURG RACHEL")</f>
        <v>RIMBOURG RACHEL</v>
      </c>
      <c r="K878" t="str">
        <f ca="1">IFERROR(__xludf.DUMMYFUNCTION("""COMPUTED_VALUE"""),"delphine.damian@lemistral.fr,helene.mina@lemistral.fr, uexpress.stlaurentduvar2@mistral-u.fr")</f>
        <v>delphine.damian@lemistral.fr,helene.mina@lemistral.fr, uexpress.stlaurentduvar2@mistral-u.fr</v>
      </c>
      <c r="L878" t="str">
        <f ca="1">IFERROR(__xludf.DUMMYFUNCTION("""COMPUTED_VALUE"""),"")</f>
        <v/>
      </c>
      <c r="M878" t="str">
        <f ca="1">IFERROR(__xludf.DUMMYFUNCTION("""COMPUTED_VALUE"""),"99.Hors Périmetre")</f>
        <v>99.Hors Périmetre</v>
      </c>
      <c r="N878" t="str">
        <f ca="1">IFERROR(__xludf.DUMMYFUNCTION("""COMPUTED_VALUE"""),"")</f>
        <v/>
      </c>
      <c r="O878" t="str">
        <f ca="1">IFERROR(__xludf.DUMMYFUNCTION("""COMPUTED_VALUE"""),"")</f>
        <v/>
      </c>
      <c r="P878" t="str">
        <f ca="1">IFERROR(__xludf.DUMMYFUNCTION("""COMPUTED_VALUE"""),"")</f>
        <v/>
      </c>
      <c r="Q878" s="5" t="str">
        <f ca="1">IFERROR(__xludf.DUMMYFUNCTION("""COMPUTED_VALUE"""),"")</f>
        <v/>
      </c>
      <c r="R878" s="6" t="str">
        <f ca="1">IFERROR(__xludf.DUMMYFUNCTION("""COMPUTED_VALUE"""),"")</f>
        <v/>
      </c>
      <c r="S878" t="str">
        <f ca="1">IFERROR(__xludf.DUMMYFUNCTION("""COMPUTED_VALUE"""),"")</f>
        <v/>
      </c>
      <c r="T878" t="str">
        <f ca="1">IFERROR(__xludf.DUMMYFUNCTION("""COMPUTED_VALUE"""),"")</f>
        <v/>
      </c>
      <c r="U878" t="str">
        <f ca="1">IFERROR(__xludf.DUMMYFUNCTION("""COMPUTED_VALUE"""),"")</f>
        <v/>
      </c>
      <c r="V878" t="str">
        <f ca="1">IFERROR(__xludf.DUMMYFUNCTION("""COMPUTED_VALUE"""),"")</f>
        <v/>
      </c>
      <c r="W878" t="str">
        <f ca="1">IFERROR(__xludf.DUMMYFUNCTION("""COMPUTED_VALUE"""),"")</f>
        <v/>
      </c>
      <c r="X878" t="str">
        <f ca="1">IFERROR(__xludf.DUMMYFUNCTION("""COMPUTED_VALUE"""),"")</f>
        <v/>
      </c>
      <c r="Y878" t="str">
        <f ca="1">IFERROR(__xludf.DUMMYFUNCTION("""COMPUTED_VALUE"""),"")</f>
        <v/>
      </c>
      <c r="Z878" t="str">
        <f ca="1">IFERROR(__xludf.DUMMYFUNCTION("""COMPUTED_VALUE"""),"")</f>
        <v/>
      </c>
      <c r="AA878" t="str">
        <f ca="1">IFERROR(__xludf.DUMMYFUNCTION("""COMPUTED_VALUE"""),"Pas de commande")</f>
        <v>Pas de commande</v>
      </c>
      <c r="AB878" s="8" t="str">
        <f ca="1">IFERROR(__xludf.DUMMYFUNCTION("""COMPUTED_VALUE"""),"")</f>
        <v/>
      </c>
      <c r="AC878" s="8" t="str">
        <f ca="1">IFERROR(__xludf.DUMMYFUNCTION("""COMPUTED_VALUE"""),"")</f>
        <v/>
      </c>
      <c r="AD878" s="11" t="str">
        <f ca="1">IFERROR(__xludf.DUMMYFUNCTION("""COMPUTED_VALUE"""),"")</f>
        <v/>
      </c>
      <c r="AE878" t="str">
        <f ca="1">IFERROR(__xludf.DUMMYFUNCTION("""COMPUTED_VALUE"""),"")</f>
        <v/>
      </c>
    </row>
    <row r="879" spans="1:31" ht="12.75" x14ac:dyDescent="0.2">
      <c r="A879">
        <f ca="1">IFERROR(__xludf.DUMMYFUNCTION("""COMPUTED_VALUE"""),91249)</f>
        <v>91249</v>
      </c>
      <c r="B879" t="str">
        <f ca="1">IFERROR(__xludf.DUMMYFUNCTION("""COMPUTED_VALUE"""),"ST SATURNIN LES AVIGNON")</f>
        <v>ST SATURNIN LES AVIGNON</v>
      </c>
      <c r="C879" t="str">
        <f ca="1">IFERROR(__xludf.DUMMYFUNCTION("""COMPUTED_VALUE"""),"U Express")</f>
        <v>U Express</v>
      </c>
      <c r="D879" t="str">
        <f ca="1">IFERROR(__xludf.DUMMYFUNCTION("""COMPUTED_VALUE"""),"Coop MISTRAL")</f>
        <v>Coop MISTRAL</v>
      </c>
      <c r="E879">
        <f ca="1">IFERROR(__xludf.DUMMYFUNCTION("""COMPUTED_VALUE"""),84450)</f>
        <v>84450</v>
      </c>
      <c r="F879" t="str">
        <f ca="1">IFERROR(__xludf.DUMMYFUNCTION("""COMPUTED_VALUE"""),"18 AVENUE ANDRE DURAND")</f>
        <v>18 AVENUE ANDRE DURAND</v>
      </c>
      <c r="G879" t="str">
        <f ca="1">IFERROR(__xludf.DUMMYFUNCTION("""COMPUTED_VALUE"""),"04.32.40.49.94")</f>
        <v>04.32.40.49.94</v>
      </c>
      <c r="H879" t="str">
        <f ca="1">IFERROR(__xludf.DUMMYFUNCTION("""COMPUTED_VALUE"""),"LENY THOMAS")</f>
        <v>LENY THOMAS</v>
      </c>
      <c r="I879" t="str">
        <f ca="1">IFERROR(__xludf.DUMMYFUNCTION("""COMPUTED_VALUE"""),"uexpress.stsaturnin@mistral-u.fr")</f>
        <v>uexpress.stsaturnin@mistral-u.fr</v>
      </c>
      <c r="J879" t="str">
        <f ca="1">IFERROR(__xludf.DUMMYFUNCTION("""COMPUTED_VALUE"""),"Me Margada")</f>
        <v>Me Margada</v>
      </c>
      <c r="K879" t="str">
        <f ca="1">IFERROR(__xludf.DUMMYFUNCTION("""COMPUTED_VALUE"""),"prescillia.mardaga@hotmail.fr")</f>
        <v>prescillia.mardaga@hotmail.fr</v>
      </c>
      <c r="L879" t="str">
        <f ca="1">IFERROR(__xludf.DUMMYFUNCTION("""COMPUTED_VALUE"""),"Standard")</f>
        <v>Standard</v>
      </c>
      <c r="M879" t="str">
        <f ca="1">IFERROR(__xludf.DUMMYFUNCTION("""COMPUTED_VALUE"""),"0. Non démarré")</f>
        <v>0. Non démarré</v>
      </c>
      <c r="N879" t="str">
        <f ca="1">IFERROR(__xludf.DUMMYFUNCTION("""COMPUTED_VALUE"""),"")</f>
        <v/>
      </c>
      <c r="O879" t="str">
        <f ca="1">IFERROR(__xludf.DUMMYFUNCTION("""COMPUTED_VALUE"""),"")</f>
        <v/>
      </c>
      <c r="P879" t="str">
        <f ca="1">IFERROR(__xludf.DUMMYFUNCTION("""COMPUTED_VALUE"""),"")</f>
        <v/>
      </c>
      <c r="Q879" s="5" t="str">
        <f ca="1">IFERROR(__xludf.DUMMYFUNCTION("""COMPUTED_VALUE"""),"")</f>
        <v/>
      </c>
      <c r="R879" s="6" t="str">
        <f ca="1">IFERROR(__xludf.DUMMYFUNCTION("""COMPUTED_VALUE"""),"")</f>
        <v/>
      </c>
      <c r="S879" t="str">
        <f ca="1">IFERROR(__xludf.DUMMYFUNCTION("""COMPUTED_VALUE"""),"")</f>
        <v/>
      </c>
      <c r="T879" t="str">
        <f ca="1">IFERROR(__xludf.DUMMYFUNCTION("""COMPUTED_VALUE"""),"")</f>
        <v/>
      </c>
      <c r="U879" t="str">
        <f ca="1">IFERROR(__xludf.DUMMYFUNCTION("""COMPUTED_VALUE"""),"")</f>
        <v/>
      </c>
      <c r="V879" t="str">
        <f ca="1">IFERROR(__xludf.DUMMYFUNCTION("""COMPUTED_VALUE"""),"")</f>
        <v/>
      </c>
      <c r="W879" t="str">
        <f ca="1">IFERROR(__xludf.DUMMYFUNCTION("""COMPUTED_VALUE"""),"R5")</f>
        <v>R5</v>
      </c>
      <c r="X879" t="str">
        <f ca="1">IFERROR(__xludf.DUMMYFUNCTION("""COMPUTED_VALUE"""),"Pricer")</f>
        <v>Pricer</v>
      </c>
      <c r="Y879" t="str">
        <f ca="1">IFERROR(__xludf.DUMMYFUNCTION("""COMPUTED_VALUE"""),"")</f>
        <v/>
      </c>
      <c r="Z879" t="str">
        <f ca="1">IFERROR(__xludf.DUMMYFUNCTION("""COMPUTED_VALUE"""),"")</f>
        <v/>
      </c>
      <c r="AA879" t="str">
        <f ca="1">IFERROR(__xludf.DUMMYFUNCTION("""COMPUTED_VALUE"""),"Pas de commande")</f>
        <v>Pas de commande</v>
      </c>
      <c r="AB879" s="8" t="str">
        <f ca="1">IFERROR(__xludf.DUMMYFUNCTION("""COMPUTED_VALUE"""),"")</f>
        <v/>
      </c>
      <c r="AC879" s="8" t="str">
        <f ca="1">IFERROR(__xludf.DUMMYFUNCTION("""COMPUTED_VALUE"""),"")</f>
        <v/>
      </c>
      <c r="AD879" s="11" t="str">
        <f ca="1">IFERROR(__xludf.DUMMYFUNCTION("""COMPUTED_VALUE"""),"")</f>
        <v/>
      </c>
      <c r="AE879" t="str">
        <f ca="1">IFERROR(__xludf.DUMMYFUNCTION("""COMPUTED_VALUE"""),"")</f>
        <v/>
      </c>
    </row>
    <row r="880" spans="1:31" ht="12.75" x14ac:dyDescent="0.2">
      <c r="A880">
        <f ca="1">IFERROR(__xludf.DUMMYFUNCTION("""COMPUTED_VALUE"""),31442)</f>
        <v>31442</v>
      </c>
      <c r="B880" t="str">
        <f ca="1">IFERROR(__xludf.DUMMYFUNCTION("""COMPUTED_VALUE"""),"SAINTES")</f>
        <v>SAINTES</v>
      </c>
      <c r="C880" t="str">
        <f ca="1">IFERROR(__xludf.DUMMYFUNCTION("""COMPUTED_VALUE"""),"Hyper U")</f>
        <v>Hyper U</v>
      </c>
      <c r="D880" t="str">
        <f ca="1">IFERROR(__xludf.DUMMYFUNCTION("""COMPUTED_VALUE"""),"Coop Atlantique")</f>
        <v>Coop Atlantique</v>
      </c>
      <c r="E880">
        <f ca="1">IFERROR(__xludf.DUMMYFUNCTION("""COMPUTED_VALUE"""),17100)</f>
        <v>17100</v>
      </c>
      <c r="F880" t="str">
        <f ca="1">IFERROR(__xludf.DUMMYFUNCTION("""COMPUTED_VALUE"""),"COURS MARÉCHAL LECLERC")</f>
        <v>COURS MARÉCHAL LECLERC</v>
      </c>
      <c r="G880" t="str">
        <f ca="1">IFERROR(__xludf.DUMMYFUNCTION("""COMPUTED_VALUE"""),"05.46.93.32.70")</f>
        <v>05.46.93.32.70</v>
      </c>
      <c r="H880" t="str">
        <f ca="1">IFERROR(__xludf.DUMMYFUNCTION("""COMPUTED_VALUE"""),"FLAMBARD Hervé")</f>
        <v>FLAMBARD Hervé</v>
      </c>
      <c r="I880" t="str">
        <f ca="1">IFERROR(__xludf.DUMMYFUNCTION("""COMPUTED_VALUE"""),"laurent.fleury_coop_hu@systeme-u.fr")</f>
        <v>laurent.fleury_coop_hu@systeme-u.fr</v>
      </c>
      <c r="J880" t="str">
        <f ca="1">IFERROR(__xludf.DUMMYFUNCTION("""COMPUTED_VALUE"""),"Christophe GRANET")</f>
        <v>Christophe GRANET</v>
      </c>
      <c r="K880" t="str">
        <f ca="1">IFERROR(__xludf.DUMMYFUNCTION("""COMPUTED_VALUE"""),"hyperu.saintes.direction@systeme-u.fr,nbrigant@coop-atlantique.fr,sjaud@coop-atlantique.fr, cgranet@coop-atlantique.fr")</f>
        <v>hyperu.saintes.direction@systeme-u.fr,nbrigant@coop-atlantique.fr,sjaud@coop-atlantique.fr, cgranet@coop-atlantique.fr</v>
      </c>
      <c r="L880" t="str">
        <f ca="1">IFERROR(__xludf.DUMMYFUNCTION("""COMPUTED_VALUE"""),"Standard")</f>
        <v>Standard</v>
      </c>
      <c r="M880" t="str">
        <f ca="1">IFERROR(__xludf.DUMMYFUNCTION("""COMPUTED_VALUE"""),"0. Non démarré")</f>
        <v>0. Non démarré</v>
      </c>
      <c r="N880" t="str">
        <f ca="1">IFERROR(__xludf.DUMMYFUNCTION("""COMPUTED_VALUE"""),"")</f>
        <v/>
      </c>
      <c r="O880" t="str">
        <f ca="1">IFERROR(__xludf.DUMMYFUNCTION("""COMPUTED_VALUE"""),"")</f>
        <v/>
      </c>
      <c r="P880" t="str">
        <f ca="1">IFERROR(__xludf.DUMMYFUNCTION("""COMPUTED_VALUE"""),"")</f>
        <v/>
      </c>
      <c r="Q880" s="5" t="str">
        <f ca="1">IFERROR(__xludf.DUMMYFUNCTION("""COMPUTED_VALUE"""),"")</f>
        <v/>
      </c>
      <c r="R880" s="6" t="str">
        <f ca="1">IFERROR(__xludf.DUMMYFUNCTION("""COMPUTED_VALUE"""),"")</f>
        <v/>
      </c>
      <c r="S880" t="str">
        <f ca="1">IFERROR(__xludf.DUMMYFUNCTION("""COMPUTED_VALUE"""),"")</f>
        <v/>
      </c>
      <c r="T880" t="str">
        <f ca="1">IFERROR(__xludf.DUMMYFUNCTION("""COMPUTED_VALUE"""),"")</f>
        <v/>
      </c>
      <c r="U880" t="str">
        <f ca="1">IFERROR(__xludf.DUMMYFUNCTION("""COMPUTED_VALUE"""),"")</f>
        <v/>
      </c>
      <c r="V880" t="str">
        <f ca="1">IFERROR(__xludf.DUMMYFUNCTION("""COMPUTED_VALUE"""),"")</f>
        <v/>
      </c>
      <c r="W880" t="str">
        <f ca="1">IFERROR(__xludf.DUMMYFUNCTION("""COMPUTED_VALUE"""),"R5")</f>
        <v>R5</v>
      </c>
      <c r="X880" t="str">
        <f ca="1">IFERROR(__xludf.DUMMYFUNCTION("""COMPUTED_VALUE"""),"PC mag &lt;8Go")</f>
        <v>PC mag &lt;8Go</v>
      </c>
      <c r="Y880" t="str">
        <f ca="1">IFERROR(__xludf.DUMMYFUNCTION("""COMPUTED_VALUE"""),"")</f>
        <v/>
      </c>
      <c r="Z880" t="str">
        <f ca="1">IFERROR(__xludf.DUMMYFUNCTION("""COMPUTED_VALUE"""),"")</f>
        <v/>
      </c>
      <c r="AA880" t="str">
        <f ca="1">IFERROR(__xludf.DUMMYFUNCTION("""COMPUTED_VALUE"""),"Pas de commande")</f>
        <v>Pas de commande</v>
      </c>
      <c r="AB880" s="8" t="str">
        <f ca="1">IFERROR(__xludf.DUMMYFUNCTION("""COMPUTED_VALUE"""),"")</f>
        <v/>
      </c>
      <c r="AC880" s="8" t="str">
        <f ca="1">IFERROR(__xludf.DUMMYFUNCTION("""COMPUTED_VALUE"""),"")</f>
        <v/>
      </c>
      <c r="AD880" s="11" t="str">
        <f ca="1">IFERROR(__xludf.DUMMYFUNCTION("""COMPUTED_VALUE"""),"")</f>
        <v/>
      </c>
      <c r="AE880" t="str">
        <f ca="1">IFERROR(__xludf.DUMMYFUNCTION("""COMPUTED_VALUE"""),"")</f>
        <v/>
      </c>
    </row>
    <row r="881" spans="1:31" ht="12.75" x14ac:dyDescent="0.2">
      <c r="A881">
        <f ca="1">IFERROR(__xludf.DUMMYFUNCTION("""COMPUTED_VALUE"""),32682)</f>
        <v>32682</v>
      </c>
      <c r="B881" t="str">
        <f ca="1">IFERROR(__xludf.DUMMYFUNCTION("""COMPUTED_VALUE"""),"SALBRIS")</f>
        <v>SALBRIS</v>
      </c>
      <c r="C881" t="str">
        <f ca="1">IFERROR(__xludf.DUMMYFUNCTION("""COMPUTED_VALUE"""),"Super U")</f>
        <v>Super U</v>
      </c>
      <c r="D881" t="str">
        <f ca="1">IFERROR(__xludf.DUMMYFUNCTION("""COMPUTED_VALUE"""),"Coop U Enseigne Ouest")</f>
        <v>Coop U Enseigne Ouest</v>
      </c>
      <c r="E881">
        <f ca="1">IFERROR(__xludf.DUMMYFUNCTION("""COMPUTED_VALUE"""),41300)</f>
        <v>41300</v>
      </c>
      <c r="F881" t="str">
        <f ca="1">IFERROR(__xludf.DUMMYFUNCTION("""COMPUTED_VALUE"""),"AVENUE DE LA RESISTANCE")</f>
        <v>AVENUE DE LA RESISTANCE</v>
      </c>
      <c r="G881" t="str">
        <f ca="1">IFERROR(__xludf.DUMMYFUNCTION("""COMPUTED_VALUE"""),"02.54.97.24.50")</f>
        <v>02.54.97.24.50</v>
      </c>
      <c r="H881" t="str">
        <f ca="1">IFERROR(__xludf.DUMMYFUNCTION("""COMPUTED_VALUE"""),"LEROUX Roger")</f>
        <v>LEROUX Roger</v>
      </c>
      <c r="I881" t="str">
        <f ca="1">IFERROR(__xludf.DUMMYFUNCTION("""COMPUTED_VALUE"""),"roger.leroux@systeme-u.fr")</f>
        <v>roger.leroux@systeme-u.fr</v>
      </c>
      <c r="J881" t="str">
        <f ca="1">IFERROR(__xludf.DUMMYFUNCTION("""COMPUTED_VALUE"""),"BEGUIN Pascale")</f>
        <v>BEGUIN Pascale</v>
      </c>
      <c r="K881" t="str">
        <f ca="1">IFERROR(__xludf.DUMMYFUNCTION("""COMPUTED_VALUE"""),"superu.salbris@systeme-u.fr")</f>
        <v>superu.salbris@systeme-u.fr</v>
      </c>
      <c r="L881" t="str">
        <f ca="1">IFERROR(__xludf.DUMMYFUNCTION("""COMPUTED_VALUE"""),"")</f>
        <v/>
      </c>
      <c r="M881" t="str">
        <f ca="1">IFERROR(__xludf.DUMMYFUNCTION("""COMPUTED_VALUE"""),"99.Hors Périmetre")</f>
        <v>99.Hors Périmetre</v>
      </c>
      <c r="N881" t="str">
        <f ca="1">IFERROR(__xludf.DUMMYFUNCTION("""COMPUTED_VALUE"""),"")</f>
        <v/>
      </c>
      <c r="O881" t="str">
        <f ca="1">IFERROR(__xludf.DUMMYFUNCTION("""COMPUTED_VALUE"""),"")</f>
        <v/>
      </c>
      <c r="P881" t="str">
        <f ca="1">IFERROR(__xludf.DUMMYFUNCTION("""COMPUTED_VALUE"""),"")</f>
        <v/>
      </c>
      <c r="Q881" s="5" t="str">
        <f ca="1">IFERROR(__xludf.DUMMYFUNCTION("""COMPUTED_VALUE"""),"")</f>
        <v/>
      </c>
      <c r="R881" s="6" t="str">
        <f ca="1">IFERROR(__xludf.DUMMYFUNCTION("""COMPUTED_VALUE"""),"")</f>
        <v/>
      </c>
      <c r="S881" t="str">
        <f ca="1">IFERROR(__xludf.DUMMYFUNCTION("""COMPUTED_VALUE"""),"")</f>
        <v/>
      </c>
      <c r="T881" t="str">
        <f ca="1">IFERROR(__xludf.DUMMYFUNCTION("""COMPUTED_VALUE"""),"")</f>
        <v/>
      </c>
      <c r="U881" t="str">
        <f ca="1">IFERROR(__xludf.DUMMYFUNCTION("""COMPUTED_VALUE"""),"")</f>
        <v/>
      </c>
      <c r="V881" t="str">
        <f ca="1">IFERROR(__xludf.DUMMYFUNCTION("""COMPUTED_VALUE"""),"")</f>
        <v/>
      </c>
      <c r="W881" t="str">
        <f ca="1">IFERROR(__xludf.DUMMYFUNCTION("""COMPUTED_VALUE"""),"")</f>
        <v/>
      </c>
      <c r="X881" t="str">
        <f ca="1">IFERROR(__xludf.DUMMYFUNCTION("""COMPUTED_VALUE"""),"")</f>
        <v/>
      </c>
      <c r="Y881" t="str">
        <f ca="1">IFERROR(__xludf.DUMMYFUNCTION("""COMPUTED_VALUE"""),"")</f>
        <v/>
      </c>
      <c r="Z881" t="str">
        <f ca="1">IFERROR(__xludf.DUMMYFUNCTION("""COMPUTED_VALUE"""),"")</f>
        <v/>
      </c>
      <c r="AA881" t="str">
        <f ca="1">IFERROR(__xludf.DUMMYFUNCTION("""COMPUTED_VALUE"""),"Pas de commande")</f>
        <v>Pas de commande</v>
      </c>
      <c r="AB881" s="8" t="str">
        <f ca="1">IFERROR(__xludf.DUMMYFUNCTION("""COMPUTED_VALUE"""),"")</f>
        <v/>
      </c>
      <c r="AC881" s="8" t="str">
        <f ca="1">IFERROR(__xludf.DUMMYFUNCTION("""COMPUTED_VALUE"""),"")</f>
        <v/>
      </c>
      <c r="AD881" s="11" t="str">
        <f ca="1">IFERROR(__xludf.DUMMYFUNCTION("""COMPUTED_VALUE"""),"")</f>
        <v/>
      </c>
      <c r="AE881" t="str">
        <f ca="1">IFERROR(__xludf.DUMMYFUNCTION("""COMPUTED_VALUE"""),"")</f>
        <v/>
      </c>
    </row>
    <row r="882" spans="1:31" ht="12.75" x14ac:dyDescent="0.2">
      <c r="A882">
        <f ca="1">IFERROR(__xludf.DUMMYFUNCTION("""COMPUTED_VALUE"""),62113)</f>
        <v>62113</v>
      </c>
      <c r="B882" t="str">
        <f ca="1">IFERROR(__xludf.DUMMYFUNCTION("""COMPUTED_VALUE"""),"SALINS LES BAINS")</f>
        <v>SALINS LES BAINS</v>
      </c>
      <c r="C882" t="str">
        <f ca="1">IFERROR(__xludf.DUMMYFUNCTION("""COMPUTED_VALUE"""),"Super U")</f>
        <v>Super U</v>
      </c>
      <c r="D882" t="str">
        <f ca="1">IFERROR(__xludf.DUMMYFUNCTION("""COMPUTED_VALUE"""),"Coop U Enseigne Est")</f>
        <v>Coop U Enseigne Est</v>
      </c>
      <c r="E882">
        <f ca="1">IFERROR(__xludf.DUMMYFUNCTION("""COMPUTED_VALUE"""),39110)</f>
        <v>39110</v>
      </c>
      <c r="F882" t="str">
        <f ca="1">IFERROR(__xludf.DUMMYFUNCTION("""COMPUTED_VALUE"""),"LES PRÈS SITOZ")</f>
        <v>LES PRÈS SITOZ</v>
      </c>
      <c r="G882" t="str">
        <f ca="1">IFERROR(__xludf.DUMMYFUNCTION("""COMPUTED_VALUE"""),"03.84.73.60.00")</f>
        <v>03.84.73.60.00</v>
      </c>
      <c r="H882" t="str">
        <f ca="1">IFERROR(__xludf.DUMMYFUNCTION("""COMPUTED_VALUE"""),"MAUGER Ludovic")</f>
        <v>MAUGER Ludovic</v>
      </c>
      <c r="I882" t="str">
        <f ca="1">IFERROR(__xludf.DUMMYFUNCTION("""COMPUTED_VALUE"""),"ludovic.mauger@systeme-u.fr")</f>
        <v>ludovic.mauger@systeme-u.fr</v>
      </c>
      <c r="J882" t="str">
        <f ca="1">IFERROR(__xludf.DUMMYFUNCTION("""COMPUTED_VALUE"""),"")</f>
        <v/>
      </c>
      <c r="K882" t="str">
        <f ca="1">IFERROR(__xludf.DUMMYFUNCTION("""COMPUTED_VALUE"""),"")</f>
        <v/>
      </c>
      <c r="L882" t="str">
        <f ca="1">IFERROR(__xludf.DUMMYFUNCTION("""COMPUTED_VALUE"""),"")</f>
        <v/>
      </c>
      <c r="M882" t="str">
        <f ca="1">IFERROR(__xludf.DUMMYFUNCTION("""COMPUTED_VALUE"""),"99.Hors Périmetre")</f>
        <v>99.Hors Périmetre</v>
      </c>
      <c r="N882" t="str">
        <f ca="1">IFERROR(__xludf.DUMMYFUNCTION("""COMPUTED_VALUE"""),"")</f>
        <v/>
      </c>
      <c r="O882" t="str">
        <f ca="1">IFERROR(__xludf.DUMMYFUNCTION("""COMPUTED_VALUE"""),"")</f>
        <v/>
      </c>
      <c r="P882" t="str">
        <f ca="1">IFERROR(__xludf.DUMMYFUNCTION("""COMPUTED_VALUE"""),"")</f>
        <v/>
      </c>
      <c r="Q882" s="5" t="str">
        <f ca="1">IFERROR(__xludf.DUMMYFUNCTION("""COMPUTED_VALUE"""),"")</f>
        <v/>
      </c>
      <c r="R882" s="6" t="str">
        <f ca="1">IFERROR(__xludf.DUMMYFUNCTION("""COMPUTED_VALUE"""),"")</f>
        <v/>
      </c>
      <c r="S882" t="str">
        <f ca="1">IFERROR(__xludf.DUMMYFUNCTION("""COMPUTED_VALUE"""),"")</f>
        <v/>
      </c>
      <c r="T882" t="str">
        <f ca="1">IFERROR(__xludf.DUMMYFUNCTION("""COMPUTED_VALUE"""),"")</f>
        <v/>
      </c>
      <c r="U882" t="str">
        <f ca="1">IFERROR(__xludf.DUMMYFUNCTION("""COMPUTED_VALUE"""),"")</f>
        <v/>
      </c>
      <c r="V882" t="str">
        <f ca="1">IFERROR(__xludf.DUMMYFUNCTION("""COMPUTED_VALUE"""),"")</f>
        <v/>
      </c>
      <c r="W882" t="str">
        <f ca="1">IFERROR(__xludf.DUMMYFUNCTION("""COMPUTED_VALUE"""),"")</f>
        <v/>
      </c>
      <c r="X882" t="str">
        <f ca="1">IFERROR(__xludf.DUMMYFUNCTION("""COMPUTED_VALUE"""),"")</f>
        <v/>
      </c>
      <c r="Y882" t="str">
        <f ca="1">IFERROR(__xludf.DUMMYFUNCTION("""COMPUTED_VALUE"""),"")</f>
        <v/>
      </c>
      <c r="Z882" t="str">
        <f ca="1">IFERROR(__xludf.DUMMYFUNCTION("""COMPUTED_VALUE"""),"")</f>
        <v/>
      </c>
      <c r="AA882" t="str">
        <f ca="1">IFERROR(__xludf.DUMMYFUNCTION("""COMPUTED_VALUE"""),"Pas de commande")</f>
        <v>Pas de commande</v>
      </c>
      <c r="AB882" s="8" t="str">
        <f ca="1">IFERROR(__xludf.DUMMYFUNCTION("""COMPUTED_VALUE"""),"")</f>
        <v/>
      </c>
      <c r="AC882" s="8" t="str">
        <f ca="1">IFERROR(__xludf.DUMMYFUNCTION("""COMPUTED_VALUE"""),"")</f>
        <v/>
      </c>
      <c r="AD882" s="11" t="str">
        <f ca="1">IFERROR(__xludf.DUMMYFUNCTION("""COMPUTED_VALUE"""),"")</f>
        <v/>
      </c>
      <c r="AE882" t="str">
        <f ca="1">IFERROR(__xludf.DUMMYFUNCTION("""COMPUTED_VALUE"""),"")</f>
        <v/>
      </c>
    </row>
    <row r="883" spans="1:31" ht="12.75" x14ac:dyDescent="0.2">
      <c r="A883">
        <f ca="1">IFERROR(__xludf.DUMMYFUNCTION("""COMPUTED_VALUE"""),66092)</f>
        <v>66092</v>
      </c>
      <c r="B883" t="str">
        <f ca="1">IFERROR(__xludf.DUMMYFUNCTION("""COMPUTED_VALUE"""),"SALINS LES THERMES")</f>
        <v>SALINS LES THERMES</v>
      </c>
      <c r="C883" t="str">
        <f ca="1">IFERROR(__xludf.DUMMYFUNCTION("""COMPUTED_VALUE"""),"Super U")</f>
        <v>Super U</v>
      </c>
      <c r="D883" t="str">
        <f ca="1">IFERROR(__xludf.DUMMYFUNCTION("""COMPUTED_VALUE"""),"Coop U Enseigne Est")</f>
        <v>Coop U Enseigne Est</v>
      </c>
      <c r="E883">
        <f ca="1">IFERROR(__xludf.DUMMYFUNCTION("""COMPUTED_VALUE"""),73600)</f>
        <v>73600</v>
      </c>
      <c r="F883" t="str">
        <f ca="1">IFERROR(__xludf.DUMMYFUNCTION("""COMPUTED_VALUE"""),"Zone des Moulins")</f>
        <v>Zone des Moulins</v>
      </c>
      <c r="G883" t="str">
        <f ca="1">IFERROR(__xludf.DUMMYFUNCTION("""COMPUTED_VALUE"""),"04.79.22.90.37")</f>
        <v>04.79.22.90.37</v>
      </c>
      <c r="H883" t="str">
        <f ca="1">IFERROR(__xludf.DUMMYFUNCTION("""COMPUTED_VALUE"""),"SILVESTRE Luc")</f>
        <v>SILVESTRE Luc</v>
      </c>
      <c r="I883" t="str">
        <f ca="1">IFERROR(__xludf.DUMMYFUNCTION("""COMPUTED_VALUE"""),"luc.silvestre@systeme-u.fr")</f>
        <v>luc.silvestre@systeme-u.fr</v>
      </c>
      <c r="J883" t="str">
        <f ca="1">IFERROR(__xludf.DUMMYFUNCTION("""COMPUTED_VALUE"""),"Mme COLLIARD / 
M. VASQUEZ")</f>
        <v>Mme COLLIARD / 
M. VASQUEZ</v>
      </c>
      <c r="K883" t="str">
        <f ca="1">IFERROR(__xludf.DUMMYFUNCTION("""COMPUTED_VALUE"""),"superu.salinslesthermes.directeur@systeme-u.fr,superu.salinslesthermes@systeme-u.fr")</f>
        <v>superu.salinslesthermes.directeur@systeme-u.fr,superu.salinslesthermes@systeme-u.fr</v>
      </c>
      <c r="L883" t="str">
        <f ca="1">IFERROR(__xludf.DUMMYFUNCTION("""COMPUTED_VALUE"""),"")</f>
        <v/>
      </c>
      <c r="M883" t="str">
        <f ca="1">IFERROR(__xludf.DUMMYFUNCTION("""COMPUTED_VALUE"""),"99.Hors Périmetre")</f>
        <v>99.Hors Périmetre</v>
      </c>
      <c r="N883" t="str">
        <f ca="1">IFERROR(__xludf.DUMMYFUNCTION("""COMPUTED_VALUE"""),"")</f>
        <v/>
      </c>
      <c r="O883" t="str">
        <f ca="1">IFERROR(__xludf.DUMMYFUNCTION("""COMPUTED_VALUE"""),"")</f>
        <v/>
      </c>
      <c r="P883" t="str">
        <f ca="1">IFERROR(__xludf.DUMMYFUNCTION("""COMPUTED_VALUE"""),"")</f>
        <v/>
      </c>
      <c r="Q883" s="5" t="str">
        <f ca="1">IFERROR(__xludf.DUMMYFUNCTION("""COMPUTED_VALUE"""),"")</f>
        <v/>
      </c>
      <c r="R883" s="6" t="str">
        <f ca="1">IFERROR(__xludf.DUMMYFUNCTION("""COMPUTED_VALUE"""),"")</f>
        <v/>
      </c>
      <c r="S883" t="str">
        <f ca="1">IFERROR(__xludf.DUMMYFUNCTION("""COMPUTED_VALUE"""),"")</f>
        <v/>
      </c>
      <c r="T883" t="str">
        <f ca="1">IFERROR(__xludf.DUMMYFUNCTION("""COMPUTED_VALUE"""),"")</f>
        <v/>
      </c>
      <c r="U883" t="str">
        <f ca="1">IFERROR(__xludf.DUMMYFUNCTION("""COMPUTED_VALUE"""),"")</f>
        <v/>
      </c>
      <c r="V883" t="str">
        <f ca="1">IFERROR(__xludf.DUMMYFUNCTION("""COMPUTED_VALUE"""),"")</f>
        <v/>
      </c>
      <c r="W883" t="str">
        <f ca="1">IFERROR(__xludf.DUMMYFUNCTION("""COMPUTED_VALUE"""),"")</f>
        <v/>
      </c>
      <c r="X883" t="str">
        <f ca="1">IFERROR(__xludf.DUMMYFUNCTION("""COMPUTED_VALUE"""),"")</f>
        <v/>
      </c>
      <c r="Y883" t="str">
        <f ca="1">IFERROR(__xludf.DUMMYFUNCTION("""COMPUTED_VALUE"""),"")</f>
        <v/>
      </c>
      <c r="Z883" t="str">
        <f ca="1">IFERROR(__xludf.DUMMYFUNCTION("""COMPUTED_VALUE"""),"")</f>
        <v/>
      </c>
      <c r="AA883" t="str">
        <f ca="1">IFERROR(__xludf.DUMMYFUNCTION("""COMPUTED_VALUE"""),"Pas de commande")</f>
        <v>Pas de commande</v>
      </c>
      <c r="AB883" s="8" t="str">
        <f ca="1">IFERROR(__xludf.DUMMYFUNCTION("""COMPUTED_VALUE"""),"")</f>
        <v/>
      </c>
      <c r="AC883" s="8" t="str">
        <f ca="1">IFERROR(__xludf.DUMMYFUNCTION("""COMPUTED_VALUE"""),"")</f>
        <v/>
      </c>
      <c r="AD883" s="11" t="str">
        <f ca="1">IFERROR(__xludf.DUMMYFUNCTION("""COMPUTED_VALUE"""),"")</f>
        <v/>
      </c>
      <c r="AE883" t="str">
        <f ca="1">IFERROR(__xludf.DUMMYFUNCTION("""COMPUTED_VALUE"""),"")</f>
        <v/>
      </c>
    </row>
    <row r="884" spans="1:31" ht="12.75" x14ac:dyDescent="0.2">
      <c r="A884">
        <f ca="1">IFERROR(__xludf.DUMMYFUNCTION("""COMPUTED_VALUE"""),34677)</f>
        <v>34677</v>
      </c>
      <c r="B884" t="str">
        <f ca="1">IFERROR(__xludf.DUMMYFUNCTION("""COMPUTED_VALUE"""),"SANDILLON")</f>
        <v>SANDILLON</v>
      </c>
      <c r="C884" t="str">
        <f ca="1">IFERROR(__xludf.DUMMYFUNCTION("""COMPUTED_VALUE"""),"Super U")</f>
        <v>Super U</v>
      </c>
      <c r="D884" t="str">
        <f ca="1">IFERROR(__xludf.DUMMYFUNCTION("""COMPUTED_VALUE"""),"Coop U Enseigne Ouest")</f>
        <v>Coop U Enseigne Ouest</v>
      </c>
      <c r="E884">
        <f ca="1">IFERROR(__xludf.DUMMYFUNCTION("""COMPUTED_VALUE"""),45640)</f>
        <v>45640</v>
      </c>
      <c r="F884" t="str">
        <f ca="1">IFERROR(__xludf.DUMMYFUNCTION("""COMPUTED_VALUE"""),"ROUTE DE JARGEAU")</f>
        <v>ROUTE DE JARGEAU</v>
      </c>
      <c r="G884" t="str">
        <f ca="1">IFERROR(__xludf.DUMMYFUNCTION("""COMPUTED_VALUE"""),"02.38.49.89.00")</f>
        <v>02.38.49.89.00</v>
      </c>
      <c r="H884" t="str">
        <f ca="1">IFERROR(__xludf.DUMMYFUNCTION("""COMPUTED_VALUE"""),"NAUDE RPT SARL SANDIS Philippe")</f>
        <v>NAUDE RPT SARL SANDIS Philippe</v>
      </c>
      <c r="I884" t="str">
        <f ca="1">IFERROR(__xludf.DUMMYFUNCTION("""COMPUTED_VALUE"""),"philippe.naude@systeme-u.fr")</f>
        <v>philippe.naude@systeme-u.fr</v>
      </c>
      <c r="J884" t="str">
        <f ca="1">IFERROR(__xludf.DUMMYFUNCTION("""COMPUTED_VALUE"""),"NAUDE Sylvie")</f>
        <v>NAUDE Sylvie</v>
      </c>
      <c r="K884" t="str">
        <f ca="1">IFERROR(__xludf.DUMMYFUNCTION("""COMPUTED_VALUE"""),"sylvie.naude@systeme-u.fr")</f>
        <v>sylvie.naude@systeme-u.fr</v>
      </c>
      <c r="L884" t="str">
        <f ca="1">IFERROR(__xludf.DUMMYFUNCTION("""COMPUTED_VALUE"""),"")</f>
        <v/>
      </c>
      <c r="M884" t="str">
        <f ca="1">IFERROR(__xludf.DUMMYFUNCTION("""COMPUTED_VALUE"""),"99.Hors Périmetre")</f>
        <v>99.Hors Périmetre</v>
      </c>
      <c r="N884" t="str">
        <f ca="1">IFERROR(__xludf.DUMMYFUNCTION("""COMPUTED_VALUE"""),"")</f>
        <v/>
      </c>
      <c r="O884" t="str">
        <f ca="1">IFERROR(__xludf.DUMMYFUNCTION("""COMPUTED_VALUE"""),"")</f>
        <v/>
      </c>
      <c r="P884" t="str">
        <f ca="1">IFERROR(__xludf.DUMMYFUNCTION("""COMPUTED_VALUE"""),"")</f>
        <v/>
      </c>
      <c r="Q884" s="5" t="str">
        <f ca="1">IFERROR(__xludf.DUMMYFUNCTION("""COMPUTED_VALUE"""),"")</f>
        <v/>
      </c>
      <c r="R884" s="6" t="str">
        <f ca="1">IFERROR(__xludf.DUMMYFUNCTION("""COMPUTED_VALUE"""),"")</f>
        <v/>
      </c>
      <c r="S884" t="str">
        <f ca="1">IFERROR(__xludf.DUMMYFUNCTION("""COMPUTED_VALUE"""),"")</f>
        <v/>
      </c>
      <c r="T884" t="str">
        <f ca="1">IFERROR(__xludf.DUMMYFUNCTION("""COMPUTED_VALUE"""),"")</f>
        <v/>
      </c>
      <c r="U884" t="str">
        <f ca="1">IFERROR(__xludf.DUMMYFUNCTION("""COMPUTED_VALUE"""),"")</f>
        <v/>
      </c>
      <c r="V884" t="str">
        <f ca="1">IFERROR(__xludf.DUMMYFUNCTION("""COMPUTED_VALUE"""),"")</f>
        <v/>
      </c>
      <c r="W884" t="str">
        <f ca="1">IFERROR(__xludf.DUMMYFUNCTION("""COMPUTED_VALUE"""),"")</f>
        <v/>
      </c>
      <c r="X884" t="str">
        <f ca="1">IFERROR(__xludf.DUMMYFUNCTION("""COMPUTED_VALUE"""),"")</f>
        <v/>
      </c>
      <c r="Y884" t="str">
        <f ca="1">IFERROR(__xludf.DUMMYFUNCTION("""COMPUTED_VALUE"""),"")</f>
        <v/>
      </c>
      <c r="Z884" t="str">
        <f ca="1">IFERROR(__xludf.DUMMYFUNCTION("""COMPUTED_VALUE"""),"")</f>
        <v/>
      </c>
      <c r="AA884" t="str">
        <f ca="1">IFERROR(__xludf.DUMMYFUNCTION("""COMPUTED_VALUE"""),"Pas de commande")</f>
        <v>Pas de commande</v>
      </c>
      <c r="AB884" s="8" t="str">
        <f ca="1">IFERROR(__xludf.DUMMYFUNCTION("""COMPUTED_VALUE"""),"")</f>
        <v/>
      </c>
      <c r="AC884" s="8" t="str">
        <f ca="1">IFERROR(__xludf.DUMMYFUNCTION("""COMPUTED_VALUE"""),"")</f>
        <v/>
      </c>
      <c r="AD884" s="11" t="str">
        <f ca="1">IFERROR(__xludf.DUMMYFUNCTION("""COMPUTED_VALUE"""),"")</f>
        <v/>
      </c>
      <c r="AE884" t="str">
        <f ca="1">IFERROR(__xludf.DUMMYFUNCTION("""COMPUTED_VALUE"""),"")</f>
        <v/>
      </c>
    </row>
    <row r="885" spans="1:31" ht="12.75" x14ac:dyDescent="0.2">
      <c r="A885">
        <f ca="1">IFERROR(__xludf.DUMMYFUNCTION("""COMPUTED_VALUE"""),62109)</f>
        <v>62109</v>
      </c>
      <c r="B885" t="str">
        <f ca="1">IFERROR(__xludf.DUMMYFUNCTION("""COMPUTED_VALUE"""),"SAONE")</f>
        <v>SAONE</v>
      </c>
      <c r="C885" t="str">
        <f ca="1">IFERROR(__xludf.DUMMYFUNCTION("""COMPUTED_VALUE"""),"Super U")</f>
        <v>Super U</v>
      </c>
      <c r="D885" t="str">
        <f ca="1">IFERROR(__xludf.DUMMYFUNCTION("""COMPUTED_VALUE"""),"Coop U Enseigne Est")</f>
        <v>Coop U Enseigne Est</v>
      </c>
      <c r="E885">
        <f ca="1">IFERROR(__xludf.DUMMYFUNCTION("""COMPUTED_VALUE"""),25660)</f>
        <v>25660</v>
      </c>
      <c r="F885" t="str">
        <f ca="1">IFERROR(__xludf.DUMMYFUNCTION("""COMPUTED_VALUE"""),"ZAC LES ECOTS")</f>
        <v>ZAC LES ECOTS</v>
      </c>
      <c r="G885" t="str">
        <f ca="1">IFERROR(__xludf.DUMMYFUNCTION("""COMPUTED_VALUE"""),"03.81.55.71.01")</f>
        <v>03.81.55.71.01</v>
      </c>
      <c r="H885" t="str">
        <f ca="1">IFERROR(__xludf.DUMMYFUNCTION("""COMPUTED_VALUE"""),"BERNARD Denis")</f>
        <v>BERNARD Denis</v>
      </c>
      <c r="I885" t="str">
        <f ca="1">IFERROR(__xludf.DUMMYFUNCTION("""COMPUTED_VALUE"""),"denis.bernard@systeme-u.fr")</f>
        <v>denis.bernard@systeme-u.fr</v>
      </c>
      <c r="J885" t="str">
        <f ca="1">IFERROR(__xludf.DUMMYFUNCTION("""COMPUTED_VALUE"""),"BLANCH Chantal")</f>
        <v>BLANCH Chantal</v>
      </c>
      <c r="K885" t="str">
        <f ca="1">IFERROR(__xludf.DUMMYFUNCTION("""COMPUTED_VALUE"""),"superu.saone.administration@systeme-u.fr")</f>
        <v>superu.saone.administration@systeme-u.fr</v>
      </c>
      <c r="L885" t="str">
        <f ca="1">IFERROR(__xludf.DUMMYFUNCTION("""COMPUTED_VALUE"""),"")</f>
        <v/>
      </c>
      <c r="M885" t="str">
        <f ca="1">IFERROR(__xludf.DUMMYFUNCTION("""COMPUTED_VALUE"""),"99.Hors Périmetre")</f>
        <v>99.Hors Périmetre</v>
      </c>
      <c r="N885" t="str">
        <f ca="1">IFERROR(__xludf.DUMMYFUNCTION("""COMPUTED_VALUE"""),"")</f>
        <v/>
      </c>
      <c r="O885" t="str">
        <f ca="1">IFERROR(__xludf.DUMMYFUNCTION("""COMPUTED_VALUE"""),"")</f>
        <v/>
      </c>
      <c r="P885" t="str">
        <f ca="1">IFERROR(__xludf.DUMMYFUNCTION("""COMPUTED_VALUE"""),"")</f>
        <v/>
      </c>
      <c r="Q885" s="5" t="str">
        <f ca="1">IFERROR(__xludf.DUMMYFUNCTION("""COMPUTED_VALUE"""),"")</f>
        <v/>
      </c>
      <c r="R885" s="6" t="str">
        <f ca="1">IFERROR(__xludf.DUMMYFUNCTION("""COMPUTED_VALUE"""),"")</f>
        <v/>
      </c>
      <c r="S885" t="str">
        <f ca="1">IFERROR(__xludf.DUMMYFUNCTION("""COMPUTED_VALUE"""),"")</f>
        <v/>
      </c>
      <c r="T885" t="str">
        <f ca="1">IFERROR(__xludf.DUMMYFUNCTION("""COMPUTED_VALUE"""),"")</f>
        <v/>
      </c>
      <c r="U885" t="str">
        <f ca="1">IFERROR(__xludf.DUMMYFUNCTION("""COMPUTED_VALUE"""),"")</f>
        <v/>
      </c>
      <c r="V885" t="str">
        <f ca="1">IFERROR(__xludf.DUMMYFUNCTION("""COMPUTED_VALUE"""),"")</f>
        <v/>
      </c>
      <c r="W885" t="str">
        <f ca="1">IFERROR(__xludf.DUMMYFUNCTION("""COMPUTED_VALUE"""),"")</f>
        <v/>
      </c>
      <c r="X885" t="str">
        <f ca="1">IFERROR(__xludf.DUMMYFUNCTION("""COMPUTED_VALUE"""),"")</f>
        <v/>
      </c>
      <c r="Y885" t="str">
        <f ca="1">IFERROR(__xludf.DUMMYFUNCTION("""COMPUTED_VALUE"""),"")</f>
        <v/>
      </c>
      <c r="Z885" t="str">
        <f ca="1">IFERROR(__xludf.DUMMYFUNCTION("""COMPUTED_VALUE"""),"")</f>
        <v/>
      </c>
      <c r="AA885" t="str">
        <f ca="1">IFERROR(__xludf.DUMMYFUNCTION("""COMPUTED_VALUE"""),"Pas de commande")</f>
        <v>Pas de commande</v>
      </c>
      <c r="AB885" s="8" t="str">
        <f ca="1">IFERROR(__xludf.DUMMYFUNCTION("""COMPUTED_VALUE"""),"")</f>
        <v/>
      </c>
      <c r="AC885" s="8" t="str">
        <f ca="1">IFERROR(__xludf.DUMMYFUNCTION("""COMPUTED_VALUE"""),"")</f>
        <v/>
      </c>
      <c r="AD885" s="11" t="str">
        <f ca="1">IFERROR(__xludf.DUMMYFUNCTION("""COMPUTED_VALUE"""),"")</f>
        <v/>
      </c>
      <c r="AE885" t="str">
        <f ca="1">IFERROR(__xludf.DUMMYFUNCTION("""COMPUTED_VALUE"""),"")</f>
        <v/>
      </c>
    </row>
    <row r="886" spans="1:31" ht="12.75" x14ac:dyDescent="0.2">
      <c r="A886">
        <f ca="1">IFERROR(__xludf.DUMMYFUNCTION("""COMPUTED_VALUE"""),65007)</f>
        <v>65007</v>
      </c>
      <c r="B886" t="str">
        <f ca="1">IFERROR(__xludf.DUMMYFUNCTION("""COMPUTED_VALUE"""),"SARRALBE")</f>
        <v>SARRALBE</v>
      </c>
      <c r="C886" t="str">
        <f ca="1">IFERROR(__xludf.DUMMYFUNCTION("""COMPUTED_VALUE"""),"Super U")</f>
        <v>Super U</v>
      </c>
      <c r="D886" t="str">
        <f ca="1">IFERROR(__xludf.DUMMYFUNCTION("""COMPUTED_VALUE"""),"Coop U Enseigne Est")</f>
        <v>Coop U Enseigne Est</v>
      </c>
      <c r="E886">
        <f ca="1">IFERROR(__xludf.DUMMYFUNCTION("""COMPUTED_VALUE"""),57430)</f>
        <v>57430</v>
      </c>
      <c r="F886" t="str">
        <f ca="1">IFERROR(__xludf.DUMMYFUNCTION("""COMPUTED_VALUE"""),"86 ROUTE DE STRASBOURG")</f>
        <v>86 ROUTE DE STRASBOURG</v>
      </c>
      <c r="G886" t="str">
        <f ca="1">IFERROR(__xludf.DUMMYFUNCTION("""COMPUTED_VALUE"""),"03.87.97.81.53")</f>
        <v>03.87.97.81.53</v>
      </c>
      <c r="H886" t="str">
        <f ca="1">IFERROR(__xludf.DUMMYFUNCTION("""COMPUTED_VALUE"""),"HADJADJ Serge")</f>
        <v>HADJADJ Serge</v>
      </c>
      <c r="I886" t="str">
        <f ca="1">IFERROR(__xludf.DUMMYFUNCTION("""COMPUTED_VALUE"""),"serge.hadjadj@systeme-u.fr")</f>
        <v>serge.hadjadj@systeme-u.fr</v>
      </c>
      <c r="J886" t="str">
        <f ca="1">IFERROR(__xludf.DUMMYFUNCTION("""COMPUTED_VALUE"""),"Mme Muller Marie")</f>
        <v>Mme Muller Marie</v>
      </c>
      <c r="K886" t="str">
        <f ca="1">IFERROR(__xludf.DUMMYFUNCTION("""COMPUTED_VALUE"""),"superu.sarralbe@systeme-u.fr")</f>
        <v>superu.sarralbe@systeme-u.fr</v>
      </c>
      <c r="L886" t="str">
        <f ca="1">IFERROR(__xludf.DUMMYFUNCTION("""COMPUTED_VALUE"""),"")</f>
        <v/>
      </c>
      <c r="M886" t="str">
        <f ca="1">IFERROR(__xludf.DUMMYFUNCTION("""COMPUTED_VALUE"""),"99.Hors Périmetre")</f>
        <v>99.Hors Périmetre</v>
      </c>
      <c r="N886" t="str">
        <f ca="1">IFERROR(__xludf.DUMMYFUNCTION("""COMPUTED_VALUE"""),"")</f>
        <v/>
      </c>
      <c r="O886" t="str">
        <f ca="1">IFERROR(__xludf.DUMMYFUNCTION("""COMPUTED_VALUE"""),"")</f>
        <v/>
      </c>
      <c r="P886" t="str">
        <f ca="1">IFERROR(__xludf.DUMMYFUNCTION("""COMPUTED_VALUE"""),"")</f>
        <v/>
      </c>
      <c r="Q886" s="5" t="str">
        <f ca="1">IFERROR(__xludf.DUMMYFUNCTION("""COMPUTED_VALUE"""),"")</f>
        <v/>
      </c>
      <c r="R886" s="6" t="str">
        <f ca="1">IFERROR(__xludf.DUMMYFUNCTION("""COMPUTED_VALUE"""),"")</f>
        <v/>
      </c>
      <c r="S886" t="str">
        <f ca="1">IFERROR(__xludf.DUMMYFUNCTION("""COMPUTED_VALUE"""),"")</f>
        <v/>
      </c>
      <c r="T886" t="str">
        <f ca="1">IFERROR(__xludf.DUMMYFUNCTION("""COMPUTED_VALUE"""),"")</f>
        <v/>
      </c>
      <c r="U886" t="str">
        <f ca="1">IFERROR(__xludf.DUMMYFUNCTION("""COMPUTED_VALUE"""),"")</f>
        <v/>
      </c>
      <c r="V886" t="str">
        <f ca="1">IFERROR(__xludf.DUMMYFUNCTION("""COMPUTED_VALUE"""),"")</f>
        <v/>
      </c>
      <c r="W886" t="str">
        <f ca="1">IFERROR(__xludf.DUMMYFUNCTION("""COMPUTED_VALUE"""),"")</f>
        <v/>
      </c>
      <c r="X886" t="str">
        <f ca="1">IFERROR(__xludf.DUMMYFUNCTION("""COMPUTED_VALUE"""),"")</f>
        <v/>
      </c>
      <c r="Y886" t="str">
        <f ca="1">IFERROR(__xludf.DUMMYFUNCTION("""COMPUTED_VALUE"""),"")</f>
        <v/>
      </c>
      <c r="Z886" t="str">
        <f ca="1">IFERROR(__xludf.DUMMYFUNCTION("""COMPUTED_VALUE"""),"")</f>
        <v/>
      </c>
      <c r="AA886" t="str">
        <f ca="1">IFERROR(__xludf.DUMMYFUNCTION("""COMPUTED_VALUE"""),"Pas de commande")</f>
        <v>Pas de commande</v>
      </c>
      <c r="AB886" s="8" t="str">
        <f ca="1">IFERROR(__xludf.DUMMYFUNCTION("""COMPUTED_VALUE"""),"")</f>
        <v/>
      </c>
      <c r="AC886" s="8" t="str">
        <f ca="1">IFERROR(__xludf.DUMMYFUNCTION("""COMPUTED_VALUE"""),"")</f>
        <v/>
      </c>
      <c r="AD886" s="11" t="str">
        <f ca="1">IFERROR(__xludf.DUMMYFUNCTION("""COMPUTED_VALUE"""),"")</f>
        <v/>
      </c>
      <c r="AE886" t="str">
        <f ca="1">IFERROR(__xludf.DUMMYFUNCTION("""COMPUTED_VALUE"""),"")</f>
        <v/>
      </c>
    </row>
    <row r="887" spans="1:31" ht="12.75" x14ac:dyDescent="0.2">
      <c r="A887">
        <f ca="1">IFERROR(__xludf.DUMMYFUNCTION("""COMPUTED_VALUE"""),23441)</f>
        <v>23441</v>
      </c>
      <c r="B887" t="str">
        <f ca="1">IFERROR(__xludf.DUMMYFUNCTION("""COMPUTED_VALUE"""),"SARTILLY")</f>
        <v>SARTILLY</v>
      </c>
      <c r="C887" t="str">
        <f ca="1">IFERROR(__xludf.DUMMYFUNCTION("""COMPUTED_VALUE"""),"Super U")</f>
        <v>Super U</v>
      </c>
      <c r="D887" t="str">
        <f ca="1">IFERROR(__xludf.DUMMYFUNCTION("""COMPUTED_VALUE"""),"Coop U Enseigne NordOuest")</f>
        <v>Coop U Enseigne NordOuest</v>
      </c>
      <c r="E887">
        <f ca="1">IFERROR(__xludf.DUMMYFUNCTION("""COMPUTED_VALUE"""),50530)</f>
        <v>50530</v>
      </c>
      <c r="F887" t="str">
        <f ca="1">IFERROR(__xludf.DUMMYFUNCTION("""COMPUTED_VALUE"""),"ROUTE DE CAROLLES")</f>
        <v>ROUTE DE CAROLLES</v>
      </c>
      <c r="G887" t="str">
        <f ca="1">IFERROR(__xludf.DUMMYFUNCTION("""COMPUTED_VALUE"""),"02.33.89.58.95")</f>
        <v>02.33.89.58.95</v>
      </c>
      <c r="H887" t="str">
        <f ca="1">IFERROR(__xludf.DUMMYFUNCTION("""COMPUTED_VALUE"""),"LEMOINE Thomas")</f>
        <v>LEMOINE Thomas</v>
      </c>
      <c r="I887" t="str">
        <f ca="1">IFERROR(__xludf.DUMMYFUNCTION("""COMPUTED_VALUE"""),"thomas.lemoine@systeme-u.fr")</f>
        <v>thomas.lemoine@systeme-u.fr</v>
      </c>
      <c r="J887" t="str">
        <f ca="1">IFERROR(__xludf.DUMMYFUNCTION("""COMPUTED_VALUE"""),"FERRAZZO Orlando")</f>
        <v>FERRAZZO Orlando</v>
      </c>
      <c r="K887" t="str">
        <f ca="1">IFERROR(__xludf.DUMMYFUNCTION("""COMPUTED_VALUE"""),"superu.sartilly@systeme-u.fr")</f>
        <v>superu.sartilly@systeme-u.fr</v>
      </c>
      <c r="L887" t="str">
        <f ca="1">IFERROR(__xludf.DUMMYFUNCTION("""COMPUTED_VALUE"""),"")</f>
        <v/>
      </c>
      <c r="M887" t="str">
        <f ca="1">IFERROR(__xludf.DUMMYFUNCTION("""COMPUTED_VALUE"""),"99.Hors Périmetre")</f>
        <v>99.Hors Périmetre</v>
      </c>
      <c r="N887" t="str">
        <f ca="1">IFERROR(__xludf.DUMMYFUNCTION("""COMPUTED_VALUE"""),"")</f>
        <v/>
      </c>
      <c r="O887" t="str">
        <f ca="1">IFERROR(__xludf.DUMMYFUNCTION("""COMPUTED_VALUE"""),"")</f>
        <v/>
      </c>
      <c r="P887" t="str">
        <f ca="1">IFERROR(__xludf.DUMMYFUNCTION("""COMPUTED_VALUE"""),"")</f>
        <v/>
      </c>
      <c r="Q887" s="5" t="str">
        <f ca="1">IFERROR(__xludf.DUMMYFUNCTION("""COMPUTED_VALUE"""),"")</f>
        <v/>
      </c>
      <c r="R887" s="6" t="str">
        <f ca="1">IFERROR(__xludf.DUMMYFUNCTION("""COMPUTED_VALUE"""),"")</f>
        <v/>
      </c>
      <c r="S887" t="str">
        <f ca="1">IFERROR(__xludf.DUMMYFUNCTION("""COMPUTED_VALUE"""),"")</f>
        <v/>
      </c>
      <c r="T887" t="str">
        <f ca="1">IFERROR(__xludf.DUMMYFUNCTION("""COMPUTED_VALUE"""),"")</f>
        <v/>
      </c>
      <c r="U887" t="str">
        <f ca="1">IFERROR(__xludf.DUMMYFUNCTION("""COMPUTED_VALUE"""),"")</f>
        <v/>
      </c>
      <c r="V887" t="str">
        <f ca="1">IFERROR(__xludf.DUMMYFUNCTION("""COMPUTED_VALUE"""),"")</f>
        <v/>
      </c>
      <c r="W887" t="str">
        <f ca="1">IFERROR(__xludf.DUMMYFUNCTION("""COMPUTED_VALUE"""),"")</f>
        <v/>
      </c>
      <c r="X887" t="str">
        <f ca="1">IFERROR(__xludf.DUMMYFUNCTION("""COMPUTED_VALUE"""),"")</f>
        <v/>
      </c>
      <c r="Y887" t="str">
        <f ca="1">IFERROR(__xludf.DUMMYFUNCTION("""COMPUTED_VALUE"""),"")</f>
        <v/>
      </c>
      <c r="Z887" t="str">
        <f ca="1">IFERROR(__xludf.DUMMYFUNCTION("""COMPUTED_VALUE"""),"")</f>
        <v/>
      </c>
      <c r="AA887" t="str">
        <f ca="1">IFERROR(__xludf.DUMMYFUNCTION("""COMPUTED_VALUE"""),"Pas de commande")</f>
        <v>Pas de commande</v>
      </c>
      <c r="AB887" s="8" t="str">
        <f ca="1">IFERROR(__xludf.DUMMYFUNCTION("""COMPUTED_VALUE"""),"")</f>
        <v/>
      </c>
      <c r="AC887" s="8" t="str">
        <f ca="1">IFERROR(__xludf.DUMMYFUNCTION("""COMPUTED_VALUE"""),"")</f>
        <v/>
      </c>
      <c r="AD887" s="11" t="str">
        <f ca="1">IFERROR(__xludf.DUMMYFUNCTION("""COMPUTED_VALUE"""),"")</f>
        <v/>
      </c>
      <c r="AE887" t="str">
        <f ca="1">IFERROR(__xludf.DUMMYFUNCTION("""COMPUTED_VALUE"""),"")</f>
        <v/>
      </c>
    </row>
    <row r="888" spans="1:31" ht="12.75" x14ac:dyDescent="0.2">
      <c r="A888">
        <f ca="1">IFERROR(__xludf.DUMMYFUNCTION("""COMPUTED_VALUE"""),38095)</f>
        <v>38095</v>
      </c>
      <c r="B888" t="str">
        <f ca="1">IFERROR(__xludf.DUMMYFUNCTION("""COMPUTED_VALUE"""),"SARZEAU")</f>
        <v>SARZEAU</v>
      </c>
      <c r="C888" t="str">
        <f ca="1">IFERROR(__xludf.DUMMYFUNCTION("""COMPUTED_VALUE"""),"Super U")</f>
        <v>Super U</v>
      </c>
      <c r="D888" t="str">
        <f ca="1">IFERROR(__xludf.DUMMYFUNCTION("""COMPUTED_VALUE"""),"Coop U Enseigne Ouest")</f>
        <v>Coop U Enseigne Ouest</v>
      </c>
      <c r="E888">
        <f ca="1">IFERROR(__xludf.DUMMYFUNCTION("""COMPUTED_VALUE"""),56370)</f>
        <v>56370</v>
      </c>
      <c r="F888" t="str">
        <f ca="1">IFERROR(__xludf.DUMMYFUNCTION("""COMPUTED_VALUE"""),"ROND POINT DU ROALIGUEN")</f>
        <v>ROND POINT DU ROALIGUEN</v>
      </c>
      <c r="G888" t="str">
        <f ca="1">IFERROR(__xludf.DUMMYFUNCTION("""COMPUTED_VALUE"""),"02.97.41.75.24")</f>
        <v>02.97.41.75.24</v>
      </c>
      <c r="H888" t="str">
        <f ca="1">IFERROR(__xludf.DUMMYFUNCTION("""COMPUTED_VALUE"""),"TUAL Dominique")</f>
        <v>TUAL Dominique</v>
      </c>
      <c r="I888" t="str">
        <f ca="1">IFERROR(__xludf.DUMMYFUNCTION("""COMPUTED_VALUE"""),"dominique.tual@systeme-u.fr")</f>
        <v>dominique.tual@systeme-u.fr</v>
      </c>
      <c r="J888" t="str">
        <f ca="1">IFERROR(__xludf.DUMMYFUNCTION("""COMPUTED_VALUE"""),"VINCENT Philippe")</f>
        <v>VINCENT Philippe</v>
      </c>
      <c r="K888" t="str">
        <f ca="1">IFERROR(__xludf.DUMMYFUNCTION("""COMPUTED_VALUE"""),"superu.sarzeau.direction@systeme-u.fr")</f>
        <v>superu.sarzeau.direction@systeme-u.fr</v>
      </c>
      <c r="L888" t="str">
        <f ca="1">IFERROR(__xludf.DUMMYFUNCTION("""COMPUTED_VALUE"""),"")</f>
        <v/>
      </c>
      <c r="M888" t="str">
        <f ca="1">IFERROR(__xludf.DUMMYFUNCTION("""COMPUTED_VALUE"""),"99.Hors Périmetre")</f>
        <v>99.Hors Périmetre</v>
      </c>
      <c r="N888" t="str">
        <f ca="1">IFERROR(__xludf.DUMMYFUNCTION("""COMPUTED_VALUE"""),"")</f>
        <v/>
      </c>
      <c r="O888" t="str">
        <f ca="1">IFERROR(__xludf.DUMMYFUNCTION("""COMPUTED_VALUE"""),"")</f>
        <v/>
      </c>
      <c r="P888" t="str">
        <f ca="1">IFERROR(__xludf.DUMMYFUNCTION("""COMPUTED_VALUE"""),"")</f>
        <v/>
      </c>
      <c r="Q888" s="5" t="str">
        <f ca="1">IFERROR(__xludf.DUMMYFUNCTION("""COMPUTED_VALUE"""),"")</f>
        <v/>
      </c>
      <c r="R888" s="6" t="str">
        <f ca="1">IFERROR(__xludf.DUMMYFUNCTION("""COMPUTED_VALUE"""),"")</f>
        <v/>
      </c>
      <c r="S888" t="str">
        <f ca="1">IFERROR(__xludf.DUMMYFUNCTION("""COMPUTED_VALUE"""),"")</f>
        <v/>
      </c>
      <c r="T888" t="str">
        <f ca="1">IFERROR(__xludf.DUMMYFUNCTION("""COMPUTED_VALUE"""),"")</f>
        <v/>
      </c>
      <c r="U888" t="str">
        <f ca="1">IFERROR(__xludf.DUMMYFUNCTION("""COMPUTED_VALUE"""),"")</f>
        <v/>
      </c>
      <c r="V888" t="str">
        <f ca="1">IFERROR(__xludf.DUMMYFUNCTION("""COMPUTED_VALUE"""),"")</f>
        <v/>
      </c>
      <c r="W888" t="str">
        <f ca="1">IFERROR(__xludf.DUMMYFUNCTION("""COMPUTED_VALUE"""),"")</f>
        <v/>
      </c>
      <c r="X888" t="str">
        <f ca="1">IFERROR(__xludf.DUMMYFUNCTION("""COMPUTED_VALUE"""),"")</f>
        <v/>
      </c>
      <c r="Y888" t="str">
        <f ca="1">IFERROR(__xludf.DUMMYFUNCTION("""COMPUTED_VALUE"""),"")</f>
        <v/>
      </c>
      <c r="Z888" t="str">
        <f ca="1">IFERROR(__xludf.DUMMYFUNCTION("""COMPUTED_VALUE"""),"")</f>
        <v/>
      </c>
      <c r="AA888" t="str">
        <f ca="1">IFERROR(__xludf.DUMMYFUNCTION("""COMPUTED_VALUE"""),"Pas de commande")</f>
        <v>Pas de commande</v>
      </c>
      <c r="AB888" s="8" t="str">
        <f ca="1">IFERROR(__xludf.DUMMYFUNCTION("""COMPUTED_VALUE"""),"")</f>
        <v/>
      </c>
      <c r="AC888" s="8" t="str">
        <f ca="1">IFERROR(__xludf.DUMMYFUNCTION("""COMPUTED_VALUE"""),"")</f>
        <v/>
      </c>
      <c r="AD888" s="11" t="str">
        <f ca="1">IFERROR(__xludf.DUMMYFUNCTION("""COMPUTED_VALUE"""),"")</f>
        <v/>
      </c>
      <c r="AE888" t="str">
        <f ca="1">IFERROR(__xludf.DUMMYFUNCTION("""COMPUTED_VALUE"""),"")</f>
        <v/>
      </c>
    </row>
    <row r="889" spans="1:31" ht="12.75" x14ac:dyDescent="0.2">
      <c r="A889">
        <f ca="1">IFERROR(__xludf.DUMMYFUNCTION("""COMPUTED_VALUE"""),35312)</f>
        <v>35312</v>
      </c>
      <c r="B889" t="str">
        <f ca="1">IFERROR(__xludf.DUMMYFUNCTION("""COMPUTED_VALUE"""),"SAUJON")</f>
        <v>SAUJON</v>
      </c>
      <c r="C889" t="str">
        <f ca="1">IFERROR(__xludf.DUMMYFUNCTION("""COMPUTED_VALUE"""),"Super U")</f>
        <v>Super U</v>
      </c>
      <c r="D889" t="str">
        <f ca="1">IFERROR(__xludf.DUMMYFUNCTION("""COMPUTED_VALUE"""),"Coop U Enseigne Ouest")</f>
        <v>Coop U Enseigne Ouest</v>
      </c>
      <c r="E889">
        <f ca="1">IFERROR(__xludf.DUMMYFUNCTION("""COMPUTED_VALUE"""),17600)</f>
        <v>17600</v>
      </c>
      <c r="F889" t="str">
        <f ca="1">IFERROR(__xludf.DUMMYFUNCTION("""COMPUTED_VALUE"""),"9, ROUTE DE SAINTES")</f>
        <v>9, ROUTE DE SAINTES</v>
      </c>
      <c r="G889" t="str">
        <f ca="1">IFERROR(__xludf.DUMMYFUNCTION("""COMPUTED_VALUE"""),"05.46.02.92.44")</f>
        <v>05.46.02.92.44</v>
      </c>
      <c r="H889" t="str">
        <f ca="1">IFERROR(__xludf.DUMMYFUNCTION("""COMPUTED_VALUE"""),"HONORE RPT SARL CONSTANTINE Laurent")</f>
        <v>HONORE RPT SARL CONSTANTINE Laurent</v>
      </c>
      <c r="I889" t="str">
        <f ca="1">IFERROR(__xludf.DUMMYFUNCTION("""COMPUTED_VALUE"""),"laurent.honore@systeme-u.fr")</f>
        <v>laurent.honore@systeme-u.fr</v>
      </c>
      <c r="J889" t="str">
        <f ca="1">IFERROR(__xludf.DUMMYFUNCTION("""COMPUTED_VALUE"""),"DENAUD Jean Stéphane")</f>
        <v>DENAUD Jean Stéphane</v>
      </c>
      <c r="K889" t="str">
        <f ca="1">IFERROR(__xludf.DUMMYFUNCTION("""COMPUTED_VALUE"""),"superu.saujon.bazar@systeme-u.fr")</f>
        <v>superu.saujon.bazar@systeme-u.fr</v>
      </c>
      <c r="L889" t="str">
        <f ca="1">IFERROR(__xludf.DUMMYFUNCTION("""COMPUTED_VALUE"""),"")</f>
        <v/>
      </c>
      <c r="M889" t="str">
        <f ca="1">IFERROR(__xludf.DUMMYFUNCTION("""COMPUTED_VALUE"""),"99.Hors Périmetre")</f>
        <v>99.Hors Périmetre</v>
      </c>
      <c r="N889" t="str">
        <f ca="1">IFERROR(__xludf.DUMMYFUNCTION("""COMPUTED_VALUE"""),"")</f>
        <v/>
      </c>
      <c r="O889" t="str">
        <f ca="1">IFERROR(__xludf.DUMMYFUNCTION("""COMPUTED_VALUE"""),"")</f>
        <v/>
      </c>
      <c r="P889" t="str">
        <f ca="1">IFERROR(__xludf.DUMMYFUNCTION("""COMPUTED_VALUE"""),"")</f>
        <v/>
      </c>
      <c r="Q889" s="5" t="str">
        <f ca="1">IFERROR(__xludf.DUMMYFUNCTION("""COMPUTED_VALUE"""),"")</f>
        <v/>
      </c>
      <c r="R889" s="6" t="str">
        <f ca="1">IFERROR(__xludf.DUMMYFUNCTION("""COMPUTED_VALUE"""),"")</f>
        <v/>
      </c>
      <c r="S889" t="str">
        <f ca="1">IFERROR(__xludf.DUMMYFUNCTION("""COMPUTED_VALUE"""),"")</f>
        <v/>
      </c>
      <c r="T889" t="str">
        <f ca="1">IFERROR(__xludf.DUMMYFUNCTION("""COMPUTED_VALUE"""),"")</f>
        <v/>
      </c>
      <c r="U889" t="str">
        <f ca="1">IFERROR(__xludf.DUMMYFUNCTION("""COMPUTED_VALUE"""),"")</f>
        <v/>
      </c>
      <c r="V889" t="str">
        <f ca="1">IFERROR(__xludf.DUMMYFUNCTION("""COMPUTED_VALUE"""),"")</f>
        <v/>
      </c>
      <c r="W889" t="str">
        <f ca="1">IFERROR(__xludf.DUMMYFUNCTION("""COMPUTED_VALUE"""),"")</f>
        <v/>
      </c>
      <c r="X889" t="str">
        <f ca="1">IFERROR(__xludf.DUMMYFUNCTION("""COMPUTED_VALUE"""),"")</f>
        <v/>
      </c>
      <c r="Y889" t="str">
        <f ca="1">IFERROR(__xludf.DUMMYFUNCTION("""COMPUTED_VALUE"""),"")</f>
        <v/>
      </c>
      <c r="Z889" t="str">
        <f ca="1">IFERROR(__xludf.DUMMYFUNCTION("""COMPUTED_VALUE"""),"")</f>
        <v/>
      </c>
      <c r="AA889" t="str">
        <f ca="1">IFERROR(__xludf.DUMMYFUNCTION("""COMPUTED_VALUE"""),"Pas de commande")</f>
        <v>Pas de commande</v>
      </c>
      <c r="AB889" s="8" t="str">
        <f ca="1">IFERROR(__xludf.DUMMYFUNCTION("""COMPUTED_VALUE"""),"")</f>
        <v/>
      </c>
      <c r="AC889" s="8" t="str">
        <f ca="1">IFERROR(__xludf.DUMMYFUNCTION("""COMPUTED_VALUE"""),"")</f>
        <v/>
      </c>
      <c r="AD889" s="11" t="str">
        <f ca="1">IFERROR(__xludf.DUMMYFUNCTION("""COMPUTED_VALUE"""),"")</f>
        <v/>
      </c>
      <c r="AE889" t="str">
        <f ca="1">IFERROR(__xludf.DUMMYFUNCTION("""COMPUTED_VALUE"""),"")</f>
        <v/>
      </c>
    </row>
    <row r="890" spans="1:31" ht="12.75" x14ac:dyDescent="0.2">
      <c r="A890">
        <f ca="1">IFERROR(__xludf.DUMMYFUNCTION("""COMPUTED_VALUE"""),95182)</f>
        <v>95182</v>
      </c>
      <c r="B890" t="str">
        <f ca="1">IFERROR(__xludf.DUMMYFUNCTION("""COMPUTED_VALUE"""),"SAULT DE NAVAILLES")</f>
        <v>SAULT DE NAVAILLES</v>
      </c>
      <c r="C890" t="str">
        <f ca="1">IFERROR(__xludf.DUMMYFUNCTION("""COMPUTED_VALUE"""),"U Express")</f>
        <v>U Express</v>
      </c>
      <c r="D890" t="str">
        <f ca="1">IFERROR(__xludf.DUMMYFUNCTION("""COMPUTED_VALUE"""),"Coop UPSO")</f>
        <v>Coop UPSO</v>
      </c>
      <c r="E890">
        <f ca="1">IFERROR(__xludf.DUMMYFUNCTION("""COMPUTED_VALUE"""),64300)</f>
        <v>64300</v>
      </c>
      <c r="F890" t="str">
        <f ca="1">IFERROR(__xludf.DUMMYFUNCTION("""COMPUTED_VALUE"""),"ZA DE L ESCLAUZE")</f>
        <v>ZA DE L ESCLAUZE</v>
      </c>
      <c r="G890" t="str">
        <f ca="1">IFERROR(__xludf.DUMMYFUNCTION("""COMPUTED_VALUE"""),"05.59.69.77.00")</f>
        <v>05.59.69.77.00</v>
      </c>
      <c r="H890" t="str">
        <f ca="1">IFERROR(__xludf.DUMMYFUNCTION("""COMPUTED_VALUE"""),"DE LATOUR Herve")</f>
        <v>DE LATOUR Herve</v>
      </c>
      <c r="I890" t="str">
        <f ca="1">IFERROR(__xludf.DUMMYFUNCTION("""COMPUTED_VALUE"""),"herve.delatour@systeme-u.fr")</f>
        <v>herve.delatour@systeme-u.fr</v>
      </c>
      <c r="J890" t="str">
        <f ca="1">IFERROR(__xludf.DUMMYFUNCTION("""COMPUTED_VALUE"""),"")</f>
        <v/>
      </c>
      <c r="K890" t="str">
        <f ca="1">IFERROR(__xludf.DUMMYFUNCTION("""COMPUTED_VALUE"""),"")</f>
        <v/>
      </c>
      <c r="L890" t="str">
        <f ca="1">IFERROR(__xludf.DUMMYFUNCTION("""COMPUTED_VALUE"""),"")</f>
        <v/>
      </c>
      <c r="M890" t="str">
        <f ca="1">IFERROR(__xludf.DUMMYFUNCTION("""COMPUTED_VALUE"""),"99.Hors Périmetre")</f>
        <v>99.Hors Périmetre</v>
      </c>
      <c r="N890" t="str">
        <f ca="1">IFERROR(__xludf.DUMMYFUNCTION("""COMPUTED_VALUE"""),"")</f>
        <v/>
      </c>
      <c r="O890" t="str">
        <f ca="1">IFERROR(__xludf.DUMMYFUNCTION("""COMPUTED_VALUE"""),"")</f>
        <v/>
      </c>
      <c r="P890" t="str">
        <f ca="1">IFERROR(__xludf.DUMMYFUNCTION("""COMPUTED_VALUE"""),"")</f>
        <v/>
      </c>
      <c r="Q890" s="5" t="str">
        <f ca="1">IFERROR(__xludf.DUMMYFUNCTION("""COMPUTED_VALUE"""),"")</f>
        <v/>
      </c>
      <c r="R890" s="6" t="str">
        <f ca="1">IFERROR(__xludf.DUMMYFUNCTION("""COMPUTED_VALUE"""),"")</f>
        <v/>
      </c>
      <c r="S890" t="str">
        <f ca="1">IFERROR(__xludf.DUMMYFUNCTION("""COMPUTED_VALUE"""),"")</f>
        <v/>
      </c>
      <c r="T890" t="str">
        <f ca="1">IFERROR(__xludf.DUMMYFUNCTION("""COMPUTED_VALUE"""),"")</f>
        <v/>
      </c>
      <c r="U890" t="str">
        <f ca="1">IFERROR(__xludf.DUMMYFUNCTION("""COMPUTED_VALUE"""),"")</f>
        <v/>
      </c>
      <c r="V890" t="str">
        <f ca="1">IFERROR(__xludf.DUMMYFUNCTION("""COMPUTED_VALUE"""),"")</f>
        <v/>
      </c>
      <c r="W890" t="str">
        <f ca="1">IFERROR(__xludf.DUMMYFUNCTION("""COMPUTED_VALUE"""),"")</f>
        <v/>
      </c>
      <c r="X890" t="str">
        <f ca="1">IFERROR(__xludf.DUMMYFUNCTION("""COMPUTED_VALUE"""),"")</f>
        <v/>
      </c>
      <c r="Y890" t="str">
        <f ca="1">IFERROR(__xludf.DUMMYFUNCTION("""COMPUTED_VALUE"""),"")</f>
        <v/>
      </c>
      <c r="Z890" t="str">
        <f ca="1">IFERROR(__xludf.DUMMYFUNCTION("""COMPUTED_VALUE"""),"")</f>
        <v/>
      </c>
      <c r="AA890" t="str">
        <f ca="1">IFERROR(__xludf.DUMMYFUNCTION("""COMPUTED_VALUE"""),"Pas de commande")</f>
        <v>Pas de commande</v>
      </c>
      <c r="AB890" s="8" t="str">
        <f ca="1">IFERROR(__xludf.DUMMYFUNCTION("""COMPUTED_VALUE"""),"")</f>
        <v/>
      </c>
      <c r="AC890" s="8" t="str">
        <f ca="1">IFERROR(__xludf.DUMMYFUNCTION("""COMPUTED_VALUE"""),"")</f>
        <v/>
      </c>
      <c r="AD890" s="11" t="str">
        <f ca="1">IFERROR(__xludf.DUMMYFUNCTION("""COMPUTED_VALUE"""),"")</f>
        <v/>
      </c>
      <c r="AE890" t="str">
        <f ca="1">IFERROR(__xludf.DUMMYFUNCTION("""COMPUTED_VALUE"""),"")</f>
        <v/>
      </c>
    </row>
    <row r="891" spans="1:31" ht="12.75" x14ac:dyDescent="0.2">
      <c r="A891">
        <f ca="1">IFERROR(__xludf.DUMMYFUNCTION("""COMPUTED_VALUE"""),37625)</f>
        <v>37625</v>
      </c>
      <c r="B891" t="str">
        <f ca="1">IFERROR(__xludf.DUMMYFUNCTION("""COMPUTED_VALUE"""),"SAUMUR")</f>
        <v>SAUMUR</v>
      </c>
      <c r="C891" t="str">
        <f ca="1">IFERROR(__xludf.DUMMYFUNCTION("""COMPUTED_VALUE"""),"Super U")</f>
        <v>Super U</v>
      </c>
      <c r="D891" t="str">
        <f ca="1">IFERROR(__xludf.DUMMYFUNCTION("""COMPUTED_VALUE"""),"Coop U Enseigne Ouest")</f>
        <v>Coop U Enseigne Ouest</v>
      </c>
      <c r="E891">
        <f ca="1">IFERROR(__xludf.DUMMYFUNCTION("""COMPUTED_VALUE"""),49400)</f>
        <v>49400</v>
      </c>
      <c r="F891" t="str">
        <f ca="1">IFERROR(__xludf.DUMMYFUNCTION("""COMPUTED_VALUE"""),"RUE DU CLOS COUTARD")</f>
        <v>RUE DU CLOS COUTARD</v>
      </c>
      <c r="G891" t="str">
        <f ca="1">IFERROR(__xludf.DUMMYFUNCTION("""COMPUTED_VALUE"""),"02.41.51.05.69")</f>
        <v>02.41.51.05.69</v>
      </c>
      <c r="H891" t="str">
        <f ca="1">IFERROR(__xludf.DUMMYFUNCTION("""COMPUTED_VALUE"""),"BEAUCHARD Youri")</f>
        <v>BEAUCHARD Youri</v>
      </c>
      <c r="I891" t="str">
        <f ca="1">IFERROR(__xludf.DUMMYFUNCTION("""COMPUTED_VALUE"""),"youri.beauchard@systeme-u.fr")</f>
        <v>youri.beauchard@systeme-u.fr</v>
      </c>
      <c r="J891" t="str">
        <f ca="1">IFERROR(__xludf.DUMMYFUNCTION("""COMPUTED_VALUE"""),"")</f>
        <v/>
      </c>
      <c r="K891" t="str">
        <f ca="1">IFERROR(__xludf.DUMMYFUNCTION("""COMPUTED_VALUE"""),"")</f>
        <v/>
      </c>
      <c r="L891" t="str">
        <f ca="1">IFERROR(__xludf.DUMMYFUNCTION("""COMPUTED_VALUE"""),"")</f>
        <v/>
      </c>
      <c r="M891" t="str">
        <f ca="1">IFERROR(__xludf.DUMMYFUNCTION("""COMPUTED_VALUE"""),"99.Hors Périmetre")</f>
        <v>99.Hors Périmetre</v>
      </c>
      <c r="N891" t="str">
        <f ca="1">IFERROR(__xludf.DUMMYFUNCTION("""COMPUTED_VALUE"""),"")</f>
        <v/>
      </c>
      <c r="O891" t="str">
        <f ca="1">IFERROR(__xludf.DUMMYFUNCTION("""COMPUTED_VALUE"""),"")</f>
        <v/>
      </c>
      <c r="P891" t="str">
        <f ca="1">IFERROR(__xludf.DUMMYFUNCTION("""COMPUTED_VALUE"""),"")</f>
        <v/>
      </c>
      <c r="Q891" s="5" t="str">
        <f ca="1">IFERROR(__xludf.DUMMYFUNCTION("""COMPUTED_VALUE"""),"")</f>
        <v/>
      </c>
      <c r="R891" s="6" t="str">
        <f ca="1">IFERROR(__xludf.DUMMYFUNCTION("""COMPUTED_VALUE"""),"")</f>
        <v/>
      </c>
      <c r="S891" t="str">
        <f ca="1">IFERROR(__xludf.DUMMYFUNCTION("""COMPUTED_VALUE"""),"")</f>
        <v/>
      </c>
      <c r="T891" t="str">
        <f ca="1">IFERROR(__xludf.DUMMYFUNCTION("""COMPUTED_VALUE"""),"")</f>
        <v/>
      </c>
      <c r="U891" t="str">
        <f ca="1">IFERROR(__xludf.DUMMYFUNCTION("""COMPUTED_VALUE"""),"")</f>
        <v/>
      </c>
      <c r="V891" t="str">
        <f ca="1">IFERROR(__xludf.DUMMYFUNCTION("""COMPUTED_VALUE"""),"")</f>
        <v/>
      </c>
      <c r="W891" t="str">
        <f ca="1">IFERROR(__xludf.DUMMYFUNCTION("""COMPUTED_VALUE"""),"")</f>
        <v/>
      </c>
      <c r="X891" t="str">
        <f ca="1">IFERROR(__xludf.DUMMYFUNCTION("""COMPUTED_VALUE"""),"")</f>
        <v/>
      </c>
      <c r="Y891" t="str">
        <f ca="1">IFERROR(__xludf.DUMMYFUNCTION("""COMPUTED_VALUE"""),"")</f>
        <v/>
      </c>
      <c r="Z891" t="str">
        <f ca="1">IFERROR(__xludf.DUMMYFUNCTION("""COMPUTED_VALUE"""),"")</f>
        <v/>
      </c>
      <c r="AA891" t="str">
        <f ca="1">IFERROR(__xludf.DUMMYFUNCTION("""COMPUTED_VALUE"""),"Pas de commande")</f>
        <v>Pas de commande</v>
      </c>
      <c r="AB891" s="8" t="str">
        <f ca="1">IFERROR(__xludf.DUMMYFUNCTION("""COMPUTED_VALUE"""),"")</f>
        <v/>
      </c>
      <c r="AC891" s="8" t="str">
        <f ca="1">IFERROR(__xludf.DUMMYFUNCTION("""COMPUTED_VALUE"""),"")</f>
        <v/>
      </c>
      <c r="AD891" s="11" t="str">
        <f ca="1">IFERROR(__xludf.DUMMYFUNCTION("""COMPUTED_VALUE"""),"")</f>
        <v/>
      </c>
      <c r="AE891" t="str">
        <f ca="1">IFERROR(__xludf.DUMMYFUNCTION("""COMPUTED_VALUE"""),"")</f>
        <v/>
      </c>
    </row>
    <row r="892" spans="1:31" ht="12.75" x14ac:dyDescent="0.2">
      <c r="A892">
        <f ca="1">IFERROR(__xludf.DUMMYFUNCTION("""COMPUTED_VALUE"""),30736)</f>
        <v>30736</v>
      </c>
      <c r="B892" t="str">
        <f ca="1">IFERROR(__xludf.DUMMYFUNCTION("""COMPUTED_VALUE"""),"SAUTRON")</f>
        <v>SAUTRON</v>
      </c>
      <c r="C892" t="str">
        <f ca="1">IFERROR(__xludf.DUMMYFUNCTION("""COMPUTED_VALUE"""),"Super U")</f>
        <v>Super U</v>
      </c>
      <c r="D892" t="str">
        <f ca="1">IFERROR(__xludf.DUMMYFUNCTION("""COMPUTED_VALUE"""),"Coop U Enseigne Ouest")</f>
        <v>Coop U Enseigne Ouest</v>
      </c>
      <c r="E892">
        <f ca="1">IFERROR(__xludf.DUMMYFUNCTION("""COMPUTED_VALUE"""),44880)</f>
        <v>44880</v>
      </c>
      <c r="F892" t="str">
        <f ca="1">IFERROR(__xludf.DUMMYFUNCTION("""COMPUTED_VALUE"""),"20, RUE DE NANTES")</f>
        <v>20, RUE DE NANTES</v>
      </c>
      <c r="G892" t="str">
        <f ca="1">IFERROR(__xludf.DUMMYFUNCTION("""COMPUTED_VALUE"""),"02.40.63.22.59")</f>
        <v>02.40.63.22.59</v>
      </c>
      <c r="H892" t="str">
        <f ca="1">IFERROR(__xludf.DUMMYFUNCTION("""COMPUTED_VALUE"""),"BROSSEAU RPT SAS B.T. Thierry")</f>
        <v>BROSSEAU RPT SAS B.T. Thierry</v>
      </c>
      <c r="I892" t="str">
        <f ca="1">IFERROR(__xludf.DUMMYFUNCTION("""COMPUTED_VALUE"""),"thierry.brosseau@systeme-u.fr")</f>
        <v>thierry.brosseau@systeme-u.fr</v>
      </c>
      <c r="J892" t="str">
        <f ca="1">IFERROR(__xludf.DUMMYFUNCTION("""COMPUTED_VALUE"""),"Brosseau Romain")</f>
        <v>Brosseau Romain</v>
      </c>
      <c r="K892" t="str">
        <f ca="1">IFERROR(__xludf.DUMMYFUNCTION("""COMPUTED_VALUE"""),"romain.brosseau@systeme-u.fr")</f>
        <v>romain.brosseau@systeme-u.fr</v>
      </c>
      <c r="L892" t="str">
        <f ca="1">IFERROR(__xludf.DUMMYFUNCTION("""COMPUTED_VALUE"""),"Primo")</f>
        <v>Primo</v>
      </c>
      <c r="M892" t="str">
        <f ca="1">IFERROR(__xludf.DUMMYFUNCTION("""COMPUTED_VALUE"""),"3. Migration réalisée")</f>
        <v>3. Migration réalisée</v>
      </c>
      <c r="N892" t="str">
        <f ca="1">IFERROR(__xludf.DUMMYFUNCTION("""COMPUTED_VALUE"""),"")</f>
        <v/>
      </c>
      <c r="O892" t="str">
        <f ca="1">IFERROR(__xludf.DUMMYFUNCTION("""COMPUTED_VALUE"""),"21/1 FMR : appel client pour l'informer; contact : M Brosseau
06/02 RLO : Migration Réalisée ")</f>
        <v xml:space="preserve">21/1 FMR : appel client pour l'informer; contact : M Brosseau
06/02 RLO : Migration Réalisée </v>
      </c>
      <c r="P892">
        <f ca="1">IFERROR(__xludf.DUMMYFUNCTION("""COMPUTED_VALUE"""),6)</f>
        <v>6</v>
      </c>
      <c r="Q892" s="5" t="str">
        <f ca="1">IFERROR(__xludf.DUMMYFUNCTION("""COMPUTED_VALUE"""),"")</f>
        <v/>
      </c>
      <c r="R892" s="6">
        <f ca="1">IFERROR(__xludf.DUMMYFUNCTION("""COMPUTED_VALUE"""),43502.375)</f>
        <v>43502.375</v>
      </c>
      <c r="S892" t="str">
        <f ca="1">IFERROR(__xludf.DUMMYFUNCTION("""COMPUTED_VALUE"""),"MEP8518069")</f>
        <v>MEP8518069</v>
      </c>
      <c r="T892" t="str">
        <f ca="1">IFERROR(__xludf.DUMMYFUNCTION("""COMPUTED_VALUE"""),"MEP8518070")</f>
        <v>MEP8518070</v>
      </c>
      <c r="U892" t="str">
        <f ca="1">IFERROR(__xludf.DUMMYFUNCTION("""COMPUTED_VALUE"""),"")</f>
        <v/>
      </c>
      <c r="V892" t="str">
        <f ca="1">IFERROR(__xludf.DUMMYFUNCTION("""COMPUTED_VALUE"""),"10.185.208.237")</f>
        <v>10.185.208.237</v>
      </c>
      <c r="W892" t="str">
        <f ca="1">IFERROR(__xludf.DUMMYFUNCTION("""COMPUTED_VALUE"""),"R5")</f>
        <v>R5</v>
      </c>
      <c r="X892" t="str">
        <f ca="1">IFERROR(__xludf.DUMMYFUNCTION("""COMPUTED_VALUE"""),"U StoreBox")</f>
        <v>U StoreBox</v>
      </c>
      <c r="Y892" t="str">
        <f ca="1">IFERROR(__xludf.DUMMYFUNCTION("""COMPUTED_VALUE"""),"Primo")</f>
        <v>Primo</v>
      </c>
      <c r="Z892" t="str">
        <f ca="1">IFERROR(__xludf.DUMMYFUNCTION("""COMPUTED_VALUE"""),"")</f>
        <v/>
      </c>
      <c r="AA892" t="str">
        <f ca="1">IFERROR(__xludf.DUMMYFUNCTION("""COMPUTED_VALUE"""),"Terminé")</f>
        <v>Terminé</v>
      </c>
      <c r="AB892" s="8">
        <f ca="1">IFERROR(__xludf.DUMMYFUNCTION("""COMPUTED_VALUE"""),43500)</f>
        <v>43500</v>
      </c>
      <c r="AC892" s="8">
        <f ca="1">IFERROR(__xludf.DUMMYFUNCTION("""COMPUTED_VALUE"""),43503)</f>
        <v>43503</v>
      </c>
      <c r="AD892" s="11">
        <f ca="1">IFERROR(__xludf.DUMMYFUNCTION("""COMPUTED_VALUE"""),43522)</f>
        <v>43522</v>
      </c>
      <c r="AE892" t="str">
        <f ca="1">IFERROR(__xludf.DUMMYFUNCTION("""COMPUTED_VALUE"""),"démarrage prévu le 7/02")</f>
        <v>démarrage prévu le 7/02</v>
      </c>
    </row>
    <row r="893" spans="1:31" ht="12.75" x14ac:dyDescent="0.2">
      <c r="A893">
        <f ca="1">IFERROR(__xludf.DUMMYFUNCTION("""COMPUTED_VALUE"""),96973)</f>
        <v>96973</v>
      </c>
      <c r="B893" t="str">
        <f ca="1">IFERROR(__xludf.DUMMYFUNCTION("""COMPUTED_VALUE"""),"SAUVETERRE DE GUYENNE")</f>
        <v>SAUVETERRE DE GUYENNE</v>
      </c>
      <c r="C893" t="str">
        <f ca="1">IFERROR(__xludf.DUMMYFUNCTION("""COMPUTED_VALUE"""),"Super U")</f>
        <v>Super U</v>
      </c>
      <c r="D893" t="str">
        <f ca="1">IFERROR(__xludf.DUMMYFUNCTION("""COMPUTED_VALUE"""),"Coop U Enseigne Sud")</f>
        <v>Coop U Enseigne Sud</v>
      </c>
      <c r="E893">
        <f ca="1">IFERROR(__xludf.DUMMYFUNCTION("""COMPUTED_VALUE"""),33540)</f>
        <v>33540</v>
      </c>
      <c r="F893" t="str">
        <f ca="1">IFERROR(__xludf.DUMMYFUNCTION("""COMPUTED_VALUE"""),"ROUTE DE LIBOURNE - BP 29")</f>
        <v>ROUTE DE LIBOURNE - BP 29</v>
      </c>
      <c r="G893" t="str">
        <f ca="1">IFERROR(__xludf.DUMMYFUNCTION("""COMPUTED_VALUE"""),"05.56.71.59.21")</f>
        <v>05.56.71.59.21</v>
      </c>
      <c r="H893" t="str">
        <f ca="1">IFERROR(__xludf.DUMMYFUNCTION("""COMPUTED_VALUE"""),"BEAUX Roger")</f>
        <v>BEAUX Roger</v>
      </c>
      <c r="I893" t="str">
        <f ca="1">IFERROR(__xludf.DUMMYFUNCTION("""COMPUTED_VALUE"""),"roger.beaux@systeme-u.fr")</f>
        <v>roger.beaux@systeme-u.fr</v>
      </c>
      <c r="J893" t="str">
        <f ca="1">IFERROR(__xludf.DUMMYFUNCTION("""COMPUTED_VALUE"""),"Mme Beaux")</f>
        <v>Mme Beaux</v>
      </c>
      <c r="K893" t="str">
        <f ca="1">IFERROR(__xludf.DUMMYFUNCTION("""COMPUTED_VALUE"""),"claudine.beaux@systeme-u.fr")</f>
        <v>claudine.beaux@systeme-u.fr</v>
      </c>
      <c r="L893" t="str">
        <f ca="1">IFERROR(__xludf.DUMMYFUNCTION("""COMPUTED_VALUE"""),"")</f>
        <v/>
      </c>
      <c r="M893" t="str">
        <f ca="1">IFERROR(__xludf.DUMMYFUNCTION("""COMPUTED_VALUE"""),"99.Hors Périmetre")</f>
        <v>99.Hors Périmetre</v>
      </c>
      <c r="N893" t="str">
        <f ca="1">IFERROR(__xludf.DUMMYFUNCTION("""COMPUTED_VALUE"""),"")</f>
        <v/>
      </c>
      <c r="O893" t="str">
        <f ca="1">IFERROR(__xludf.DUMMYFUNCTION("""COMPUTED_VALUE"""),"")</f>
        <v/>
      </c>
      <c r="P893" t="str">
        <f ca="1">IFERROR(__xludf.DUMMYFUNCTION("""COMPUTED_VALUE"""),"")</f>
        <v/>
      </c>
      <c r="Q893" s="5" t="str">
        <f ca="1">IFERROR(__xludf.DUMMYFUNCTION("""COMPUTED_VALUE"""),"")</f>
        <v/>
      </c>
      <c r="R893" s="6" t="str">
        <f ca="1">IFERROR(__xludf.DUMMYFUNCTION("""COMPUTED_VALUE"""),"")</f>
        <v/>
      </c>
      <c r="S893" t="str">
        <f ca="1">IFERROR(__xludf.DUMMYFUNCTION("""COMPUTED_VALUE"""),"")</f>
        <v/>
      </c>
      <c r="T893" t="str">
        <f ca="1">IFERROR(__xludf.DUMMYFUNCTION("""COMPUTED_VALUE"""),"")</f>
        <v/>
      </c>
      <c r="U893" t="str">
        <f ca="1">IFERROR(__xludf.DUMMYFUNCTION("""COMPUTED_VALUE"""),"")</f>
        <v/>
      </c>
      <c r="V893" t="str">
        <f ca="1">IFERROR(__xludf.DUMMYFUNCTION("""COMPUTED_VALUE"""),"")</f>
        <v/>
      </c>
      <c r="W893" t="str">
        <f ca="1">IFERROR(__xludf.DUMMYFUNCTION("""COMPUTED_VALUE"""),"")</f>
        <v/>
      </c>
      <c r="X893" t="str">
        <f ca="1">IFERROR(__xludf.DUMMYFUNCTION("""COMPUTED_VALUE"""),"")</f>
        <v/>
      </c>
      <c r="Y893" t="str">
        <f ca="1">IFERROR(__xludf.DUMMYFUNCTION("""COMPUTED_VALUE"""),"")</f>
        <v/>
      </c>
      <c r="Z893" t="str">
        <f ca="1">IFERROR(__xludf.DUMMYFUNCTION("""COMPUTED_VALUE"""),"")</f>
        <v/>
      </c>
      <c r="AA893" t="str">
        <f ca="1">IFERROR(__xludf.DUMMYFUNCTION("""COMPUTED_VALUE"""),"Pas de commande")</f>
        <v>Pas de commande</v>
      </c>
      <c r="AB893" s="8" t="str">
        <f ca="1">IFERROR(__xludf.DUMMYFUNCTION("""COMPUTED_VALUE"""),"")</f>
        <v/>
      </c>
      <c r="AC893" s="8" t="str">
        <f ca="1">IFERROR(__xludf.DUMMYFUNCTION("""COMPUTED_VALUE"""),"")</f>
        <v/>
      </c>
      <c r="AD893" s="11" t="str">
        <f ca="1">IFERROR(__xludf.DUMMYFUNCTION("""COMPUTED_VALUE"""),"")</f>
        <v/>
      </c>
      <c r="AE893" t="str">
        <f ca="1">IFERROR(__xludf.DUMMYFUNCTION("""COMPUTED_VALUE"""),"")</f>
        <v/>
      </c>
    </row>
    <row r="894" spans="1:31" ht="12.75" x14ac:dyDescent="0.2">
      <c r="A894">
        <f ca="1">IFERROR(__xludf.DUMMYFUNCTION("""COMPUTED_VALUE"""),60063)</f>
        <v>60063</v>
      </c>
      <c r="B894" t="str">
        <f ca="1">IFERROR(__xludf.DUMMYFUNCTION("""COMPUTED_VALUE"""),"SAVERNE")</f>
        <v>SAVERNE</v>
      </c>
      <c r="C894" t="str">
        <f ca="1">IFERROR(__xludf.DUMMYFUNCTION("""COMPUTED_VALUE"""),"Super U")</f>
        <v>Super U</v>
      </c>
      <c r="D894" t="str">
        <f ca="1">IFERROR(__xludf.DUMMYFUNCTION("""COMPUTED_VALUE"""),"Coop U Enseigne Est")</f>
        <v>Coop U Enseigne Est</v>
      </c>
      <c r="E894">
        <f ca="1">IFERROR(__xludf.DUMMYFUNCTION("""COMPUTED_VALUE"""),67700)</f>
        <v>67700</v>
      </c>
      <c r="F894" t="str">
        <f ca="1">IFERROR(__xludf.DUMMYFUNCTION("""COMPUTED_VALUE"""),"15 rue des Bains")</f>
        <v>15 rue des Bains</v>
      </c>
      <c r="G894" t="str">
        <f ca="1">IFERROR(__xludf.DUMMYFUNCTION("""COMPUTED_VALUE"""),"03.88.03.14.14")</f>
        <v>03.88.03.14.14</v>
      </c>
      <c r="H894" t="str">
        <f ca="1">IFERROR(__xludf.DUMMYFUNCTION("""COMPUTED_VALUE"""),"MORENO RPT SAS PAMIFLAU Michel")</f>
        <v>MORENO RPT SAS PAMIFLAU Michel</v>
      </c>
      <c r="I894" t="str">
        <f ca="1">IFERROR(__xludf.DUMMYFUNCTION("""COMPUTED_VALUE"""),"michel.moreno@systeme-u.fr")</f>
        <v>michel.moreno@systeme-u.fr</v>
      </c>
      <c r="J894" t="str">
        <f ca="1">IFERROR(__xludf.DUMMYFUNCTION("""COMPUTED_VALUE"""),"M. François MORENO ")</f>
        <v xml:space="preserve">M. François MORENO </v>
      </c>
      <c r="K894" t="str">
        <f ca="1">IFERROR(__xludf.DUMMYFUNCTION("""COMPUTED_VALUE"""),"superu.saverne.directeur@systeme-u.fr, superu.saverne@systeme-u.fr")</f>
        <v>superu.saverne.directeur@systeme-u.fr, superu.saverne@systeme-u.fr</v>
      </c>
      <c r="L894" t="str">
        <f ca="1">IFERROR(__xludf.DUMMYFUNCTION("""COMPUTED_VALUE"""),"")</f>
        <v/>
      </c>
      <c r="M894" t="str">
        <f ca="1">IFERROR(__xludf.DUMMYFUNCTION("""COMPUTED_VALUE"""),"99.Hors Périmetre")</f>
        <v>99.Hors Périmetre</v>
      </c>
      <c r="N894" t="str">
        <f ca="1">IFERROR(__xludf.DUMMYFUNCTION("""COMPUTED_VALUE"""),"")</f>
        <v/>
      </c>
      <c r="O894" t="str">
        <f ca="1">IFERROR(__xludf.DUMMYFUNCTION("""COMPUTED_VALUE"""),"")</f>
        <v/>
      </c>
      <c r="P894" t="str">
        <f ca="1">IFERROR(__xludf.DUMMYFUNCTION("""COMPUTED_VALUE"""),"")</f>
        <v/>
      </c>
      <c r="Q894" s="5" t="str">
        <f ca="1">IFERROR(__xludf.DUMMYFUNCTION("""COMPUTED_VALUE"""),"")</f>
        <v/>
      </c>
      <c r="R894" s="6" t="str">
        <f ca="1">IFERROR(__xludf.DUMMYFUNCTION("""COMPUTED_VALUE"""),"")</f>
        <v/>
      </c>
      <c r="S894" t="str">
        <f ca="1">IFERROR(__xludf.DUMMYFUNCTION("""COMPUTED_VALUE"""),"")</f>
        <v/>
      </c>
      <c r="T894" t="str">
        <f ca="1">IFERROR(__xludf.DUMMYFUNCTION("""COMPUTED_VALUE"""),"")</f>
        <v/>
      </c>
      <c r="U894" t="str">
        <f ca="1">IFERROR(__xludf.DUMMYFUNCTION("""COMPUTED_VALUE"""),"")</f>
        <v/>
      </c>
      <c r="V894" t="str">
        <f ca="1">IFERROR(__xludf.DUMMYFUNCTION("""COMPUTED_VALUE"""),"")</f>
        <v/>
      </c>
      <c r="W894" t="str">
        <f ca="1">IFERROR(__xludf.DUMMYFUNCTION("""COMPUTED_VALUE"""),"")</f>
        <v/>
      </c>
      <c r="X894" t="str">
        <f ca="1">IFERROR(__xludf.DUMMYFUNCTION("""COMPUTED_VALUE"""),"")</f>
        <v/>
      </c>
      <c r="Y894" t="str">
        <f ca="1">IFERROR(__xludf.DUMMYFUNCTION("""COMPUTED_VALUE"""),"")</f>
        <v/>
      </c>
      <c r="Z894" t="str">
        <f ca="1">IFERROR(__xludf.DUMMYFUNCTION("""COMPUTED_VALUE"""),"")</f>
        <v/>
      </c>
      <c r="AA894" t="str">
        <f ca="1">IFERROR(__xludf.DUMMYFUNCTION("""COMPUTED_VALUE"""),"Pas de commande")</f>
        <v>Pas de commande</v>
      </c>
      <c r="AB894" s="8" t="str">
        <f ca="1">IFERROR(__xludf.DUMMYFUNCTION("""COMPUTED_VALUE"""),"")</f>
        <v/>
      </c>
      <c r="AC894" s="8" t="str">
        <f ca="1">IFERROR(__xludf.DUMMYFUNCTION("""COMPUTED_VALUE"""),"")</f>
        <v/>
      </c>
      <c r="AD894" s="11" t="str">
        <f ca="1">IFERROR(__xludf.DUMMYFUNCTION("""COMPUTED_VALUE"""),"")</f>
        <v/>
      </c>
      <c r="AE894" t="str">
        <f ca="1">IFERROR(__xludf.DUMMYFUNCTION("""COMPUTED_VALUE"""),"")</f>
        <v/>
      </c>
    </row>
    <row r="895" spans="1:31" ht="12.75" x14ac:dyDescent="0.2">
      <c r="A895">
        <f ca="1">IFERROR(__xludf.DUMMYFUNCTION("""COMPUTED_VALUE"""),32941)</f>
        <v>32941</v>
      </c>
      <c r="B895" t="str">
        <f ca="1">IFERROR(__xludf.DUMMYFUNCTION("""COMPUTED_VALUE"""),"SAVIGNE-LATHAN")</f>
        <v>SAVIGNE-LATHAN</v>
      </c>
      <c r="C895" t="str">
        <f ca="1">IFERROR(__xludf.DUMMYFUNCTION("""COMPUTED_VALUE"""),"Super U")</f>
        <v>Super U</v>
      </c>
      <c r="D895" t="str">
        <f ca="1">IFERROR(__xludf.DUMMYFUNCTION("""COMPUTED_VALUE"""),"Coop U Enseigne Ouest")</f>
        <v>Coop U Enseigne Ouest</v>
      </c>
      <c r="E895">
        <f ca="1">IFERROR(__xludf.DUMMYFUNCTION("""COMPUTED_VALUE"""),37340)</f>
        <v>37340</v>
      </c>
      <c r="F895" t="str">
        <f ca="1">IFERROR(__xludf.DUMMYFUNCTION("""COMPUTED_VALUE"""),"RUE DE LA GARE")</f>
        <v>RUE DE LA GARE</v>
      </c>
      <c r="G895" t="str">
        <f ca="1">IFERROR(__xludf.DUMMYFUNCTION("""COMPUTED_VALUE"""),"02.47.24.22.90")</f>
        <v>02.47.24.22.90</v>
      </c>
      <c r="H895" t="str">
        <f ca="1">IFERROR(__xludf.DUMMYFUNCTION("""COMPUTED_VALUE"""),"MARCHESSEAU RPT SARL SEMAFI Sébastien")</f>
        <v>MARCHESSEAU RPT SARL SEMAFI Sébastien</v>
      </c>
      <c r="I895" t="str">
        <f ca="1">IFERROR(__xludf.DUMMYFUNCTION("""COMPUTED_VALUE"""),"sebastien.marchesseau@systeme-u.fr")</f>
        <v>sebastien.marchesseau@systeme-u.fr</v>
      </c>
      <c r="J895" t="str">
        <f ca="1">IFERROR(__xludf.DUMMYFUNCTION("""COMPUTED_VALUE"""),"MESLET Silviane")</f>
        <v>MESLET Silviane</v>
      </c>
      <c r="K895" t="str">
        <f ca="1">IFERROR(__xludf.DUMMYFUNCTION("""COMPUTED_VALUE"""),"superu.savignelathan.compta@systeme-u.fr")</f>
        <v>superu.savignelathan.compta@systeme-u.fr</v>
      </c>
      <c r="L895" t="str">
        <f ca="1">IFERROR(__xludf.DUMMYFUNCTION("""COMPUTED_VALUE"""),"")</f>
        <v/>
      </c>
      <c r="M895" t="str">
        <f ca="1">IFERROR(__xludf.DUMMYFUNCTION("""COMPUTED_VALUE"""),"99.Hors Périmetre")</f>
        <v>99.Hors Périmetre</v>
      </c>
      <c r="N895" t="str">
        <f ca="1">IFERROR(__xludf.DUMMYFUNCTION("""COMPUTED_VALUE"""),"")</f>
        <v/>
      </c>
      <c r="O895" t="str">
        <f ca="1">IFERROR(__xludf.DUMMYFUNCTION("""COMPUTED_VALUE"""),"")</f>
        <v/>
      </c>
      <c r="P895" t="str">
        <f ca="1">IFERROR(__xludf.DUMMYFUNCTION("""COMPUTED_VALUE"""),"")</f>
        <v/>
      </c>
      <c r="Q895" s="5" t="str">
        <f ca="1">IFERROR(__xludf.DUMMYFUNCTION("""COMPUTED_VALUE"""),"")</f>
        <v/>
      </c>
      <c r="R895" s="6" t="str">
        <f ca="1">IFERROR(__xludf.DUMMYFUNCTION("""COMPUTED_VALUE"""),"")</f>
        <v/>
      </c>
      <c r="S895" t="str">
        <f ca="1">IFERROR(__xludf.DUMMYFUNCTION("""COMPUTED_VALUE"""),"")</f>
        <v/>
      </c>
      <c r="T895" t="str">
        <f ca="1">IFERROR(__xludf.DUMMYFUNCTION("""COMPUTED_VALUE"""),"")</f>
        <v/>
      </c>
      <c r="U895" t="str">
        <f ca="1">IFERROR(__xludf.DUMMYFUNCTION("""COMPUTED_VALUE"""),"")</f>
        <v/>
      </c>
      <c r="V895" t="str">
        <f ca="1">IFERROR(__xludf.DUMMYFUNCTION("""COMPUTED_VALUE"""),"")</f>
        <v/>
      </c>
      <c r="W895" t="str">
        <f ca="1">IFERROR(__xludf.DUMMYFUNCTION("""COMPUTED_VALUE"""),"")</f>
        <v/>
      </c>
      <c r="X895" t="str">
        <f ca="1">IFERROR(__xludf.DUMMYFUNCTION("""COMPUTED_VALUE"""),"")</f>
        <v/>
      </c>
      <c r="Y895" t="str">
        <f ca="1">IFERROR(__xludf.DUMMYFUNCTION("""COMPUTED_VALUE"""),"")</f>
        <v/>
      </c>
      <c r="Z895" t="str">
        <f ca="1">IFERROR(__xludf.DUMMYFUNCTION("""COMPUTED_VALUE"""),"")</f>
        <v/>
      </c>
      <c r="AA895" t="str">
        <f ca="1">IFERROR(__xludf.DUMMYFUNCTION("""COMPUTED_VALUE"""),"Pas de commande")</f>
        <v>Pas de commande</v>
      </c>
      <c r="AB895" s="8" t="str">
        <f ca="1">IFERROR(__xludf.DUMMYFUNCTION("""COMPUTED_VALUE"""),"")</f>
        <v/>
      </c>
      <c r="AC895" s="8" t="str">
        <f ca="1">IFERROR(__xludf.DUMMYFUNCTION("""COMPUTED_VALUE"""),"")</f>
        <v/>
      </c>
      <c r="AD895" s="11" t="str">
        <f ca="1">IFERROR(__xludf.DUMMYFUNCTION("""COMPUTED_VALUE"""),"")</f>
        <v/>
      </c>
      <c r="AE895" t="str">
        <f ca="1">IFERROR(__xludf.DUMMYFUNCTION("""COMPUTED_VALUE"""),"")</f>
        <v/>
      </c>
    </row>
    <row r="896" spans="1:31" ht="12.75" x14ac:dyDescent="0.2">
      <c r="A896">
        <f ca="1">IFERROR(__xludf.DUMMYFUNCTION("""COMPUTED_VALUE"""),66165)</f>
        <v>66165</v>
      </c>
      <c r="B896" t="str">
        <f ca="1">IFERROR(__xludf.DUMMYFUNCTION("""COMPUTED_VALUE"""),"SAVIGNEUX")</f>
        <v>SAVIGNEUX</v>
      </c>
      <c r="C896" t="str">
        <f ca="1">IFERROR(__xludf.DUMMYFUNCTION("""COMPUTED_VALUE"""),"Super U")</f>
        <v>Super U</v>
      </c>
      <c r="D896" t="str">
        <f ca="1">IFERROR(__xludf.DUMMYFUNCTION("""COMPUTED_VALUE"""),"Coop U Enseigne Est")</f>
        <v>Coop U Enseigne Est</v>
      </c>
      <c r="E896">
        <f ca="1">IFERROR(__xludf.DUMMYFUNCTION("""COMPUTED_VALUE"""),42600)</f>
        <v>42600</v>
      </c>
      <c r="F896" t="str">
        <f ca="1">IFERROR(__xludf.DUMMYFUNCTION("""COMPUTED_VALUE"""),"Route de Lyon")</f>
        <v>Route de Lyon</v>
      </c>
      <c r="G896" t="str">
        <f ca="1">IFERROR(__xludf.DUMMYFUNCTION("""COMPUTED_VALUE"""),"04.77.58.02.83")</f>
        <v>04.77.58.02.83</v>
      </c>
      <c r="H896" t="str">
        <f ca="1">IFERROR(__xludf.DUMMYFUNCTION("""COMPUTED_VALUE"""),"BOUTREUX RPT SAS FRELO IMMO Frédéric")</f>
        <v>BOUTREUX RPT SAS FRELO IMMO Frédéric</v>
      </c>
      <c r="I896" t="str">
        <f ca="1">IFERROR(__xludf.DUMMYFUNCTION("""COMPUTED_VALUE"""),"frederic.boutreux@systeme-u.fr")</f>
        <v>frederic.boutreux@systeme-u.fr</v>
      </c>
      <c r="J896" t="str">
        <f ca="1">IFERROR(__xludf.DUMMYFUNCTION("""COMPUTED_VALUE"""),"JOLLIOT Fabien")</f>
        <v>JOLLIOT Fabien</v>
      </c>
      <c r="K896" t="str">
        <f ca="1">IFERROR(__xludf.DUMMYFUNCTION("""COMPUTED_VALUE"""),"superu.savigneux.direction@systeme-u.fr")</f>
        <v>superu.savigneux.direction@systeme-u.fr</v>
      </c>
      <c r="L896" t="str">
        <f ca="1">IFERROR(__xludf.DUMMYFUNCTION("""COMPUTED_VALUE"""),"")</f>
        <v/>
      </c>
      <c r="M896" t="str">
        <f ca="1">IFERROR(__xludf.DUMMYFUNCTION("""COMPUTED_VALUE"""),"99.Hors Périmetre")</f>
        <v>99.Hors Périmetre</v>
      </c>
      <c r="N896" t="str">
        <f ca="1">IFERROR(__xludf.DUMMYFUNCTION("""COMPUTED_VALUE"""),"")</f>
        <v/>
      </c>
      <c r="O896" t="str">
        <f ca="1">IFERROR(__xludf.DUMMYFUNCTION("""COMPUTED_VALUE"""),"")</f>
        <v/>
      </c>
      <c r="P896" t="str">
        <f ca="1">IFERROR(__xludf.DUMMYFUNCTION("""COMPUTED_VALUE"""),"")</f>
        <v/>
      </c>
      <c r="Q896" s="5" t="str">
        <f ca="1">IFERROR(__xludf.DUMMYFUNCTION("""COMPUTED_VALUE"""),"")</f>
        <v/>
      </c>
      <c r="R896" s="6" t="str">
        <f ca="1">IFERROR(__xludf.DUMMYFUNCTION("""COMPUTED_VALUE"""),"")</f>
        <v/>
      </c>
      <c r="S896" t="str">
        <f ca="1">IFERROR(__xludf.DUMMYFUNCTION("""COMPUTED_VALUE"""),"")</f>
        <v/>
      </c>
      <c r="T896" t="str">
        <f ca="1">IFERROR(__xludf.DUMMYFUNCTION("""COMPUTED_VALUE"""),"")</f>
        <v/>
      </c>
      <c r="U896" t="str">
        <f ca="1">IFERROR(__xludf.DUMMYFUNCTION("""COMPUTED_VALUE"""),"")</f>
        <v/>
      </c>
      <c r="V896" t="str">
        <f ca="1">IFERROR(__xludf.DUMMYFUNCTION("""COMPUTED_VALUE"""),"")</f>
        <v/>
      </c>
      <c r="W896" t="str">
        <f ca="1">IFERROR(__xludf.DUMMYFUNCTION("""COMPUTED_VALUE"""),"")</f>
        <v/>
      </c>
      <c r="X896" t="str">
        <f ca="1">IFERROR(__xludf.DUMMYFUNCTION("""COMPUTED_VALUE"""),"")</f>
        <v/>
      </c>
      <c r="Y896" t="str">
        <f ca="1">IFERROR(__xludf.DUMMYFUNCTION("""COMPUTED_VALUE"""),"")</f>
        <v/>
      </c>
      <c r="Z896" t="str">
        <f ca="1">IFERROR(__xludf.DUMMYFUNCTION("""COMPUTED_VALUE"""),"")</f>
        <v/>
      </c>
      <c r="AA896" t="str">
        <f ca="1">IFERROR(__xludf.DUMMYFUNCTION("""COMPUTED_VALUE"""),"Pas de commande")</f>
        <v>Pas de commande</v>
      </c>
      <c r="AB896" s="8" t="str">
        <f ca="1">IFERROR(__xludf.DUMMYFUNCTION("""COMPUTED_VALUE"""),"")</f>
        <v/>
      </c>
      <c r="AC896" s="8" t="str">
        <f ca="1">IFERROR(__xludf.DUMMYFUNCTION("""COMPUTED_VALUE"""),"")</f>
        <v/>
      </c>
      <c r="AD896" s="11" t="str">
        <f ca="1">IFERROR(__xludf.DUMMYFUNCTION("""COMPUTED_VALUE"""),"")</f>
        <v/>
      </c>
      <c r="AE896" t="str">
        <f ca="1">IFERROR(__xludf.DUMMYFUNCTION("""COMPUTED_VALUE"""),"")</f>
        <v/>
      </c>
    </row>
    <row r="897" spans="1:31" ht="12.75" x14ac:dyDescent="0.2">
      <c r="A897">
        <f ca="1">IFERROR(__xludf.DUMMYFUNCTION("""COMPUTED_VALUE"""),36467)</f>
        <v>36467</v>
      </c>
      <c r="B897" t="str">
        <f ca="1">IFERROR(__xludf.DUMMYFUNCTION("""COMPUTED_VALUE"""),"SECONDIGNY")</f>
        <v>SECONDIGNY</v>
      </c>
      <c r="C897" t="str">
        <f ca="1">IFERROR(__xludf.DUMMYFUNCTION("""COMPUTED_VALUE"""),"Super U")</f>
        <v>Super U</v>
      </c>
      <c r="D897" t="str">
        <f ca="1">IFERROR(__xludf.DUMMYFUNCTION("""COMPUTED_VALUE"""),"Coop U Enseigne Ouest")</f>
        <v>Coop U Enseigne Ouest</v>
      </c>
      <c r="E897">
        <f ca="1">IFERROR(__xludf.DUMMYFUNCTION("""COMPUTED_VALUE"""),79130)</f>
        <v>79130</v>
      </c>
      <c r="F897" t="str">
        <f ca="1">IFERROR(__xludf.DUMMYFUNCTION("""COMPUTED_VALUE"""),"2, PLACE DU MARCHÉ")</f>
        <v>2, PLACE DU MARCHÉ</v>
      </c>
      <c r="G897" t="str">
        <f ca="1">IFERROR(__xludf.DUMMYFUNCTION("""COMPUTED_VALUE"""),"05.49.63.70.54")</f>
        <v>05.49.63.70.54</v>
      </c>
      <c r="H897" t="str">
        <f ca="1">IFERROR(__xludf.DUMMYFUNCTION("""COMPUTED_VALUE"""),"GAUTREAU Nathalie")</f>
        <v>GAUTREAU Nathalie</v>
      </c>
      <c r="I897" t="str">
        <f ca="1">IFERROR(__xludf.DUMMYFUNCTION("""COMPUTED_VALUE"""),"nathalie.bodin@systeme-u.fr")</f>
        <v>nathalie.bodin@systeme-u.fr</v>
      </c>
      <c r="J897" t="str">
        <f ca="1">IFERROR(__xludf.DUMMYFUNCTION("""COMPUTED_VALUE"""),"")</f>
        <v/>
      </c>
      <c r="K897" t="str">
        <f ca="1">IFERROR(__xludf.DUMMYFUNCTION("""COMPUTED_VALUE"""),"")</f>
        <v/>
      </c>
      <c r="L897" t="str">
        <f ca="1">IFERROR(__xludf.DUMMYFUNCTION("""COMPUTED_VALUE"""),"")</f>
        <v/>
      </c>
      <c r="M897" t="str">
        <f ca="1">IFERROR(__xludf.DUMMYFUNCTION("""COMPUTED_VALUE"""),"99.Hors Périmetre")</f>
        <v>99.Hors Périmetre</v>
      </c>
      <c r="N897" t="str">
        <f ca="1">IFERROR(__xludf.DUMMYFUNCTION("""COMPUTED_VALUE"""),"")</f>
        <v/>
      </c>
      <c r="O897" t="str">
        <f ca="1">IFERROR(__xludf.DUMMYFUNCTION("""COMPUTED_VALUE"""),"")</f>
        <v/>
      </c>
      <c r="P897" t="str">
        <f ca="1">IFERROR(__xludf.DUMMYFUNCTION("""COMPUTED_VALUE"""),"")</f>
        <v/>
      </c>
      <c r="Q897" s="5" t="str">
        <f ca="1">IFERROR(__xludf.DUMMYFUNCTION("""COMPUTED_VALUE"""),"")</f>
        <v/>
      </c>
      <c r="R897" s="6" t="str">
        <f ca="1">IFERROR(__xludf.DUMMYFUNCTION("""COMPUTED_VALUE"""),"")</f>
        <v/>
      </c>
      <c r="S897" t="str">
        <f ca="1">IFERROR(__xludf.DUMMYFUNCTION("""COMPUTED_VALUE"""),"")</f>
        <v/>
      </c>
      <c r="T897" t="str">
        <f ca="1">IFERROR(__xludf.DUMMYFUNCTION("""COMPUTED_VALUE"""),"")</f>
        <v/>
      </c>
      <c r="U897" t="str">
        <f ca="1">IFERROR(__xludf.DUMMYFUNCTION("""COMPUTED_VALUE"""),"")</f>
        <v/>
      </c>
      <c r="V897" t="str">
        <f ca="1">IFERROR(__xludf.DUMMYFUNCTION("""COMPUTED_VALUE"""),"")</f>
        <v/>
      </c>
      <c r="W897" t="str">
        <f ca="1">IFERROR(__xludf.DUMMYFUNCTION("""COMPUTED_VALUE"""),"")</f>
        <v/>
      </c>
      <c r="X897" t="str">
        <f ca="1">IFERROR(__xludf.DUMMYFUNCTION("""COMPUTED_VALUE"""),"")</f>
        <v/>
      </c>
      <c r="Y897" t="str">
        <f ca="1">IFERROR(__xludf.DUMMYFUNCTION("""COMPUTED_VALUE"""),"")</f>
        <v/>
      </c>
      <c r="Z897" t="str">
        <f ca="1">IFERROR(__xludf.DUMMYFUNCTION("""COMPUTED_VALUE"""),"")</f>
        <v/>
      </c>
      <c r="AA897" t="str">
        <f ca="1">IFERROR(__xludf.DUMMYFUNCTION("""COMPUTED_VALUE"""),"Pas de commande")</f>
        <v>Pas de commande</v>
      </c>
      <c r="AB897" s="8" t="str">
        <f ca="1">IFERROR(__xludf.DUMMYFUNCTION("""COMPUTED_VALUE"""),"")</f>
        <v/>
      </c>
      <c r="AC897" s="8" t="str">
        <f ca="1">IFERROR(__xludf.DUMMYFUNCTION("""COMPUTED_VALUE"""),"")</f>
        <v/>
      </c>
      <c r="AD897" s="11" t="str">
        <f ca="1">IFERROR(__xludf.DUMMYFUNCTION("""COMPUTED_VALUE"""),"")</f>
        <v/>
      </c>
      <c r="AE897" t="str">
        <f ca="1">IFERROR(__xludf.DUMMYFUNCTION("""COMPUTED_VALUE"""),"")</f>
        <v/>
      </c>
    </row>
    <row r="898" spans="1:31" ht="12.75" x14ac:dyDescent="0.2">
      <c r="A898">
        <f ca="1">IFERROR(__xludf.DUMMYFUNCTION("""COMPUTED_VALUE"""),31880)</f>
        <v>31880</v>
      </c>
      <c r="B898" t="str">
        <f ca="1">IFERROR(__xludf.DUMMYFUNCTION("""COMPUTED_VALUE"""),"SEGRE")</f>
        <v>SEGRE</v>
      </c>
      <c r="C898" t="str">
        <f ca="1">IFERROR(__xludf.DUMMYFUNCTION("""COMPUTED_VALUE"""),"Super U")</f>
        <v>Super U</v>
      </c>
      <c r="D898" t="str">
        <f ca="1">IFERROR(__xludf.DUMMYFUNCTION("""COMPUTED_VALUE"""),"Coop U Enseigne Ouest")</f>
        <v>Coop U Enseigne Ouest</v>
      </c>
      <c r="E898">
        <f ca="1">IFERROR(__xludf.DUMMYFUNCTION("""COMPUTED_VALUE"""),49500)</f>
        <v>49500</v>
      </c>
      <c r="F898" t="str">
        <f ca="1">IFERROR(__xludf.DUMMYFUNCTION("""COMPUTED_VALUE"""),"ROUTE DE LAVAL")</f>
        <v>ROUTE DE LAVAL</v>
      </c>
      <c r="G898" t="str">
        <f ca="1">IFERROR(__xludf.DUMMYFUNCTION("""COMPUTED_VALUE"""),"02.41.92.10.31")</f>
        <v>02.41.92.10.31</v>
      </c>
      <c r="H898" t="str">
        <f ca="1">IFERROR(__xludf.DUMMYFUNCTION("""COMPUTED_VALUE"""),"GARANDEAU Didier")</f>
        <v>GARANDEAU Didier</v>
      </c>
      <c r="I898" t="str">
        <f ca="1">IFERROR(__xludf.DUMMYFUNCTION("""COMPUTED_VALUE"""),"didier.garandeau@systeme-u.fr")</f>
        <v>didier.garandeau@systeme-u.fr</v>
      </c>
      <c r="J898" t="str">
        <f ca="1">IFERROR(__xludf.DUMMYFUNCTION("""COMPUTED_VALUE"""),"Geslin Jean-Baptiste")</f>
        <v>Geslin Jean-Baptiste</v>
      </c>
      <c r="K898" t="str">
        <f ca="1">IFERROR(__xludf.DUMMYFUNCTION("""COMPUTED_VALUE"""),"superu.segre.direction@systeme-u.fr")</f>
        <v>superu.segre.direction@systeme-u.fr</v>
      </c>
      <c r="L898" t="str">
        <f ca="1">IFERROR(__xludf.DUMMYFUNCTION("""COMPUTED_VALUE"""),"")</f>
        <v/>
      </c>
      <c r="M898" t="str">
        <f ca="1">IFERROR(__xludf.DUMMYFUNCTION("""COMPUTED_VALUE"""),"99.Hors Périmetre")</f>
        <v>99.Hors Périmetre</v>
      </c>
      <c r="N898" t="str">
        <f ca="1">IFERROR(__xludf.DUMMYFUNCTION("""COMPUTED_VALUE"""),"")</f>
        <v/>
      </c>
      <c r="O898" t="str">
        <f ca="1">IFERROR(__xludf.DUMMYFUNCTION("""COMPUTED_VALUE"""),"")</f>
        <v/>
      </c>
      <c r="P898" t="str">
        <f ca="1">IFERROR(__xludf.DUMMYFUNCTION("""COMPUTED_VALUE"""),"")</f>
        <v/>
      </c>
      <c r="Q898" s="5" t="str">
        <f ca="1">IFERROR(__xludf.DUMMYFUNCTION("""COMPUTED_VALUE"""),"")</f>
        <v/>
      </c>
      <c r="R898" s="6" t="str">
        <f ca="1">IFERROR(__xludf.DUMMYFUNCTION("""COMPUTED_VALUE"""),"")</f>
        <v/>
      </c>
      <c r="S898" t="str">
        <f ca="1">IFERROR(__xludf.DUMMYFUNCTION("""COMPUTED_VALUE"""),"")</f>
        <v/>
      </c>
      <c r="T898" t="str">
        <f ca="1">IFERROR(__xludf.DUMMYFUNCTION("""COMPUTED_VALUE"""),"")</f>
        <v/>
      </c>
      <c r="U898" t="str">
        <f ca="1">IFERROR(__xludf.DUMMYFUNCTION("""COMPUTED_VALUE"""),"")</f>
        <v/>
      </c>
      <c r="V898" t="str">
        <f ca="1">IFERROR(__xludf.DUMMYFUNCTION("""COMPUTED_VALUE"""),"")</f>
        <v/>
      </c>
      <c r="W898" t="str">
        <f ca="1">IFERROR(__xludf.DUMMYFUNCTION("""COMPUTED_VALUE"""),"")</f>
        <v/>
      </c>
      <c r="X898" t="str">
        <f ca="1">IFERROR(__xludf.DUMMYFUNCTION("""COMPUTED_VALUE"""),"")</f>
        <v/>
      </c>
      <c r="Y898" t="str">
        <f ca="1">IFERROR(__xludf.DUMMYFUNCTION("""COMPUTED_VALUE"""),"")</f>
        <v/>
      </c>
      <c r="Z898" t="str">
        <f ca="1">IFERROR(__xludf.DUMMYFUNCTION("""COMPUTED_VALUE"""),"")</f>
        <v/>
      </c>
      <c r="AA898" t="str">
        <f ca="1">IFERROR(__xludf.DUMMYFUNCTION("""COMPUTED_VALUE"""),"Pas de commande")</f>
        <v>Pas de commande</v>
      </c>
      <c r="AB898" s="8" t="str">
        <f ca="1">IFERROR(__xludf.DUMMYFUNCTION("""COMPUTED_VALUE"""),"")</f>
        <v/>
      </c>
      <c r="AC898" s="8" t="str">
        <f ca="1">IFERROR(__xludf.DUMMYFUNCTION("""COMPUTED_VALUE"""),"")</f>
        <v/>
      </c>
      <c r="AD898" s="11" t="str">
        <f ca="1">IFERROR(__xludf.DUMMYFUNCTION("""COMPUTED_VALUE"""),"")</f>
        <v/>
      </c>
      <c r="AE898" t="str">
        <f ca="1">IFERROR(__xludf.DUMMYFUNCTION("""COMPUTED_VALUE"""),"")</f>
        <v/>
      </c>
    </row>
    <row r="899" spans="1:31" ht="12.75" x14ac:dyDescent="0.2">
      <c r="A899">
        <f ca="1">IFERROR(__xludf.DUMMYFUNCTION("""COMPUTED_VALUE"""),96987)</f>
        <v>96987</v>
      </c>
      <c r="B899" t="str">
        <f ca="1">IFERROR(__xludf.DUMMYFUNCTION("""COMPUTED_VALUE"""),"SEILHAC")</f>
        <v>SEILHAC</v>
      </c>
      <c r="C899" t="str">
        <f ca="1">IFERROR(__xludf.DUMMYFUNCTION("""COMPUTED_VALUE"""),"Super U")</f>
        <v>Super U</v>
      </c>
      <c r="D899" t="str">
        <f ca="1">IFERROR(__xludf.DUMMYFUNCTION("""COMPUTED_VALUE"""),"Coop U Enseigne Sud")</f>
        <v>Coop U Enseigne Sud</v>
      </c>
      <c r="E899">
        <f ca="1">IFERROR(__xludf.DUMMYFUNCTION("""COMPUTED_VALUE"""),19700)</f>
        <v>19700</v>
      </c>
      <c r="F899" t="str">
        <f ca="1">IFERROR(__xludf.DUMMYFUNCTION("""COMPUTED_VALUE"""),"29 AVENUE JEAN VINATIER")</f>
        <v>29 AVENUE JEAN VINATIER</v>
      </c>
      <c r="G899" t="str">
        <f ca="1">IFERROR(__xludf.DUMMYFUNCTION("""COMPUTED_VALUE"""),"05.55.27.02.50")</f>
        <v>05.55.27.02.50</v>
      </c>
      <c r="H899" t="str">
        <f ca="1">IFERROR(__xludf.DUMMYFUNCTION("""COMPUTED_VALUE"""),"PITEL Jean-François")</f>
        <v>PITEL Jean-François</v>
      </c>
      <c r="I899" t="str">
        <f ca="1">IFERROR(__xludf.DUMMYFUNCTION("""COMPUTED_VALUE"""),"jean-francois.pitel@systeme-u.fr")</f>
        <v>jean-francois.pitel@systeme-u.fr</v>
      </c>
      <c r="J899" t="str">
        <f ca="1">IFERROR(__xludf.DUMMYFUNCTION("""COMPUTED_VALUE"""),"")</f>
        <v/>
      </c>
      <c r="K899" t="str">
        <f ca="1">IFERROR(__xludf.DUMMYFUNCTION("""COMPUTED_VALUE"""),"")</f>
        <v/>
      </c>
      <c r="L899" t="str">
        <f ca="1">IFERROR(__xludf.DUMMYFUNCTION("""COMPUTED_VALUE"""),"")</f>
        <v/>
      </c>
      <c r="M899" t="str">
        <f ca="1">IFERROR(__xludf.DUMMYFUNCTION("""COMPUTED_VALUE"""),"99.Hors Périmetre")</f>
        <v>99.Hors Périmetre</v>
      </c>
      <c r="N899" t="str">
        <f ca="1">IFERROR(__xludf.DUMMYFUNCTION("""COMPUTED_VALUE"""),"")</f>
        <v/>
      </c>
      <c r="O899" t="str">
        <f ca="1">IFERROR(__xludf.DUMMYFUNCTION("""COMPUTED_VALUE"""),"")</f>
        <v/>
      </c>
      <c r="P899" t="str">
        <f ca="1">IFERROR(__xludf.DUMMYFUNCTION("""COMPUTED_VALUE"""),"")</f>
        <v/>
      </c>
      <c r="Q899" s="5" t="str">
        <f ca="1">IFERROR(__xludf.DUMMYFUNCTION("""COMPUTED_VALUE"""),"")</f>
        <v/>
      </c>
      <c r="R899" s="6" t="str">
        <f ca="1">IFERROR(__xludf.DUMMYFUNCTION("""COMPUTED_VALUE"""),"")</f>
        <v/>
      </c>
      <c r="S899" t="str">
        <f ca="1">IFERROR(__xludf.DUMMYFUNCTION("""COMPUTED_VALUE"""),"")</f>
        <v/>
      </c>
      <c r="T899" t="str">
        <f ca="1">IFERROR(__xludf.DUMMYFUNCTION("""COMPUTED_VALUE"""),"")</f>
        <v/>
      </c>
      <c r="U899" t="str">
        <f ca="1">IFERROR(__xludf.DUMMYFUNCTION("""COMPUTED_VALUE"""),"")</f>
        <v/>
      </c>
      <c r="V899" t="str">
        <f ca="1">IFERROR(__xludf.DUMMYFUNCTION("""COMPUTED_VALUE"""),"")</f>
        <v/>
      </c>
      <c r="W899" t="str">
        <f ca="1">IFERROR(__xludf.DUMMYFUNCTION("""COMPUTED_VALUE"""),"")</f>
        <v/>
      </c>
      <c r="X899" t="str">
        <f ca="1">IFERROR(__xludf.DUMMYFUNCTION("""COMPUTED_VALUE"""),"")</f>
        <v/>
      </c>
      <c r="Y899" t="str">
        <f ca="1">IFERROR(__xludf.DUMMYFUNCTION("""COMPUTED_VALUE"""),"")</f>
        <v/>
      </c>
      <c r="Z899" t="str">
        <f ca="1">IFERROR(__xludf.DUMMYFUNCTION("""COMPUTED_VALUE"""),"")</f>
        <v/>
      </c>
      <c r="AA899" t="str">
        <f ca="1">IFERROR(__xludf.DUMMYFUNCTION("""COMPUTED_VALUE"""),"Pas de commande")</f>
        <v>Pas de commande</v>
      </c>
      <c r="AB899" s="8" t="str">
        <f ca="1">IFERROR(__xludf.DUMMYFUNCTION("""COMPUTED_VALUE"""),"")</f>
        <v/>
      </c>
      <c r="AC899" s="8" t="str">
        <f ca="1">IFERROR(__xludf.DUMMYFUNCTION("""COMPUTED_VALUE"""),"")</f>
        <v/>
      </c>
      <c r="AD899" s="11" t="str">
        <f ca="1">IFERROR(__xludf.DUMMYFUNCTION("""COMPUTED_VALUE"""),"")</f>
        <v/>
      </c>
      <c r="AE899" t="str">
        <f ca="1">IFERROR(__xludf.DUMMYFUNCTION("""COMPUTED_VALUE"""),"")</f>
        <v/>
      </c>
    </row>
    <row r="900" spans="1:31" ht="12.75" x14ac:dyDescent="0.2">
      <c r="A900">
        <f ca="1">IFERROR(__xludf.DUMMYFUNCTION("""COMPUTED_VALUE"""),35789)</f>
        <v>35789</v>
      </c>
      <c r="B900" t="str">
        <f ca="1">IFERROR(__xludf.DUMMYFUNCTION("""COMPUTED_VALUE"""),"SELLES-SUR-CHER")</f>
        <v>SELLES-SUR-CHER</v>
      </c>
      <c r="C900" t="str">
        <f ca="1">IFERROR(__xludf.DUMMYFUNCTION("""COMPUTED_VALUE"""),"Super U")</f>
        <v>Super U</v>
      </c>
      <c r="D900" t="str">
        <f ca="1">IFERROR(__xludf.DUMMYFUNCTION("""COMPUTED_VALUE"""),"Coop U Enseigne Ouest")</f>
        <v>Coop U Enseigne Ouest</v>
      </c>
      <c r="E900">
        <f ca="1">IFERROR(__xludf.DUMMYFUNCTION("""COMPUTED_VALUE"""),41130)</f>
        <v>41130</v>
      </c>
      <c r="F900" t="str">
        <f ca="1">IFERROR(__xludf.DUMMYFUNCTION("""COMPUTED_VALUE"""),"LIEU-DIT LES GRANDS PANTALONS")</f>
        <v>LIEU-DIT LES GRANDS PANTALONS</v>
      </c>
      <c r="G900" t="str">
        <f ca="1">IFERROR(__xludf.DUMMYFUNCTION("""COMPUTED_VALUE"""),"02.54.96.18.25")</f>
        <v>02.54.96.18.25</v>
      </c>
      <c r="H900" t="str">
        <f ca="1">IFERROR(__xludf.DUMMYFUNCTION("""COMPUTED_VALUE"""),"DUPONT RPT SAS SCENODIS Sébastien")</f>
        <v>DUPONT RPT SAS SCENODIS Sébastien</v>
      </c>
      <c r="I900" t="str">
        <f ca="1">IFERROR(__xludf.DUMMYFUNCTION("""COMPUTED_VALUE"""),"sebastien.dupont@systeme-u.fr")</f>
        <v>sebastien.dupont@systeme-u.fr</v>
      </c>
      <c r="J900" t="str">
        <f ca="1">IFERROR(__xludf.DUMMYFUNCTION("""COMPUTED_VALUE"""),"Capaline QUENARD")</f>
        <v>Capaline QUENARD</v>
      </c>
      <c r="K900" t="str">
        <f ca="1">IFERROR(__xludf.DUMMYFUNCTION("""COMPUTED_VALUE"""),"superu.sellessurcher@systeme-u.fr")</f>
        <v>superu.sellessurcher@systeme-u.fr</v>
      </c>
      <c r="L900" t="str">
        <f ca="1">IFERROR(__xludf.DUMMYFUNCTION("""COMPUTED_VALUE"""),"")</f>
        <v/>
      </c>
      <c r="M900" t="str">
        <f ca="1">IFERROR(__xludf.DUMMYFUNCTION("""COMPUTED_VALUE"""),"99.Hors Périmetre")</f>
        <v>99.Hors Périmetre</v>
      </c>
      <c r="N900" t="str">
        <f ca="1">IFERROR(__xludf.DUMMYFUNCTION("""COMPUTED_VALUE"""),"")</f>
        <v/>
      </c>
      <c r="O900" t="str">
        <f ca="1">IFERROR(__xludf.DUMMYFUNCTION("""COMPUTED_VALUE"""),"")</f>
        <v/>
      </c>
      <c r="P900" t="str">
        <f ca="1">IFERROR(__xludf.DUMMYFUNCTION("""COMPUTED_VALUE"""),"")</f>
        <v/>
      </c>
      <c r="Q900" s="5" t="str">
        <f ca="1">IFERROR(__xludf.DUMMYFUNCTION("""COMPUTED_VALUE"""),"")</f>
        <v/>
      </c>
      <c r="R900" s="6" t="str">
        <f ca="1">IFERROR(__xludf.DUMMYFUNCTION("""COMPUTED_VALUE"""),"")</f>
        <v/>
      </c>
      <c r="S900" t="str">
        <f ca="1">IFERROR(__xludf.DUMMYFUNCTION("""COMPUTED_VALUE"""),"")</f>
        <v/>
      </c>
      <c r="T900" t="str">
        <f ca="1">IFERROR(__xludf.DUMMYFUNCTION("""COMPUTED_VALUE"""),"")</f>
        <v/>
      </c>
      <c r="U900" t="str">
        <f ca="1">IFERROR(__xludf.DUMMYFUNCTION("""COMPUTED_VALUE"""),"")</f>
        <v/>
      </c>
      <c r="V900" t="str">
        <f ca="1">IFERROR(__xludf.DUMMYFUNCTION("""COMPUTED_VALUE"""),"")</f>
        <v/>
      </c>
      <c r="W900" t="str">
        <f ca="1">IFERROR(__xludf.DUMMYFUNCTION("""COMPUTED_VALUE"""),"")</f>
        <v/>
      </c>
      <c r="X900" t="str">
        <f ca="1">IFERROR(__xludf.DUMMYFUNCTION("""COMPUTED_VALUE"""),"")</f>
        <v/>
      </c>
      <c r="Y900" t="str">
        <f ca="1">IFERROR(__xludf.DUMMYFUNCTION("""COMPUTED_VALUE"""),"")</f>
        <v/>
      </c>
      <c r="Z900" t="str">
        <f ca="1">IFERROR(__xludf.DUMMYFUNCTION("""COMPUTED_VALUE"""),"")</f>
        <v/>
      </c>
      <c r="AA900" t="str">
        <f ca="1">IFERROR(__xludf.DUMMYFUNCTION("""COMPUTED_VALUE"""),"Pas de commande")</f>
        <v>Pas de commande</v>
      </c>
      <c r="AB900" s="8" t="str">
        <f ca="1">IFERROR(__xludf.DUMMYFUNCTION("""COMPUTED_VALUE"""),"")</f>
        <v/>
      </c>
      <c r="AC900" s="8" t="str">
        <f ca="1">IFERROR(__xludf.DUMMYFUNCTION("""COMPUTED_VALUE"""),"")</f>
        <v/>
      </c>
      <c r="AD900" s="11" t="str">
        <f ca="1">IFERROR(__xludf.DUMMYFUNCTION("""COMPUTED_VALUE"""),"")</f>
        <v/>
      </c>
      <c r="AE900" t="str">
        <f ca="1">IFERROR(__xludf.DUMMYFUNCTION("""COMPUTED_VALUE"""),"")</f>
        <v/>
      </c>
    </row>
    <row r="901" spans="1:31" ht="12.75" x14ac:dyDescent="0.2">
      <c r="A901">
        <f ca="1">IFERROR(__xludf.DUMMYFUNCTION("""COMPUTED_VALUE"""),60704)</f>
        <v>60704</v>
      </c>
      <c r="B901" t="str">
        <f ca="1">IFERROR(__xludf.DUMMYFUNCTION("""COMPUTED_VALUE"""),"SELTZ")</f>
        <v>SELTZ</v>
      </c>
      <c r="C901" t="str">
        <f ca="1">IFERROR(__xludf.DUMMYFUNCTION("""COMPUTED_VALUE"""),"Super U")</f>
        <v>Super U</v>
      </c>
      <c r="D901" t="str">
        <f ca="1">IFERROR(__xludf.DUMMYFUNCTION("""COMPUTED_VALUE"""),"Coop U Enseigne Est")</f>
        <v>Coop U Enseigne Est</v>
      </c>
      <c r="E901">
        <f ca="1">IFERROR(__xludf.DUMMYFUNCTION("""COMPUTED_VALUE"""),67470)</f>
        <v>67470</v>
      </c>
      <c r="F901" t="str">
        <f ca="1">IFERROR(__xludf.DUMMYFUNCTION("""COMPUTED_VALUE"""),"Rue de Hatten")</f>
        <v>Rue de Hatten</v>
      </c>
      <c r="G901" t="str">
        <f ca="1">IFERROR(__xludf.DUMMYFUNCTION("""COMPUTED_VALUE"""),"03.88.86.87.80")</f>
        <v>03.88.86.87.80</v>
      </c>
      <c r="H901" t="str">
        <f ca="1">IFERROR(__xludf.DUMMYFUNCTION("""COMPUTED_VALUE"""),"NONNENMACHER Daniel")</f>
        <v>NONNENMACHER Daniel</v>
      </c>
      <c r="I901" t="str">
        <f ca="1">IFERROR(__xludf.DUMMYFUNCTION("""COMPUTED_VALUE"""),"daniel.nonnenmacher@systeme-u.fr")</f>
        <v>daniel.nonnenmacher@systeme-u.fr</v>
      </c>
      <c r="J901" t="str">
        <f ca="1">IFERROR(__xludf.DUMMYFUNCTION("""COMPUTED_VALUE"""),"HERTRICH Steve")</f>
        <v>HERTRICH Steve</v>
      </c>
      <c r="K901" t="str">
        <f ca="1">IFERROR(__xludf.DUMMYFUNCTION("""COMPUTED_VALUE"""),"superu.seltz.direction@systeme-u.fr")</f>
        <v>superu.seltz.direction@systeme-u.fr</v>
      </c>
      <c r="L901" t="str">
        <f ca="1">IFERROR(__xludf.DUMMYFUNCTION("""COMPUTED_VALUE"""),"")</f>
        <v/>
      </c>
      <c r="M901" t="str">
        <f ca="1">IFERROR(__xludf.DUMMYFUNCTION("""COMPUTED_VALUE"""),"99.Hors Périmetre")</f>
        <v>99.Hors Périmetre</v>
      </c>
      <c r="N901" t="str">
        <f ca="1">IFERROR(__xludf.DUMMYFUNCTION("""COMPUTED_VALUE"""),"")</f>
        <v/>
      </c>
      <c r="O901" t="str">
        <f ca="1">IFERROR(__xludf.DUMMYFUNCTION("""COMPUTED_VALUE"""),"")</f>
        <v/>
      </c>
      <c r="P901" t="str">
        <f ca="1">IFERROR(__xludf.DUMMYFUNCTION("""COMPUTED_VALUE"""),"")</f>
        <v/>
      </c>
      <c r="Q901" s="5" t="str">
        <f ca="1">IFERROR(__xludf.DUMMYFUNCTION("""COMPUTED_VALUE"""),"")</f>
        <v/>
      </c>
      <c r="R901" s="6" t="str">
        <f ca="1">IFERROR(__xludf.DUMMYFUNCTION("""COMPUTED_VALUE"""),"")</f>
        <v/>
      </c>
      <c r="S901" t="str">
        <f ca="1">IFERROR(__xludf.DUMMYFUNCTION("""COMPUTED_VALUE"""),"")</f>
        <v/>
      </c>
      <c r="T901" t="str">
        <f ca="1">IFERROR(__xludf.DUMMYFUNCTION("""COMPUTED_VALUE"""),"")</f>
        <v/>
      </c>
      <c r="U901" t="str">
        <f ca="1">IFERROR(__xludf.DUMMYFUNCTION("""COMPUTED_VALUE"""),"")</f>
        <v/>
      </c>
      <c r="V901" t="str">
        <f ca="1">IFERROR(__xludf.DUMMYFUNCTION("""COMPUTED_VALUE"""),"")</f>
        <v/>
      </c>
      <c r="W901" t="str">
        <f ca="1">IFERROR(__xludf.DUMMYFUNCTION("""COMPUTED_VALUE"""),"")</f>
        <v/>
      </c>
      <c r="X901" t="str">
        <f ca="1">IFERROR(__xludf.DUMMYFUNCTION("""COMPUTED_VALUE"""),"")</f>
        <v/>
      </c>
      <c r="Y901" t="str">
        <f ca="1">IFERROR(__xludf.DUMMYFUNCTION("""COMPUTED_VALUE"""),"")</f>
        <v/>
      </c>
      <c r="Z901" t="str">
        <f ca="1">IFERROR(__xludf.DUMMYFUNCTION("""COMPUTED_VALUE"""),"")</f>
        <v/>
      </c>
      <c r="AA901" t="str">
        <f ca="1">IFERROR(__xludf.DUMMYFUNCTION("""COMPUTED_VALUE"""),"Pas de commande")</f>
        <v>Pas de commande</v>
      </c>
      <c r="AB901" s="8" t="str">
        <f ca="1">IFERROR(__xludf.DUMMYFUNCTION("""COMPUTED_VALUE"""),"")</f>
        <v/>
      </c>
      <c r="AC901" s="8" t="str">
        <f ca="1">IFERROR(__xludf.DUMMYFUNCTION("""COMPUTED_VALUE"""),"")</f>
        <v/>
      </c>
      <c r="AD901" s="11" t="str">
        <f ca="1">IFERROR(__xludf.DUMMYFUNCTION("""COMPUTED_VALUE"""),"")</f>
        <v/>
      </c>
      <c r="AE901" t="str">
        <f ca="1">IFERROR(__xludf.DUMMYFUNCTION("""COMPUTED_VALUE"""),"")</f>
        <v/>
      </c>
    </row>
    <row r="902" spans="1:31" ht="12.75" x14ac:dyDescent="0.2">
      <c r="A902">
        <f ca="1">IFERROR(__xludf.DUMMYFUNCTION("""COMPUTED_VALUE"""),30244)</f>
        <v>30244</v>
      </c>
      <c r="B902" t="str">
        <f ca="1">IFERROR(__xludf.DUMMYFUNCTION("""COMPUTED_VALUE"""),"SEMUSSAC")</f>
        <v>SEMUSSAC</v>
      </c>
      <c r="C902" t="str">
        <f ca="1">IFERROR(__xludf.DUMMYFUNCTION("""COMPUTED_VALUE"""),"U Express")</f>
        <v>U Express</v>
      </c>
      <c r="D902" t="str">
        <f ca="1">IFERROR(__xludf.DUMMYFUNCTION("""COMPUTED_VALUE"""),"Coop U Enseigne Ouest")</f>
        <v>Coop U Enseigne Ouest</v>
      </c>
      <c r="E902">
        <f ca="1">IFERROR(__xludf.DUMMYFUNCTION("""COMPUTED_VALUE"""),17120)</f>
        <v>17120</v>
      </c>
      <c r="F902" t="str">
        <f ca="1">IFERROR(__xludf.DUMMYFUNCTION("""COMPUTED_VALUE"""),"1 ZONE ARTISANALE LE PRÉ CHARDON")</f>
        <v>1 ZONE ARTISANALE LE PRÉ CHARDON</v>
      </c>
      <c r="G902" t="str">
        <f ca="1">IFERROR(__xludf.DUMMYFUNCTION("""COMPUTED_VALUE"""),"05.46.39.74.56")</f>
        <v>05.46.39.74.56</v>
      </c>
      <c r="H902" t="str">
        <f ca="1">IFERROR(__xludf.DUMMYFUNCTION("""COMPUTED_VALUE"""),"DURAND Alexandre")</f>
        <v>DURAND Alexandre</v>
      </c>
      <c r="I902" t="str">
        <f ca="1">IFERROR(__xludf.DUMMYFUNCTION("""COMPUTED_VALUE"""),"alexandre.durand@systeme-u.fr")</f>
        <v>alexandre.durand@systeme-u.fr</v>
      </c>
      <c r="J902" t="str">
        <f ca="1">IFERROR(__xludf.DUMMYFUNCTION("""COMPUTED_VALUE"""),"Mme Lamoureux")</f>
        <v>Mme Lamoureux</v>
      </c>
      <c r="K902" t="str">
        <f ca="1">IFERROR(__xludf.DUMMYFUNCTION("""COMPUTED_VALUE"""),"uexpress.semussac@systeme-u.fr")</f>
        <v>uexpress.semussac@systeme-u.fr</v>
      </c>
      <c r="L902" t="str">
        <f ca="1">IFERROR(__xludf.DUMMYFUNCTION("""COMPUTED_VALUE"""),"")</f>
        <v/>
      </c>
      <c r="M902" t="str">
        <f ca="1">IFERROR(__xludf.DUMMYFUNCTION("""COMPUTED_VALUE"""),"99.Hors Périmetre")</f>
        <v>99.Hors Périmetre</v>
      </c>
      <c r="N902" t="str">
        <f ca="1">IFERROR(__xludf.DUMMYFUNCTION("""COMPUTED_VALUE"""),"")</f>
        <v/>
      </c>
      <c r="O902" t="str">
        <f ca="1">IFERROR(__xludf.DUMMYFUNCTION("""COMPUTED_VALUE"""),"")</f>
        <v/>
      </c>
      <c r="P902" t="str">
        <f ca="1">IFERROR(__xludf.DUMMYFUNCTION("""COMPUTED_VALUE"""),"")</f>
        <v/>
      </c>
      <c r="Q902" s="5" t="str">
        <f ca="1">IFERROR(__xludf.DUMMYFUNCTION("""COMPUTED_VALUE"""),"")</f>
        <v/>
      </c>
      <c r="R902" s="6" t="str">
        <f ca="1">IFERROR(__xludf.DUMMYFUNCTION("""COMPUTED_VALUE"""),"")</f>
        <v/>
      </c>
      <c r="S902" t="str">
        <f ca="1">IFERROR(__xludf.DUMMYFUNCTION("""COMPUTED_VALUE"""),"")</f>
        <v/>
      </c>
      <c r="T902" t="str">
        <f ca="1">IFERROR(__xludf.DUMMYFUNCTION("""COMPUTED_VALUE"""),"")</f>
        <v/>
      </c>
      <c r="U902" t="str">
        <f ca="1">IFERROR(__xludf.DUMMYFUNCTION("""COMPUTED_VALUE"""),"")</f>
        <v/>
      </c>
      <c r="V902" t="str">
        <f ca="1">IFERROR(__xludf.DUMMYFUNCTION("""COMPUTED_VALUE"""),"")</f>
        <v/>
      </c>
      <c r="W902" t="str">
        <f ca="1">IFERROR(__xludf.DUMMYFUNCTION("""COMPUTED_VALUE"""),"")</f>
        <v/>
      </c>
      <c r="X902" t="str">
        <f ca="1">IFERROR(__xludf.DUMMYFUNCTION("""COMPUTED_VALUE"""),"")</f>
        <v/>
      </c>
      <c r="Y902" t="str">
        <f ca="1">IFERROR(__xludf.DUMMYFUNCTION("""COMPUTED_VALUE"""),"")</f>
        <v/>
      </c>
      <c r="Z902" t="str">
        <f ca="1">IFERROR(__xludf.DUMMYFUNCTION("""COMPUTED_VALUE"""),"")</f>
        <v/>
      </c>
      <c r="AA902" t="str">
        <f ca="1">IFERROR(__xludf.DUMMYFUNCTION("""COMPUTED_VALUE"""),"Pas de commande")</f>
        <v>Pas de commande</v>
      </c>
      <c r="AB902" s="8" t="str">
        <f ca="1">IFERROR(__xludf.DUMMYFUNCTION("""COMPUTED_VALUE"""),"")</f>
        <v/>
      </c>
      <c r="AC902" s="8" t="str">
        <f ca="1">IFERROR(__xludf.DUMMYFUNCTION("""COMPUTED_VALUE"""),"")</f>
        <v/>
      </c>
      <c r="AD902" s="11" t="str">
        <f ca="1">IFERROR(__xludf.DUMMYFUNCTION("""COMPUTED_VALUE"""),"")</f>
        <v/>
      </c>
      <c r="AE902" t="str">
        <f ca="1">IFERROR(__xludf.DUMMYFUNCTION("""COMPUTED_VALUE"""),"")</f>
        <v/>
      </c>
    </row>
    <row r="903" spans="1:31" ht="12.75" x14ac:dyDescent="0.2">
      <c r="A903">
        <f ca="1">IFERROR(__xludf.DUMMYFUNCTION("""COMPUTED_VALUE"""),90605)</f>
        <v>90605</v>
      </c>
      <c r="B903" t="str">
        <f ca="1">IFERROR(__xludf.DUMMYFUNCTION("""COMPUTED_VALUE"""),"SENAS")</f>
        <v>SENAS</v>
      </c>
      <c r="C903" t="str">
        <f ca="1">IFERROR(__xludf.DUMMYFUNCTION("""COMPUTED_VALUE"""),"U Express")</f>
        <v>U Express</v>
      </c>
      <c r="D903" t="str">
        <f ca="1">IFERROR(__xludf.DUMMYFUNCTION("""COMPUTED_VALUE"""),"Coop MISTRAL")</f>
        <v>Coop MISTRAL</v>
      </c>
      <c r="E903">
        <f ca="1">IFERROR(__xludf.DUMMYFUNCTION("""COMPUTED_VALUE"""),13560)</f>
        <v>13560</v>
      </c>
      <c r="F903" t="str">
        <f ca="1">IFERROR(__xludf.DUMMYFUNCTION("""COMPUTED_VALUE"""),"PLACE DU MARCHE")</f>
        <v>PLACE DU MARCHE</v>
      </c>
      <c r="G903" t="str">
        <f ca="1">IFERROR(__xludf.DUMMYFUNCTION("""COMPUTED_VALUE"""),"04.90.59.22.20")</f>
        <v>04.90.59.22.20</v>
      </c>
      <c r="H903" t="str">
        <f ca="1">IFERROR(__xludf.DUMMYFUNCTION("""COMPUTED_VALUE"""),"GARCIA Daniel et Carine")</f>
        <v>GARCIA Daniel et Carine</v>
      </c>
      <c r="I903" t="str">
        <f ca="1">IFERROR(__xludf.DUMMYFUNCTION("""COMPUTED_VALUE"""),"uexpress.senas2@mistral-u.fr")</f>
        <v>uexpress.senas2@mistral-u.fr</v>
      </c>
      <c r="J903" t="str">
        <f ca="1">IFERROR(__xludf.DUMMYFUNCTION("""COMPUTED_VALUE"""),"")</f>
        <v/>
      </c>
      <c r="K903" t="str">
        <f ca="1">IFERROR(__xludf.DUMMYFUNCTION("""COMPUTED_VALUE"""),"delphine.damian@lemistral.fr,helene.mina@lemistral.fr")</f>
        <v>delphine.damian@lemistral.fr,helene.mina@lemistral.fr</v>
      </c>
      <c r="L903" t="str">
        <f ca="1">IFERROR(__xludf.DUMMYFUNCTION("""COMPUTED_VALUE"""),"")</f>
        <v/>
      </c>
      <c r="M903" t="str">
        <f ca="1">IFERROR(__xludf.DUMMYFUNCTION("""COMPUTED_VALUE"""),"99.Hors Périmetre")</f>
        <v>99.Hors Périmetre</v>
      </c>
      <c r="N903" t="str">
        <f ca="1">IFERROR(__xludf.DUMMYFUNCTION("""COMPUTED_VALUE"""),"")</f>
        <v/>
      </c>
      <c r="O903" t="str">
        <f ca="1">IFERROR(__xludf.DUMMYFUNCTION("""COMPUTED_VALUE"""),"")</f>
        <v/>
      </c>
      <c r="P903" t="str">
        <f ca="1">IFERROR(__xludf.DUMMYFUNCTION("""COMPUTED_VALUE"""),"")</f>
        <v/>
      </c>
      <c r="Q903" s="5" t="str">
        <f ca="1">IFERROR(__xludf.DUMMYFUNCTION("""COMPUTED_VALUE"""),"")</f>
        <v/>
      </c>
      <c r="R903" s="6" t="str">
        <f ca="1">IFERROR(__xludf.DUMMYFUNCTION("""COMPUTED_VALUE"""),"")</f>
        <v/>
      </c>
      <c r="S903" t="str">
        <f ca="1">IFERROR(__xludf.DUMMYFUNCTION("""COMPUTED_VALUE"""),"")</f>
        <v/>
      </c>
      <c r="T903" t="str">
        <f ca="1">IFERROR(__xludf.DUMMYFUNCTION("""COMPUTED_VALUE"""),"")</f>
        <v/>
      </c>
      <c r="U903" t="str">
        <f ca="1">IFERROR(__xludf.DUMMYFUNCTION("""COMPUTED_VALUE"""),"")</f>
        <v/>
      </c>
      <c r="V903" t="str">
        <f ca="1">IFERROR(__xludf.DUMMYFUNCTION("""COMPUTED_VALUE"""),"")</f>
        <v/>
      </c>
      <c r="W903" t="str">
        <f ca="1">IFERROR(__xludf.DUMMYFUNCTION("""COMPUTED_VALUE"""),"")</f>
        <v/>
      </c>
      <c r="X903" t="str">
        <f ca="1">IFERROR(__xludf.DUMMYFUNCTION("""COMPUTED_VALUE"""),"")</f>
        <v/>
      </c>
      <c r="Y903" t="str">
        <f ca="1">IFERROR(__xludf.DUMMYFUNCTION("""COMPUTED_VALUE"""),"")</f>
        <v/>
      </c>
      <c r="Z903" t="str">
        <f ca="1">IFERROR(__xludf.DUMMYFUNCTION("""COMPUTED_VALUE"""),"")</f>
        <v/>
      </c>
      <c r="AA903" t="str">
        <f ca="1">IFERROR(__xludf.DUMMYFUNCTION("""COMPUTED_VALUE"""),"Pas de commande")</f>
        <v>Pas de commande</v>
      </c>
      <c r="AB903" s="8" t="str">
        <f ca="1">IFERROR(__xludf.DUMMYFUNCTION("""COMPUTED_VALUE"""),"")</f>
        <v/>
      </c>
      <c r="AC903" s="8" t="str">
        <f ca="1">IFERROR(__xludf.DUMMYFUNCTION("""COMPUTED_VALUE"""),"")</f>
        <v/>
      </c>
      <c r="AD903" s="11" t="str">
        <f ca="1">IFERROR(__xludf.DUMMYFUNCTION("""COMPUTED_VALUE"""),"")</f>
        <v/>
      </c>
      <c r="AE903" t="str">
        <f ca="1">IFERROR(__xludf.DUMMYFUNCTION("""COMPUTED_VALUE"""),"")</f>
        <v/>
      </c>
    </row>
    <row r="904" spans="1:31" ht="12.75" x14ac:dyDescent="0.2">
      <c r="A904">
        <f ca="1">IFERROR(__xludf.DUMMYFUNCTION("""COMPUTED_VALUE"""),68527)</f>
        <v>68527</v>
      </c>
      <c r="B904" t="str">
        <f ca="1">IFERROR(__xludf.DUMMYFUNCTION("""COMPUTED_VALUE"""),"SENNECEY LES DIJON")</f>
        <v>SENNECEY LES DIJON</v>
      </c>
      <c r="C904" t="str">
        <f ca="1">IFERROR(__xludf.DUMMYFUNCTION("""COMPUTED_VALUE"""),"Super U")</f>
        <v>Super U</v>
      </c>
      <c r="D904" t="str">
        <f ca="1">IFERROR(__xludf.DUMMYFUNCTION("""COMPUTED_VALUE"""),"Coop U Enseigne Est")</f>
        <v>Coop U Enseigne Est</v>
      </c>
      <c r="E904">
        <f ca="1">IFERROR(__xludf.DUMMYFUNCTION("""COMPUTED_VALUE"""),21800)</f>
        <v>21800</v>
      </c>
      <c r="F904" t="str">
        <f ca="1">IFERROR(__xludf.DUMMYFUNCTION("""COMPUTED_VALUE"""),"Route de Chevigny")</f>
        <v>Route de Chevigny</v>
      </c>
      <c r="G904" t="str">
        <f ca="1">IFERROR(__xludf.DUMMYFUNCTION("""COMPUTED_VALUE"""),"03.80.72.67.20")</f>
        <v>03.80.72.67.20</v>
      </c>
      <c r="H904" t="str">
        <f ca="1">IFERROR(__xludf.DUMMYFUNCTION("""COMPUTED_VALUE"""),"WILLOT RPT SAS BWH Benoit")</f>
        <v>WILLOT RPT SAS BWH Benoit</v>
      </c>
      <c r="I904" t="str">
        <f ca="1">IFERROR(__xludf.DUMMYFUNCTION("""COMPUTED_VALUE"""),"benoit.willot@systeme-u.fr")</f>
        <v>benoit.willot@systeme-u.fr</v>
      </c>
      <c r="J904" t="str">
        <f ca="1">IFERROR(__xludf.DUMMYFUNCTION("""COMPUTED_VALUE"""),"M. JOAQUIM
Mme Adele (UPLV)")</f>
        <v>M. JOAQUIM
Mme Adele (UPLV)</v>
      </c>
      <c r="K904" t="str">
        <f ca="1">IFERROR(__xludf.DUMMYFUNCTION("""COMPUTED_VALUE"""),"superu.senneceylesdijon.direction@systeme-u.fr,responsabletechniquesuperu@gmail.com, superu.senneceylesdijon.administratif@systeme-u.fr")</f>
        <v>superu.senneceylesdijon.direction@systeme-u.fr,responsabletechniquesuperu@gmail.com, superu.senneceylesdijon.administratif@systeme-u.fr</v>
      </c>
      <c r="L904" t="str">
        <f ca="1">IFERROR(__xludf.DUMMYFUNCTION("""COMPUTED_VALUE"""),"")</f>
        <v/>
      </c>
      <c r="M904" t="str">
        <f ca="1">IFERROR(__xludf.DUMMYFUNCTION("""COMPUTED_VALUE"""),"99.Hors Périmetre")</f>
        <v>99.Hors Périmetre</v>
      </c>
      <c r="N904" t="str">
        <f ca="1">IFERROR(__xludf.DUMMYFUNCTION("""COMPUTED_VALUE"""),"")</f>
        <v/>
      </c>
      <c r="O904" t="str">
        <f ca="1">IFERROR(__xludf.DUMMYFUNCTION("""COMPUTED_VALUE"""),"")</f>
        <v/>
      </c>
      <c r="P904" t="str">
        <f ca="1">IFERROR(__xludf.DUMMYFUNCTION("""COMPUTED_VALUE"""),"")</f>
        <v/>
      </c>
      <c r="Q904" s="5" t="str">
        <f ca="1">IFERROR(__xludf.DUMMYFUNCTION("""COMPUTED_VALUE"""),"")</f>
        <v/>
      </c>
      <c r="R904" s="6" t="str">
        <f ca="1">IFERROR(__xludf.DUMMYFUNCTION("""COMPUTED_VALUE"""),"")</f>
        <v/>
      </c>
      <c r="S904" t="str">
        <f ca="1">IFERROR(__xludf.DUMMYFUNCTION("""COMPUTED_VALUE"""),"")</f>
        <v/>
      </c>
      <c r="T904" t="str">
        <f ca="1">IFERROR(__xludf.DUMMYFUNCTION("""COMPUTED_VALUE"""),"")</f>
        <v/>
      </c>
      <c r="U904" t="str">
        <f ca="1">IFERROR(__xludf.DUMMYFUNCTION("""COMPUTED_VALUE"""),"")</f>
        <v/>
      </c>
      <c r="V904" t="str">
        <f ca="1">IFERROR(__xludf.DUMMYFUNCTION("""COMPUTED_VALUE"""),"")</f>
        <v/>
      </c>
      <c r="W904" t="str">
        <f ca="1">IFERROR(__xludf.DUMMYFUNCTION("""COMPUTED_VALUE"""),"")</f>
        <v/>
      </c>
      <c r="X904" t="str">
        <f ca="1">IFERROR(__xludf.DUMMYFUNCTION("""COMPUTED_VALUE"""),"")</f>
        <v/>
      </c>
      <c r="Y904" t="str">
        <f ca="1">IFERROR(__xludf.DUMMYFUNCTION("""COMPUTED_VALUE"""),"")</f>
        <v/>
      </c>
      <c r="Z904" t="str">
        <f ca="1">IFERROR(__xludf.DUMMYFUNCTION("""COMPUTED_VALUE"""),"")</f>
        <v/>
      </c>
      <c r="AA904" t="str">
        <f ca="1">IFERROR(__xludf.DUMMYFUNCTION("""COMPUTED_VALUE"""),"Pas de commande")</f>
        <v>Pas de commande</v>
      </c>
      <c r="AB904" s="8" t="str">
        <f ca="1">IFERROR(__xludf.DUMMYFUNCTION("""COMPUTED_VALUE"""),"")</f>
        <v/>
      </c>
      <c r="AC904" s="8" t="str">
        <f ca="1">IFERROR(__xludf.DUMMYFUNCTION("""COMPUTED_VALUE"""),"")</f>
        <v/>
      </c>
      <c r="AD904" s="11" t="str">
        <f ca="1">IFERROR(__xludf.DUMMYFUNCTION("""COMPUTED_VALUE"""),"")</f>
        <v/>
      </c>
      <c r="AE904" t="str">
        <f ca="1">IFERROR(__xludf.DUMMYFUNCTION("""COMPUTED_VALUE"""),"")</f>
        <v/>
      </c>
    </row>
    <row r="905" spans="1:31" ht="12.75" x14ac:dyDescent="0.2">
      <c r="A905">
        <f ca="1">IFERROR(__xludf.DUMMYFUNCTION("""COMPUTED_VALUE"""),29342)</f>
        <v>29342</v>
      </c>
      <c r="B905" t="str">
        <f ca="1">IFERROR(__xludf.DUMMYFUNCTION("""COMPUTED_VALUE"""),"SERQUEUX")</f>
        <v>SERQUEUX</v>
      </c>
      <c r="C905" t="str">
        <f ca="1">IFERROR(__xludf.DUMMYFUNCTION("""COMPUTED_VALUE"""),"Super U")</f>
        <v>Super U</v>
      </c>
      <c r="D905" t="str">
        <f ca="1">IFERROR(__xludf.DUMMYFUNCTION("""COMPUTED_VALUE"""),"Coop U Enseigne NordOuest")</f>
        <v>Coop U Enseigne NordOuest</v>
      </c>
      <c r="E905">
        <f ca="1">IFERROR(__xludf.DUMMYFUNCTION("""COMPUTED_VALUE"""),76440)</f>
        <v>76440</v>
      </c>
      <c r="F905" t="str">
        <f ca="1">IFERROR(__xludf.DUMMYFUNCTION("""COMPUTED_VALUE"""),"ROUTE DE NEUFCHATEL")</f>
        <v>ROUTE DE NEUFCHATEL</v>
      </c>
      <c r="G905" t="str">
        <f ca="1">IFERROR(__xludf.DUMMYFUNCTION("""COMPUTED_VALUE"""),"02.35.09.86.52")</f>
        <v>02.35.09.86.52</v>
      </c>
      <c r="H905" t="str">
        <f ca="1">IFERROR(__xludf.DUMMYFUNCTION("""COMPUTED_VALUE"""),"CARON Bénédicte")</f>
        <v>CARON Bénédicte</v>
      </c>
      <c r="I905" t="str">
        <f ca="1">IFERROR(__xludf.DUMMYFUNCTION("""COMPUTED_VALUE"""),"stephane.caron@systeme-u.fr")</f>
        <v>stephane.caron@systeme-u.fr</v>
      </c>
      <c r="J905" t="str">
        <f ca="1">IFERROR(__xludf.DUMMYFUNCTION("""COMPUTED_VALUE"""),"Laurent TARLIER")</f>
        <v>Laurent TARLIER</v>
      </c>
      <c r="K905" t="str">
        <f ca="1">IFERROR(__xludf.DUMMYFUNCTION("""COMPUTED_VALUE"""),"")</f>
        <v/>
      </c>
      <c r="L905" t="str">
        <f ca="1">IFERROR(__xludf.DUMMYFUNCTION("""COMPUTED_VALUE"""),"")</f>
        <v/>
      </c>
      <c r="M905" t="str">
        <f ca="1">IFERROR(__xludf.DUMMYFUNCTION("""COMPUTED_VALUE"""),"99.Hors Périmetre")</f>
        <v>99.Hors Périmetre</v>
      </c>
      <c r="N905" t="str">
        <f ca="1">IFERROR(__xludf.DUMMYFUNCTION("""COMPUTED_VALUE"""),"")</f>
        <v/>
      </c>
      <c r="O905" t="str">
        <f ca="1">IFERROR(__xludf.DUMMYFUNCTION("""COMPUTED_VALUE"""),"")</f>
        <v/>
      </c>
      <c r="P905" t="str">
        <f ca="1">IFERROR(__xludf.DUMMYFUNCTION("""COMPUTED_VALUE"""),"")</f>
        <v/>
      </c>
      <c r="Q905" s="5" t="str">
        <f ca="1">IFERROR(__xludf.DUMMYFUNCTION("""COMPUTED_VALUE"""),"")</f>
        <v/>
      </c>
      <c r="R905" s="6" t="str">
        <f ca="1">IFERROR(__xludf.DUMMYFUNCTION("""COMPUTED_VALUE"""),"")</f>
        <v/>
      </c>
      <c r="S905" t="str">
        <f ca="1">IFERROR(__xludf.DUMMYFUNCTION("""COMPUTED_VALUE"""),"")</f>
        <v/>
      </c>
      <c r="T905" t="str">
        <f ca="1">IFERROR(__xludf.DUMMYFUNCTION("""COMPUTED_VALUE"""),"")</f>
        <v/>
      </c>
      <c r="U905" t="str">
        <f ca="1">IFERROR(__xludf.DUMMYFUNCTION("""COMPUTED_VALUE"""),"")</f>
        <v/>
      </c>
      <c r="V905" t="str">
        <f ca="1">IFERROR(__xludf.DUMMYFUNCTION("""COMPUTED_VALUE"""),"")</f>
        <v/>
      </c>
      <c r="W905" t="str">
        <f ca="1">IFERROR(__xludf.DUMMYFUNCTION("""COMPUTED_VALUE"""),"")</f>
        <v/>
      </c>
      <c r="X905" t="str">
        <f ca="1">IFERROR(__xludf.DUMMYFUNCTION("""COMPUTED_VALUE"""),"")</f>
        <v/>
      </c>
      <c r="Y905" t="str">
        <f ca="1">IFERROR(__xludf.DUMMYFUNCTION("""COMPUTED_VALUE"""),"")</f>
        <v/>
      </c>
      <c r="Z905" t="str">
        <f ca="1">IFERROR(__xludf.DUMMYFUNCTION("""COMPUTED_VALUE"""),"")</f>
        <v/>
      </c>
      <c r="AA905" t="str">
        <f ca="1">IFERROR(__xludf.DUMMYFUNCTION("""COMPUTED_VALUE"""),"Pas de commande")</f>
        <v>Pas de commande</v>
      </c>
      <c r="AB905" s="8" t="str">
        <f ca="1">IFERROR(__xludf.DUMMYFUNCTION("""COMPUTED_VALUE"""),"")</f>
        <v/>
      </c>
      <c r="AC905" s="8" t="str">
        <f ca="1">IFERROR(__xludf.DUMMYFUNCTION("""COMPUTED_VALUE"""),"")</f>
        <v/>
      </c>
      <c r="AD905" s="11" t="str">
        <f ca="1">IFERROR(__xludf.DUMMYFUNCTION("""COMPUTED_VALUE"""),"")</f>
        <v/>
      </c>
      <c r="AE905" t="str">
        <f ca="1">IFERROR(__xludf.DUMMYFUNCTION("""COMPUTED_VALUE"""),"")</f>
        <v/>
      </c>
    </row>
    <row r="906" spans="1:31" ht="12.75" x14ac:dyDescent="0.2">
      <c r="A906">
        <f ca="1">IFERROR(__xludf.DUMMYFUNCTION("""COMPUTED_VALUE"""),90442)</f>
        <v>90442</v>
      </c>
      <c r="B906" t="str">
        <f ca="1">IFERROR(__xludf.DUMMYFUNCTION("""COMPUTED_VALUE"""),"SERRES")</f>
        <v>SERRES</v>
      </c>
      <c r="C906" t="str">
        <f ca="1">IFERROR(__xludf.DUMMYFUNCTION("""COMPUTED_VALUE"""),"U Express")</f>
        <v>U Express</v>
      </c>
      <c r="D906" t="str">
        <f ca="1">IFERROR(__xludf.DUMMYFUNCTION("""COMPUTED_VALUE"""),"Coop U Enseigne Sud")</f>
        <v>Coop U Enseigne Sud</v>
      </c>
      <c r="E906">
        <f ca="1">IFERROR(__xludf.DUMMYFUNCTION("""COMPUTED_VALUE"""),5700)</f>
        <v>5700</v>
      </c>
      <c r="F906" t="str">
        <f ca="1">IFERROR(__xludf.DUMMYFUNCTION("""COMPUTED_VALUE"""),"LA GARE")</f>
        <v>LA GARE</v>
      </c>
      <c r="G906" t="str">
        <f ca="1">IFERROR(__xludf.DUMMYFUNCTION("""COMPUTED_VALUE"""),"04.92.67.59.00")</f>
        <v>04.92.67.59.00</v>
      </c>
      <c r="H906" t="str">
        <f ca="1">IFERROR(__xludf.DUMMYFUNCTION("""COMPUTED_VALUE"""),"EBRARD Denis")</f>
        <v>EBRARD Denis</v>
      </c>
      <c r="I906" t="str">
        <f ca="1">IFERROR(__xludf.DUMMYFUNCTION("""COMPUTED_VALUE"""),"denis.ebrard@systeme-u.fr")</f>
        <v>denis.ebrard@systeme-u.fr</v>
      </c>
      <c r="J906" t="str">
        <f ca="1">IFERROR(__xludf.DUMMYFUNCTION("""COMPUTED_VALUE"""),"Mme EBRARD")</f>
        <v>Mme EBRARD</v>
      </c>
      <c r="K906" t="str">
        <f ca="1">IFERROR(__xludf.DUMMYFUNCTION("""COMPUTED_VALUE"""),"uexpress.serres.gestion@systeme-u.fr")</f>
        <v>uexpress.serres.gestion@systeme-u.fr</v>
      </c>
      <c r="L906" t="str">
        <f ca="1">IFERROR(__xludf.DUMMYFUNCTION("""COMPUTED_VALUE"""),"")</f>
        <v/>
      </c>
      <c r="M906" t="str">
        <f ca="1">IFERROR(__xludf.DUMMYFUNCTION("""COMPUTED_VALUE"""),"99.Hors Périmetre")</f>
        <v>99.Hors Périmetre</v>
      </c>
      <c r="N906" t="str">
        <f ca="1">IFERROR(__xludf.DUMMYFUNCTION("""COMPUTED_VALUE"""),"")</f>
        <v/>
      </c>
      <c r="O906" t="str">
        <f ca="1">IFERROR(__xludf.DUMMYFUNCTION("""COMPUTED_VALUE"""),"")</f>
        <v/>
      </c>
      <c r="P906" t="str">
        <f ca="1">IFERROR(__xludf.DUMMYFUNCTION("""COMPUTED_VALUE"""),"")</f>
        <v/>
      </c>
      <c r="Q906" s="5" t="str">
        <f ca="1">IFERROR(__xludf.DUMMYFUNCTION("""COMPUTED_VALUE"""),"")</f>
        <v/>
      </c>
      <c r="R906" s="6" t="str">
        <f ca="1">IFERROR(__xludf.DUMMYFUNCTION("""COMPUTED_VALUE"""),"")</f>
        <v/>
      </c>
      <c r="S906" t="str">
        <f ca="1">IFERROR(__xludf.DUMMYFUNCTION("""COMPUTED_VALUE"""),"")</f>
        <v/>
      </c>
      <c r="T906" t="str">
        <f ca="1">IFERROR(__xludf.DUMMYFUNCTION("""COMPUTED_VALUE"""),"")</f>
        <v/>
      </c>
      <c r="U906" t="str">
        <f ca="1">IFERROR(__xludf.DUMMYFUNCTION("""COMPUTED_VALUE"""),"")</f>
        <v/>
      </c>
      <c r="V906" t="str">
        <f ca="1">IFERROR(__xludf.DUMMYFUNCTION("""COMPUTED_VALUE"""),"")</f>
        <v/>
      </c>
      <c r="W906" t="str">
        <f ca="1">IFERROR(__xludf.DUMMYFUNCTION("""COMPUTED_VALUE"""),"")</f>
        <v/>
      </c>
      <c r="X906" t="str">
        <f ca="1">IFERROR(__xludf.DUMMYFUNCTION("""COMPUTED_VALUE"""),"")</f>
        <v/>
      </c>
      <c r="Y906" t="str">
        <f ca="1">IFERROR(__xludf.DUMMYFUNCTION("""COMPUTED_VALUE"""),"")</f>
        <v/>
      </c>
      <c r="Z906" t="str">
        <f ca="1">IFERROR(__xludf.DUMMYFUNCTION("""COMPUTED_VALUE"""),"")</f>
        <v/>
      </c>
      <c r="AA906" t="str">
        <f ca="1">IFERROR(__xludf.DUMMYFUNCTION("""COMPUTED_VALUE"""),"Pas de commande")</f>
        <v>Pas de commande</v>
      </c>
      <c r="AB906" s="8" t="str">
        <f ca="1">IFERROR(__xludf.DUMMYFUNCTION("""COMPUTED_VALUE"""),"")</f>
        <v/>
      </c>
      <c r="AC906" s="8" t="str">
        <f ca="1">IFERROR(__xludf.DUMMYFUNCTION("""COMPUTED_VALUE"""),"")</f>
        <v/>
      </c>
      <c r="AD906" s="11" t="str">
        <f ca="1">IFERROR(__xludf.DUMMYFUNCTION("""COMPUTED_VALUE"""),"")</f>
        <v/>
      </c>
      <c r="AE906" t="str">
        <f ca="1">IFERROR(__xludf.DUMMYFUNCTION("""COMPUTED_VALUE"""),"")</f>
        <v/>
      </c>
    </row>
    <row r="907" spans="1:31" ht="12.75" x14ac:dyDescent="0.2">
      <c r="A907">
        <f ca="1">IFERROR(__xludf.DUMMYFUNCTION("""COMPUTED_VALUE"""),90211)</f>
        <v>90211</v>
      </c>
      <c r="B907" t="str">
        <f ca="1">IFERROR(__xludf.DUMMYFUNCTION("""COMPUTED_VALUE"""),"SERVIAN")</f>
        <v>SERVIAN</v>
      </c>
      <c r="C907" t="str">
        <f ca="1">IFERROR(__xludf.DUMMYFUNCTION("""COMPUTED_VALUE"""),"Super U")</f>
        <v>Super U</v>
      </c>
      <c r="D907" t="str">
        <f ca="1">IFERROR(__xludf.DUMMYFUNCTION("""COMPUTED_VALUE"""),"Coop U Enseigne Sud")</f>
        <v>Coop U Enseigne Sud</v>
      </c>
      <c r="E907">
        <f ca="1">IFERROR(__xludf.DUMMYFUNCTION("""COMPUTED_VALUE"""),34290)</f>
        <v>34290</v>
      </c>
      <c r="F907" t="str">
        <f ca="1">IFERROR(__xludf.DUMMYFUNCTION("""COMPUTED_VALUE"""),"1 AVENUE DU MAS VIEL")</f>
        <v>1 AVENUE DU MAS VIEL</v>
      </c>
      <c r="G907" t="str">
        <f ca="1">IFERROR(__xludf.DUMMYFUNCTION("""COMPUTED_VALUE"""),"04.67.39.07.40")</f>
        <v>04.67.39.07.40</v>
      </c>
      <c r="H907" t="str">
        <f ca="1">IFERROR(__xludf.DUMMYFUNCTION("""COMPUTED_VALUE"""),"BERTE Thierry")</f>
        <v>BERTE Thierry</v>
      </c>
      <c r="I907" t="str">
        <f ca="1">IFERROR(__xludf.DUMMYFUNCTION("""COMPUTED_VALUE"""),"thierry.berte@systeme-u.fr")</f>
        <v>thierry.berte@systeme-u.fr</v>
      </c>
      <c r="J907" t="str">
        <f ca="1">IFERROR(__xludf.DUMMYFUNCTION("""COMPUTED_VALUE"""),"")</f>
        <v/>
      </c>
      <c r="K907" t="str">
        <f ca="1">IFERROR(__xludf.DUMMYFUNCTION("""COMPUTED_VALUE"""),"superu.servian.info@systeme-u.fr, superu.servian.compta@systeme-u.fr")</f>
        <v>superu.servian.info@systeme-u.fr, superu.servian.compta@systeme-u.fr</v>
      </c>
      <c r="L907" t="str">
        <f ca="1">IFERROR(__xludf.DUMMYFUNCTION("""COMPUTED_VALUE"""),"")</f>
        <v/>
      </c>
      <c r="M907" t="str">
        <f ca="1">IFERROR(__xludf.DUMMYFUNCTION("""COMPUTED_VALUE"""),"99.Hors Périmetre")</f>
        <v>99.Hors Périmetre</v>
      </c>
      <c r="N907" t="str">
        <f ca="1">IFERROR(__xludf.DUMMYFUNCTION("""COMPUTED_VALUE"""),"")</f>
        <v/>
      </c>
      <c r="O907" t="str">
        <f ca="1">IFERROR(__xludf.DUMMYFUNCTION("""COMPUTED_VALUE"""),"")</f>
        <v/>
      </c>
      <c r="P907" t="str">
        <f ca="1">IFERROR(__xludf.DUMMYFUNCTION("""COMPUTED_VALUE"""),"")</f>
        <v/>
      </c>
      <c r="Q907" s="5" t="str">
        <f ca="1">IFERROR(__xludf.DUMMYFUNCTION("""COMPUTED_VALUE"""),"")</f>
        <v/>
      </c>
      <c r="R907" s="6" t="str">
        <f ca="1">IFERROR(__xludf.DUMMYFUNCTION("""COMPUTED_VALUE"""),"")</f>
        <v/>
      </c>
      <c r="S907" t="str">
        <f ca="1">IFERROR(__xludf.DUMMYFUNCTION("""COMPUTED_VALUE"""),"")</f>
        <v/>
      </c>
      <c r="T907" t="str">
        <f ca="1">IFERROR(__xludf.DUMMYFUNCTION("""COMPUTED_VALUE"""),"")</f>
        <v/>
      </c>
      <c r="U907" t="str">
        <f ca="1">IFERROR(__xludf.DUMMYFUNCTION("""COMPUTED_VALUE"""),"")</f>
        <v/>
      </c>
      <c r="V907" t="str">
        <f ca="1">IFERROR(__xludf.DUMMYFUNCTION("""COMPUTED_VALUE"""),"")</f>
        <v/>
      </c>
      <c r="W907" t="str">
        <f ca="1">IFERROR(__xludf.DUMMYFUNCTION("""COMPUTED_VALUE"""),"")</f>
        <v/>
      </c>
      <c r="X907" t="str">
        <f ca="1">IFERROR(__xludf.DUMMYFUNCTION("""COMPUTED_VALUE"""),"")</f>
        <v/>
      </c>
      <c r="Y907" t="str">
        <f ca="1">IFERROR(__xludf.DUMMYFUNCTION("""COMPUTED_VALUE"""),"")</f>
        <v/>
      </c>
      <c r="Z907" t="str">
        <f ca="1">IFERROR(__xludf.DUMMYFUNCTION("""COMPUTED_VALUE"""),"")</f>
        <v/>
      </c>
      <c r="AA907" t="str">
        <f ca="1">IFERROR(__xludf.DUMMYFUNCTION("""COMPUTED_VALUE"""),"Pas de commande")</f>
        <v>Pas de commande</v>
      </c>
      <c r="AB907" s="8" t="str">
        <f ca="1">IFERROR(__xludf.DUMMYFUNCTION("""COMPUTED_VALUE"""),"")</f>
        <v/>
      </c>
      <c r="AC907" s="8" t="str">
        <f ca="1">IFERROR(__xludf.DUMMYFUNCTION("""COMPUTED_VALUE"""),"")</f>
        <v/>
      </c>
      <c r="AD907" s="11" t="str">
        <f ca="1">IFERROR(__xludf.DUMMYFUNCTION("""COMPUTED_VALUE"""),"")</f>
        <v/>
      </c>
      <c r="AE907" t="str">
        <f ca="1">IFERROR(__xludf.DUMMYFUNCTION("""COMPUTED_VALUE"""),"")</f>
        <v/>
      </c>
    </row>
    <row r="908" spans="1:31" ht="12.75" x14ac:dyDescent="0.2">
      <c r="A908">
        <f ca="1">IFERROR(__xludf.DUMMYFUNCTION("""COMPUTED_VALUE"""),90526)</f>
        <v>90526</v>
      </c>
      <c r="B908" t="str">
        <f ca="1">IFERROR(__xludf.DUMMYFUNCTION("""COMPUTED_VALUE"""),"SISTERON GENETS")</f>
        <v>SISTERON GENETS</v>
      </c>
      <c r="C908" t="str">
        <f ca="1">IFERROR(__xludf.DUMMYFUNCTION("""COMPUTED_VALUE"""),"Super U")</f>
        <v>Super U</v>
      </c>
      <c r="D908" t="str">
        <f ca="1">IFERROR(__xludf.DUMMYFUNCTION("""COMPUTED_VALUE"""),"Coop U Enseigne Sud")</f>
        <v>Coop U Enseigne Sud</v>
      </c>
      <c r="E908">
        <f ca="1">IFERROR(__xludf.DUMMYFUNCTION("""COMPUTED_VALUE"""),4200)</f>
        <v>4200</v>
      </c>
      <c r="F908" t="str">
        <f ca="1">IFERROR(__xludf.DUMMYFUNCTION("""COMPUTED_VALUE"""),"50 ALLEE DES GENETS BP 200")</f>
        <v>50 ALLEE DES GENETS BP 200</v>
      </c>
      <c r="G908" t="str">
        <f ca="1">IFERROR(__xludf.DUMMYFUNCTION("""COMPUTED_VALUE"""),"04.92.62.06.10")</f>
        <v>04.92.62.06.10</v>
      </c>
      <c r="H908" t="str">
        <f ca="1">IFERROR(__xludf.DUMMYFUNCTION("""COMPUTED_VALUE"""),"HUGON Emmanuel")</f>
        <v>HUGON Emmanuel</v>
      </c>
      <c r="I908" t="str">
        <f ca="1">IFERROR(__xludf.DUMMYFUNCTION("""COMPUTED_VALUE"""),"emmanuel.hugon@systeme-u.fr")</f>
        <v>emmanuel.hugon@systeme-u.fr</v>
      </c>
      <c r="J908" t="str">
        <f ca="1">IFERROR(__xludf.DUMMYFUNCTION("""COMPUTED_VALUE"""),"duret sarah")</f>
        <v>duret sarah</v>
      </c>
      <c r="K908" t="str">
        <f ca="1">IFERROR(__xludf.DUMMYFUNCTION("""COMPUTED_VALUE"""),"superu.sisteron.bazar@systeme-u.fr")</f>
        <v>superu.sisteron.bazar@systeme-u.fr</v>
      </c>
      <c r="L908" t="str">
        <f ca="1">IFERROR(__xludf.DUMMYFUNCTION("""COMPUTED_VALUE"""),"Standard")</f>
        <v>Standard</v>
      </c>
      <c r="M908" t="str">
        <f ca="1">IFERROR(__xludf.DUMMYFUNCTION("""COMPUTED_VALUE"""),"0. Non démarré")</f>
        <v>0. Non démarré</v>
      </c>
      <c r="N908" t="str">
        <f ca="1">IFERROR(__xludf.DUMMYFUNCTION("""COMPUTED_VALUE"""),"")</f>
        <v/>
      </c>
      <c r="O908" t="str">
        <f ca="1">IFERROR(__xludf.DUMMYFUNCTION("""COMPUTED_VALUE"""),"")</f>
        <v/>
      </c>
      <c r="P908" t="str">
        <f ca="1">IFERROR(__xludf.DUMMYFUNCTION("""COMPUTED_VALUE"""),"")</f>
        <v/>
      </c>
      <c r="Q908" s="5" t="str">
        <f ca="1">IFERROR(__xludf.DUMMYFUNCTION("""COMPUTED_VALUE"""),"")</f>
        <v/>
      </c>
      <c r="R908" s="6" t="str">
        <f ca="1">IFERROR(__xludf.DUMMYFUNCTION("""COMPUTED_VALUE"""),"")</f>
        <v/>
      </c>
      <c r="S908" t="str">
        <f ca="1">IFERROR(__xludf.DUMMYFUNCTION("""COMPUTED_VALUE"""),"")</f>
        <v/>
      </c>
      <c r="T908" t="str">
        <f ca="1">IFERROR(__xludf.DUMMYFUNCTION("""COMPUTED_VALUE"""),"")</f>
        <v/>
      </c>
      <c r="U908" t="str">
        <f ca="1">IFERROR(__xludf.DUMMYFUNCTION("""COMPUTED_VALUE"""),"")</f>
        <v/>
      </c>
      <c r="V908" t="str">
        <f ca="1">IFERROR(__xludf.DUMMYFUNCTION("""COMPUTED_VALUE"""),"")</f>
        <v/>
      </c>
      <c r="W908" t="str">
        <f ca="1">IFERROR(__xludf.DUMMYFUNCTION("""COMPUTED_VALUE"""),"R5")</f>
        <v>R5</v>
      </c>
      <c r="X908" t="str">
        <f ca="1">IFERROR(__xludf.DUMMYFUNCTION("""COMPUTED_VALUE"""),"Pricer")</f>
        <v>Pricer</v>
      </c>
      <c r="Y908" t="str">
        <f ca="1">IFERROR(__xludf.DUMMYFUNCTION("""COMPUTED_VALUE"""),"")</f>
        <v/>
      </c>
      <c r="Z908" t="str">
        <f ca="1">IFERROR(__xludf.DUMMYFUNCTION("""COMPUTED_VALUE"""),"")</f>
        <v/>
      </c>
      <c r="AA908" t="str">
        <f ca="1">IFERROR(__xludf.DUMMYFUNCTION("""COMPUTED_VALUE"""),"Pas de commande")</f>
        <v>Pas de commande</v>
      </c>
      <c r="AB908" s="8" t="str">
        <f ca="1">IFERROR(__xludf.DUMMYFUNCTION("""COMPUTED_VALUE"""),"")</f>
        <v/>
      </c>
      <c r="AC908" s="8" t="str">
        <f ca="1">IFERROR(__xludf.DUMMYFUNCTION("""COMPUTED_VALUE"""),"")</f>
        <v/>
      </c>
      <c r="AD908" s="11" t="str">
        <f ca="1">IFERROR(__xludf.DUMMYFUNCTION("""COMPUTED_VALUE"""),"")</f>
        <v/>
      </c>
      <c r="AE908" t="str">
        <f ca="1">IFERROR(__xludf.DUMMYFUNCTION("""COMPUTED_VALUE"""),"")</f>
        <v/>
      </c>
    </row>
    <row r="909" spans="1:31" ht="12.75" x14ac:dyDescent="0.2">
      <c r="A909">
        <f ca="1">IFERROR(__xludf.DUMMYFUNCTION("""COMPUTED_VALUE"""),90402)</f>
        <v>90402</v>
      </c>
      <c r="B909" t="str">
        <f ca="1">IFERROR(__xludf.DUMMYFUNCTION("""COMPUTED_VALUE"""),"SISTERON PLANTIERS")</f>
        <v>SISTERON PLANTIERS</v>
      </c>
      <c r="C909" t="str">
        <f ca="1">IFERROR(__xludf.DUMMYFUNCTION("""COMPUTED_VALUE"""),"U Express")</f>
        <v>U Express</v>
      </c>
      <c r="D909" t="str">
        <f ca="1">IFERROR(__xludf.DUMMYFUNCTION("""COMPUTED_VALUE"""),"Coop MISTRAL")</f>
        <v>Coop MISTRAL</v>
      </c>
      <c r="E909">
        <f ca="1">IFERROR(__xludf.DUMMYFUNCTION("""COMPUTED_VALUE"""),4200)</f>
        <v>4200</v>
      </c>
      <c r="F909" t="str">
        <f ca="1">IFERROR(__xludf.DUMMYFUNCTION("""COMPUTED_VALUE"""),"9 AVENUE DES PLANTIERS")</f>
        <v>9 AVENUE DES PLANTIERS</v>
      </c>
      <c r="G909" t="str">
        <f ca="1">IFERROR(__xludf.DUMMYFUNCTION("""COMPUTED_VALUE"""),"04.92.61.06.10")</f>
        <v>04.92.61.06.10</v>
      </c>
      <c r="H909" t="str">
        <f ca="1">IFERROR(__xludf.DUMMYFUNCTION("""COMPUTED_VALUE"""),"HUGON ROMAIN")</f>
        <v>HUGON ROMAIN</v>
      </c>
      <c r="I909" t="str">
        <f ca="1">IFERROR(__xludf.DUMMYFUNCTION("""COMPUTED_VALUE"""),"")</f>
        <v/>
      </c>
      <c r="J909" t="str">
        <f ca="1">IFERROR(__xludf.DUMMYFUNCTION("""COMPUTED_VALUE"""),"Mr Vanel")</f>
        <v>Mr Vanel</v>
      </c>
      <c r="K909" t="str">
        <f ca="1">IFERROR(__xludf.DUMMYFUNCTION("""COMPUTED_VALUE"""),"uexpress.sisteron.direction@mistral-u.fr")</f>
        <v>uexpress.sisteron.direction@mistral-u.fr</v>
      </c>
      <c r="L909" t="str">
        <f ca="1">IFERROR(__xludf.DUMMYFUNCTION("""COMPUTED_VALUE"""),"")</f>
        <v/>
      </c>
      <c r="M909" t="str">
        <f ca="1">IFERROR(__xludf.DUMMYFUNCTION("""COMPUTED_VALUE"""),"99.Hors Périmetre")</f>
        <v>99.Hors Périmetre</v>
      </c>
      <c r="N909" t="str">
        <f ca="1">IFERROR(__xludf.DUMMYFUNCTION("""COMPUTED_VALUE"""),"")</f>
        <v/>
      </c>
      <c r="O909" t="str">
        <f ca="1">IFERROR(__xludf.DUMMYFUNCTION("""COMPUTED_VALUE"""),"")</f>
        <v/>
      </c>
      <c r="P909" t="str">
        <f ca="1">IFERROR(__xludf.DUMMYFUNCTION("""COMPUTED_VALUE"""),"")</f>
        <v/>
      </c>
      <c r="Q909" s="5" t="str">
        <f ca="1">IFERROR(__xludf.DUMMYFUNCTION("""COMPUTED_VALUE"""),"")</f>
        <v/>
      </c>
      <c r="R909" s="6" t="str">
        <f ca="1">IFERROR(__xludf.DUMMYFUNCTION("""COMPUTED_VALUE"""),"")</f>
        <v/>
      </c>
      <c r="S909" t="str">
        <f ca="1">IFERROR(__xludf.DUMMYFUNCTION("""COMPUTED_VALUE"""),"")</f>
        <v/>
      </c>
      <c r="T909" t="str">
        <f ca="1">IFERROR(__xludf.DUMMYFUNCTION("""COMPUTED_VALUE"""),"")</f>
        <v/>
      </c>
      <c r="U909" t="str">
        <f ca="1">IFERROR(__xludf.DUMMYFUNCTION("""COMPUTED_VALUE"""),"")</f>
        <v/>
      </c>
      <c r="V909" t="str">
        <f ca="1">IFERROR(__xludf.DUMMYFUNCTION("""COMPUTED_VALUE"""),"")</f>
        <v/>
      </c>
      <c r="W909" t="str">
        <f ca="1">IFERROR(__xludf.DUMMYFUNCTION("""COMPUTED_VALUE"""),"")</f>
        <v/>
      </c>
      <c r="X909" t="str">
        <f ca="1">IFERROR(__xludf.DUMMYFUNCTION("""COMPUTED_VALUE"""),"")</f>
        <v/>
      </c>
      <c r="Y909" t="str">
        <f ca="1">IFERROR(__xludf.DUMMYFUNCTION("""COMPUTED_VALUE"""),"")</f>
        <v/>
      </c>
      <c r="Z909" t="str">
        <f ca="1">IFERROR(__xludf.DUMMYFUNCTION("""COMPUTED_VALUE"""),"")</f>
        <v/>
      </c>
      <c r="AA909" t="str">
        <f ca="1">IFERROR(__xludf.DUMMYFUNCTION("""COMPUTED_VALUE"""),"Pas de commande")</f>
        <v>Pas de commande</v>
      </c>
      <c r="AB909" s="8" t="str">
        <f ca="1">IFERROR(__xludf.DUMMYFUNCTION("""COMPUTED_VALUE"""),"")</f>
        <v/>
      </c>
      <c r="AC909" s="8" t="str">
        <f ca="1">IFERROR(__xludf.DUMMYFUNCTION("""COMPUTED_VALUE"""),"")</f>
        <v/>
      </c>
      <c r="AD909" s="11" t="str">
        <f ca="1">IFERROR(__xludf.DUMMYFUNCTION("""COMPUTED_VALUE"""),"")</f>
        <v/>
      </c>
      <c r="AE909" t="str">
        <f ca="1">IFERROR(__xludf.DUMMYFUNCTION("""COMPUTED_VALUE"""),"")</f>
        <v/>
      </c>
    </row>
    <row r="910" spans="1:31" ht="12.75" x14ac:dyDescent="0.2">
      <c r="A910">
        <f ca="1">IFERROR(__xludf.DUMMYFUNCTION("""COMPUTED_VALUE"""),62105)</f>
        <v>62105</v>
      </c>
      <c r="B910" t="str">
        <f ca="1">IFERROR(__xludf.DUMMYFUNCTION("""COMPUTED_VALUE"""),"SOMBERNON")</f>
        <v>SOMBERNON</v>
      </c>
      <c r="C910" t="str">
        <f ca="1">IFERROR(__xludf.DUMMYFUNCTION("""COMPUTED_VALUE"""),"Super U")</f>
        <v>Super U</v>
      </c>
      <c r="D910" t="str">
        <f ca="1">IFERROR(__xludf.DUMMYFUNCTION("""COMPUTED_VALUE"""),"Coop U Enseigne Est")</f>
        <v>Coop U Enseigne Est</v>
      </c>
      <c r="E910">
        <f ca="1">IFERROR(__xludf.DUMMYFUNCTION("""COMPUTED_VALUE"""),21540)</f>
        <v>21540</v>
      </c>
      <c r="F910" t="str">
        <f ca="1">IFERROR(__xludf.DUMMYFUNCTION("""COMPUTED_VALUE"""),"Avenue de la Brenne")</f>
        <v>Avenue de la Brenne</v>
      </c>
      <c r="G910" t="str">
        <f ca="1">IFERROR(__xludf.DUMMYFUNCTION("""COMPUTED_VALUE"""),"03.80.33.32.04")</f>
        <v>03.80.33.32.04</v>
      </c>
      <c r="H910" t="str">
        <f ca="1">IFERROR(__xludf.DUMMYFUNCTION("""COMPUTED_VALUE"""),"COUDERT Denis")</f>
        <v>COUDERT Denis</v>
      </c>
      <c r="I910" t="str">
        <f ca="1">IFERROR(__xludf.DUMMYFUNCTION("""COMPUTED_VALUE"""),"denis.coudert@systeme-u.fr")</f>
        <v>denis.coudert@systeme-u.fr</v>
      </c>
      <c r="J910" t="str">
        <f ca="1">IFERROR(__xludf.DUMMYFUNCTION("""COMPUTED_VALUE"""),"Catherine COUDERT")</f>
        <v>Catherine COUDERT</v>
      </c>
      <c r="K910" t="str">
        <f ca="1">IFERROR(__xludf.DUMMYFUNCTION("""COMPUTED_VALUE"""),"catherine.coudert@systeme-u.fr")</f>
        <v>catherine.coudert@systeme-u.fr</v>
      </c>
      <c r="L910" t="str">
        <f ca="1">IFERROR(__xludf.DUMMYFUNCTION("""COMPUTED_VALUE"""),"")</f>
        <v/>
      </c>
      <c r="M910" t="str">
        <f ca="1">IFERROR(__xludf.DUMMYFUNCTION("""COMPUTED_VALUE"""),"99.Hors Périmetre")</f>
        <v>99.Hors Périmetre</v>
      </c>
      <c r="N910" t="str">
        <f ca="1">IFERROR(__xludf.DUMMYFUNCTION("""COMPUTED_VALUE"""),"")</f>
        <v/>
      </c>
      <c r="O910" t="str">
        <f ca="1">IFERROR(__xludf.DUMMYFUNCTION("""COMPUTED_VALUE"""),"")</f>
        <v/>
      </c>
      <c r="P910" t="str">
        <f ca="1">IFERROR(__xludf.DUMMYFUNCTION("""COMPUTED_VALUE"""),"")</f>
        <v/>
      </c>
      <c r="Q910" s="5" t="str">
        <f ca="1">IFERROR(__xludf.DUMMYFUNCTION("""COMPUTED_VALUE"""),"")</f>
        <v/>
      </c>
      <c r="R910" s="6" t="str">
        <f ca="1">IFERROR(__xludf.DUMMYFUNCTION("""COMPUTED_VALUE"""),"")</f>
        <v/>
      </c>
      <c r="S910" t="str">
        <f ca="1">IFERROR(__xludf.DUMMYFUNCTION("""COMPUTED_VALUE"""),"")</f>
        <v/>
      </c>
      <c r="T910" t="str">
        <f ca="1">IFERROR(__xludf.DUMMYFUNCTION("""COMPUTED_VALUE"""),"")</f>
        <v/>
      </c>
      <c r="U910" t="str">
        <f ca="1">IFERROR(__xludf.DUMMYFUNCTION("""COMPUTED_VALUE"""),"")</f>
        <v/>
      </c>
      <c r="V910" t="str">
        <f ca="1">IFERROR(__xludf.DUMMYFUNCTION("""COMPUTED_VALUE"""),"")</f>
        <v/>
      </c>
      <c r="W910" t="str">
        <f ca="1">IFERROR(__xludf.DUMMYFUNCTION("""COMPUTED_VALUE"""),"")</f>
        <v/>
      </c>
      <c r="X910" t="str">
        <f ca="1">IFERROR(__xludf.DUMMYFUNCTION("""COMPUTED_VALUE"""),"")</f>
        <v/>
      </c>
      <c r="Y910" t="str">
        <f ca="1">IFERROR(__xludf.DUMMYFUNCTION("""COMPUTED_VALUE"""),"")</f>
        <v/>
      </c>
      <c r="Z910" t="str">
        <f ca="1">IFERROR(__xludf.DUMMYFUNCTION("""COMPUTED_VALUE"""),"")</f>
        <v/>
      </c>
      <c r="AA910" t="str">
        <f ca="1">IFERROR(__xludf.DUMMYFUNCTION("""COMPUTED_VALUE"""),"Pas de commande")</f>
        <v>Pas de commande</v>
      </c>
      <c r="AB910" s="8" t="str">
        <f ca="1">IFERROR(__xludf.DUMMYFUNCTION("""COMPUTED_VALUE"""),"")</f>
        <v/>
      </c>
      <c r="AC910" s="8" t="str">
        <f ca="1">IFERROR(__xludf.DUMMYFUNCTION("""COMPUTED_VALUE"""),"")</f>
        <v/>
      </c>
      <c r="AD910" s="11" t="str">
        <f ca="1">IFERROR(__xludf.DUMMYFUNCTION("""COMPUTED_VALUE"""),"")</f>
        <v/>
      </c>
      <c r="AE910" t="str">
        <f ca="1">IFERROR(__xludf.DUMMYFUNCTION("""COMPUTED_VALUE"""),"")</f>
        <v/>
      </c>
    </row>
    <row r="911" spans="1:31" ht="12.75" x14ac:dyDescent="0.2">
      <c r="A911">
        <f ca="1">IFERROR(__xludf.DUMMYFUNCTION("""COMPUTED_VALUE"""),91111)</f>
        <v>91111</v>
      </c>
      <c r="B911" t="str">
        <f ca="1">IFERROR(__xludf.DUMMYFUNCTION("""COMPUTED_VALUE"""),"SOREZE METAIRIE")</f>
        <v>SOREZE METAIRIE</v>
      </c>
      <c r="C911" t="str">
        <f ca="1">IFERROR(__xludf.DUMMYFUNCTION("""COMPUTED_VALUE"""),"U Express")</f>
        <v>U Express</v>
      </c>
      <c r="D911" t="str">
        <f ca="1">IFERROR(__xludf.DUMMYFUNCTION("""COMPUTED_VALUE"""),"Coop MISTRAL")</f>
        <v>Coop MISTRAL</v>
      </c>
      <c r="E911">
        <f ca="1">IFERROR(__xludf.DUMMYFUNCTION("""COMPUTED_VALUE"""),81540)</f>
        <v>81540</v>
      </c>
      <c r="F911" t="str">
        <f ca="1">IFERROR(__xludf.DUMMYFUNCTION("""COMPUTED_VALUE"""),"METAIRIE PETITE RD 85")</f>
        <v>METAIRIE PETITE RD 85</v>
      </c>
      <c r="G911" t="str">
        <f ca="1">IFERROR(__xludf.DUMMYFUNCTION("""COMPUTED_VALUE"""),"07.86.83.36.25")</f>
        <v>07.86.83.36.25</v>
      </c>
      <c r="H911" t="str">
        <f ca="1">IFERROR(__xludf.DUMMYFUNCTION("""COMPUTED_VALUE"""),"LE COLERE Josette")</f>
        <v>LE COLERE Josette</v>
      </c>
      <c r="I911" t="str">
        <f ca="1">IFERROR(__xludf.DUMMYFUNCTION("""COMPUTED_VALUE"""),"uexpress.soreze@mistral-u.fr")</f>
        <v>uexpress.soreze@mistral-u.fr</v>
      </c>
      <c r="J911" t="str">
        <f ca="1">IFERROR(__xludf.DUMMYFUNCTION("""COMPUTED_VALUE"""),"LE COLERE Julien")</f>
        <v>LE COLERE Julien</v>
      </c>
      <c r="K911" t="str">
        <f ca="1">IFERROR(__xludf.DUMMYFUNCTION("""COMPUTED_VALUE"""),"delphine.damian@lemistral.fr,helene.mina@lemistral.fr")</f>
        <v>delphine.damian@lemistral.fr,helene.mina@lemistral.fr</v>
      </c>
      <c r="L911" t="str">
        <f ca="1">IFERROR(__xludf.DUMMYFUNCTION("""COMPUTED_VALUE"""),"")</f>
        <v/>
      </c>
      <c r="M911" t="str">
        <f ca="1">IFERROR(__xludf.DUMMYFUNCTION("""COMPUTED_VALUE"""),"99.Hors Périmetre")</f>
        <v>99.Hors Périmetre</v>
      </c>
      <c r="N911" t="str">
        <f ca="1">IFERROR(__xludf.DUMMYFUNCTION("""COMPUTED_VALUE"""),"")</f>
        <v/>
      </c>
      <c r="O911" t="str">
        <f ca="1">IFERROR(__xludf.DUMMYFUNCTION("""COMPUTED_VALUE"""),"")</f>
        <v/>
      </c>
      <c r="P911" t="str">
        <f ca="1">IFERROR(__xludf.DUMMYFUNCTION("""COMPUTED_VALUE"""),"")</f>
        <v/>
      </c>
      <c r="Q911" s="5" t="str">
        <f ca="1">IFERROR(__xludf.DUMMYFUNCTION("""COMPUTED_VALUE"""),"")</f>
        <v/>
      </c>
      <c r="R911" s="6" t="str">
        <f ca="1">IFERROR(__xludf.DUMMYFUNCTION("""COMPUTED_VALUE"""),"")</f>
        <v/>
      </c>
      <c r="S911" t="str">
        <f ca="1">IFERROR(__xludf.DUMMYFUNCTION("""COMPUTED_VALUE"""),"")</f>
        <v/>
      </c>
      <c r="T911" t="str">
        <f ca="1">IFERROR(__xludf.DUMMYFUNCTION("""COMPUTED_VALUE"""),"")</f>
        <v/>
      </c>
      <c r="U911" t="str">
        <f ca="1">IFERROR(__xludf.DUMMYFUNCTION("""COMPUTED_VALUE"""),"")</f>
        <v/>
      </c>
      <c r="V911" t="str">
        <f ca="1">IFERROR(__xludf.DUMMYFUNCTION("""COMPUTED_VALUE"""),"")</f>
        <v/>
      </c>
      <c r="W911" t="str">
        <f ca="1">IFERROR(__xludf.DUMMYFUNCTION("""COMPUTED_VALUE"""),"")</f>
        <v/>
      </c>
      <c r="X911" t="str">
        <f ca="1">IFERROR(__xludf.DUMMYFUNCTION("""COMPUTED_VALUE"""),"")</f>
        <v/>
      </c>
      <c r="Y911" t="str">
        <f ca="1">IFERROR(__xludf.DUMMYFUNCTION("""COMPUTED_VALUE"""),"")</f>
        <v/>
      </c>
      <c r="Z911" t="str">
        <f ca="1">IFERROR(__xludf.DUMMYFUNCTION("""COMPUTED_VALUE"""),"")</f>
        <v/>
      </c>
      <c r="AA911" t="str">
        <f ca="1">IFERROR(__xludf.DUMMYFUNCTION("""COMPUTED_VALUE"""),"Pas de commande")</f>
        <v>Pas de commande</v>
      </c>
      <c r="AB911" s="8" t="str">
        <f ca="1">IFERROR(__xludf.DUMMYFUNCTION("""COMPUTED_VALUE"""),"")</f>
        <v/>
      </c>
      <c r="AC911" s="8" t="str">
        <f ca="1">IFERROR(__xludf.DUMMYFUNCTION("""COMPUTED_VALUE"""),"")</f>
        <v/>
      </c>
      <c r="AD911" s="11" t="str">
        <f ca="1">IFERROR(__xludf.DUMMYFUNCTION("""COMPUTED_VALUE"""),"")</f>
        <v/>
      </c>
      <c r="AE911" t="str">
        <f ca="1">IFERROR(__xludf.DUMMYFUNCTION("""COMPUTED_VALUE"""),"")</f>
        <v/>
      </c>
    </row>
    <row r="912" spans="1:31" ht="12.75" x14ac:dyDescent="0.2">
      <c r="A912">
        <f ca="1">IFERROR(__xludf.DUMMYFUNCTION("""COMPUTED_VALUE"""),90198)</f>
        <v>90198</v>
      </c>
      <c r="B912" t="str">
        <f ca="1">IFERROR(__xludf.DUMMYFUNCTION("""COMPUTED_VALUE"""),"SORGUES")</f>
        <v>SORGUES</v>
      </c>
      <c r="C912" t="str">
        <f ca="1">IFERROR(__xludf.DUMMYFUNCTION("""COMPUTED_VALUE"""),"U Express")</f>
        <v>U Express</v>
      </c>
      <c r="D912" t="str">
        <f ca="1">IFERROR(__xludf.DUMMYFUNCTION("""COMPUTED_VALUE"""),"Coop U Enseigne Sud")</f>
        <v>Coop U Enseigne Sud</v>
      </c>
      <c r="E912">
        <f ca="1">IFERROR(__xludf.DUMMYFUNCTION("""COMPUTED_VALUE"""),84700)</f>
        <v>84700</v>
      </c>
      <c r="F912" t="str">
        <f ca="1">IFERROR(__xludf.DUMMYFUNCTION("""COMPUTED_VALUE"""),"BOULEVARD ROGER RICCA")</f>
        <v>BOULEVARD ROGER RICCA</v>
      </c>
      <c r="G912" t="str">
        <f ca="1">IFERROR(__xludf.DUMMYFUNCTION("""COMPUTED_VALUE"""),"04.90.39.34.30")</f>
        <v>04.90.39.34.30</v>
      </c>
      <c r="H912" t="str">
        <f ca="1">IFERROR(__xludf.DUMMYFUNCTION("""COMPUTED_VALUE"""),"VENTURA Franck")</f>
        <v>VENTURA Franck</v>
      </c>
      <c r="I912" t="str">
        <f ca="1">IFERROR(__xludf.DUMMYFUNCTION("""COMPUTED_VALUE"""),"franck.ventura@systeme-u.fr")</f>
        <v>franck.ventura@systeme-u.fr</v>
      </c>
      <c r="J912" t="str">
        <f ca="1">IFERROR(__xludf.DUMMYFUNCTION("""COMPUTED_VALUE"""),"")</f>
        <v/>
      </c>
      <c r="K912" t="str">
        <f ca="1">IFERROR(__xludf.DUMMYFUNCTION("""COMPUTED_VALUE"""),"")</f>
        <v/>
      </c>
      <c r="L912" t="str">
        <f ca="1">IFERROR(__xludf.DUMMYFUNCTION("""COMPUTED_VALUE"""),"")</f>
        <v/>
      </c>
      <c r="M912" t="str">
        <f ca="1">IFERROR(__xludf.DUMMYFUNCTION("""COMPUTED_VALUE"""),"99.Hors Périmetre")</f>
        <v>99.Hors Périmetre</v>
      </c>
      <c r="N912" t="str">
        <f ca="1">IFERROR(__xludf.DUMMYFUNCTION("""COMPUTED_VALUE"""),"")</f>
        <v/>
      </c>
      <c r="O912" t="str">
        <f ca="1">IFERROR(__xludf.DUMMYFUNCTION("""COMPUTED_VALUE"""),"")</f>
        <v/>
      </c>
      <c r="P912" t="str">
        <f ca="1">IFERROR(__xludf.DUMMYFUNCTION("""COMPUTED_VALUE"""),"")</f>
        <v/>
      </c>
      <c r="Q912" s="5" t="str">
        <f ca="1">IFERROR(__xludf.DUMMYFUNCTION("""COMPUTED_VALUE"""),"")</f>
        <v/>
      </c>
      <c r="R912" s="6" t="str">
        <f ca="1">IFERROR(__xludf.DUMMYFUNCTION("""COMPUTED_VALUE"""),"")</f>
        <v/>
      </c>
      <c r="S912" t="str">
        <f ca="1">IFERROR(__xludf.DUMMYFUNCTION("""COMPUTED_VALUE"""),"")</f>
        <v/>
      </c>
      <c r="T912" t="str">
        <f ca="1">IFERROR(__xludf.DUMMYFUNCTION("""COMPUTED_VALUE"""),"")</f>
        <v/>
      </c>
      <c r="U912" t="str">
        <f ca="1">IFERROR(__xludf.DUMMYFUNCTION("""COMPUTED_VALUE"""),"")</f>
        <v/>
      </c>
      <c r="V912" t="str">
        <f ca="1">IFERROR(__xludf.DUMMYFUNCTION("""COMPUTED_VALUE"""),"")</f>
        <v/>
      </c>
      <c r="W912" t="str">
        <f ca="1">IFERROR(__xludf.DUMMYFUNCTION("""COMPUTED_VALUE"""),"")</f>
        <v/>
      </c>
      <c r="X912" t="str">
        <f ca="1">IFERROR(__xludf.DUMMYFUNCTION("""COMPUTED_VALUE"""),"")</f>
        <v/>
      </c>
      <c r="Y912" t="str">
        <f ca="1">IFERROR(__xludf.DUMMYFUNCTION("""COMPUTED_VALUE"""),"")</f>
        <v/>
      </c>
      <c r="Z912" t="str">
        <f ca="1">IFERROR(__xludf.DUMMYFUNCTION("""COMPUTED_VALUE"""),"")</f>
        <v/>
      </c>
      <c r="AA912" t="str">
        <f ca="1">IFERROR(__xludf.DUMMYFUNCTION("""COMPUTED_VALUE"""),"Pas de commande")</f>
        <v>Pas de commande</v>
      </c>
      <c r="AB912" s="8" t="str">
        <f ca="1">IFERROR(__xludf.DUMMYFUNCTION("""COMPUTED_VALUE"""),"")</f>
        <v/>
      </c>
      <c r="AC912" s="8" t="str">
        <f ca="1">IFERROR(__xludf.DUMMYFUNCTION("""COMPUTED_VALUE"""),"")</f>
        <v/>
      </c>
      <c r="AD912" s="11" t="str">
        <f ca="1">IFERROR(__xludf.DUMMYFUNCTION("""COMPUTED_VALUE"""),"")</f>
        <v/>
      </c>
      <c r="AE912" t="str">
        <f ca="1">IFERROR(__xludf.DUMMYFUNCTION("""COMPUTED_VALUE"""),"")</f>
        <v/>
      </c>
    </row>
    <row r="913" spans="1:31" ht="12.75" x14ac:dyDescent="0.2">
      <c r="A913">
        <f ca="1">IFERROR(__xludf.DUMMYFUNCTION("""COMPUTED_VALUE"""),90406)</f>
        <v>90406</v>
      </c>
      <c r="B913" t="str">
        <f ca="1">IFERROR(__xludf.DUMMYFUNCTION("""COMPUTED_VALUE"""),"ST AFFRIQUE BRIAND")</f>
        <v>ST AFFRIQUE BRIAND</v>
      </c>
      <c r="C913" t="str">
        <f ca="1">IFERROR(__xludf.DUMMYFUNCTION("""COMPUTED_VALUE"""),"U Express")</f>
        <v>U Express</v>
      </c>
      <c r="D913" t="str">
        <f ca="1">IFERROR(__xludf.DUMMYFUNCTION("""COMPUTED_VALUE"""),"Coop U Enseigne Sud")</f>
        <v>Coop U Enseigne Sud</v>
      </c>
      <c r="E913">
        <f ca="1">IFERROR(__xludf.DUMMYFUNCTION("""COMPUTED_VALUE"""),12400)</f>
        <v>12400</v>
      </c>
      <c r="F913" t="str">
        <f ca="1">IFERROR(__xludf.DUMMYFUNCTION("""COMPUTED_VALUE"""),"6 BD ARISTIDE BRIAND")</f>
        <v>6 BD ARISTIDE BRIAND</v>
      </c>
      <c r="G913" t="str">
        <f ca="1">IFERROR(__xludf.DUMMYFUNCTION("""COMPUTED_VALUE"""),"05.65.98.18.98")</f>
        <v>05.65.98.18.98</v>
      </c>
      <c r="H913" t="str">
        <f ca="1">IFERROR(__xludf.DUMMYFUNCTION("""COMPUTED_VALUE"""),"SEUILLEROT Didier")</f>
        <v>SEUILLEROT Didier</v>
      </c>
      <c r="I913" t="str">
        <f ca="1">IFERROR(__xludf.DUMMYFUNCTION("""COMPUTED_VALUE"""),"didier.seuillerot@systeme-u.fr")</f>
        <v>didier.seuillerot@systeme-u.fr</v>
      </c>
      <c r="J913" t="str">
        <f ca="1">IFERROR(__xludf.DUMMYFUNCTION("""COMPUTED_VALUE"""),"")</f>
        <v/>
      </c>
      <c r="K913" t="str">
        <f ca="1">IFERROR(__xludf.DUMMYFUNCTION("""COMPUTED_VALUE"""),"")</f>
        <v/>
      </c>
      <c r="L913" t="str">
        <f ca="1">IFERROR(__xludf.DUMMYFUNCTION("""COMPUTED_VALUE"""),"")</f>
        <v/>
      </c>
      <c r="M913" t="str">
        <f ca="1">IFERROR(__xludf.DUMMYFUNCTION("""COMPUTED_VALUE"""),"99.Hors Périmetre")</f>
        <v>99.Hors Périmetre</v>
      </c>
      <c r="N913" t="str">
        <f ca="1">IFERROR(__xludf.DUMMYFUNCTION("""COMPUTED_VALUE"""),"")</f>
        <v/>
      </c>
      <c r="O913" t="str">
        <f ca="1">IFERROR(__xludf.DUMMYFUNCTION("""COMPUTED_VALUE"""),"")</f>
        <v/>
      </c>
      <c r="P913" t="str">
        <f ca="1">IFERROR(__xludf.DUMMYFUNCTION("""COMPUTED_VALUE"""),"")</f>
        <v/>
      </c>
      <c r="Q913" s="5" t="str">
        <f ca="1">IFERROR(__xludf.DUMMYFUNCTION("""COMPUTED_VALUE"""),"")</f>
        <v/>
      </c>
      <c r="R913" s="6" t="str">
        <f ca="1">IFERROR(__xludf.DUMMYFUNCTION("""COMPUTED_VALUE"""),"")</f>
        <v/>
      </c>
      <c r="S913" t="str">
        <f ca="1">IFERROR(__xludf.DUMMYFUNCTION("""COMPUTED_VALUE"""),"")</f>
        <v/>
      </c>
      <c r="T913" t="str">
        <f ca="1">IFERROR(__xludf.DUMMYFUNCTION("""COMPUTED_VALUE"""),"")</f>
        <v/>
      </c>
      <c r="U913" t="str">
        <f ca="1">IFERROR(__xludf.DUMMYFUNCTION("""COMPUTED_VALUE"""),"")</f>
        <v/>
      </c>
      <c r="V913" t="str">
        <f ca="1">IFERROR(__xludf.DUMMYFUNCTION("""COMPUTED_VALUE"""),"")</f>
        <v/>
      </c>
      <c r="W913" t="str">
        <f ca="1">IFERROR(__xludf.DUMMYFUNCTION("""COMPUTED_VALUE"""),"")</f>
        <v/>
      </c>
      <c r="X913" t="str">
        <f ca="1">IFERROR(__xludf.DUMMYFUNCTION("""COMPUTED_VALUE"""),"")</f>
        <v/>
      </c>
      <c r="Y913" t="str">
        <f ca="1">IFERROR(__xludf.DUMMYFUNCTION("""COMPUTED_VALUE"""),"")</f>
        <v/>
      </c>
      <c r="Z913" t="str">
        <f ca="1">IFERROR(__xludf.DUMMYFUNCTION("""COMPUTED_VALUE"""),"")</f>
        <v/>
      </c>
      <c r="AA913" t="str">
        <f ca="1">IFERROR(__xludf.DUMMYFUNCTION("""COMPUTED_VALUE"""),"Pas de commande")</f>
        <v>Pas de commande</v>
      </c>
      <c r="AB913" s="8" t="str">
        <f ca="1">IFERROR(__xludf.DUMMYFUNCTION("""COMPUTED_VALUE"""),"")</f>
        <v/>
      </c>
      <c r="AC913" s="8" t="str">
        <f ca="1">IFERROR(__xludf.DUMMYFUNCTION("""COMPUTED_VALUE"""),"")</f>
        <v/>
      </c>
      <c r="AD913" s="11" t="str">
        <f ca="1">IFERROR(__xludf.DUMMYFUNCTION("""COMPUTED_VALUE"""),"")</f>
        <v/>
      </c>
      <c r="AE913" t="str">
        <f ca="1">IFERROR(__xludf.DUMMYFUNCTION("""COMPUTED_VALUE"""),"")</f>
        <v/>
      </c>
    </row>
    <row r="914" spans="1:31" ht="12.75" x14ac:dyDescent="0.2">
      <c r="A914">
        <f ca="1">IFERROR(__xludf.DUMMYFUNCTION("""COMPUTED_VALUE"""),62079)</f>
        <v>62079</v>
      </c>
      <c r="B914" t="str">
        <f ca="1">IFERROR(__xludf.DUMMYFUNCTION("""COMPUTED_VALUE"""),"ST AMOUR")</f>
        <v>ST AMOUR</v>
      </c>
      <c r="C914" t="str">
        <f ca="1">IFERROR(__xludf.DUMMYFUNCTION("""COMPUTED_VALUE"""),"Super U")</f>
        <v>Super U</v>
      </c>
      <c r="D914" t="str">
        <f ca="1">IFERROR(__xludf.DUMMYFUNCTION("""COMPUTED_VALUE"""),"Coop U Enseigne Est")</f>
        <v>Coop U Enseigne Est</v>
      </c>
      <c r="E914">
        <f ca="1">IFERROR(__xludf.DUMMYFUNCTION("""COMPUTED_VALUE"""),39160)</f>
        <v>39160</v>
      </c>
      <c r="F914" t="str">
        <f ca="1">IFERROR(__xludf.DUMMYFUNCTION("""COMPUTED_VALUE"""),"2 AVENUE DE FRANCHE COMTÉ")</f>
        <v>2 AVENUE DE FRANCHE COMTÉ</v>
      </c>
      <c r="G914" t="str">
        <f ca="1">IFERROR(__xludf.DUMMYFUNCTION("""COMPUTED_VALUE"""),"03.84.48.70.29")</f>
        <v>03.84.48.70.29</v>
      </c>
      <c r="H914" t="str">
        <f ca="1">IFERROR(__xludf.DUMMYFUNCTION("""COMPUTED_VALUE"""),"VALLEE RPT SAS VALAMOUR Franck")</f>
        <v>VALLEE RPT SAS VALAMOUR Franck</v>
      </c>
      <c r="I914" t="str">
        <f ca="1">IFERROR(__xludf.DUMMYFUNCTION("""COMPUTED_VALUE"""),"franck.vallee@systeme-u.fr")</f>
        <v>franck.vallee@systeme-u.fr</v>
      </c>
      <c r="J914" t="str">
        <f ca="1">IFERROR(__xludf.DUMMYFUNCTION("""COMPUTED_VALUE"""),"BERODIER Guillaume")</f>
        <v>BERODIER Guillaume</v>
      </c>
      <c r="K914" t="str">
        <f ca="1">IFERROR(__xludf.DUMMYFUNCTION("""COMPUTED_VALUE"""),"superu.saintamour.direction@systeme-u.fr")</f>
        <v>superu.saintamour.direction@systeme-u.fr</v>
      </c>
      <c r="L914" t="str">
        <f ca="1">IFERROR(__xludf.DUMMYFUNCTION("""COMPUTED_VALUE"""),"")</f>
        <v/>
      </c>
      <c r="M914" t="str">
        <f ca="1">IFERROR(__xludf.DUMMYFUNCTION("""COMPUTED_VALUE"""),"99.Hors Périmetre")</f>
        <v>99.Hors Périmetre</v>
      </c>
      <c r="N914" t="str">
        <f ca="1">IFERROR(__xludf.DUMMYFUNCTION("""COMPUTED_VALUE"""),"")</f>
        <v/>
      </c>
      <c r="O914" t="str">
        <f ca="1">IFERROR(__xludf.DUMMYFUNCTION("""COMPUTED_VALUE"""),"")</f>
        <v/>
      </c>
      <c r="P914" t="str">
        <f ca="1">IFERROR(__xludf.DUMMYFUNCTION("""COMPUTED_VALUE"""),"")</f>
        <v/>
      </c>
      <c r="Q914" s="5" t="str">
        <f ca="1">IFERROR(__xludf.DUMMYFUNCTION("""COMPUTED_VALUE"""),"")</f>
        <v/>
      </c>
      <c r="R914" s="6" t="str">
        <f ca="1">IFERROR(__xludf.DUMMYFUNCTION("""COMPUTED_VALUE"""),"")</f>
        <v/>
      </c>
      <c r="S914" t="str">
        <f ca="1">IFERROR(__xludf.DUMMYFUNCTION("""COMPUTED_VALUE"""),"")</f>
        <v/>
      </c>
      <c r="T914" t="str">
        <f ca="1">IFERROR(__xludf.DUMMYFUNCTION("""COMPUTED_VALUE"""),"")</f>
        <v/>
      </c>
      <c r="U914" t="str">
        <f ca="1">IFERROR(__xludf.DUMMYFUNCTION("""COMPUTED_VALUE"""),"")</f>
        <v/>
      </c>
      <c r="V914" t="str">
        <f ca="1">IFERROR(__xludf.DUMMYFUNCTION("""COMPUTED_VALUE"""),"")</f>
        <v/>
      </c>
      <c r="W914" t="str">
        <f ca="1">IFERROR(__xludf.DUMMYFUNCTION("""COMPUTED_VALUE"""),"")</f>
        <v/>
      </c>
      <c r="X914" t="str">
        <f ca="1">IFERROR(__xludf.DUMMYFUNCTION("""COMPUTED_VALUE"""),"")</f>
        <v/>
      </c>
      <c r="Y914" t="str">
        <f ca="1">IFERROR(__xludf.DUMMYFUNCTION("""COMPUTED_VALUE"""),"")</f>
        <v/>
      </c>
      <c r="Z914" t="str">
        <f ca="1">IFERROR(__xludf.DUMMYFUNCTION("""COMPUTED_VALUE"""),"")</f>
        <v/>
      </c>
      <c r="AA914" t="str">
        <f ca="1">IFERROR(__xludf.DUMMYFUNCTION("""COMPUTED_VALUE"""),"Pas de commande")</f>
        <v>Pas de commande</v>
      </c>
      <c r="AB914" s="8" t="str">
        <f ca="1">IFERROR(__xludf.DUMMYFUNCTION("""COMPUTED_VALUE"""),"")</f>
        <v/>
      </c>
      <c r="AC914" s="8" t="str">
        <f ca="1">IFERROR(__xludf.DUMMYFUNCTION("""COMPUTED_VALUE"""),"")</f>
        <v/>
      </c>
      <c r="AD914" s="11" t="str">
        <f ca="1">IFERROR(__xludf.DUMMYFUNCTION("""COMPUTED_VALUE"""),"")</f>
        <v/>
      </c>
      <c r="AE914" t="str">
        <f ca="1">IFERROR(__xludf.DUMMYFUNCTION("""COMPUTED_VALUE"""),"")</f>
        <v/>
      </c>
    </row>
    <row r="915" spans="1:31" ht="12.75" x14ac:dyDescent="0.2">
      <c r="A915">
        <f ca="1">IFERROR(__xludf.DUMMYFUNCTION("""COMPUTED_VALUE"""),91083)</f>
        <v>91083</v>
      </c>
      <c r="B915" t="str">
        <f ca="1">IFERROR(__xludf.DUMMYFUNCTION("""COMPUTED_VALUE"""),"ST ANDRE LES ALPES")</f>
        <v>ST ANDRE LES ALPES</v>
      </c>
      <c r="C915" t="str">
        <f ca="1">IFERROR(__xludf.DUMMYFUNCTION("""COMPUTED_VALUE"""),"U Express")</f>
        <v>U Express</v>
      </c>
      <c r="D915" t="str">
        <f ca="1">IFERROR(__xludf.DUMMYFUNCTION("""COMPUTED_VALUE"""),"Coop MISTRAL")</f>
        <v>Coop MISTRAL</v>
      </c>
      <c r="E915">
        <f ca="1">IFERROR(__xludf.DUMMYFUNCTION("""COMPUTED_VALUE"""),4170)</f>
        <v>4170</v>
      </c>
      <c r="F915" t="str">
        <f ca="1">IFERROR(__xludf.DUMMYFUNCTION("""COMPUTED_VALUE"""),"ROUTE DE NICE")</f>
        <v>ROUTE DE NICE</v>
      </c>
      <c r="G915" t="str">
        <f ca="1">IFERROR(__xludf.DUMMYFUNCTION("""COMPUTED_VALUE"""),"04.92.89.02.18")</f>
        <v>04.92.89.02.18</v>
      </c>
      <c r="H915" t="str">
        <f ca="1">IFERROR(__xludf.DUMMYFUNCTION("""COMPUTED_VALUE"""),"BAQUET Loic")</f>
        <v>BAQUET Loic</v>
      </c>
      <c r="I915" t="str">
        <f ca="1">IFERROR(__xludf.DUMMYFUNCTION("""COMPUTED_VALUE"""),"")</f>
        <v/>
      </c>
      <c r="J915" t="str">
        <f ca="1">IFERROR(__xludf.DUMMYFUNCTION("""COMPUTED_VALUE"""),"Mr Cottin Mathieu")</f>
        <v>Mr Cottin Mathieu</v>
      </c>
      <c r="K915" t="str">
        <f ca="1">IFERROR(__xludf.DUMMYFUNCTION("""COMPUTED_VALUE"""),"delphine.damian@lemistral.fr,helene.mina@lemistral.fr,isa-ustandre@orange.fr")</f>
        <v>delphine.damian@lemistral.fr,helene.mina@lemistral.fr,isa-ustandre@orange.fr</v>
      </c>
      <c r="L915" t="str">
        <f ca="1">IFERROR(__xludf.DUMMYFUNCTION("""COMPUTED_VALUE"""),"Standard")</f>
        <v>Standard</v>
      </c>
      <c r="M915" t="str">
        <f ca="1">IFERROR(__xludf.DUMMYFUNCTION("""COMPUTED_VALUE"""),"0. Non démarré")</f>
        <v>0. Non démarré</v>
      </c>
      <c r="N915" t="str">
        <f ca="1">IFERROR(__xludf.DUMMYFUNCTION("""COMPUTED_VALUE"""),"")</f>
        <v/>
      </c>
      <c r="O915" t="str">
        <f ca="1">IFERROR(__xludf.DUMMYFUNCTION("""COMPUTED_VALUE"""),"")</f>
        <v/>
      </c>
      <c r="P915" t="str">
        <f ca="1">IFERROR(__xludf.DUMMYFUNCTION("""COMPUTED_VALUE"""),"")</f>
        <v/>
      </c>
      <c r="Q915" s="5" t="str">
        <f ca="1">IFERROR(__xludf.DUMMYFUNCTION("""COMPUTED_VALUE"""),"")</f>
        <v/>
      </c>
      <c r="R915" s="6" t="str">
        <f ca="1">IFERROR(__xludf.DUMMYFUNCTION("""COMPUTED_VALUE"""),"")</f>
        <v/>
      </c>
      <c r="S915" t="str">
        <f ca="1">IFERROR(__xludf.DUMMYFUNCTION("""COMPUTED_VALUE"""),"")</f>
        <v/>
      </c>
      <c r="T915" t="str">
        <f ca="1">IFERROR(__xludf.DUMMYFUNCTION("""COMPUTED_VALUE"""),"")</f>
        <v/>
      </c>
      <c r="U915" t="str">
        <f ca="1">IFERROR(__xludf.DUMMYFUNCTION("""COMPUTED_VALUE"""),"")</f>
        <v/>
      </c>
      <c r="V915" t="str">
        <f ca="1">IFERROR(__xludf.DUMMYFUNCTION("""COMPUTED_VALUE"""),"")</f>
        <v/>
      </c>
      <c r="W915" t="str">
        <f ca="1">IFERROR(__xludf.DUMMYFUNCTION("""COMPUTED_VALUE"""),"R5")</f>
        <v>R5</v>
      </c>
      <c r="X915" t="str">
        <f ca="1">IFERROR(__xludf.DUMMYFUNCTION("""COMPUTED_VALUE"""),"Pricer")</f>
        <v>Pricer</v>
      </c>
      <c r="Y915" t="str">
        <f ca="1">IFERROR(__xludf.DUMMYFUNCTION("""COMPUTED_VALUE"""),"")</f>
        <v/>
      </c>
      <c r="Z915" t="str">
        <f ca="1">IFERROR(__xludf.DUMMYFUNCTION("""COMPUTED_VALUE"""),"")</f>
        <v/>
      </c>
      <c r="AA915" t="str">
        <f ca="1">IFERROR(__xludf.DUMMYFUNCTION("""COMPUTED_VALUE"""),"Pas de commande")</f>
        <v>Pas de commande</v>
      </c>
      <c r="AB915" s="8" t="str">
        <f ca="1">IFERROR(__xludf.DUMMYFUNCTION("""COMPUTED_VALUE"""),"")</f>
        <v/>
      </c>
      <c r="AC915" s="8" t="str">
        <f ca="1">IFERROR(__xludf.DUMMYFUNCTION("""COMPUTED_VALUE"""),"")</f>
        <v/>
      </c>
      <c r="AD915" s="11" t="str">
        <f ca="1">IFERROR(__xludf.DUMMYFUNCTION("""COMPUTED_VALUE"""),"")</f>
        <v/>
      </c>
      <c r="AE915" t="str">
        <f ca="1">IFERROR(__xludf.DUMMYFUNCTION("""COMPUTED_VALUE"""),"")</f>
        <v/>
      </c>
    </row>
    <row r="916" spans="1:31" ht="12.75" x14ac:dyDescent="0.2">
      <c r="A916">
        <f ca="1">IFERROR(__xludf.DUMMYFUNCTION("""COMPUTED_VALUE"""),23867)</f>
        <v>23867</v>
      </c>
      <c r="B916" t="str">
        <f ca="1">IFERROR(__xludf.DUMMYFUNCTION("""COMPUTED_VALUE"""),"ST ARNOULT EN YVELINES")</f>
        <v>ST ARNOULT EN YVELINES</v>
      </c>
      <c r="C916" t="str">
        <f ca="1">IFERROR(__xludf.DUMMYFUNCTION("""COMPUTED_VALUE"""),"U Express")</f>
        <v>U Express</v>
      </c>
      <c r="D916" t="str">
        <f ca="1">IFERROR(__xludf.DUMMYFUNCTION("""COMPUTED_VALUE"""),"Coop U Enseigne NordOuest")</f>
        <v>Coop U Enseigne NordOuest</v>
      </c>
      <c r="E916">
        <f ca="1">IFERROR(__xludf.DUMMYFUNCTION("""COMPUTED_VALUE"""),78730)</f>
        <v>78730</v>
      </c>
      <c r="F916" t="str">
        <f ca="1">IFERROR(__xludf.DUMMYFUNCTION("""COMPUTED_VALUE"""),"18 RUE DES REMPARTS")</f>
        <v>18 RUE DES REMPARTS</v>
      </c>
      <c r="G916" t="str">
        <f ca="1">IFERROR(__xludf.DUMMYFUNCTION("""COMPUTED_VALUE"""),"01.61.08.31.08")</f>
        <v>01.61.08.31.08</v>
      </c>
      <c r="H916" t="str">
        <f ca="1">IFERROR(__xludf.DUMMYFUNCTION("""COMPUTED_VALUE"""),"AUGE Manuel")</f>
        <v>AUGE Manuel</v>
      </c>
      <c r="I916" t="str">
        <f ca="1">IFERROR(__xludf.DUMMYFUNCTION("""COMPUTED_VALUE"""),"manuel.auge@systeme-u.fr")</f>
        <v>manuel.auge@systeme-u.fr</v>
      </c>
      <c r="J916" t="str">
        <f ca="1">IFERROR(__xludf.DUMMYFUNCTION("""COMPUTED_VALUE"""),"Muriel AUGE")</f>
        <v>Muriel AUGE</v>
      </c>
      <c r="K916" t="str">
        <f ca="1">IFERROR(__xludf.DUMMYFUNCTION("""COMPUTED_VALUE"""),"uexpress.saintarnoultenyvelines@systeme-u.fr
")</f>
        <v xml:space="preserve">uexpress.saintarnoultenyvelines@systeme-u.fr
</v>
      </c>
      <c r="L916" t="str">
        <f ca="1">IFERROR(__xludf.DUMMYFUNCTION("""COMPUTED_VALUE"""),"")</f>
        <v/>
      </c>
      <c r="M916" t="str">
        <f ca="1">IFERROR(__xludf.DUMMYFUNCTION("""COMPUTED_VALUE"""),"99.Hors Périmetre")</f>
        <v>99.Hors Périmetre</v>
      </c>
      <c r="N916" t="str">
        <f ca="1">IFERROR(__xludf.DUMMYFUNCTION("""COMPUTED_VALUE"""),"")</f>
        <v/>
      </c>
      <c r="O916" t="str">
        <f ca="1">IFERROR(__xludf.DUMMYFUNCTION("""COMPUTED_VALUE"""),"")</f>
        <v/>
      </c>
      <c r="P916" t="str">
        <f ca="1">IFERROR(__xludf.DUMMYFUNCTION("""COMPUTED_VALUE"""),"")</f>
        <v/>
      </c>
      <c r="Q916" s="5" t="str">
        <f ca="1">IFERROR(__xludf.DUMMYFUNCTION("""COMPUTED_VALUE"""),"")</f>
        <v/>
      </c>
      <c r="R916" s="6" t="str">
        <f ca="1">IFERROR(__xludf.DUMMYFUNCTION("""COMPUTED_VALUE"""),"")</f>
        <v/>
      </c>
      <c r="S916" t="str">
        <f ca="1">IFERROR(__xludf.DUMMYFUNCTION("""COMPUTED_VALUE"""),"")</f>
        <v/>
      </c>
      <c r="T916" t="str">
        <f ca="1">IFERROR(__xludf.DUMMYFUNCTION("""COMPUTED_VALUE"""),"")</f>
        <v/>
      </c>
      <c r="U916" t="str">
        <f ca="1">IFERROR(__xludf.DUMMYFUNCTION("""COMPUTED_VALUE"""),"")</f>
        <v/>
      </c>
      <c r="V916" t="str">
        <f ca="1">IFERROR(__xludf.DUMMYFUNCTION("""COMPUTED_VALUE"""),"")</f>
        <v/>
      </c>
      <c r="W916" t="str">
        <f ca="1">IFERROR(__xludf.DUMMYFUNCTION("""COMPUTED_VALUE"""),"")</f>
        <v/>
      </c>
      <c r="X916" t="str">
        <f ca="1">IFERROR(__xludf.DUMMYFUNCTION("""COMPUTED_VALUE"""),"")</f>
        <v/>
      </c>
      <c r="Y916" t="str">
        <f ca="1">IFERROR(__xludf.DUMMYFUNCTION("""COMPUTED_VALUE"""),"")</f>
        <v/>
      </c>
      <c r="Z916" t="str">
        <f ca="1">IFERROR(__xludf.DUMMYFUNCTION("""COMPUTED_VALUE"""),"")</f>
        <v/>
      </c>
      <c r="AA916" t="str">
        <f ca="1">IFERROR(__xludf.DUMMYFUNCTION("""COMPUTED_VALUE"""),"Pas de commande")</f>
        <v>Pas de commande</v>
      </c>
      <c r="AB916" s="8" t="str">
        <f ca="1">IFERROR(__xludf.DUMMYFUNCTION("""COMPUTED_VALUE"""),"")</f>
        <v/>
      </c>
      <c r="AC916" s="8" t="str">
        <f ca="1">IFERROR(__xludf.DUMMYFUNCTION("""COMPUTED_VALUE"""),"")</f>
        <v/>
      </c>
      <c r="AD916" s="11" t="str">
        <f ca="1">IFERROR(__xludf.DUMMYFUNCTION("""COMPUTED_VALUE"""),"")</f>
        <v/>
      </c>
      <c r="AE916" t="str">
        <f ca="1">IFERROR(__xludf.DUMMYFUNCTION("""COMPUTED_VALUE"""),"")</f>
        <v/>
      </c>
    </row>
    <row r="917" spans="1:31" ht="12.75" x14ac:dyDescent="0.2">
      <c r="A917">
        <f ca="1">IFERROR(__xludf.DUMMYFUNCTION("""COMPUTED_VALUE"""),68515)</f>
        <v>68515</v>
      </c>
      <c r="B917" t="str">
        <f ca="1">IFERROR(__xludf.DUMMYFUNCTION("""COMPUTED_VALUE"""),"ST BONNET DE JOUX")</f>
        <v>ST BONNET DE JOUX</v>
      </c>
      <c r="C917" t="str">
        <f ca="1">IFERROR(__xludf.DUMMYFUNCTION("""COMPUTED_VALUE"""),"Super U")</f>
        <v>Super U</v>
      </c>
      <c r="D917" t="str">
        <f ca="1">IFERROR(__xludf.DUMMYFUNCTION("""COMPUTED_VALUE"""),"Coop U Enseigne Est")</f>
        <v>Coop U Enseigne Est</v>
      </c>
      <c r="E917">
        <f ca="1">IFERROR(__xludf.DUMMYFUNCTION("""COMPUTED_VALUE"""),71220)</f>
        <v>71220</v>
      </c>
      <c r="F917" t="str">
        <f ca="1">IFERROR(__xludf.DUMMYFUNCTION("""COMPUTED_VALUE"""),"ESPACE COMMERCIAL 'LES RENAUDS'")</f>
        <v>ESPACE COMMERCIAL 'LES RENAUDS'</v>
      </c>
      <c r="G917" t="str">
        <f ca="1">IFERROR(__xludf.DUMMYFUNCTION("""COMPUTED_VALUE"""),"03.85.24.12.00")</f>
        <v>03.85.24.12.00</v>
      </c>
      <c r="H917" t="str">
        <f ca="1">IFERROR(__xludf.DUMMYFUNCTION("""COMPUTED_VALUE"""),"GREA Sylvain")</f>
        <v>GREA Sylvain</v>
      </c>
      <c r="I917" t="str">
        <f ca="1">IFERROR(__xludf.DUMMYFUNCTION("""COMPUTED_VALUE"""),"sylvain.grea@systeme-u.fr")</f>
        <v>sylvain.grea@systeme-u.fr</v>
      </c>
      <c r="J917" t="str">
        <f ca="1">IFERROR(__xludf.DUMMYFUNCTION("""COMPUTED_VALUE"""),"")</f>
        <v/>
      </c>
      <c r="K917" t="str">
        <f ca="1">IFERROR(__xludf.DUMMYFUNCTION("""COMPUTED_VALUE"""),"")</f>
        <v/>
      </c>
      <c r="L917" t="str">
        <f ca="1">IFERROR(__xludf.DUMMYFUNCTION("""COMPUTED_VALUE"""),"")</f>
        <v/>
      </c>
      <c r="M917" t="str">
        <f ca="1">IFERROR(__xludf.DUMMYFUNCTION("""COMPUTED_VALUE"""),"99.Hors Périmetre")</f>
        <v>99.Hors Périmetre</v>
      </c>
      <c r="N917" t="str">
        <f ca="1">IFERROR(__xludf.DUMMYFUNCTION("""COMPUTED_VALUE"""),"")</f>
        <v/>
      </c>
      <c r="O917" t="str">
        <f ca="1">IFERROR(__xludf.DUMMYFUNCTION("""COMPUTED_VALUE"""),"")</f>
        <v/>
      </c>
      <c r="P917" t="str">
        <f ca="1">IFERROR(__xludf.DUMMYFUNCTION("""COMPUTED_VALUE"""),"")</f>
        <v/>
      </c>
      <c r="Q917" s="5" t="str">
        <f ca="1">IFERROR(__xludf.DUMMYFUNCTION("""COMPUTED_VALUE"""),"")</f>
        <v/>
      </c>
      <c r="R917" s="6" t="str">
        <f ca="1">IFERROR(__xludf.DUMMYFUNCTION("""COMPUTED_VALUE"""),"")</f>
        <v/>
      </c>
      <c r="S917" t="str">
        <f ca="1">IFERROR(__xludf.DUMMYFUNCTION("""COMPUTED_VALUE"""),"")</f>
        <v/>
      </c>
      <c r="T917" t="str">
        <f ca="1">IFERROR(__xludf.DUMMYFUNCTION("""COMPUTED_VALUE"""),"")</f>
        <v/>
      </c>
      <c r="U917" t="str">
        <f ca="1">IFERROR(__xludf.DUMMYFUNCTION("""COMPUTED_VALUE"""),"")</f>
        <v/>
      </c>
      <c r="V917" t="str">
        <f ca="1">IFERROR(__xludf.DUMMYFUNCTION("""COMPUTED_VALUE"""),"")</f>
        <v/>
      </c>
      <c r="W917" t="str">
        <f ca="1">IFERROR(__xludf.DUMMYFUNCTION("""COMPUTED_VALUE"""),"")</f>
        <v/>
      </c>
      <c r="X917" t="str">
        <f ca="1">IFERROR(__xludf.DUMMYFUNCTION("""COMPUTED_VALUE"""),"")</f>
        <v/>
      </c>
      <c r="Y917" t="str">
        <f ca="1">IFERROR(__xludf.DUMMYFUNCTION("""COMPUTED_VALUE"""),"")</f>
        <v/>
      </c>
      <c r="Z917" t="str">
        <f ca="1">IFERROR(__xludf.DUMMYFUNCTION("""COMPUTED_VALUE"""),"")</f>
        <v/>
      </c>
      <c r="AA917" t="str">
        <f ca="1">IFERROR(__xludf.DUMMYFUNCTION("""COMPUTED_VALUE"""),"Pas de commande")</f>
        <v>Pas de commande</v>
      </c>
      <c r="AB917" s="8" t="str">
        <f ca="1">IFERROR(__xludf.DUMMYFUNCTION("""COMPUTED_VALUE"""),"")</f>
        <v/>
      </c>
      <c r="AC917" s="8" t="str">
        <f ca="1">IFERROR(__xludf.DUMMYFUNCTION("""COMPUTED_VALUE"""),"")</f>
        <v/>
      </c>
      <c r="AD917" s="11" t="str">
        <f ca="1">IFERROR(__xludf.DUMMYFUNCTION("""COMPUTED_VALUE"""),"")</f>
        <v/>
      </c>
      <c r="AE917" t="str">
        <f ca="1">IFERROR(__xludf.DUMMYFUNCTION("""COMPUTED_VALUE"""),"")</f>
        <v/>
      </c>
    </row>
    <row r="918" spans="1:31" ht="12.75" x14ac:dyDescent="0.2">
      <c r="A918">
        <f ca="1">IFERROR(__xludf.DUMMYFUNCTION("""COMPUTED_VALUE"""),90582)</f>
        <v>90582</v>
      </c>
      <c r="B918" t="str">
        <f ca="1">IFERROR(__xludf.DUMMYFUNCTION("""COMPUTED_VALUE"""),"ST CHELY D'APCHER")</f>
        <v>ST CHELY D'APCHER</v>
      </c>
      <c r="C918" t="str">
        <f ca="1">IFERROR(__xludf.DUMMYFUNCTION("""COMPUTED_VALUE"""),"Super U")</f>
        <v>Super U</v>
      </c>
      <c r="D918" t="str">
        <f ca="1">IFERROR(__xludf.DUMMYFUNCTION("""COMPUTED_VALUE"""),"Coop U Enseigne Sud")</f>
        <v>Coop U Enseigne Sud</v>
      </c>
      <c r="E918">
        <f ca="1">IFERROR(__xludf.DUMMYFUNCTION("""COMPUTED_VALUE"""),48200)</f>
        <v>48200</v>
      </c>
      <c r="F918" t="str">
        <f ca="1">IFERROR(__xludf.DUMMYFUNCTION("""COMPUTED_VALUE"""),"BOULEVARD GUERIN D'APCHER")</f>
        <v>BOULEVARD GUERIN D'APCHER</v>
      </c>
      <c r="G918" t="str">
        <f ca="1">IFERROR(__xludf.DUMMYFUNCTION("""COMPUTED_VALUE"""),"04.66.31.06.26")</f>
        <v>04.66.31.06.26</v>
      </c>
      <c r="H918" t="str">
        <f ca="1">IFERROR(__xludf.DUMMYFUNCTION("""COMPUTED_VALUE"""),"TERRISSON Françoise")</f>
        <v>TERRISSON Françoise</v>
      </c>
      <c r="I918" t="str">
        <f ca="1">IFERROR(__xludf.DUMMYFUNCTION("""COMPUTED_VALUE"""),"francoise.terrisson@systeme-u.fr")</f>
        <v>francoise.terrisson@systeme-u.fr</v>
      </c>
      <c r="J918" t="str">
        <f ca="1">IFERROR(__xludf.DUMMYFUNCTION("""COMPUTED_VALUE"""),"")</f>
        <v/>
      </c>
      <c r="K918" t="str">
        <f ca="1">IFERROR(__xludf.DUMMYFUNCTION("""COMPUTED_VALUE"""),"")</f>
        <v/>
      </c>
      <c r="L918" t="str">
        <f ca="1">IFERROR(__xludf.DUMMYFUNCTION("""COMPUTED_VALUE"""),"")</f>
        <v/>
      </c>
      <c r="M918" t="str">
        <f ca="1">IFERROR(__xludf.DUMMYFUNCTION("""COMPUTED_VALUE"""),"99.Hors Périmetre")</f>
        <v>99.Hors Périmetre</v>
      </c>
      <c r="N918" t="str">
        <f ca="1">IFERROR(__xludf.DUMMYFUNCTION("""COMPUTED_VALUE"""),"")</f>
        <v/>
      </c>
      <c r="O918" t="str">
        <f ca="1">IFERROR(__xludf.DUMMYFUNCTION("""COMPUTED_VALUE"""),"")</f>
        <v/>
      </c>
      <c r="P918" t="str">
        <f ca="1">IFERROR(__xludf.DUMMYFUNCTION("""COMPUTED_VALUE"""),"")</f>
        <v/>
      </c>
      <c r="Q918" s="5" t="str">
        <f ca="1">IFERROR(__xludf.DUMMYFUNCTION("""COMPUTED_VALUE"""),"")</f>
        <v/>
      </c>
      <c r="R918" s="6" t="str">
        <f ca="1">IFERROR(__xludf.DUMMYFUNCTION("""COMPUTED_VALUE"""),"")</f>
        <v/>
      </c>
      <c r="S918" t="str">
        <f ca="1">IFERROR(__xludf.DUMMYFUNCTION("""COMPUTED_VALUE"""),"")</f>
        <v/>
      </c>
      <c r="T918" t="str">
        <f ca="1">IFERROR(__xludf.DUMMYFUNCTION("""COMPUTED_VALUE"""),"")</f>
        <v/>
      </c>
      <c r="U918" t="str">
        <f ca="1">IFERROR(__xludf.DUMMYFUNCTION("""COMPUTED_VALUE"""),"")</f>
        <v/>
      </c>
      <c r="V918" t="str">
        <f ca="1">IFERROR(__xludf.DUMMYFUNCTION("""COMPUTED_VALUE"""),"")</f>
        <v/>
      </c>
      <c r="W918" t="str">
        <f ca="1">IFERROR(__xludf.DUMMYFUNCTION("""COMPUTED_VALUE"""),"")</f>
        <v/>
      </c>
      <c r="X918" t="str">
        <f ca="1">IFERROR(__xludf.DUMMYFUNCTION("""COMPUTED_VALUE"""),"")</f>
        <v/>
      </c>
      <c r="Y918" t="str">
        <f ca="1">IFERROR(__xludf.DUMMYFUNCTION("""COMPUTED_VALUE"""),"")</f>
        <v/>
      </c>
      <c r="Z918" t="str">
        <f ca="1">IFERROR(__xludf.DUMMYFUNCTION("""COMPUTED_VALUE"""),"")</f>
        <v/>
      </c>
      <c r="AA918" t="str">
        <f ca="1">IFERROR(__xludf.DUMMYFUNCTION("""COMPUTED_VALUE"""),"Pas de commande")</f>
        <v>Pas de commande</v>
      </c>
      <c r="AB918" s="8" t="str">
        <f ca="1">IFERROR(__xludf.DUMMYFUNCTION("""COMPUTED_VALUE"""),"")</f>
        <v/>
      </c>
      <c r="AC918" s="8" t="str">
        <f ca="1">IFERROR(__xludf.DUMMYFUNCTION("""COMPUTED_VALUE"""),"")</f>
        <v/>
      </c>
      <c r="AD918" s="11" t="str">
        <f ca="1">IFERROR(__xludf.DUMMYFUNCTION("""COMPUTED_VALUE"""),"")</f>
        <v/>
      </c>
      <c r="AE918" t="str">
        <f ca="1">IFERROR(__xludf.DUMMYFUNCTION("""COMPUTED_VALUE"""),"")</f>
        <v/>
      </c>
    </row>
    <row r="919" spans="1:31" ht="12.75" x14ac:dyDescent="0.2">
      <c r="A919">
        <f ca="1">IFERROR(__xludf.DUMMYFUNCTION("""COMPUTED_VALUE"""),95767)</f>
        <v>95767</v>
      </c>
      <c r="B919" t="str">
        <f ca="1">IFERROR(__xludf.DUMMYFUNCTION("""COMPUTED_VALUE"""),"ST CIERS S/GIRONDE")</f>
        <v>ST CIERS S/GIRONDE</v>
      </c>
      <c r="C919" t="str">
        <f ca="1">IFERROR(__xludf.DUMMYFUNCTION("""COMPUTED_VALUE"""),"Super U")</f>
        <v>Super U</v>
      </c>
      <c r="D919" t="str">
        <f ca="1">IFERROR(__xludf.DUMMYFUNCTION("""COMPUTED_VALUE"""),"Coop U Enseigne Sud")</f>
        <v>Coop U Enseigne Sud</v>
      </c>
      <c r="E919">
        <f ca="1">IFERROR(__xludf.DUMMYFUNCTION("""COMPUTED_VALUE"""),33820)</f>
        <v>33820</v>
      </c>
      <c r="F919" t="str">
        <f ca="1">IFERROR(__xludf.DUMMYFUNCTION("""COMPUTED_VALUE"""),"6 AV PIERRE MENDES FRANCE")</f>
        <v>6 AV PIERRE MENDES FRANCE</v>
      </c>
      <c r="G919" t="str">
        <f ca="1">IFERROR(__xludf.DUMMYFUNCTION("""COMPUTED_VALUE"""),"05.57.94.04.54")</f>
        <v>05.57.94.04.54</v>
      </c>
      <c r="H919" t="str">
        <f ca="1">IFERROR(__xludf.DUMMYFUNCTION("""COMPUTED_VALUE"""),"CAFFY LAURENT")</f>
        <v>CAFFY LAURENT</v>
      </c>
      <c r="I919" t="str">
        <f ca="1">IFERROR(__xludf.DUMMYFUNCTION("""COMPUTED_VALUE"""),"laurent.caffy@systeme-u.fr")</f>
        <v>laurent.caffy@systeme-u.fr</v>
      </c>
      <c r="J919" t="str">
        <f ca="1">IFERROR(__xludf.DUMMYFUNCTION("""COMPUTED_VALUE"""),"Marie Christine RUBETH")</f>
        <v>Marie Christine RUBETH</v>
      </c>
      <c r="K919" t="str">
        <f ca="1">IFERROR(__xludf.DUMMYFUNCTION("""COMPUTED_VALUE"""),"superu.saintciers.administratif@systeme-u.fr")</f>
        <v>superu.saintciers.administratif@systeme-u.fr</v>
      </c>
      <c r="L919" t="str">
        <f ca="1">IFERROR(__xludf.DUMMYFUNCTION("""COMPUTED_VALUE"""),"")</f>
        <v/>
      </c>
      <c r="M919" t="str">
        <f ca="1">IFERROR(__xludf.DUMMYFUNCTION("""COMPUTED_VALUE"""),"99.Hors Périmetre")</f>
        <v>99.Hors Périmetre</v>
      </c>
      <c r="N919" t="str">
        <f ca="1">IFERROR(__xludf.DUMMYFUNCTION("""COMPUTED_VALUE"""),"")</f>
        <v/>
      </c>
      <c r="O919" t="str">
        <f ca="1">IFERROR(__xludf.DUMMYFUNCTION("""COMPUTED_VALUE"""),"")</f>
        <v/>
      </c>
      <c r="P919" t="str">
        <f ca="1">IFERROR(__xludf.DUMMYFUNCTION("""COMPUTED_VALUE"""),"")</f>
        <v/>
      </c>
      <c r="Q919" s="5" t="str">
        <f ca="1">IFERROR(__xludf.DUMMYFUNCTION("""COMPUTED_VALUE"""),"")</f>
        <v/>
      </c>
      <c r="R919" s="6" t="str">
        <f ca="1">IFERROR(__xludf.DUMMYFUNCTION("""COMPUTED_VALUE"""),"")</f>
        <v/>
      </c>
      <c r="S919" t="str">
        <f ca="1">IFERROR(__xludf.DUMMYFUNCTION("""COMPUTED_VALUE"""),"")</f>
        <v/>
      </c>
      <c r="T919" t="str">
        <f ca="1">IFERROR(__xludf.DUMMYFUNCTION("""COMPUTED_VALUE"""),"")</f>
        <v/>
      </c>
      <c r="U919" t="str">
        <f ca="1">IFERROR(__xludf.DUMMYFUNCTION("""COMPUTED_VALUE"""),"")</f>
        <v/>
      </c>
      <c r="V919" t="str">
        <f ca="1">IFERROR(__xludf.DUMMYFUNCTION("""COMPUTED_VALUE"""),"")</f>
        <v/>
      </c>
      <c r="W919" t="str">
        <f ca="1">IFERROR(__xludf.DUMMYFUNCTION("""COMPUTED_VALUE"""),"")</f>
        <v/>
      </c>
      <c r="X919" t="str">
        <f ca="1">IFERROR(__xludf.DUMMYFUNCTION("""COMPUTED_VALUE"""),"")</f>
        <v/>
      </c>
      <c r="Y919" t="str">
        <f ca="1">IFERROR(__xludf.DUMMYFUNCTION("""COMPUTED_VALUE"""),"")</f>
        <v/>
      </c>
      <c r="Z919" t="str">
        <f ca="1">IFERROR(__xludf.DUMMYFUNCTION("""COMPUTED_VALUE"""),"")</f>
        <v/>
      </c>
      <c r="AA919" t="str">
        <f ca="1">IFERROR(__xludf.DUMMYFUNCTION("""COMPUTED_VALUE"""),"Pas de commande")</f>
        <v>Pas de commande</v>
      </c>
      <c r="AB919" s="8" t="str">
        <f ca="1">IFERROR(__xludf.DUMMYFUNCTION("""COMPUTED_VALUE"""),"")</f>
        <v/>
      </c>
      <c r="AC919" s="8" t="str">
        <f ca="1">IFERROR(__xludf.DUMMYFUNCTION("""COMPUTED_VALUE"""),"")</f>
        <v/>
      </c>
      <c r="AD919" s="11" t="str">
        <f ca="1">IFERROR(__xludf.DUMMYFUNCTION("""COMPUTED_VALUE"""),"")</f>
        <v/>
      </c>
      <c r="AE919" t="str">
        <f ca="1">IFERROR(__xludf.DUMMYFUNCTION("""COMPUTED_VALUE"""),"")</f>
        <v/>
      </c>
    </row>
    <row r="920" spans="1:31" ht="12.75" x14ac:dyDescent="0.2">
      <c r="A920">
        <f ca="1">IFERROR(__xludf.DUMMYFUNCTION("""COMPUTED_VALUE"""),90500)</f>
        <v>90500</v>
      </c>
      <c r="B920" t="str">
        <f ca="1">IFERROR(__xludf.DUMMYFUNCTION("""COMPUTED_VALUE"""),"ST CYPRIEN")</f>
        <v>ST CYPRIEN</v>
      </c>
      <c r="C920" t="str">
        <f ca="1">IFERROR(__xludf.DUMMYFUNCTION("""COMPUTED_VALUE"""),"U Express")</f>
        <v>U Express</v>
      </c>
      <c r="D920" t="str">
        <f ca="1">IFERROR(__xludf.DUMMYFUNCTION("""COMPUTED_VALUE"""),"Coop U Enseigne Sud")</f>
        <v>Coop U Enseigne Sud</v>
      </c>
      <c r="E920">
        <f ca="1">IFERROR(__xludf.DUMMYFUNCTION("""COMPUTED_VALUE"""),66750)</f>
        <v>66750</v>
      </c>
      <c r="F920" t="str">
        <f ca="1">IFERROR(__xludf.DUMMYFUNCTION("""COMPUTED_VALUE"""),"RUE HENRI BARBUSSE")</f>
        <v>RUE HENRI BARBUSSE</v>
      </c>
      <c r="G920" t="str">
        <f ca="1">IFERROR(__xludf.DUMMYFUNCTION("""COMPUTED_VALUE"""),"04.68.37.11.50")</f>
        <v>04.68.37.11.50</v>
      </c>
      <c r="H920" t="str">
        <f ca="1">IFERROR(__xludf.DUMMYFUNCTION("""COMPUTED_VALUE"""),"BAZIL Stephane")</f>
        <v>BAZIL Stephane</v>
      </c>
      <c r="I920" t="str">
        <f ca="1">IFERROR(__xludf.DUMMYFUNCTION("""COMPUTED_VALUE"""),"stephane.bazil@systeme-u.fr")</f>
        <v>stephane.bazil@systeme-u.fr</v>
      </c>
      <c r="J920" t="str">
        <f ca="1">IFERROR(__xludf.DUMMYFUNCTION("""COMPUTED_VALUE"""),"")</f>
        <v/>
      </c>
      <c r="K920" t="str">
        <f ca="1">IFERROR(__xludf.DUMMYFUNCTION("""COMPUTED_VALUE"""),"")</f>
        <v/>
      </c>
      <c r="L920" t="str">
        <f ca="1">IFERROR(__xludf.DUMMYFUNCTION("""COMPUTED_VALUE"""),"")</f>
        <v/>
      </c>
      <c r="M920" t="str">
        <f ca="1">IFERROR(__xludf.DUMMYFUNCTION("""COMPUTED_VALUE"""),"99.Hors Périmetre")</f>
        <v>99.Hors Périmetre</v>
      </c>
      <c r="N920" t="str">
        <f ca="1">IFERROR(__xludf.DUMMYFUNCTION("""COMPUTED_VALUE"""),"")</f>
        <v/>
      </c>
      <c r="O920" t="str">
        <f ca="1">IFERROR(__xludf.DUMMYFUNCTION("""COMPUTED_VALUE"""),"")</f>
        <v/>
      </c>
      <c r="P920" t="str">
        <f ca="1">IFERROR(__xludf.DUMMYFUNCTION("""COMPUTED_VALUE"""),"")</f>
        <v/>
      </c>
      <c r="Q920" s="5" t="str">
        <f ca="1">IFERROR(__xludf.DUMMYFUNCTION("""COMPUTED_VALUE"""),"")</f>
        <v/>
      </c>
      <c r="R920" s="6" t="str">
        <f ca="1">IFERROR(__xludf.DUMMYFUNCTION("""COMPUTED_VALUE"""),"")</f>
        <v/>
      </c>
      <c r="S920" t="str">
        <f ca="1">IFERROR(__xludf.DUMMYFUNCTION("""COMPUTED_VALUE"""),"")</f>
        <v/>
      </c>
      <c r="T920" t="str">
        <f ca="1">IFERROR(__xludf.DUMMYFUNCTION("""COMPUTED_VALUE"""),"")</f>
        <v/>
      </c>
      <c r="U920" t="str">
        <f ca="1">IFERROR(__xludf.DUMMYFUNCTION("""COMPUTED_VALUE"""),"")</f>
        <v/>
      </c>
      <c r="V920" t="str">
        <f ca="1">IFERROR(__xludf.DUMMYFUNCTION("""COMPUTED_VALUE"""),"")</f>
        <v/>
      </c>
      <c r="W920" t="str">
        <f ca="1">IFERROR(__xludf.DUMMYFUNCTION("""COMPUTED_VALUE"""),"")</f>
        <v/>
      </c>
      <c r="X920" t="str">
        <f ca="1">IFERROR(__xludf.DUMMYFUNCTION("""COMPUTED_VALUE"""),"")</f>
        <v/>
      </c>
      <c r="Y920" t="str">
        <f ca="1">IFERROR(__xludf.DUMMYFUNCTION("""COMPUTED_VALUE"""),"")</f>
        <v/>
      </c>
      <c r="Z920" t="str">
        <f ca="1">IFERROR(__xludf.DUMMYFUNCTION("""COMPUTED_VALUE"""),"")</f>
        <v/>
      </c>
      <c r="AA920" t="str">
        <f ca="1">IFERROR(__xludf.DUMMYFUNCTION("""COMPUTED_VALUE"""),"Pas de commande")</f>
        <v>Pas de commande</v>
      </c>
      <c r="AB920" s="8" t="str">
        <f ca="1">IFERROR(__xludf.DUMMYFUNCTION("""COMPUTED_VALUE"""),"")</f>
        <v/>
      </c>
      <c r="AC920" s="8" t="str">
        <f ca="1">IFERROR(__xludf.DUMMYFUNCTION("""COMPUTED_VALUE"""),"")</f>
        <v/>
      </c>
      <c r="AD920" s="11" t="str">
        <f ca="1">IFERROR(__xludf.DUMMYFUNCTION("""COMPUTED_VALUE"""),"")</f>
        <v/>
      </c>
      <c r="AE920" t="str">
        <f ca="1">IFERROR(__xludf.DUMMYFUNCTION("""COMPUTED_VALUE"""),"")</f>
        <v/>
      </c>
    </row>
    <row r="921" spans="1:31" ht="12.75" x14ac:dyDescent="0.2">
      <c r="A921">
        <f ca="1">IFERROR(__xludf.DUMMYFUNCTION("""COMPUTED_VALUE"""),90462)</f>
        <v>90462</v>
      </c>
      <c r="B921" t="str">
        <f ca="1">IFERROR(__xludf.DUMMYFUNCTION("""COMPUTED_VALUE"""),"ST DONAT")</f>
        <v>ST DONAT</v>
      </c>
      <c r="C921" t="str">
        <f ca="1">IFERROR(__xludf.DUMMYFUNCTION("""COMPUTED_VALUE"""),"Super U")</f>
        <v>Super U</v>
      </c>
      <c r="D921" t="str">
        <f ca="1">IFERROR(__xludf.DUMMYFUNCTION("""COMPUTED_VALUE"""),"Coop U Enseigne Sud")</f>
        <v>Coop U Enseigne Sud</v>
      </c>
      <c r="E921">
        <f ca="1">IFERROR(__xludf.DUMMYFUNCTION("""COMPUTED_VALUE"""),26260)</f>
        <v>26260</v>
      </c>
      <c r="F921" t="str">
        <f ca="1">IFERROR(__xludf.DUMMYFUNCTION("""COMPUTED_VALUE"""),"ROUTE DE VALENCE")</f>
        <v>ROUTE DE VALENCE</v>
      </c>
      <c r="G921" t="str">
        <f ca="1">IFERROR(__xludf.DUMMYFUNCTION("""COMPUTED_VALUE"""),"04.75.45.15.15")</f>
        <v>04.75.45.15.15</v>
      </c>
      <c r="H921" t="str">
        <f ca="1">IFERROR(__xludf.DUMMYFUNCTION("""COMPUTED_VALUE"""),"DEQUIN Vincent")</f>
        <v>DEQUIN Vincent</v>
      </c>
      <c r="I921" t="str">
        <f ca="1">IFERROR(__xludf.DUMMYFUNCTION("""COMPUTED_VALUE"""),"vincent.dequin@systeme-u.fr")</f>
        <v>vincent.dequin@systeme-u.fr</v>
      </c>
      <c r="J921" t="str">
        <f ca="1">IFERROR(__xludf.DUMMYFUNCTION("""COMPUTED_VALUE"""),"Guillaume Terisse")</f>
        <v>Guillaume Terisse</v>
      </c>
      <c r="K921" t="str">
        <f ca="1">IFERROR(__xludf.DUMMYFUNCTION("""COMPUTED_VALUE"""),"superu.saintdonat.directeur@systeme-u.fr")</f>
        <v>superu.saintdonat.directeur@systeme-u.fr</v>
      </c>
      <c r="L921" t="str">
        <f ca="1">IFERROR(__xludf.DUMMYFUNCTION("""COMPUTED_VALUE"""),"")</f>
        <v/>
      </c>
      <c r="M921" t="str">
        <f ca="1">IFERROR(__xludf.DUMMYFUNCTION("""COMPUTED_VALUE"""),"99.Hors Périmetre")</f>
        <v>99.Hors Périmetre</v>
      </c>
      <c r="N921" t="str">
        <f ca="1">IFERROR(__xludf.DUMMYFUNCTION("""COMPUTED_VALUE"""),"")</f>
        <v/>
      </c>
      <c r="O921" t="str">
        <f ca="1">IFERROR(__xludf.DUMMYFUNCTION("""COMPUTED_VALUE"""),"")</f>
        <v/>
      </c>
      <c r="P921" t="str">
        <f ca="1">IFERROR(__xludf.DUMMYFUNCTION("""COMPUTED_VALUE"""),"")</f>
        <v/>
      </c>
      <c r="Q921" s="5" t="str">
        <f ca="1">IFERROR(__xludf.DUMMYFUNCTION("""COMPUTED_VALUE"""),"")</f>
        <v/>
      </c>
      <c r="R921" s="6" t="str">
        <f ca="1">IFERROR(__xludf.DUMMYFUNCTION("""COMPUTED_VALUE"""),"")</f>
        <v/>
      </c>
      <c r="S921" t="str">
        <f ca="1">IFERROR(__xludf.DUMMYFUNCTION("""COMPUTED_VALUE"""),"")</f>
        <v/>
      </c>
      <c r="T921" t="str">
        <f ca="1">IFERROR(__xludf.DUMMYFUNCTION("""COMPUTED_VALUE"""),"")</f>
        <v/>
      </c>
      <c r="U921" t="str">
        <f ca="1">IFERROR(__xludf.DUMMYFUNCTION("""COMPUTED_VALUE"""),"")</f>
        <v/>
      </c>
      <c r="V921" t="str">
        <f ca="1">IFERROR(__xludf.DUMMYFUNCTION("""COMPUTED_VALUE"""),"")</f>
        <v/>
      </c>
      <c r="W921" t="str">
        <f ca="1">IFERROR(__xludf.DUMMYFUNCTION("""COMPUTED_VALUE"""),"")</f>
        <v/>
      </c>
      <c r="X921" t="str">
        <f ca="1">IFERROR(__xludf.DUMMYFUNCTION("""COMPUTED_VALUE"""),"")</f>
        <v/>
      </c>
      <c r="Y921" t="str">
        <f ca="1">IFERROR(__xludf.DUMMYFUNCTION("""COMPUTED_VALUE"""),"")</f>
        <v/>
      </c>
      <c r="Z921" t="str">
        <f ca="1">IFERROR(__xludf.DUMMYFUNCTION("""COMPUTED_VALUE"""),"")</f>
        <v/>
      </c>
      <c r="AA921" t="str">
        <f ca="1">IFERROR(__xludf.DUMMYFUNCTION("""COMPUTED_VALUE"""),"Pas de commande")</f>
        <v>Pas de commande</v>
      </c>
      <c r="AB921" s="8" t="str">
        <f ca="1">IFERROR(__xludf.DUMMYFUNCTION("""COMPUTED_VALUE"""),"")</f>
        <v/>
      </c>
      <c r="AC921" s="8" t="str">
        <f ca="1">IFERROR(__xludf.DUMMYFUNCTION("""COMPUTED_VALUE"""),"")</f>
        <v/>
      </c>
      <c r="AD921" s="11" t="str">
        <f ca="1">IFERROR(__xludf.DUMMYFUNCTION("""COMPUTED_VALUE"""),"")</f>
        <v/>
      </c>
      <c r="AE921" t="str">
        <f ca="1">IFERROR(__xludf.DUMMYFUNCTION("""COMPUTED_VALUE"""),"")</f>
        <v/>
      </c>
    </row>
    <row r="922" spans="1:31" ht="12.75" x14ac:dyDescent="0.2">
      <c r="A922">
        <f ca="1">IFERROR(__xludf.DUMMYFUNCTION("""COMPUTED_VALUE"""),66204)</f>
        <v>66204</v>
      </c>
      <c r="B922" t="str">
        <f ca="1">IFERROR(__xludf.DUMMYFUNCTION("""COMPUTED_VALUE"""),"ST ETIENNE")</f>
        <v>ST ETIENNE</v>
      </c>
      <c r="C922" t="str">
        <f ca="1">IFERROR(__xludf.DUMMYFUNCTION("""COMPUTED_VALUE"""),"U Express")</f>
        <v>U Express</v>
      </c>
      <c r="D922" t="str">
        <f ca="1">IFERROR(__xludf.DUMMYFUNCTION("""COMPUTED_VALUE"""),"Coop U Enseigne Est")</f>
        <v>Coop U Enseigne Est</v>
      </c>
      <c r="E922">
        <f ca="1">IFERROR(__xludf.DUMMYFUNCTION("""COMPUTED_VALUE"""),42000)</f>
        <v>42000</v>
      </c>
      <c r="F922" t="str">
        <f ca="1">IFERROR(__xludf.DUMMYFUNCTION("""COMPUTED_VALUE"""),"50 BOULEVARD NORMANDIE NIEMEN")</f>
        <v>50 BOULEVARD NORMANDIE NIEMEN</v>
      </c>
      <c r="G922" t="str">
        <f ca="1">IFERROR(__xludf.DUMMYFUNCTION("""COMPUTED_VALUE"""),"04.77.53.79.80")</f>
        <v>04.77.53.79.80</v>
      </c>
      <c r="H922" t="str">
        <f ca="1">IFERROR(__xludf.DUMMYFUNCTION("""COMPUTED_VALUE"""),"POUYET Stephane")</f>
        <v>POUYET Stephane</v>
      </c>
      <c r="I922" t="str">
        <f ca="1">IFERROR(__xludf.DUMMYFUNCTION("""COMPUTED_VALUE"""),"stephane.pouyet@systeme-u.fr")</f>
        <v>stephane.pouyet@systeme-u.fr</v>
      </c>
      <c r="J922" t="str">
        <f ca="1">IFERROR(__xludf.DUMMYFUNCTION("""COMPUTED_VALUE"""),"Carole")</f>
        <v>Carole</v>
      </c>
      <c r="K922" t="str">
        <f ca="1">IFERROR(__xludf.DUMMYFUNCTION("""COMPUTED_VALUE"""),"uexpress.saintetiennemontplaisir.compta@systeme-u.fr")</f>
        <v>uexpress.saintetiennemontplaisir.compta@systeme-u.fr</v>
      </c>
      <c r="L922" t="str">
        <f ca="1">IFERROR(__xludf.DUMMYFUNCTION("""COMPUTED_VALUE"""),"")</f>
        <v/>
      </c>
      <c r="M922" t="str">
        <f ca="1">IFERROR(__xludf.DUMMYFUNCTION("""COMPUTED_VALUE"""),"99.Hors Périmetre")</f>
        <v>99.Hors Périmetre</v>
      </c>
      <c r="N922" t="str">
        <f ca="1">IFERROR(__xludf.DUMMYFUNCTION("""COMPUTED_VALUE"""),"")</f>
        <v/>
      </c>
      <c r="O922" t="str">
        <f ca="1">IFERROR(__xludf.DUMMYFUNCTION("""COMPUTED_VALUE"""),"")</f>
        <v/>
      </c>
      <c r="P922" t="str">
        <f ca="1">IFERROR(__xludf.DUMMYFUNCTION("""COMPUTED_VALUE"""),"")</f>
        <v/>
      </c>
      <c r="Q922" s="5" t="str">
        <f ca="1">IFERROR(__xludf.DUMMYFUNCTION("""COMPUTED_VALUE"""),"")</f>
        <v/>
      </c>
      <c r="R922" s="6" t="str">
        <f ca="1">IFERROR(__xludf.DUMMYFUNCTION("""COMPUTED_VALUE"""),"")</f>
        <v/>
      </c>
      <c r="S922" t="str">
        <f ca="1">IFERROR(__xludf.DUMMYFUNCTION("""COMPUTED_VALUE"""),"")</f>
        <v/>
      </c>
      <c r="T922" t="str">
        <f ca="1">IFERROR(__xludf.DUMMYFUNCTION("""COMPUTED_VALUE"""),"")</f>
        <v/>
      </c>
      <c r="U922" t="str">
        <f ca="1">IFERROR(__xludf.DUMMYFUNCTION("""COMPUTED_VALUE"""),"")</f>
        <v/>
      </c>
      <c r="V922" t="str">
        <f ca="1">IFERROR(__xludf.DUMMYFUNCTION("""COMPUTED_VALUE"""),"")</f>
        <v/>
      </c>
      <c r="W922" t="str">
        <f ca="1">IFERROR(__xludf.DUMMYFUNCTION("""COMPUTED_VALUE"""),"")</f>
        <v/>
      </c>
      <c r="X922" t="str">
        <f ca="1">IFERROR(__xludf.DUMMYFUNCTION("""COMPUTED_VALUE"""),"")</f>
        <v/>
      </c>
      <c r="Y922" t="str">
        <f ca="1">IFERROR(__xludf.DUMMYFUNCTION("""COMPUTED_VALUE"""),"")</f>
        <v/>
      </c>
      <c r="Z922" t="str">
        <f ca="1">IFERROR(__xludf.DUMMYFUNCTION("""COMPUTED_VALUE"""),"")</f>
        <v/>
      </c>
      <c r="AA922" t="str">
        <f ca="1">IFERROR(__xludf.DUMMYFUNCTION("""COMPUTED_VALUE"""),"Pas de commande")</f>
        <v>Pas de commande</v>
      </c>
      <c r="AB922" s="8" t="str">
        <f ca="1">IFERROR(__xludf.DUMMYFUNCTION("""COMPUTED_VALUE"""),"")</f>
        <v/>
      </c>
      <c r="AC922" s="8" t="str">
        <f ca="1">IFERROR(__xludf.DUMMYFUNCTION("""COMPUTED_VALUE"""),"")</f>
        <v/>
      </c>
      <c r="AD922" s="11" t="str">
        <f ca="1">IFERROR(__xludf.DUMMYFUNCTION("""COMPUTED_VALUE"""),"")</f>
        <v/>
      </c>
      <c r="AE922" t="str">
        <f ca="1">IFERROR(__xludf.DUMMYFUNCTION("""COMPUTED_VALUE"""),"")</f>
        <v/>
      </c>
    </row>
    <row r="923" spans="1:31" ht="12.75" x14ac:dyDescent="0.2">
      <c r="A923">
        <f ca="1">IFERROR(__xludf.DUMMYFUNCTION("""COMPUTED_VALUE"""),66961)</f>
        <v>66961</v>
      </c>
      <c r="B923" t="str">
        <f ca="1">IFERROR(__xludf.DUMMYFUNCTION("""COMPUTED_VALUE"""),"ST ETIENNE DE ST GEOIRS")</f>
        <v>ST ETIENNE DE ST GEOIRS</v>
      </c>
      <c r="C923" t="str">
        <f ca="1">IFERROR(__xludf.DUMMYFUNCTION("""COMPUTED_VALUE"""),"Super U")</f>
        <v>Super U</v>
      </c>
      <c r="D923" t="str">
        <f ca="1">IFERROR(__xludf.DUMMYFUNCTION("""COMPUTED_VALUE"""),"Coop U Enseigne Est")</f>
        <v>Coop U Enseigne Est</v>
      </c>
      <c r="E923">
        <f ca="1">IFERROR(__xludf.DUMMYFUNCTION("""COMPUTED_VALUE"""),38590)</f>
        <v>38590</v>
      </c>
      <c r="F923" t="str">
        <f ca="1">IFERROR(__xludf.DUMMYFUNCTION("""COMPUTED_VALUE"""),"CENTRE COMMERCIAL PAYS DE BIEVRE")</f>
        <v>CENTRE COMMERCIAL PAYS DE BIEVRE</v>
      </c>
      <c r="G923" t="str">
        <f ca="1">IFERROR(__xludf.DUMMYFUNCTION("""COMPUTED_VALUE"""),"04.76.65.40.47")</f>
        <v>04.76.65.40.47</v>
      </c>
      <c r="H923" t="str">
        <f ca="1">IFERROR(__xludf.DUMMYFUNCTION("""COMPUTED_VALUE"""),"BEDROSSIAN Jean paul")</f>
        <v>BEDROSSIAN Jean paul</v>
      </c>
      <c r="I923" t="str">
        <f ca="1">IFERROR(__xludf.DUMMYFUNCTION("""COMPUTED_VALUE"""),"jean-paul.bedrossian@systeme-u.fr")</f>
        <v>jean-paul.bedrossian@systeme-u.fr</v>
      </c>
      <c r="J923" t="str">
        <f ca="1">IFERROR(__xludf.DUMMYFUNCTION("""COMPUTED_VALUE"""),"M. CALLOUD")</f>
        <v>M. CALLOUD</v>
      </c>
      <c r="K923" t="str">
        <f ca="1">IFERROR(__xludf.DUMMYFUNCTION("""COMPUTED_VALUE"""),"superu.stetiennestgeoirs.direction@systeme-u.fr")</f>
        <v>superu.stetiennestgeoirs.direction@systeme-u.fr</v>
      </c>
      <c r="L923" t="str">
        <f ca="1">IFERROR(__xludf.DUMMYFUNCTION("""COMPUTED_VALUE"""),"")</f>
        <v/>
      </c>
      <c r="M923" t="str">
        <f ca="1">IFERROR(__xludf.DUMMYFUNCTION("""COMPUTED_VALUE"""),"99.Hors Périmetre")</f>
        <v>99.Hors Périmetre</v>
      </c>
      <c r="N923" t="str">
        <f ca="1">IFERROR(__xludf.DUMMYFUNCTION("""COMPUTED_VALUE"""),"")</f>
        <v/>
      </c>
      <c r="O923" t="str">
        <f ca="1">IFERROR(__xludf.DUMMYFUNCTION("""COMPUTED_VALUE"""),"")</f>
        <v/>
      </c>
      <c r="P923" t="str">
        <f ca="1">IFERROR(__xludf.DUMMYFUNCTION("""COMPUTED_VALUE"""),"")</f>
        <v/>
      </c>
      <c r="Q923" s="5" t="str">
        <f ca="1">IFERROR(__xludf.DUMMYFUNCTION("""COMPUTED_VALUE"""),"")</f>
        <v/>
      </c>
      <c r="R923" s="6" t="str">
        <f ca="1">IFERROR(__xludf.DUMMYFUNCTION("""COMPUTED_VALUE"""),"")</f>
        <v/>
      </c>
      <c r="S923" t="str">
        <f ca="1">IFERROR(__xludf.DUMMYFUNCTION("""COMPUTED_VALUE"""),"")</f>
        <v/>
      </c>
      <c r="T923" t="str">
        <f ca="1">IFERROR(__xludf.DUMMYFUNCTION("""COMPUTED_VALUE"""),"")</f>
        <v/>
      </c>
      <c r="U923" t="str">
        <f ca="1">IFERROR(__xludf.DUMMYFUNCTION("""COMPUTED_VALUE"""),"")</f>
        <v/>
      </c>
      <c r="V923" t="str">
        <f ca="1">IFERROR(__xludf.DUMMYFUNCTION("""COMPUTED_VALUE"""),"")</f>
        <v/>
      </c>
      <c r="W923" t="str">
        <f ca="1">IFERROR(__xludf.DUMMYFUNCTION("""COMPUTED_VALUE"""),"")</f>
        <v/>
      </c>
      <c r="X923" t="str">
        <f ca="1">IFERROR(__xludf.DUMMYFUNCTION("""COMPUTED_VALUE"""),"")</f>
        <v/>
      </c>
      <c r="Y923" t="str">
        <f ca="1">IFERROR(__xludf.DUMMYFUNCTION("""COMPUTED_VALUE"""),"")</f>
        <v/>
      </c>
      <c r="Z923" t="str">
        <f ca="1">IFERROR(__xludf.DUMMYFUNCTION("""COMPUTED_VALUE"""),"")</f>
        <v/>
      </c>
      <c r="AA923" t="str">
        <f ca="1">IFERROR(__xludf.DUMMYFUNCTION("""COMPUTED_VALUE"""),"Pas de commande")</f>
        <v>Pas de commande</v>
      </c>
      <c r="AB923" s="8" t="str">
        <f ca="1">IFERROR(__xludf.DUMMYFUNCTION("""COMPUTED_VALUE"""),"")</f>
        <v/>
      </c>
      <c r="AC923" s="8" t="str">
        <f ca="1">IFERROR(__xludf.DUMMYFUNCTION("""COMPUTED_VALUE"""),"")</f>
        <v/>
      </c>
      <c r="AD923" s="11" t="str">
        <f ca="1">IFERROR(__xludf.DUMMYFUNCTION("""COMPUTED_VALUE"""),"")</f>
        <v/>
      </c>
      <c r="AE923" t="str">
        <f ca="1">IFERROR(__xludf.DUMMYFUNCTION("""COMPUTED_VALUE"""),"")</f>
        <v/>
      </c>
    </row>
    <row r="924" spans="1:31" ht="12.75" x14ac:dyDescent="0.2">
      <c r="A924">
        <f ca="1">IFERROR(__xludf.DUMMYFUNCTION("""COMPUTED_VALUE"""),66182)</f>
        <v>66182</v>
      </c>
      <c r="B924" t="str">
        <f ca="1">IFERROR(__xludf.DUMMYFUNCTION("""COMPUTED_VALUE"""),"ST GEORGES DE MONS")</f>
        <v>ST GEORGES DE MONS</v>
      </c>
      <c r="C924" t="str">
        <f ca="1">IFERROR(__xludf.DUMMYFUNCTION("""COMPUTED_VALUE"""),"Super U")</f>
        <v>Super U</v>
      </c>
      <c r="D924" t="str">
        <f ca="1">IFERROR(__xludf.DUMMYFUNCTION("""COMPUTED_VALUE"""),"Coop U Enseigne Est")</f>
        <v>Coop U Enseigne Est</v>
      </c>
      <c r="E924">
        <f ca="1">IFERROR(__xludf.DUMMYFUNCTION("""COMPUTED_VALUE"""),63780)</f>
        <v>63780</v>
      </c>
      <c r="F924" t="str">
        <f ca="1">IFERROR(__xludf.DUMMYFUNCTION("""COMPUTED_VALUE"""),"RUE CHAMPS GRELIÈRES")</f>
        <v>RUE CHAMPS GRELIÈRES</v>
      </c>
      <c r="G924" t="str">
        <f ca="1">IFERROR(__xludf.DUMMYFUNCTION("""COMPUTED_VALUE"""),"04.73.86.74.48")</f>
        <v>04.73.86.74.48</v>
      </c>
      <c r="H924" t="str">
        <f ca="1">IFERROR(__xludf.DUMMYFUNCTION("""COMPUTED_VALUE"""),"TURPIN Stéphane")</f>
        <v>TURPIN Stéphane</v>
      </c>
      <c r="I924" t="str">
        <f ca="1">IFERROR(__xludf.DUMMYFUNCTION("""COMPUTED_VALUE"""),"stephane.turpin1@systeme-u.fr")</f>
        <v>stephane.turpin1@systeme-u.fr</v>
      </c>
      <c r="J924" t="str">
        <f ca="1">IFERROR(__xludf.DUMMYFUNCTION("""COMPUTED_VALUE"""),"BOREL SONIA")</f>
        <v>BOREL SONIA</v>
      </c>
      <c r="K924" t="str">
        <f ca="1">IFERROR(__xludf.DUMMYFUNCTION("""COMPUTED_VALUE"""),"superu.saintgeorgesdemons@systeme-u.fr")</f>
        <v>superu.saintgeorgesdemons@systeme-u.fr</v>
      </c>
      <c r="L924" t="str">
        <f ca="1">IFERROR(__xludf.DUMMYFUNCTION("""COMPUTED_VALUE"""),"")</f>
        <v/>
      </c>
      <c r="M924" t="str">
        <f ca="1">IFERROR(__xludf.DUMMYFUNCTION("""COMPUTED_VALUE"""),"99.Hors Périmetre")</f>
        <v>99.Hors Périmetre</v>
      </c>
      <c r="N924" t="str">
        <f ca="1">IFERROR(__xludf.DUMMYFUNCTION("""COMPUTED_VALUE"""),"")</f>
        <v/>
      </c>
      <c r="O924" t="str">
        <f ca="1">IFERROR(__xludf.DUMMYFUNCTION("""COMPUTED_VALUE"""),"")</f>
        <v/>
      </c>
      <c r="P924" t="str">
        <f ca="1">IFERROR(__xludf.DUMMYFUNCTION("""COMPUTED_VALUE"""),"")</f>
        <v/>
      </c>
      <c r="Q924" s="5" t="str">
        <f ca="1">IFERROR(__xludf.DUMMYFUNCTION("""COMPUTED_VALUE"""),"")</f>
        <v/>
      </c>
      <c r="R924" s="6" t="str">
        <f ca="1">IFERROR(__xludf.DUMMYFUNCTION("""COMPUTED_VALUE"""),"")</f>
        <v/>
      </c>
      <c r="S924" t="str">
        <f ca="1">IFERROR(__xludf.DUMMYFUNCTION("""COMPUTED_VALUE"""),"")</f>
        <v/>
      </c>
      <c r="T924" t="str">
        <f ca="1">IFERROR(__xludf.DUMMYFUNCTION("""COMPUTED_VALUE"""),"")</f>
        <v/>
      </c>
      <c r="U924" t="str">
        <f ca="1">IFERROR(__xludf.DUMMYFUNCTION("""COMPUTED_VALUE"""),"")</f>
        <v/>
      </c>
      <c r="V924" t="str">
        <f ca="1">IFERROR(__xludf.DUMMYFUNCTION("""COMPUTED_VALUE"""),"")</f>
        <v/>
      </c>
      <c r="W924" t="str">
        <f ca="1">IFERROR(__xludf.DUMMYFUNCTION("""COMPUTED_VALUE"""),"")</f>
        <v/>
      </c>
      <c r="X924" t="str">
        <f ca="1">IFERROR(__xludf.DUMMYFUNCTION("""COMPUTED_VALUE"""),"")</f>
        <v/>
      </c>
      <c r="Y924" t="str">
        <f ca="1">IFERROR(__xludf.DUMMYFUNCTION("""COMPUTED_VALUE"""),"")</f>
        <v/>
      </c>
      <c r="Z924" t="str">
        <f ca="1">IFERROR(__xludf.DUMMYFUNCTION("""COMPUTED_VALUE"""),"")</f>
        <v/>
      </c>
      <c r="AA924" t="str">
        <f ca="1">IFERROR(__xludf.DUMMYFUNCTION("""COMPUTED_VALUE"""),"Pas de commande")</f>
        <v>Pas de commande</v>
      </c>
      <c r="AB924" s="8" t="str">
        <f ca="1">IFERROR(__xludf.DUMMYFUNCTION("""COMPUTED_VALUE"""),"")</f>
        <v/>
      </c>
      <c r="AC924" s="8" t="str">
        <f ca="1">IFERROR(__xludf.DUMMYFUNCTION("""COMPUTED_VALUE"""),"")</f>
        <v/>
      </c>
      <c r="AD924" s="11" t="str">
        <f ca="1">IFERROR(__xludf.DUMMYFUNCTION("""COMPUTED_VALUE"""),"")</f>
        <v/>
      </c>
      <c r="AE924" t="str">
        <f ca="1">IFERROR(__xludf.DUMMYFUNCTION("""COMPUTED_VALUE"""),"")</f>
        <v/>
      </c>
    </row>
    <row r="925" spans="1:31" ht="12.75" x14ac:dyDescent="0.2">
      <c r="A925">
        <f ca="1">IFERROR(__xludf.DUMMYFUNCTION("""COMPUTED_VALUE"""),66166)</f>
        <v>66166</v>
      </c>
      <c r="B925" t="str">
        <f ca="1">IFERROR(__xludf.DUMMYFUNCTION("""COMPUTED_VALUE"""),"ST GERMAIN DU BOIS")</f>
        <v>ST GERMAIN DU BOIS</v>
      </c>
      <c r="C925" t="str">
        <f ca="1">IFERROR(__xludf.DUMMYFUNCTION("""COMPUTED_VALUE"""),"Super U")</f>
        <v>Super U</v>
      </c>
      <c r="D925" t="str">
        <f ca="1">IFERROR(__xludf.DUMMYFUNCTION("""COMPUTED_VALUE"""),"Coop U Enseigne Est")</f>
        <v>Coop U Enseigne Est</v>
      </c>
      <c r="E925">
        <f ca="1">IFERROR(__xludf.DUMMYFUNCTION("""COMPUTED_VALUE"""),71330)</f>
        <v>71330</v>
      </c>
      <c r="F925" t="str">
        <f ca="1">IFERROR(__xludf.DUMMYFUNCTION("""COMPUTED_VALUE"""),"ROUTE DE PIERRE DE BRESSE")</f>
        <v>ROUTE DE PIERRE DE BRESSE</v>
      </c>
      <c r="G925" t="str">
        <f ca="1">IFERROR(__xludf.DUMMYFUNCTION("""COMPUTED_VALUE"""),"03.85.72.03.78")</f>
        <v>03.85.72.03.78</v>
      </c>
      <c r="H925" t="str">
        <f ca="1">IFERROR(__xludf.DUMMYFUNCTION("""COMPUTED_VALUE"""),"PIROUX RPT SAS J2P David")</f>
        <v>PIROUX RPT SAS J2P David</v>
      </c>
      <c r="I925" t="str">
        <f ca="1">IFERROR(__xludf.DUMMYFUNCTION("""COMPUTED_VALUE"""),"david.piroux@systeme-u.fr")</f>
        <v>david.piroux@systeme-u.fr</v>
      </c>
      <c r="J925" t="str">
        <f ca="1">IFERROR(__xludf.DUMMYFUNCTION("""COMPUTED_VALUE"""),"Mme Nadia Bruchon")</f>
        <v>Mme Nadia Bruchon</v>
      </c>
      <c r="K925" t="str">
        <f ca="1">IFERROR(__xludf.DUMMYFUNCTION("""COMPUTED_VALUE"""),"superu.saintgermaindubois@systeme-u.fr")</f>
        <v>superu.saintgermaindubois@systeme-u.fr</v>
      </c>
      <c r="L925" t="str">
        <f ca="1">IFERROR(__xludf.DUMMYFUNCTION("""COMPUTED_VALUE"""),"")</f>
        <v/>
      </c>
      <c r="M925" t="str">
        <f ca="1">IFERROR(__xludf.DUMMYFUNCTION("""COMPUTED_VALUE"""),"99.Hors Périmetre")</f>
        <v>99.Hors Périmetre</v>
      </c>
      <c r="N925" t="str">
        <f ca="1">IFERROR(__xludf.DUMMYFUNCTION("""COMPUTED_VALUE"""),"")</f>
        <v/>
      </c>
      <c r="O925" t="str">
        <f ca="1">IFERROR(__xludf.DUMMYFUNCTION("""COMPUTED_VALUE"""),"")</f>
        <v/>
      </c>
      <c r="P925" t="str">
        <f ca="1">IFERROR(__xludf.DUMMYFUNCTION("""COMPUTED_VALUE"""),"")</f>
        <v/>
      </c>
      <c r="Q925" s="5" t="str">
        <f ca="1">IFERROR(__xludf.DUMMYFUNCTION("""COMPUTED_VALUE"""),"")</f>
        <v/>
      </c>
      <c r="R925" s="6" t="str">
        <f ca="1">IFERROR(__xludf.DUMMYFUNCTION("""COMPUTED_VALUE"""),"")</f>
        <v/>
      </c>
      <c r="S925" t="str">
        <f ca="1">IFERROR(__xludf.DUMMYFUNCTION("""COMPUTED_VALUE"""),"")</f>
        <v/>
      </c>
      <c r="T925" t="str">
        <f ca="1">IFERROR(__xludf.DUMMYFUNCTION("""COMPUTED_VALUE"""),"")</f>
        <v/>
      </c>
      <c r="U925" t="str">
        <f ca="1">IFERROR(__xludf.DUMMYFUNCTION("""COMPUTED_VALUE"""),"")</f>
        <v/>
      </c>
      <c r="V925" t="str">
        <f ca="1">IFERROR(__xludf.DUMMYFUNCTION("""COMPUTED_VALUE"""),"")</f>
        <v/>
      </c>
      <c r="W925" t="str">
        <f ca="1">IFERROR(__xludf.DUMMYFUNCTION("""COMPUTED_VALUE"""),"")</f>
        <v/>
      </c>
      <c r="X925" t="str">
        <f ca="1">IFERROR(__xludf.DUMMYFUNCTION("""COMPUTED_VALUE"""),"")</f>
        <v/>
      </c>
      <c r="Y925" t="str">
        <f ca="1">IFERROR(__xludf.DUMMYFUNCTION("""COMPUTED_VALUE"""),"")</f>
        <v/>
      </c>
      <c r="Z925" t="str">
        <f ca="1">IFERROR(__xludf.DUMMYFUNCTION("""COMPUTED_VALUE"""),"")</f>
        <v/>
      </c>
      <c r="AA925" t="str">
        <f ca="1">IFERROR(__xludf.DUMMYFUNCTION("""COMPUTED_VALUE"""),"Pas de commande")</f>
        <v>Pas de commande</v>
      </c>
      <c r="AB925" s="8" t="str">
        <f ca="1">IFERROR(__xludf.DUMMYFUNCTION("""COMPUTED_VALUE"""),"")</f>
        <v/>
      </c>
      <c r="AC925" s="8" t="str">
        <f ca="1">IFERROR(__xludf.DUMMYFUNCTION("""COMPUTED_VALUE"""),"")</f>
        <v/>
      </c>
      <c r="AD925" s="11" t="str">
        <f ca="1">IFERROR(__xludf.DUMMYFUNCTION("""COMPUTED_VALUE"""),"")</f>
        <v/>
      </c>
      <c r="AE925" t="str">
        <f ca="1">IFERROR(__xludf.DUMMYFUNCTION("""COMPUTED_VALUE"""),"")</f>
        <v/>
      </c>
    </row>
    <row r="926" spans="1:31" ht="12.75" x14ac:dyDescent="0.2">
      <c r="A926">
        <f ca="1">IFERROR(__xludf.DUMMYFUNCTION("""COMPUTED_VALUE"""),68537)</f>
        <v>68537</v>
      </c>
      <c r="B926" t="str">
        <f ca="1">IFERROR(__xludf.DUMMYFUNCTION("""COMPUTED_VALUE"""),"ST GERMAIN LEMBRON")</f>
        <v>ST GERMAIN LEMBRON</v>
      </c>
      <c r="C926" t="str">
        <f ca="1">IFERROR(__xludf.DUMMYFUNCTION("""COMPUTED_VALUE"""),"Super U")</f>
        <v>Super U</v>
      </c>
      <c r="D926" t="str">
        <f ca="1">IFERROR(__xludf.DUMMYFUNCTION("""COMPUTED_VALUE"""),"Coop U Enseigne Est")</f>
        <v>Coop U Enseigne Est</v>
      </c>
      <c r="E926">
        <f ca="1">IFERROR(__xludf.DUMMYFUNCTION("""COMPUTED_VALUE"""),63340)</f>
        <v>63340</v>
      </c>
      <c r="F926" t="str">
        <f ca="1">IFERROR(__xludf.DUMMYFUNCTION("""COMPUTED_VALUE"""),"ZAC DES COUSTILLES")</f>
        <v>ZAC DES COUSTILLES</v>
      </c>
      <c r="G926" t="str">
        <f ca="1">IFERROR(__xludf.DUMMYFUNCTION("""COMPUTED_VALUE"""),"04.73.54.53.50")</f>
        <v>04.73.54.53.50</v>
      </c>
      <c r="H926" t="str">
        <f ca="1">IFERROR(__xludf.DUMMYFUNCTION("""COMPUTED_VALUE"""),"GILBERT Stéphane")</f>
        <v>GILBERT Stéphane</v>
      </c>
      <c r="I926" t="str">
        <f ca="1">IFERROR(__xludf.DUMMYFUNCTION("""COMPUTED_VALUE"""),"stephane.gilbert@systeme-u.fr")</f>
        <v>stephane.gilbert@systeme-u.fr</v>
      </c>
      <c r="J926" t="str">
        <f ca="1">IFERROR(__xludf.DUMMYFUNCTION("""COMPUTED_VALUE"""),"")</f>
        <v/>
      </c>
      <c r="K926" t="str">
        <f ca="1">IFERROR(__xludf.DUMMYFUNCTION("""COMPUTED_VALUE"""),"")</f>
        <v/>
      </c>
      <c r="L926" t="str">
        <f ca="1">IFERROR(__xludf.DUMMYFUNCTION("""COMPUTED_VALUE"""),"")</f>
        <v/>
      </c>
      <c r="M926" t="str">
        <f ca="1">IFERROR(__xludf.DUMMYFUNCTION("""COMPUTED_VALUE"""),"99.Hors Périmetre")</f>
        <v>99.Hors Périmetre</v>
      </c>
      <c r="N926" t="str">
        <f ca="1">IFERROR(__xludf.DUMMYFUNCTION("""COMPUTED_VALUE"""),"")</f>
        <v/>
      </c>
      <c r="O926" t="str">
        <f ca="1">IFERROR(__xludf.DUMMYFUNCTION("""COMPUTED_VALUE"""),"")</f>
        <v/>
      </c>
      <c r="P926" t="str">
        <f ca="1">IFERROR(__xludf.DUMMYFUNCTION("""COMPUTED_VALUE"""),"")</f>
        <v/>
      </c>
      <c r="Q926" s="5" t="str">
        <f ca="1">IFERROR(__xludf.DUMMYFUNCTION("""COMPUTED_VALUE"""),"")</f>
        <v/>
      </c>
      <c r="R926" s="6" t="str">
        <f ca="1">IFERROR(__xludf.DUMMYFUNCTION("""COMPUTED_VALUE"""),"")</f>
        <v/>
      </c>
      <c r="S926" t="str">
        <f ca="1">IFERROR(__xludf.DUMMYFUNCTION("""COMPUTED_VALUE"""),"")</f>
        <v/>
      </c>
      <c r="T926" t="str">
        <f ca="1">IFERROR(__xludf.DUMMYFUNCTION("""COMPUTED_VALUE"""),"")</f>
        <v/>
      </c>
      <c r="U926" t="str">
        <f ca="1">IFERROR(__xludf.DUMMYFUNCTION("""COMPUTED_VALUE"""),"")</f>
        <v/>
      </c>
      <c r="V926" t="str">
        <f ca="1">IFERROR(__xludf.DUMMYFUNCTION("""COMPUTED_VALUE"""),"")</f>
        <v/>
      </c>
      <c r="W926" t="str">
        <f ca="1">IFERROR(__xludf.DUMMYFUNCTION("""COMPUTED_VALUE"""),"")</f>
        <v/>
      </c>
      <c r="X926" t="str">
        <f ca="1">IFERROR(__xludf.DUMMYFUNCTION("""COMPUTED_VALUE"""),"")</f>
        <v/>
      </c>
      <c r="Y926" t="str">
        <f ca="1">IFERROR(__xludf.DUMMYFUNCTION("""COMPUTED_VALUE"""),"")</f>
        <v/>
      </c>
      <c r="Z926" t="str">
        <f ca="1">IFERROR(__xludf.DUMMYFUNCTION("""COMPUTED_VALUE"""),"")</f>
        <v/>
      </c>
      <c r="AA926" t="str">
        <f ca="1">IFERROR(__xludf.DUMMYFUNCTION("""COMPUTED_VALUE"""),"Pas de commande")</f>
        <v>Pas de commande</v>
      </c>
      <c r="AB926" s="8" t="str">
        <f ca="1">IFERROR(__xludf.DUMMYFUNCTION("""COMPUTED_VALUE"""),"")</f>
        <v/>
      </c>
      <c r="AC926" s="8" t="str">
        <f ca="1">IFERROR(__xludf.DUMMYFUNCTION("""COMPUTED_VALUE"""),"")</f>
        <v/>
      </c>
      <c r="AD926" s="11" t="str">
        <f ca="1">IFERROR(__xludf.DUMMYFUNCTION("""COMPUTED_VALUE"""),"")</f>
        <v/>
      </c>
      <c r="AE926" t="str">
        <f ca="1">IFERROR(__xludf.DUMMYFUNCTION("""COMPUTED_VALUE"""),"")</f>
        <v/>
      </c>
    </row>
    <row r="927" spans="1:31" ht="12.75" x14ac:dyDescent="0.2">
      <c r="A927">
        <f ca="1">IFERROR(__xludf.DUMMYFUNCTION("""COMPUTED_VALUE"""),90226)</f>
        <v>90226</v>
      </c>
      <c r="B927" t="str">
        <f ca="1">IFERROR(__xludf.DUMMYFUNCTION("""COMPUTED_VALUE"""),"ST HIPPOLYTE DU FORT")</f>
        <v>ST HIPPOLYTE DU FORT</v>
      </c>
      <c r="C927" t="str">
        <f ca="1">IFERROR(__xludf.DUMMYFUNCTION("""COMPUTED_VALUE"""),"Super U")</f>
        <v>Super U</v>
      </c>
      <c r="D927" t="str">
        <f ca="1">IFERROR(__xludf.DUMMYFUNCTION("""COMPUTED_VALUE"""),"Coop U Enseigne Sud")</f>
        <v>Coop U Enseigne Sud</v>
      </c>
      <c r="E927">
        <f ca="1">IFERROR(__xludf.DUMMYFUNCTION("""COMPUTED_VALUE"""),30170)</f>
        <v>30170</v>
      </c>
      <c r="F927" t="str">
        <f ca="1">IFERROR(__xludf.DUMMYFUNCTION("""COMPUTED_VALUE"""),"LA COURONNE")</f>
        <v>LA COURONNE</v>
      </c>
      <c r="G927" t="str">
        <f ca="1">IFERROR(__xludf.DUMMYFUNCTION("""COMPUTED_VALUE"""),"04.66.77.24.47")</f>
        <v>04.66.77.24.47</v>
      </c>
      <c r="H927" t="str">
        <f ca="1">IFERROR(__xludf.DUMMYFUNCTION("""COMPUTED_VALUE"""),"PICHON David")</f>
        <v>PICHON David</v>
      </c>
      <c r="I927" t="str">
        <f ca="1">IFERROR(__xludf.DUMMYFUNCTION("""COMPUTED_VALUE"""),"david.pichon@systeme-u.fr")</f>
        <v>david.pichon@systeme-u.fr</v>
      </c>
      <c r="J927" t="str">
        <f ca="1">IFERROR(__xludf.DUMMYFUNCTION("""COMPUTED_VALUE"""),"")</f>
        <v/>
      </c>
      <c r="K927" t="str">
        <f ca="1">IFERROR(__xludf.DUMMYFUNCTION("""COMPUTED_VALUE"""),"superu.sainthippolytedufort.direction@systeme-u.fr")</f>
        <v>superu.sainthippolytedufort.direction@systeme-u.fr</v>
      </c>
      <c r="L927" t="str">
        <f ca="1">IFERROR(__xludf.DUMMYFUNCTION("""COMPUTED_VALUE"""),"")</f>
        <v/>
      </c>
      <c r="M927" t="str">
        <f ca="1">IFERROR(__xludf.DUMMYFUNCTION("""COMPUTED_VALUE"""),"99.Hors Périmetre")</f>
        <v>99.Hors Périmetre</v>
      </c>
      <c r="N927" t="str">
        <f ca="1">IFERROR(__xludf.DUMMYFUNCTION("""COMPUTED_VALUE"""),"")</f>
        <v/>
      </c>
      <c r="O927" t="str">
        <f ca="1">IFERROR(__xludf.DUMMYFUNCTION("""COMPUTED_VALUE"""),"")</f>
        <v/>
      </c>
      <c r="P927" t="str">
        <f ca="1">IFERROR(__xludf.DUMMYFUNCTION("""COMPUTED_VALUE"""),"")</f>
        <v/>
      </c>
      <c r="Q927" s="5" t="str">
        <f ca="1">IFERROR(__xludf.DUMMYFUNCTION("""COMPUTED_VALUE"""),"")</f>
        <v/>
      </c>
      <c r="R927" s="6" t="str">
        <f ca="1">IFERROR(__xludf.DUMMYFUNCTION("""COMPUTED_VALUE"""),"")</f>
        <v/>
      </c>
      <c r="S927" t="str">
        <f ca="1">IFERROR(__xludf.DUMMYFUNCTION("""COMPUTED_VALUE"""),"")</f>
        <v/>
      </c>
      <c r="T927" t="str">
        <f ca="1">IFERROR(__xludf.DUMMYFUNCTION("""COMPUTED_VALUE"""),"")</f>
        <v/>
      </c>
      <c r="U927" t="str">
        <f ca="1">IFERROR(__xludf.DUMMYFUNCTION("""COMPUTED_VALUE"""),"")</f>
        <v/>
      </c>
      <c r="V927" t="str">
        <f ca="1">IFERROR(__xludf.DUMMYFUNCTION("""COMPUTED_VALUE"""),"")</f>
        <v/>
      </c>
      <c r="W927" t="str">
        <f ca="1">IFERROR(__xludf.DUMMYFUNCTION("""COMPUTED_VALUE"""),"")</f>
        <v/>
      </c>
      <c r="X927" t="str">
        <f ca="1">IFERROR(__xludf.DUMMYFUNCTION("""COMPUTED_VALUE"""),"")</f>
        <v/>
      </c>
      <c r="Y927" t="str">
        <f ca="1">IFERROR(__xludf.DUMMYFUNCTION("""COMPUTED_VALUE"""),"")</f>
        <v/>
      </c>
      <c r="Z927" t="str">
        <f ca="1">IFERROR(__xludf.DUMMYFUNCTION("""COMPUTED_VALUE"""),"")</f>
        <v/>
      </c>
      <c r="AA927" t="str">
        <f ca="1">IFERROR(__xludf.DUMMYFUNCTION("""COMPUTED_VALUE"""),"Pas de commande")</f>
        <v>Pas de commande</v>
      </c>
      <c r="AB927" s="8" t="str">
        <f ca="1">IFERROR(__xludf.DUMMYFUNCTION("""COMPUTED_VALUE"""),"")</f>
        <v/>
      </c>
      <c r="AC927" s="8" t="str">
        <f ca="1">IFERROR(__xludf.DUMMYFUNCTION("""COMPUTED_VALUE"""),"")</f>
        <v/>
      </c>
      <c r="AD927" s="11" t="str">
        <f ca="1">IFERROR(__xludf.DUMMYFUNCTION("""COMPUTED_VALUE"""),"")</f>
        <v/>
      </c>
      <c r="AE927" t="str">
        <f ca="1">IFERROR(__xludf.DUMMYFUNCTION("""COMPUTED_VALUE"""),"")</f>
        <v/>
      </c>
    </row>
    <row r="928" spans="1:31" ht="12.75" x14ac:dyDescent="0.2">
      <c r="A928">
        <f ca="1">IFERROR(__xludf.DUMMYFUNCTION("""COMPUTED_VALUE"""),90544)</f>
        <v>90544</v>
      </c>
      <c r="B928" t="str">
        <f ca="1">IFERROR(__xludf.DUMMYFUNCTION("""COMPUTED_VALUE"""),"ST JEAN DE VEDAS")</f>
        <v>ST JEAN DE VEDAS</v>
      </c>
      <c r="C928" t="str">
        <f ca="1">IFERROR(__xludf.DUMMYFUNCTION("""COMPUTED_VALUE"""),"U Express")</f>
        <v>U Express</v>
      </c>
      <c r="D928" t="str">
        <f ca="1">IFERROR(__xludf.DUMMYFUNCTION("""COMPUTED_VALUE"""),"Coop U Enseigne Sud")</f>
        <v>Coop U Enseigne Sud</v>
      </c>
      <c r="E928">
        <f ca="1">IFERROR(__xludf.DUMMYFUNCTION("""COMPUTED_VALUE"""),34430)</f>
        <v>34430</v>
      </c>
      <c r="F928" t="str">
        <f ca="1">IFERROR(__xludf.DUMMYFUNCTION("""COMPUTED_VALUE"""),"CHEMIN DE LA PEYRIERE")</f>
        <v>CHEMIN DE LA PEYRIERE</v>
      </c>
      <c r="G928" t="str">
        <f ca="1">IFERROR(__xludf.DUMMYFUNCTION("""COMPUTED_VALUE"""),"04.67.13.84.93")</f>
        <v>04.67.13.84.93</v>
      </c>
      <c r="H928" t="str">
        <f ca="1">IFERROR(__xludf.DUMMYFUNCTION("""COMPUTED_VALUE"""),"AL LAHHAM Alexandre")</f>
        <v>AL LAHHAM Alexandre</v>
      </c>
      <c r="I928" t="str">
        <f ca="1">IFERROR(__xludf.DUMMYFUNCTION("""COMPUTED_VALUE"""),"alexandre.allahham@systeme-u.fr")</f>
        <v>alexandre.allahham@systeme-u.fr</v>
      </c>
      <c r="J928" t="str">
        <f ca="1">IFERROR(__xludf.DUMMYFUNCTION("""COMPUTED_VALUE"""),"DENIS JULIEN")</f>
        <v>DENIS JULIEN</v>
      </c>
      <c r="K928" t="str">
        <f ca="1">IFERROR(__xludf.DUMMYFUNCTION("""COMPUTED_VALUE"""),"uexpress.saintjeandevedas.direction@systeme-u.fr")</f>
        <v>uexpress.saintjeandevedas.direction@systeme-u.fr</v>
      </c>
      <c r="L928" t="str">
        <f ca="1">IFERROR(__xludf.DUMMYFUNCTION("""COMPUTED_VALUE"""),"")</f>
        <v/>
      </c>
      <c r="M928" t="str">
        <f ca="1">IFERROR(__xludf.DUMMYFUNCTION("""COMPUTED_VALUE"""),"99.Hors Périmetre")</f>
        <v>99.Hors Périmetre</v>
      </c>
      <c r="N928" t="str">
        <f ca="1">IFERROR(__xludf.DUMMYFUNCTION("""COMPUTED_VALUE"""),"")</f>
        <v/>
      </c>
      <c r="O928" t="str">
        <f ca="1">IFERROR(__xludf.DUMMYFUNCTION("""COMPUTED_VALUE"""),"")</f>
        <v/>
      </c>
      <c r="P928" t="str">
        <f ca="1">IFERROR(__xludf.DUMMYFUNCTION("""COMPUTED_VALUE"""),"")</f>
        <v/>
      </c>
      <c r="Q928" s="5" t="str">
        <f ca="1">IFERROR(__xludf.DUMMYFUNCTION("""COMPUTED_VALUE"""),"")</f>
        <v/>
      </c>
      <c r="R928" s="6" t="str">
        <f ca="1">IFERROR(__xludf.DUMMYFUNCTION("""COMPUTED_VALUE"""),"")</f>
        <v/>
      </c>
      <c r="S928" t="str">
        <f ca="1">IFERROR(__xludf.DUMMYFUNCTION("""COMPUTED_VALUE"""),"")</f>
        <v/>
      </c>
      <c r="T928" t="str">
        <f ca="1">IFERROR(__xludf.DUMMYFUNCTION("""COMPUTED_VALUE"""),"")</f>
        <v/>
      </c>
      <c r="U928" t="str">
        <f ca="1">IFERROR(__xludf.DUMMYFUNCTION("""COMPUTED_VALUE"""),"")</f>
        <v/>
      </c>
      <c r="V928" t="str">
        <f ca="1">IFERROR(__xludf.DUMMYFUNCTION("""COMPUTED_VALUE"""),"")</f>
        <v/>
      </c>
      <c r="W928" t="str">
        <f ca="1">IFERROR(__xludf.DUMMYFUNCTION("""COMPUTED_VALUE"""),"")</f>
        <v/>
      </c>
      <c r="X928" t="str">
        <f ca="1">IFERROR(__xludf.DUMMYFUNCTION("""COMPUTED_VALUE"""),"")</f>
        <v/>
      </c>
      <c r="Y928" t="str">
        <f ca="1">IFERROR(__xludf.DUMMYFUNCTION("""COMPUTED_VALUE"""),"")</f>
        <v/>
      </c>
      <c r="Z928" t="str">
        <f ca="1">IFERROR(__xludf.DUMMYFUNCTION("""COMPUTED_VALUE"""),"")</f>
        <v/>
      </c>
      <c r="AA928" t="str">
        <f ca="1">IFERROR(__xludf.DUMMYFUNCTION("""COMPUTED_VALUE"""),"Pas de commande")</f>
        <v>Pas de commande</v>
      </c>
      <c r="AB928" s="8" t="str">
        <f ca="1">IFERROR(__xludf.DUMMYFUNCTION("""COMPUTED_VALUE"""),"")</f>
        <v/>
      </c>
      <c r="AC928" s="8" t="str">
        <f ca="1">IFERROR(__xludf.DUMMYFUNCTION("""COMPUTED_VALUE"""),"")</f>
        <v/>
      </c>
      <c r="AD928" s="11" t="str">
        <f ca="1">IFERROR(__xludf.DUMMYFUNCTION("""COMPUTED_VALUE"""),"")</f>
        <v/>
      </c>
      <c r="AE928" t="str">
        <f ca="1">IFERROR(__xludf.DUMMYFUNCTION("""COMPUTED_VALUE"""),"")</f>
        <v/>
      </c>
    </row>
    <row r="929" spans="1:31" ht="12.75" x14ac:dyDescent="0.2">
      <c r="A929">
        <f ca="1">IFERROR(__xludf.DUMMYFUNCTION("""COMPUTED_VALUE"""),90021)</f>
        <v>90021</v>
      </c>
      <c r="B929" t="str">
        <f ca="1">IFERROR(__xludf.DUMMYFUNCTION("""COMPUTED_VALUE"""),"ST JEAN DU GARD")</f>
        <v>ST JEAN DU GARD</v>
      </c>
      <c r="C929" t="str">
        <f ca="1">IFERROR(__xludf.DUMMYFUNCTION("""COMPUTED_VALUE"""),"U Express")</f>
        <v>U Express</v>
      </c>
      <c r="D929" t="str">
        <f ca="1">IFERROR(__xludf.DUMMYFUNCTION("""COMPUTED_VALUE"""),"Coop U Enseigne Sud")</f>
        <v>Coop U Enseigne Sud</v>
      </c>
      <c r="E929">
        <f ca="1">IFERROR(__xludf.DUMMYFUNCTION("""COMPUTED_VALUE"""),30270)</f>
        <v>30270</v>
      </c>
      <c r="F929" t="str">
        <f ca="1">IFERROR(__xludf.DUMMYFUNCTION("""COMPUTED_VALUE"""),"AVENUE RENE BOUDON")</f>
        <v>AVENUE RENE BOUDON</v>
      </c>
      <c r="G929" t="str">
        <f ca="1">IFERROR(__xludf.DUMMYFUNCTION("""COMPUTED_VALUE"""),"04.66.85.10.83")</f>
        <v>04.66.85.10.83</v>
      </c>
      <c r="H929" t="str">
        <f ca="1">IFERROR(__xludf.DUMMYFUNCTION("""COMPUTED_VALUE"""),"BAUDOIN LIONEL")</f>
        <v>BAUDOIN LIONEL</v>
      </c>
      <c r="I929" t="str">
        <f ca="1">IFERROR(__xludf.DUMMYFUNCTION("""COMPUTED_VALUE"""),"lionel.baudoin@systeme-u.fr")</f>
        <v>lionel.baudoin@systeme-u.fr</v>
      </c>
      <c r="J929" t="str">
        <f ca="1">IFERROR(__xludf.DUMMYFUNCTION("""COMPUTED_VALUE"""),"")</f>
        <v/>
      </c>
      <c r="K929" t="str">
        <f ca="1">IFERROR(__xludf.DUMMYFUNCTION("""COMPUTED_VALUE"""),"")</f>
        <v/>
      </c>
      <c r="L929" t="str">
        <f ca="1">IFERROR(__xludf.DUMMYFUNCTION("""COMPUTED_VALUE"""),"")</f>
        <v/>
      </c>
      <c r="M929" t="str">
        <f ca="1">IFERROR(__xludf.DUMMYFUNCTION("""COMPUTED_VALUE"""),"99.Hors Périmetre")</f>
        <v>99.Hors Périmetre</v>
      </c>
      <c r="N929" t="str">
        <f ca="1">IFERROR(__xludf.DUMMYFUNCTION("""COMPUTED_VALUE"""),"")</f>
        <v/>
      </c>
      <c r="O929" t="str">
        <f ca="1">IFERROR(__xludf.DUMMYFUNCTION("""COMPUTED_VALUE"""),"")</f>
        <v/>
      </c>
      <c r="P929" t="str">
        <f ca="1">IFERROR(__xludf.DUMMYFUNCTION("""COMPUTED_VALUE"""),"")</f>
        <v/>
      </c>
      <c r="Q929" s="5" t="str">
        <f ca="1">IFERROR(__xludf.DUMMYFUNCTION("""COMPUTED_VALUE"""),"")</f>
        <v/>
      </c>
      <c r="R929" s="6" t="str">
        <f ca="1">IFERROR(__xludf.DUMMYFUNCTION("""COMPUTED_VALUE"""),"")</f>
        <v/>
      </c>
      <c r="S929" t="str">
        <f ca="1">IFERROR(__xludf.DUMMYFUNCTION("""COMPUTED_VALUE"""),"")</f>
        <v/>
      </c>
      <c r="T929" t="str">
        <f ca="1">IFERROR(__xludf.DUMMYFUNCTION("""COMPUTED_VALUE"""),"")</f>
        <v/>
      </c>
      <c r="U929" t="str">
        <f ca="1">IFERROR(__xludf.DUMMYFUNCTION("""COMPUTED_VALUE"""),"")</f>
        <v/>
      </c>
      <c r="V929" t="str">
        <f ca="1">IFERROR(__xludf.DUMMYFUNCTION("""COMPUTED_VALUE"""),"")</f>
        <v/>
      </c>
      <c r="W929" t="str">
        <f ca="1">IFERROR(__xludf.DUMMYFUNCTION("""COMPUTED_VALUE"""),"")</f>
        <v/>
      </c>
      <c r="X929" t="str">
        <f ca="1">IFERROR(__xludf.DUMMYFUNCTION("""COMPUTED_VALUE"""),"")</f>
        <v/>
      </c>
      <c r="Y929" t="str">
        <f ca="1">IFERROR(__xludf.DUMMYFUNCTION("""COMPUTED_VALUE"""),"")</f>
        <v/>
      </c>
      <c r="Z929" t="str">
        <f ca="1">IFERROR(__xludf.DUMMYFUNCTION("""COMPUTED_VALUE"""),"")</f>
        <v/>
      </c>
      <c r="AA929" t="str">
        <f ca="1">IFERROR(__xludf.DUMMYFUNCTION("""COMPUTED_VALUE"""),"Pas de commande")</f>
        <v>Pas de commande</v>
      </c>
      <c r="AB929" s="8" t="str">
        <f ca="1">IFERROR(__xludf.DUMMYFUNCTION("""COMPUTED_VALUE"""),"")</f>
        <v/>
      </c>
      <c r="AC929" s="8" t="str">
        <f ca="1">IFERROR(__xludf.DUMMYFUNCTION("""COMPUTED_VALUE"""),"")</f>
        <v/>
      </c>
      <c r="AD929" s="11" t="str">
        <f ca="1">IFERROR(__xludf.DUMMYFUNCTION("""COMPUTED_VALUE"""),"")</f>
        <v/>
      </c>
      <c r="AE929" t="str">
        <f ca="1">IFERROR(__xludf.DUMMYFUNCTION("""COMPUTED_VALUE"""),"")</f>
        <v/>
      </c>
    </row>
    <row r="930" spans="1:31" ht="12.75" x14ac:dyDescent="0.2">
      <c r="A930">
        <f ca="1">IFERROR(__xludf.DUMMYFUNCTION("""COMPUTED_VALUE"""),90458)</f>
        <v>90458</v>
      </c>
      <c r="B930" t="str">
        <f ca="1">IFERROR(__xludf.DUMMYFUNCTION("""COMPUTED_VALUE"""),"ST JEANNET")</f>
        <v>ST JEANNET</v>
      </c>
      <c r="C930" t="str">
        <f ca="1">IFERROR(__xludf.DUMMYFUNCTION("""COMPUTED_VALUE"""),"U Express")</f>
        <v>U Express</v>
      </c>
      <c r="D930" t="str">
        <f ca="1">IFERROR(__xludf.DUMMYFUNCTION("""COMPUTED_VALUE"""),"Coop U Enseigne Sud")</f>
        <v>Coop U Enseigne Sud</v>
      </c>
      <c r="E930">
        <f ca="1">IFERROR(__xludf.DUMMYFUNCTION("""COMPUTED_VALUE"""),6640)</f>
        <v>6640</v>
      </c>
      <c r="F930" t="str">
        <f ca="1">IFERROR(__xludf.DUMMYFUNCTION("""COMPUTED_VALUE"""),"QUARTIER LE PEYRON")</f>
        <v>QUARTIER LE PEYRON</v>
      </c>
      <c r="G930" t="str">
        <f ca="1">IFERROR(__xludf.DUMMYFUNCTION("""COMPUTED_VALUE"""),"04.93.24.95.52")</f>
        <v>04.93.24.95.52</v>
      </c>
      <c r="H930" t="str">
        <f ca="1">IFERROR(__xludf.DUMMYFUNCTION("""COMPUTED_VALUE"""),"BERNARD Catherine")</f>
        <v>BERNARD Catherine</v>
      </c>
      <c r="I930" t="str">
        <f ca="1">IFERROR(__xludf.DUMMYFUNCTION("""COMPUTED_VALUE"""),"catherine.saillard@systeme-u.fr")</f>
        <v>catherine.saillard@systeme-u.fr</v>
      </c>
      <c r="J930" t="str">
        <f ca="1">IFERROR(__xludf.DUMMYFUNCTION("""COMPUTED_VALUE"""),"M. VIGON")</f>
        <v>M. VIGON</v>
      </c>
      <c r="K930" t="str">
        <f ca="1">IFERROR(__xludf.DUMMYFUNCTION("""COMPUTED_VALUE"""),"marcheu.saintjeannet.directeur@systeme-u.fr")</f>
        <v>marcheu.saintjeannet.directeur@systeme-u.fr</v>
      </c>
      <c r="L930" t="str">
        <f ca="1">IFERROR(__xludf.DUMMYFUNCTION("""COMPUTED_VALUE"""),"")</f>
        <v/>
      </c>
      <c r="M930" t="str">
        <f ca="1">IFERROR(__xludf.DUMMYFUNCTION("""COMPUTED_VALUE"""),"99.Hors Périmetre")</f>
        <v>99.Hors Périmetre</v>
      </c>
      <c r="N930" t="str">
        <f ca="1">IFERROR(__xludf.DUMMYFUNCTION("""COMPUTED_VALUE"""),"")</f>
        <v/>
      </c>
      <c r="O930" t="str">
        <f ca="1">IFERROR(__xludf.DUMMYFUNCTION("""COMPUTED_VALUE"""),"")</f>
        <v/>
      </c>
      <c r="P930" t="str">
        <f ca="1">IFERROR(__xludf.DUMMYFUNCTION("""COMPUTED_VALUE"""),"")</f>
        <v/>
      </c>
      <c r="Q930" s="5" t="str">
        <f ca="1">IFERROR(__xludf.DUMMYFUNCTION("""COMPUTED_VALUE"""),"")</f>
        <v/>
      </c>
      <c r="R930" s="6" t="str">
        <f ca="1">IFERROR(__xludf.DUMMYFUNCTION("""COMPUTED_VALUE"""),"")</f>
        <v/>
      </c>
      <c r="S930" t="str">
        <f ca="1">IFERROR(__xludf.DUMMYFUNCTION("""COMPUTED_VALUE"""),"")</f>
        <v/>
      </c>
      <c r="T930" t="str">
        <f ca="1">IFERROR(__xludf.DUMMYFUNCTION("""COMPUTED_VALUE"""),"")</f>
        <v/>
      </c>
      <c r="U930" t="str">
        <f ca="1">IFERROR(__xludf.DUMMYFUNCTION("""COMPUTED_VALUE"""),"")</f>
        <v/>
      </c>
      <c r="V930" t="str">
        <f ca="1">IFERROR(__xludf.DUMMYFUNCTION("""COMPUTED_VALUE"""),"")</f>
        <v/>
      </c>
      <c r="W930" t="str">
        <f ca="1">IFERROR(__xludf.DUMMYFUNCTION("""COMPUTED_VALUE"""),"")</f>
        <v/>
      </c>
      <c r="X930" t="str">
        <f ca="1">IFERROR(__xludf.DUMMYFUNCTION("""COMPUTED_VALUE"""),"")</f>
        <v/>
      </c>
      <c r="Y930" t="str">
        <f ca="1">IFERROR(__xludf.DUMMYFUNCTION("""COMPUTED_VALUE"""),"")</f>
        <v/>
      </c>
      <c r="Z930" t="str">
        <f ca="1">IFERROR(__xludf.DUMMYFUNCTION("""COMPUTED_VALUE"""),"")</f>
        <v/>
      </c>
      <c r="AA930" t="str">
        <f ca="1">IFERROR(__xludf.DUMMYFUNCTION("""COMPUTED_VALUE"""),"Pas de commande")</f>
        <v>Pas de commande</v>
      </c>
      <c r="AB930" s="8" t="str">
        <f ca="1">IFERROR(__xludf.DUMMYFUNCTION("""COMPUTED_VALUE"""),"")</f>
        <v/>
      </c>
      <c r="AC930" s="8" t="str">
        <f ca="1">IFERROR(__xludf.DUMMYFUNCTION("""COMPUTED_VALUE"""),"")</f>
        <v/>
      </c>
      <c r="AD930" s="11" t="str">
        <f ca="1">IFERROR(__xludf.DUMMYFUNCTION("""COMPUTED_VALUE"""),"")</f>
        <v/>
      </c>
      <c r="AE930" t="str">
        <f ca="1">IFERROR(__xludf.DUMMYFUNCTION("""COMPUTED_VALUE"""),"")</f>
        <v/>
      </c>
    </row>
    <row r="931" spans="1:31" ht="12.75" x14ac:dyDescent="0.2">
      <c r="A931">
        <f ca="1">IFERROR(__xludf.DUMMYFUNCTION("""COMPUTED_VALUE"""),66572)</f>
        <v>66572</v>
      </c>
      <c r="B931" t="str">
        <f ca="1">IFERROR(__xludf.DUMMYFUNCTION("""COMPUTED_VALUE"""),"ST JORIOZ")</f>
        <v>ST JORIOZ</v>
      </c>
      <c r="C931" t="str">
        <f ca="1">IFERROR(__xludf.DUMMYFUNCTION("""COMPUTED_VALUE"""),"Super U")</f>
        <v>Super U</v>
      </c>
      <c r="D931" t="str">
        <f ca="1">IFERROR(__xludf.DUMMYFUNCTION("""COMPUTED_VALUE"""),"Coop U Enseigne Est")</f>
        <v>Coop U Enseigne Est</v>
      </c>
      <c r="E931">
        <f ca="1">IFERROR(__xludf.DUMMYFUNCTION("""COMPUTED_VALUE"""),74410)</f>
        <v>74410</v>
      </c>
      <c r="F931" t="str">
        <f ca="1">IFERROR(__xludf.DUMMYFUNCTION("""COMPUTED_VALUE"""),"RUE DE L'EGLISE")</f>
        <v>RUE DE L'EGLISE</v>
      </c>
      <c r="G931" t="str">
        <f ca="1">IFERROR(__xludf.DUMMYFUNCTION("""COMPUTED_VALUE"""),"04.50.68.61.50")</f>
        <v>04.50.68.61.50</v>
      </c>
      <c r="H931" t="str">
        <f ca="1">IFERROR(__xludf.DUMMYFUNCTION("""COMPUTED_VALUE"""),"DANNEELS Freddy")</f>
        <v>DANNEELS Freddy</v>
      </c>
      <c r="I931" t="str">
        <f ca="1">IFERROR(__xludf.DUMMYFUNCTION("""COMPUTED_VALUE"""),"freddy.danneels@systeme-u.fr")</f>
        <v>freddy.danneels@systeme-u.fr</v>
      </c>
      <c r="J931" t="str">
        <f ca="1">IFERROR(__xludf.DUMMYFUNCTION("""COMPUTED_VALUE"""),"")</f>
        <v/>
      </c>
      <c r="K931" t="str">
        <f ca="1">IFERROR(__xludf.DUMMYFUNCTION("""COMPUTED_VALUE"""),"")</f>
        <v/>
      </c>
      <c r="L931" t="str">
        <f ca="1">IFERROR(__xludf.DUMMYFUNCTION("""COMPUTED_VALUE"""),"Standard")</f>
        <v>Standard</v>
      </c>
      <c r="M931" t="str">
        <f ca="1">IFERROR(__xludf.DUMMYFUNCTION("""COMPUTED_VALUE"""),"0. Non démarré")</f>
        <v>0. Non démarré</v>
      </c>
      <c r="N931" t="str">
        <f ca="1">IFERROR(__xludf.DUMMYFUNCTION("""COMPUTED_VALUE"""),"")</f>
        <v/>
      </c>
      <c r="O931" t="str">
        <f ca="1">IFERROR(__xludf.DUMMYFUNCTION("""COMPUTED_VALUE"""),"")</f>
        <v/>
      </c>
      <c r="P931" t="str">
        <f ca="1">IFERROR(__xludf.DUMMYFUNCTION("""COMPUTED_VALUE"""),"")</f>
        <v/>
      </c>
      <c r="Q931" s="5" t="str">
        <f ca="1">IFERROR(__xludf.DUMMYFUNCTION("""COMPUTED_VALUE"""),"")</f>
        <v/>
      </c>
      <c r="R931" s="6" t="str">
        <f ca="1">IFERROR(__xludf.DUMMYFUNCTION("""COMPUTED_VALUE"""),"")</f>
        <v/>
      </c>
      <c r="S931" t="str">
        <f ca="1">IFERROR(__xludf.DUMMYFUNCTION("""COMPUTED_VALUE"""),"")</f>
        <v/>
      </c>
      <c r="T931" t="str">
        <f ca="1">IFERROR(__xludf.DUMMYFUNCTION("""COMPUTED_VALUE"""),"")</f>
        <v/>
      </c>
      <c r="U931" t="str">
        <f ca="1">IFERROR(__xludf.DUMMYFUNCTION("""COMPUTED_VALUE"""),"")</f>
        <v/>
      </c>
      <c r="V931" t="str">
        <f ca="1">IFERROR(__xludf.DUMMYFUNCTION("""COMPUTED_VALUE"""),"")</f>
        <v/>
      </c>
      <c r="W931" t="str">
        <f ca="1">IFERROR(__xludf.DUMMYFUNCTION("""COMPUTED_VALUE"""),"R5")</f>
        <v>R5</v>
      </c>
      <c r="X931" t="str">
        <f ca="1">IFERROR(__xludf.DUMMYFUNCTION("""COMPUTED_VALUE"""),"Pricer")</f>
        <v>Pricer</v>
      </c>
      <c r="Y931" t="str">
        <f ca="1">IFERROR(__xludf.DUMMYFUNCTION("""COMPUTED_VALUE"""),"")</f>
        <v/>
      </c>
      <c r="Z931" t="str">
        <f ca="1">IFERROR(__xludf.DUMMYFUNCTION("""COMPUTED_VALUE"""),"")</f>
        <v/>
      </c>
      <c r="AA931" t="str">
        <f ca="1">IFERROR(__xludf.DUMMYFUNCTION("""COMPUTED_VALUE"""),"Pas de commande")</f>
        <v>Pas de commande</v>
      </c>
      <c r="AB931" s="8" t="str">
        <f ca="1">IFERROR(__xludf.DUMMYFUNCTION("""COMPUTED_VALUE"""),"")</f>
        <v/>
      </c>
      <c r="AC931" s="8" t="str">
        <f ca="1">IFERROR(__xludf.DUMMYFUNCTION("""COMPUTED_VALUE"""),"")</f>
        <v/>
      </c>
      <c r="AD931" s="11" t="str">
        <f ca="1">IFERROR(__xludf.DUMMYFUNCTION("""COMPUTED_VALUE"""),"")</f>
        <v/>
      </c>
      <c r="AE931" t="str">
        <f ca="1">IFERROR(__xludf.DUMMYFUNCTION("""COMPUTED_VALUE"""),"")</f>
        <v/>
      </c>
    </row>
    <row r="932" spans="1:31" ht="12.75" x14ac:dyDescent="0.2">
      <c r="A932">
        <f ca="1">IFERROR(__xludf.DUMMYFUNCTION("""COMPUTED_VALUE"""),65103)</f>
        <v>65103</v>
      </c>
      <c r="B932" t="str">
        <f ca="1">IFERROR(__xludf.DUMMYFUNCTION("""COMPUTED_VALUE"""),"ST JULIEN LES METZ")</f>
        <v>ST JULIEN LES METZ</v>
      </c>
      <c r="C932" t="str">
        <f ca="1">IFERROR(__xludf.DUMMYFUNCTION("""COMPUTED_VALUE"""),"Super U")</f>
        <v>Super U</v>
      </c>
      <c r="D932" t="str">
        <f ca="1">IFERROR(__xludf.DUMMYFUNCTION("""COMPUTED_VALUE"""),"Coop U Enseigne Est")</f>
        <v>Coop U Enseigne Est</v>
      </c>
      <c r="E932">
        <f ca="1">IFERROR(__xludf.DUMMYFUNCTION("""COMPUTED_VALUE"""),57070)</f>
        <v>57070</v>
      </c>
      <c r="F932" t="str">
        <f ca="1">IFERROR(__xludf.DUMMYFUNCTION("""COMPUTED_VALUE"""),"RUE FRANÇOIS SIMON")</f>
        <v>RUE FRANÇOIS SIMON</v>
      </c>
      <c r="G932" t="str">
        <f ca="1">IFERROR(__xludf.DUMMYFUNCTION("""COMPUTED_VALUE"""),"03.87.76.23.02")</f>
        <v>03.87.76.23.02</v>
      </c>
      <c r="H932" t="str">
        <f ca="1">IFERROR(__xludf.DUMMYFUNCTION("""COMPUTED_VALUE"""),"WOISARD Dominique")</f>
        <v>WOISARD Dominique</v>
      </c>
      <c r="I932" t="str">
        <f ca="1">IFERROR(__xludf.DUMMYFUNCTION("""COMPUTED_VALUE"""),"dominique.woisard@systeme-u.fr")</f>
        <v>dominique.woisard@systeme-u.fr</v>
      </c>
      <c r="J932" t="str">
        <f ca="1">IFERROR(__xludf.DUMMYFUNCTION("""COMPUTED_VALUE"""),"Mme Julie DAMIEN")</f>
        <v>Mme Julie DAMIEN</v>
      </c>
      <c r="K932" t="str">
        <f ca="1">IFERROR(__xludf.DUMMYFUNCTION("""COMPUTED_VALUE"""),"superu.saintjulienlesmetz@systeme-u.fr")</f>
        <v>superu.saintjulienlesmetz@systeme-u.fr</v>
      </c>
      <c r="L932" t="str">
        <f ca="1">IFERROR(__xludf.DUMMYFUNCTION("""COMPUTED_VALUE"""),"")</f>
        <v/>
      </c>
      <c r="M932" t="str">
        <f ca="1">IFERROR(__xludf.DUMMYFUNCTION("""COMPUTED_VALUE"""),"99.Hors Périmetre")</f>
        <v>99.Hors Périmetre</v>
      </c>
      <c r="N932" t="str">
        <f ca="1">IFERROR(__xludf.DUMMYFUNCTION("""COMPUTED_VALUE"""),"")</f>
        <v/>
      </c>
      <c r="O932" t="str">
        <f ca="1">IFERROR(__xludf.DUMMYFUNCTION("""COMPUTED_VALUE"""),"")</f>
        <v/>
      </c>
      <c r="P932" t="str">
        <f ca="1">IFERROR(__xludf.DUMMYFUNCTION("""COMPUTED_VALUE"""),"")</f>
        <v/>
      </c>
      <c r="Q932" s="5" t="str">
        <f ca="1">IFERROR(__xludf.DUMMYFUNCTION("""COMPUTED_VALUE"""),"")</f>
        <v/>
      </c>
      <c r="R932" s="6" t="str">
        <f ca="1">IFERROR(__xludf.DUMMYFUNCTION("""COMPUTED_VALUE"""),"")</f>
        <v/>
      </c>
      <c r="S932" t="str">
        <f ca="1">IFERROR(__xludf.DUMMYFUNCTION("""COMPUTED_VALUE"""),"")</f>
        <v/>
      </c>
      <c r="T932" t="str">
        <f ca="1">IFERROR(__xludf.DUMMYFUNCTION("""COMPUTED_VALUE"""),"")</f>
        <v/>
      </c>
      <c r="U932" t="str">
        <f ca="1">IFERROR(__xludf.DUMMYFUNCTION("""COMPUTED_VALUE"""),"")</f>
        <v/>
      </c>
      <c r="V932" t="str">
        <f ca="1">IFERROR(__xludf.DUMMYFUNCTION("""COMPUTED_VALUE"""),"")</f>
        <v/>
      </c>
      <c r="W932" t="str">
        <f ca="1">IFERROR(__xludf.DUMMYFUNCTION("""COMPUTED_VALUE"""),"")</f>
        <v/>
      </c>
      <c r="X932" t="str">
        <f ca="1">IFERROR(__xludf.DUMMYFUNCTION("""COMPUTED_VALUE"""),"")</f>
        <v/>
      </c>
      <c r="Y932" t="str">
        <f ca="1">IFERROR(__xludf.DUMMYFUNCTION("""COMPUTED_VALUE"""),"")</f>
        <v/>
      </c>
      <c r="Z932" t="str">
        <f ca="1">IFERROR(__xludf.DUMMYFUNCTION("""COMPUTED_VALUE"""),"")</f>
        <v/>
      </c>
      <c r="AA932" t="str">
        <f ca="1">IFERROR(__xludf.DUMMYFUNCTION("""COMPUTED_VALUE"""),"Pas de commande")</f>
        <v>Pas de commande</v>
      </c>
      <c r="AB932" s="8" t="str">
        <f ca="1">IFERROR(__xludf.DUMMYFUNCTION("""COMPUTED_VALUE"""),"")</f>
        <v/>
      </c>
      <c r="AC932" s="8" t="str">
        <f ca="1">IFERROR(__xludf.DUMMYFUNCTION("""COMPUTED_VALUE"""),"")</f>
        <v/>
      </c>
      <c r="AD932" s="11" t="str">
        <f ca="1">IFERROR(__xludf.DUMMYFUNCTION("""COMPUTED_VALUE"""),"")</f>
        <v/>
      </c>
      <c r="AE932" t="str">
        <f ca="1">IFERROR(__xludf.DUMMYFUNCTION("""COMPUTED_VALUE"""),"")</f>
        <v/>
      </c>
    </row>
    <row r="933" spans="1:31" ht="12.75" x14ac:dyDescent="0.2">
      <c r="A933">
        <f ca="1">IFERROR(__xludf.DUMMYFUNCTION("""COMPUTED_VALUE"""),22755)</f>
        <v>22755</v>
      </c>
      <c r="B933" t="str">
        <f ca="1">IFERROR(__xludf.DUMMYFUNCTION("""COMPUTED_VALUE"""),"ST LANGIS LES MORTAGNE")</f>
        <v>ST LANGIS LES MORTAGNE</v>
      </c>
      <c r="C933" t="str">
        <f ca="1">IFERROR(__xludf.DUMMYFUNCTION("""COMPUTED_VALUE"""),"Super U")</f>
        <v>Super U</v>
      </c>
      <c r="D933" t="str">
        <f ca="1">IFERROR(__xludf.DUMMYFUNCTION("""COMPUTED_VALUE"""),"Coop U Enseigne NordOuest")</f>
        <v>Coop U Enseigne NordOuest</v>
      </c>
      <c r="E933">
        <f ca="1">IFERROR(__xludf.DUMMYFUNCTION("""COMPUTED_VALUE"""),61400)</f>
        <v>61400</v>
      </c>
      <c r="F933" t="str">
        <f ca="1">IFERROR(__xludf.DUMMYFUNCTION("""COMPUTED_VALUE"""),"ROUTE D'ALENÇON")</f>
        <v>ROUTE D'ALENÇON</v>
      </c>
      <c r="G933" t="str">
        <f ca="1">IFERROR(__xludf.DUMMYFUNCTION("""COMPUTED_VALUE"""),"02.33.25.42.44")</f>
        <v>02.33.25.42.44</v>
      </c>
      <c r="H933" t="str">
        <f ca="1">IFERROR(__xludf.DUMMYFUNCTION("""COMPUTED_VALUE"""),"NOYER Thierry")</f>
        <v>NOYER Thierry</v>
      </c>
      <c r="I933" t="str">
        <f ca="1">IFERROR(__xludf.DUMMYFUNCTION("""COMPUTED_VALUE"""),"thierry.noyer@systeme-u.fr")</f>
        <v>thierry.noyer@systeme-u.fr</v>
      </c>
      <c r="J933" t="str">
        <f ca="1">IFERROR(__xludf.DUMMYFUNCTION("""COMPUTED_VALUE"""),"Mme BOURREE 
SERRA Marie José")</f>
        <v>Mme BOURREE 
SERRA Marie José</v>
      </c>
      <c r="K933" t="str">
        <f ca="1">IFERROR(__xludf.DUMMYFUNCTION("""COMPUTED_VALUE"""),"superu.saintlangislesmortagnes.pf@systeme-u.fr,
superu.saintlangislesmortagnes.administratif@systeme-u.fr")</f>
        <v>superu.saintlangislesmortagnes.pf@systeme-u.fr,
superu.saintlangislesmortagnes.administratif@systeme-u.fr</v>
      </c>
      <c r="L933" t="str">
        <f ca="1">IFERROR(__xludf.DUMMYFUNCTION("""COMPUTED_VALUE"""),"")</f>
        <v/>
      </c>
      <c r="M933" t="str">
        <f ca="1">IFERROR(__xludf.DUMMYFUNCTION("""COMPUTED_VALUE"""),"99.Hors Périmetre")</f>
        <v>99.Hors Périmetre</v>
      </c>
      <c r="N933" t="str">
        <f ca="1">IFERROR(__xludf.DUMMYFUNCTION("""COMPUTED_VALUE"""),"")</f>
        <v/>
      </c>
      <c r="O933" t="str">
        <f ca="1">IFERROR(__xludf.DUMMYFUNCTION("""COMPUTED_VALUE"""),"")</f>
        <v/>
      </c>
      <c r="P933" t="str">
        <f ca="1">IFERROR(__xludf.DUMMYFUNCTION("""COMPUTED_VALUE"""),"")</f>
        <v/>
      </c>
      <c r="Q933" s="5" t="str">
        <f ca="1">IFERROR(__xludf.DUMMYFUNCTION("""COMPUTED_VALUE"""),"")</f>
        <v/>
      </c>
      <c r="R933" s="6" t="str">
        <f ca="1">IFERROR(__xludf.DUMMYFUNCTION("""COMPUTED_VALUE"""),"")</f>
        <v/>
      </c>
      <c r="S933" t="str">
        <f ca="1">IFERROR(__xludf.DUMMYFUNCTION("""COMPUTED_VALUE"""),"")</f>
        <v/>
      </c>
      <c r="T933" t="str">
        <f ca="1">IFERROR(__xludf.DUMMYFUNCTION("""COMPUTED_VALUE"""),"")</f>
        <v/>
      </c>
      <c r="U933" t="str">
        <f ca="1">IFERROR(__xludf.DUMMYFUNCTION("""COMPUTED_VALUE"""),"")</f>
        <v/>
      </c>
      <c r="V933" t="str">
        <f ca="1">IFERROR(__xludf.DUMMYFUNCTION("""COMPUTED_VALUE"""),"")</f>
        <v/>
      </c>
      <c r="W933" t="str">
        <f ca="1">IFERROR(__xludf.DUMMYFUNCTION("""COMPUTED_VALUE"""),"")</f>
        <v/>
      </c>
      <c r="X933" t="str">
        <f ca="1">IFERROR(__xludf.DUMMYFUNCTION("""COMPUTED_VALUE"""),"")</f>
        <v/>
      </c>
      <c r="Y933" t="str">
        <f ca="1">IFERROR(__xludf.DUMMYFUNCTION("""COMPUTED_VALUE"""),"")</f>
        <v/>
      </c>
      <c r="Z933" t="str">
        <f ca="1">IFERROR(__xludf.DUMMYFUNCTION("""COMPUTED_VALUE"""),"")</f>
        <v/>
      </c>
      <c r="AA933" t="str">
        <f ca="1">IFERROR(__xludf.DUMMYFUNCTION("""COMPUTED_VALUE"""),"Pas de commande")</f>
        <v>Pas de commande</v>
      </c>
      <c r="AB933" s="8" t="str">
        <f ca="1">IFERROR(__xludf.DUMMYFUNCTION("""COMPUTED_VALUE"""),"")</f>
        <v/>
      </c>
      <c r="AC933" s="8" t="str">
        <f ca="1">IFERROR(__xludf.DUMMYFUNCTION("""COMPUTED_VALUE"""),"")</f>
        <v/>
      </c>
      <c r="AD933" s="11" t="str">
        <f ca="1">IFERROR(__xludf.DUMMYFUNCTION("""COMPUTED_VALUE"""),"")</f>
        <v/>
      </c>
      <c r="AE933" t="str">
        <f ca="1">IFERROR(__xludf.DUMMYFUNCTION("""COMPUTED_VALUE"""),"")</f>
        <v/>
      </c>
    </row>
    <row r="934" spans="1:31" ht="12.75" x14ac:dyDescent="0.2">
      <c r="A934">
        <f ca="1">IFERROR(__xludf.DUMMYFUNCTION("""COMPUTED_VALUE"""),90531)</f>
        <v>90531</v>
      </c>
      <c r="B934" t="str">
        <f ca="1">IFERROR(__xludf.DUMMYFUNCTION("""COMPUTED_VALUE"""),"ST LAURENT D'AIGOUZE")</f>
        <v>ST LAURENT D'AIGOUZE</v>
      </c>
      <c r="C934" t="str">
        <f ca="1">IFERROR(__xludf.DUMMYFUNCTION("""COMPUTED_VALUE"""),"U Express")</f>
        <v>U Express</v>
      </c>
      <c r="D934" t="str">
        <f ca="1">IFERROR(__xludf.DUMMYFUNCTION("""COMPUTED_VALUE"""),"Coop U Enseigne Sud")</f>
        <v>Coop U Enseigne Sud</v>
      </c>
      <c r="E934">
        <f ca="1">IFERROR(__xludf.DUMMYFUNCTION("""COMPUTED_VALUE"""),30220)</f>
        <v>30220</v>
      </c>
      <c r="F934" t="str">
        <f ca="1">IFERROR(__xludf.DUMMYFUNCTION("""COMPUTED_VALUE"""),"180 AVENUE DU GAL TROUCHAUD")</f>
        <v>180 AVENUE DU GAL TROUCHAUD</v>
      </c>
      <c r="G934" t="str">
        <f ca="1">IFERROR(__xludf.DUMMYFUNCTION("""COMPUTED_VALUE"""),"04.66.35.95.65")</f>
        <v>04.66.35.95.65</v>
      </c>
      <c r="H934" t="str">
        <f ca="1">IFERROR(__xludf.DUMMYFUNCTION("""COMPUTED_VALUE"""),"LEIENDECKERS Karine")</f>
        <v>LEIENDECKERS Karine</v>
      </c>
      <c r="I934" t="str">
        <f ca="1">IFERROR(__xludf.DUMMYFUNCTION("""COMPUTED_VALUE"""),"karine.leiendeckers@systeme-u.fr")</f>
        <v>karine.leiendeckers@systeme-u.fr</v>
      </c>
      <c r="J934" t="str">
        <f ca="1">IFERROR(__xludf.DUMMYFUNCTION("""COMPUTED_VALUE"""),"")</f>
        <v/>
      </c>
      <c r="K934" t="str">
        <f ca="1">IFERROR(__xludf.DUMMYFUNCTION("""COMPUTED_VALUE"""),"")</f>
        <v/>
      </c>
      <c r="L934" t="str">
        <f ca="1">IFERROR(__xludf.DUMMYFUNCTION("""COMPUTED_VALUE"""),"")</f>
        <v/>
      </c>
      <c r="M934" t="str">
        <f ca="1">IFERROR(__xludf.DUMMYFUNCTION("""COMPUTED_VALUE"""),"99.Hors Périmetre")</f>
        <v>99.Hors Périmetre</v>
      </c>
      <c r="N934" t="str">
        <f ca="1">IFERROR(__xludf.DUMMYFUNCTION("""COMPUTED_VALUE"""),"")</f>
        <v/>
      </c>
      <c r="O934" t="str">
        <f ca="1">IFERROR(__xludf.DUMMYFUNCTION("""COMPUTED_VALUE"""),"")</f>
        <v/>
      </c>
      <c r="P934" t="str">
        <f ca="1">IFERROR(__xludf.DUMMYFUNCTION("""COMPUTED_VALUE"""),"")</f>
        <v/>
      </c>
      <c r="Q934" s="5" t="str">
        <f ca="1">IFERROR(__xludf.DUMMYFUNCTION("""COMPUTED_VALUE"""),"")</f>
        <v/>
      </c>
      <c r="R934" s="6" t="str">
        <f ca="1">IFERROR(__xludf.DUMMYFUNCTION("""COMPUTED_VALUE"""),"")</f>
        <v/>
      </c>
      <c r="S934" t="str">
        <f ca="1">IFERROR(__xludf.DUMMYFUNCTION("""COMPUTED_VALUE"""),"")</f>
        <v/>
      </c>
      <c r="T934" t="str">
        <f ca="1">IFERROR(__xludf.DUMMYFUNCTION("""COMPUTED_VALUE"""),"")</f>
        <v/>
      </c>
      <c r="U934" t="str">
        <f ca="1">IFERROR(__xludf.DUMMYFUNCTION("""COMPUTED_VALUE"""),"")</f>
        <v/>
      </c>
      <c r="V934" t="str">
        <f ca="1">IFERROR(__xludf.DUMMYFUNCTION("""COMPUTED_VALUE"""),"")</f>
        <v/>
      </c>
      <c r="W934" t="str">
        <f ca="1">IFERROR(__xludf.DUMMYFUNCTION("""COMPUTED_VALUE"""),"")</f>
        <v/>
      </c>
      <c r="X934" t="str">
        <f ca="1">IFERROR(__xludf.DUMMYFUNCTION("""COMPUTED_VALUE"""),"")</f>
        <v/>
      </c>
      <c r="Y934" t="str">
        <f ca="1">IFERROR(__xludf.DUMMYFUNCTION("""COMPUTED_VALUE"""),"")</f>
        <v/>
      </c>
      <c r="Z934" t="str">
        <f ca="1">IFERROR(__xludf.DUMMYFUNCTION("""COMPUTED_VALUE"""),"")</f>
        <v/>
      </c>
      <c r="AA934" t="str">
        <f ca="1">IFERROR(__xludf.DUMMYFUNCTION("""COMPUTED_VALUE"""),"Pas de commande")</f>
        <v>Pas de commande</v>
      </c>
      <c r="AB934" s="8" t="str">
        <f ca="1">IFERROR(__xludf.DUMMYFUNCTION("""COMPUTED_VALUE"""),"")</f>
        <v/>
      </c>
      <c r="AC934" s="8" t="str">
        <f ca="1">IFERROR(__xludf.DUMMYFUNCTION("""COMPUTED_VALUE"""),"")</f>
        <v/>
      </c>
      <c r="AD934" s="11" t="str">
        <f ca="1">IFERROR(__xludf.DUMMYFUNCTION("""COMPUTED_VALUE"""),"")</f>
        <v/>
      </c>
      <c r="AE934" t="str">
        <f ca="1">IFERROR(__xludf.DUMMYFUNCTION("""COMPUTED_VALUE"""),"")</f>
        <v/>
      </c>
    </row>
    <row r="935" spans="1:31" ht="12.75" x14ac:dyDescent="0.2">
      <c r="A935">
        <f ca="1">IFERROR(__xludf.DUMMYFUNCTION("""COMPUTED_VALUE"""),62005)</f>
        <v>62005</v>
      </c>
      <c r="B935" t="str">
        <f ca="1">IFERROR(__xludf.DUMMYFUNCTION("""COMPUTED_VALUE"""),"ST LAURENT EN GRANDVAUX")</f>
        <v>ST LAURENT EN GRANDVAUX</v>
      </c>
      <c r="C935" t="str">
        <f ca="1">IFERROR(__xludf.DUMMYFUNCTION("""COMPUTED_VALUE"""),"Super U")</f>
        <v>Super U</v>
      </c>
      <c r="D935" t="str">
        <f ca="1">IFERROR(__xludf.DUMMYFUNCTION("""COMPUTED_VALUE"""),"Coop U Enseigne Est")</f>
        <v>Coop U Enseigne Est</v>
      </c>
      <c r="E935">
        <f ca="1">IFERROR(__xludf.DUMMYFUNCTION("""COMPUTED_VALUE"""),39150)</f>
        <v>39150</v>
      </c>
      <c r="F935" t="str">
        <f ca="1">IFERROR(__xludf.DUMMYFUNCTION("""COMPUTED_VALUE"""),"14 RUE LACUZON")</f>
        <v>14 RUE LACUZON</v>
      </c>
      <c r="G935" t="str">
        <f ca="1">IFERROR(__xludf.DUMMYFUNCTION("""COMPUTED_VALUE"""),"03.84.60.81.24")</f>
        <v>03.84.60.81.24</v>
      </c>
      <c r="H935" t="str">
        <f ca="1">IFERROR(__xludf.DUMMYFUNCTION("""COMPUTED_VALUE"""),"MURA RPT SAS THILU Damien")</f>
        <v>MURA RPT SAS THILU Damien</v>
      </c>
      <c r="I935" t="str">
        <f ca="1">IFERROR(__xludf.DUMMYFUNCTION("""COMPUTED_VALUE"""),"damien.mura@systeme-u.fr")</f>
        <v>damien.mura@systeme-u.fr</v>
      </c>
      <c r="J935" t="str">
        <f ca="1">IFERROR(__xludf.DUMMYFUNCTION("""COMPUTED_VALUE"""),"Me Lejeune UPLV ")</f>
        <v xml:space="preserve">Me Lejeune UPLV </v>
      </c>
      <c r="K935" t="str">
        <f ca="1">IFERROR(__xludf.DUMMYFUNCTION("""COMPUTED_VALUE"""),"superu.saintlaurentengrandvaux.location_u@systeme-u.fr")</f>
        <v>superu.saintlaurentengrandvaux.location_u@systeme-u.fr</v>
      </c>
      <c r="L935" t="str">
        <f ca="1">IFERROR(__xludf.DUMMYFUNCTION("""COMPUTED_VALUE"""),"")</f>
        <v/>
      </c>
      <c r="M935" t="str">
        <f ca="1">IFERROR(__xludf.DUMMYFUNCTION("""COMPUTED_VALUE"""),"99.Hors Périmetre")</f>
        <v>99.Hors Périmetre</v>
      </c>
      <c r="N935" t="str">
        <f ca="1">IFERROR(__xludf.DUMMYFUNCTION("""COMPUTED_VALUE"""),"")</f>
        <v/>
      </c>
      <c r="O935" t="str">
        <f ca="1">IFERROR(__xludf.DUMMYFUNCTION("""COMPUTED_VALUE"""),"")</f>
        <v/>
      </c>
      <c r="P935" t="str">
        <f ca="1">IFERROR(__xludf.DUMMYFUNCTION("""COMPUTED_VALUE"""),"")</f>
        <v/>
      </c>
      <c r="Q935" s="5" t="str">
        <f ca="1">IFERROR(__xludf.DUMMYFUNCTION("""COMPUTED_VALUE"""),"")</f>
        <v/>
      </c>
      <c r="R935" s="6" t="str">
        <f ca="1">IFERROR(__xludf.DUMMYFUNCTION("""COMPUTED_VALUE"""),"")</f>
        <v/>
      </c>
      <c r="S935" t="str">
        <f ca="1">IFERROR(__xludf.DUMMYFUNCTION("""COMPUTED_VALUE"""),"")</f>
        <v/>
      </c>
      <c r="T935" t="str">
        <f ca="1">IFERROR(__xludf.DUMMYFUNCTION("""COMPUTED_VALUE"""),"")</f>
        <v/>
      </c>
      <c r="U935" t="str">
        <f ca="1">IFERROR(__xludf.DUMMYFUNCTION("""COMPUTED_VALUE"""),"")</f>
        <v/>
      </c>
      <c r="V935" t="str">
        <f ca="1">IFERROR(__xludf.DUMMYFUNCTION("""COMPUTED_VALUE"""),"")</f>
        <v/>
      </c>
      <c r="W935" t="str">
        <f ca="1">IFERROR(__xludf.DUMMYFUNCTION("""COMPUTED_VALUE"""),"")</f>
        <v/>
      </c>
      <c r="X935" t="str">
        <f ca="1">IFERROR(__xludf.DUMMYFUNCTION("""COMPUTED_VALUE"""),"")</f>
        <v/>
      </c>
      <c r="Y935" t="str">
        <f ca="1">IFERROR(__xludf.DUMMYFUNCTION("""COMPUTED_VALUE"""),"")</f>
        <v/>
      </c>
      <c r="Z935" t="str">
        <f ca="1">IFERROR(__xludf.DUMMYFUNCTION("""COMPUTED_VALUE"""),"")</f>
        <v/>
      </c>
      <c r="AA935" t="str">
        <f ca="1">IFERROR(__xludf.DUMMYFUNCTION("""COMPUTED_VALUE"""),"Pas de commande")</f>
        <v>Pas de commande</v>
      </c>
      <c r="AB935" s="8" t="str">
        <f ca="1">IFERROR(__xludf.DUMMYFUNCTION("""COMPUTED_VALUE"""),"")</f>
        <v/>
      </c>
      <c r="AC935" s="8" t="str">
        <f ca="1">IFERROR(__xludf.DUMMYFUNCTION("""COMPUTED_VALUE"""),"")</f>
        <v/>
      </c>
      <c r="AD935" s="11" t="str">
        <f ca="1">IFERROR(__xludf.DUMMYFUNCTION("""COMPUTED_VALUE"""),"")</f>
        <v/>
      </c>
      <c r="AE935" t="str">
        <f ca="1">IFERROR(__xludf.DUMMYFUNCTION("""COMPUTED_VALUE"""),"")</f>
        <v/>
      </c>
    </row>
    <row r="936" spans="1:31" ht="12.75" x14ac:dyDescent="0.2">
      <c r="A936">
        <f ca="1">IFERROR(__xludf.DUMMYFUNCTION("""COMPUTED_VALUE"""),96347)</f>
        <v>96347</v>
      </c>
      <c r="B936" t="str">
        <f ca="1">IFERROR(__xludf.DUMMYFUNCTION("""COMPUTED_VALUE"""),"ST LAURENT MEDOC")</f>
        <v>ST LAURENT MEDOC</v>
      </c>
      <c r="C936" t="str">
        <f ca="1">IFERROR(__xludf.DUMMYFUNCTION("""COMPUTED_VALUE"""),"Super U")</f>
        <v>Super U</v>
      </c>
      <c r="D936" t="str">
        <f ca="1">IFERROR(__xludf.DUMMYFUNCTION("""COMPUTED_VALUE"""),"Coop U Enseigne Sud")</f>
        <v>Coop U Enseigne Sud</v>
      </c>
      <c r="E936">
        <f ca="1">IFERROR(__xludf.DUMMYFUNCTION("""COMPUTED_VALUE"""),33112)</f>
        <v>33112</v>
      </c>
      <c r="F936" t="str">
        <f ca="1">IFERROR(__xludf.DUMMYFUNCTION("""COMPUTED_VALUE"""),"18 RUE PIERRE RALLE")</f>
        <v>18 RUE PIERRE RALLE</v>
      </c>
      <c r="G936" t="str">
        <f ca="1">IFERROR(__xludf.DUMMYFUNCTION("""COMPUTED_VALUE"""),"05.56.59.45.56")</f>
        <v>05.56.59.45.56</v>
      </c>
      <c r="H936" t="str">
        <f ca="1">IFERROR(__xludf.DUMMYFUNCTION("""COMPUTED_VALUE"""),"GILARDEAU Jacky")</f>
        <v>GILARDEAU Jacky</v>
      </c>
      <c r="I936" t="str">
        <f ca="1">IFERROR(__xludf.DUMMYFUNCTION("""COMPUTED_VALUE"""),"jacky.gilardeau@systeme-u.fr")</f>
        <v>jacky.gilardeau@systeme-u.fr</v>
      </c>
      <c r="J936" t="str">
        <f ca="1">IFERROR(__xludf.DUMMYFUNCTION("""COMPUTED_VALUE"""),"")</f>
        <v/>
      </c>
      <c r="K936" t="str">
        <f ca="1">IFERROR(__xludf.DUMMYFUNCTION("""COMPUTED_VALUE"""),"")</f>
        <v/>
      </c>
      <c r="L936" t="str">
        <f ca="1">IFERROR(__xludf.DUMMYFUNCTION("""COMPUTED_VALUE"""),"")</f>
        <v/>
      </c>
      <c r="M936" t="str">
        <f ca="1">IFERROR(__xludf.DUMMYFUNCTION("""COMPUTED_VALUE"""),"99.Hors Périmetre")</f>
        <v>99.Hors Périmetre</v>
      </c>
      <c r="N936" t="str">
        <f ca="1">IFERROR(__xludf.DUMMYFUNCTION("""COMPUTED_VALUE"""),"")</f>
        <v/>
      </c>
      <c r="O936" t="str">
        <f ca="1">IFERROR(__xludf.DUMMYFUNCTION("""COMPUTED_VALUE"""),"")</f>
        <v/>
      </c>
      <c r="P936" t="str">
        <f ca="1">IFERROR(__xludf.DUMMYFUNCTION("""COMPUTED_VALUE"""),"")</f>
        <v/>
      </c>
      <c r="Q936" s="5" t="str">
        <f ca="1">IFERROR(__xludf.DUMMYFUNCTION("""COMPUTED_VALUE"""),"")</f>
        <v/>
      </c>
      <c r="R936" s="6" t="str">
        <f ca="1">IFERROR(__xludf.DUMMYFUNCTION("""COMPUTED_VALUE"""),"")</f>
        <v/>
      </c>
      <c r="S936" t="str">
        <f ca="1">IFERROR(__xludf.DUMMYFUNCTION("""COMPUTED_VALUE"""),"")</f>
        <v/>
      </c>
      <c r="T936" t="str">
        <f ca="1">IFERROR(__xludf.DUMMYFUNCTION("""COMPUTED_VALUE"""),"")</f>
        <v/>
      </c>
      <c r="U936" t="str">
        <f ca="1">IFERROR(__xludf.DUMMYFUNCTION("""COMPUTED_VALUE"""),"")</f>
        <v/>
      </c>
      <c r="V936" t="str">
        <f ca="1">IFERROR(__xludf.DUMMYFUNCTION("""COMPUTED_VALUE"""),"")</f>
        <v/>
      </c>
      <c r="W936" t="str">
        <f ca="1">IFERROR(__xludf.DUMMYFUNCTION("""COMPUTED_VALUE"""),"")</f>
        <v/>
      </c>
      <c r="X936" t="str">
        <f ca="1">IFERROR(__xludf.DUMMYFUNCTION("""COMPUTED_VALUE"""),"")</f>
        <v/>
      </c>
      <c r="Y936" t="str">
        <f ca="1">IFERROR(__xludf.DUMMYFUNCTION("""COMPUTED_VALUE"""),"")</f>
        <v/>
      </c>
      <c r="Z936" t="str">
        <f ca="1">IFERROR(__xludf.DUMMYFUNCTION("""COMPUTED_VALUE"""),"")</f>
        <v/>
      </c>
      <c r="AA936" t="str">
        <f ca="1">IFERROR(__xludf.DUMMYFUNCTION("""COMPUTED_VALUE"""),"Pas de commande")</f>
        <v>Pas de commande</v>
      </c>
      <c r="AB936" s="8" t="str">
        <f ca="1">IFERROR(__xludf.DUMMYFUNCTION("""COMPUTED_VALUE"""),"")</f>
        <v/>
      </c>
      <c r="AC936" s="8" t="str">
        <f ca="1">IFERROR(__xludf.DUMMYFUNCTION("""COMPUTED_VALUE"""),"")</f>
        <v/>
      </c>
      <c r="AD936" s="11" t="str">
        <f ca="1">IFERROR(__xludf.DUMMYFUNCTION("""COMPUTED_VALUE"""),"")</f>
        <v/>
      </c>
      <c r="AE936" t="str">
        <f ca="1">IFERROR(__xludf.DUMMYFUNCTION("""COMPUTED_VALUE"""),"")</f>
        <v/>
      </c>
    </row>
    <row r="937" spans="1:31" ht="12.75" x14ac:dyDescent="0.2">
      <c r="A937">
        <f ca="1">IFERROR(__xludf.DUMMYFUNCTION("""COMPUTED_VALUE"""),90251)</f>
        <v>90251</v>
      </c>
      <c r="B937" t="str">
        <f ca="1">IFERROR(__xludf.DUMMYFUNCTION("""COMPUTED_VALUE"""),"ST MARTIN DE CRAU")</f>
        <v>ST MARTIN DE CRAU</v>
      </c>
      <c r="C937" t="str">
        <f ca="1">IFERROR(__xludf.DUMMYFUNCTION("""COMPUTED_VALUE"""),"Super U")</f>
        <v>Super U</v>
      </c>
      <c r="D937" t="str">
        <f ca="1">IFERROR(__xludf.DUMMYFUNCTION("""COMPUTED_VALUE"""),"Coop U Enseigne Sud")</f>
        <v>Coop U Enseigne Sud</v>
      </c>
      <c r="E937">
        <f ca="1">IFERROR(__xludf.DUMMYFUNCTION("""COMPUTED_VALUE"""),13310)</f>
        <v>13310</v>
      </c>
      <c r="F937" t="str">
        <f ca="1">IFERROR(__xludf.DUMMYFUNCTION("""COMPUTED_VALUE"""),"ZA DU SALAT AV.MARKGRONINGEN")</f>
        <v>ZA DU SALAT AV.MARKGRONINGEN</v>
      </c>
      <c r="G937" t="str">
        <f ca="1">IFERROR(__xludf.DUMMYFUNCTION("""COMPUTED_VALUE"""),"04.90.47.23.00")</f>
        <v>04.90.47.23.00</v>
      </c>
      <c r="H937" t="str">
        <f ca="1">IFERROR(__xludf.DUMMYFUNCTION("""COMPUTED_VALUE"""),"BARBIER Pierre")</f>
        <v>BARBIER Pierre</v>
      </c>
      <c r="I937" t="str">
        <f ca="1">IFERROR(__xludf.DUMMYFUNCTION("""COMPUTED_VALUE"""),"pierre.barbier@systeme-u.fr")</f>
        <v>pierre.barbier@systeme-u.fr</v>
      </c>
      <c r="J937" t="str">
        <f ca="1">IFERROR(__xludf.DUMMYFUNCTION("""COMPUTED_VALUE"""),"M. Sébastien LECLUSE")</f>
        <v>M. Sébastien LECLUSE</v>
      </c>
      <c r="K937" t="str">
        <f ca="1">IFERROR(__xludf.DUMMYFUNCTION("""COMPUTED_VALUE"""),"superu.saintmartindecrau@systeme-u.fr,superu.smc@gmail.com")</f>
        <v>superu.saintmartindecrau@systeme-u.fr,superu.smc@gmail.com</v>
      </c>
      <c r="L937" t="str">
        <f ca="1">IFERROR(__xludf.DUMMYFUNCTION("""COMPUTED_VALUE"""),"")</f>
        <v/>
      </c>
      <c r="M937" t="str">
        <f ca="1">IFERROR(__xludf.DUMMYFUNCTION("""COMPUTED_VALUE"""),"99.Hors Périmetre")</f>
        <v>99.Hors Périmetre</v>
      </c>
      <c r="N937" t="str">
        <f ca="1">IFERROR(__xludf.DUMMYFUNCTION("""COMPUTED_VALUE"""),"")</f>
        <v/>
      </c>
      <c r="O937" t="str">
        <f ca="1">IFERROR(__xludf.DUMMYFUNCTION("""COMPUTED_VALUE"""),"")</f>
        <v/>
      </c>
      <c r="P937" t="str">
        <f ca="1">IFERROR(__xludf.DUMMYFUNCTION("""COMPUTED_VALUE"""),"")</f>
        <v/>
      </c>
      <c r="Q937" s="5" t="str">
        <f ca="1">IFERROR(__xludf.DUMMYFUNCTION("""COMPUTED_VALUE"""),"")</f>
        <v/>
      </c>
      <c r="R937" s="6" t="str">
        <f ca="1">IFERROR(__xludf.DUMMYFUNCTION("""COMPUTED_VALUE"""),"")</f>
        <v/>
      </c>
      <c r="S937" t="str">
        <f ca="1">IFERROR(__xludf.DUMMYFUNCTION("""COMPUTED_VALUE"""),"")</f>
        <v/>
      </c>
      <c r="T937" t="str">
        <f ca="1">IFERROR(__xludf.DUMMYFUNCTION("""COMPUTED_VALUE"""),"")</f>
        <v/>
      </c>
      <c r="U937" t="str">
        <f ca="1">IFERROR(__xludf.DUMMYFUNCTION("""COMPUTED_VALUE"""),"")</f>
        <v/>
      </c>
      <c r="V937" t="str">
        <f ca="1">IFERROR(__xludf.DUMMYFUNCTION("""COMPUTED_VALUE"""),"")</f>
        <v/>
      </c>
      <c r="W937" t="str">
        <f ca="1">IFERROR(__xludf.DUMMYFUNCTION("""COMPUTED_VALUE"""),"")</f>
        <v/>
      </c>
      <c r="X937" t="str">
        <f ca="1">IFERROR(__xludf.DUMMYFUNCTION("""COMPUTED_VALUE"""),"")</f>
        <v/>
      </c>
      <c r="Y937" t="str">
        <f ca="1">IFERROR(__xludf.DUMMYFUNCTION("""COMPUTED_VALUE"""),"")</f>
        <v/>
      </c>
      <c r="Z937" t="str">
        <f ca="1">IFERROR(__xludf.DUMMYFUNCTION("""COMPUTED_VALUE"""),"")</f>
        <v/>
      </c>
      <c r="AA937" t="str">
        <f ca="1">IFERROR(__xludf.DUMMYFUNCTION("""COMPUTED_VALUE"""),"Pas de commande")</f>
        <v>Pas de commande</v>
      </c>
      <c r="AB937" s="8" t="str">
        <f ca="1">IFERROR(__xludf.DUMMYFUNCTION("""COMPUTED_VALUE"""),"")</f>
        <v/>
      </c>
      <c r="AC937" s="8" t="str">
        <f ca="1">IFERROR(__xludf.DUMMYFUNCTION("""COMPUTED_VALUE"""),"")</f>
        <v/>
      </c>
      <c r="AD937" s="11" t="str">
        <f ca="1">IFERROR(__xludf.DUMMYFUNCTION("""COMPUTED_VALUE"""),"")</f>
        <v/>
      </c>
      <c r="AE937" t="str">
        <f ca="1">IFERROR(__xludf.DUMMYFUNCTION("""COMPUTED_VALUE"""),"")</f>
        <v/>
      </c>
    </row>
    <row r="938" spans="1:31" ht="12.75" x14ac:dyDescent="0.2">
      <c r="A938">
        <f ca="1">IFERROR(__xludf.DUMMYFUNCTION("""COMPUTED_VALUE"""),95129)</f>
        <v>95129</v>
      </c>
      <c r="B938" t="str">
        <f ca="1">IFERROR(__xludf.DUMMYFUNCTION("""COMPUTED_VALUE"""),"ST MARTIN DE SEIGNANX")</f>
        <v>ST MARTIN DE SEIGNANX</v>
      </c>
      <c r="C938" t="str">
        <f ca="1">IFERROR(__xludf.DUMMYFUNCTION("""COMPUTED_VALUE"""),"Super U")</f>
        <v>Super U</v>
      </c>
      <c r="D938" t="str">
        <f ca="1">IFERROR(__xludf.DUMMYFUNCTION("""COMPUTED_VALUE"""),"Coop U Enseigne Sud")</f>
        <v>Coop U Enseigne Sud</v>
      </c>
      <c r="E938">
        <f ca="1">IFERROR(__xludf.DUMMYFUNCTION("""COMPUTED_VALUE"""),40390)</f>
        <v>40390</v>
      </c>
      <c r="F938" t="str">
        <f ca="1">IFERROR(__xludf.DUMMYFUNCTION("""COMPUTED_VALUE"""),"1300 AV DE BARRERE")</f>
        <v>1300 AV DE BARRERE</v>
      </c>
      <c r="G938" t="str">
        <f ca="1">IFERROR(__xludf.DUMMYFUNCTION("""COMPUTED_VALUE"""),"05.59.56.12.62")</f>
        <v>05.59.56.12.62</v>
      </c>
      <c r="H938" t="str">
        <f ca="1">IFERROR(__xludf.DUMMYFUNCTION("""COMPUTED_VALUE"""),"BLANQUET Jérôme")</f>
        <v>BLANQUET Jérôme</v>
      </c>
      <c r="I938" t="str">
        <f ca="1">IFERROR(__xludf.DUMMYFUNCTION("""COMPUTED_VALUE"""),"jerome.blanquet@systeme-u.fr")</f>
        <v>jerome.blanquet@systeme-u.fr</v>
      </c>
      <c r="J938" t="str">
        <f ca="1">IFERROR(__xludf.DUMMYFUNCTION("""COMPUTED_VALUE"""),"")</f>
        <v/>
      </c>
      <c r="K938" t="str">
        <f ca="1">IFERROR(__xludf.DUMMYFUNCTION("""COMPUTED_VALUE"""),"")</f>
        <v/>
      </c>
      <c r="L938" t="str">
        <f ca="1">IFERROR(__xludf.DUMMYFUNCTION("""COMPUTED_VALUE"""),"")</f>
        <v/>
      </c>
      <c r="M938" t="str">
        <f ca="1">IFERROR(__xludf.DUMMYFUNCTION("""COMPUTED_VALUE"""),"99.Hors Périmetre")</f>
        <v>99.Hors Périmetre</v>
      </c>
      <c r="N938" t="str">
        <f ca="1">IFERROR(__xludf.DUMMYFUNCTION("""COMPUTED_VALUE"""),"")</f>
        <v/>
      </c>
      <c r="O938" t="str">
        <f ca="1">IFERROR(__xludf.DUMMYFUNCTION("""COMPUTED_VALUE"""),"")</f>
        <v/>
      </c>
      <c r="P938" t="str">
        <f ca="1">IFERROR(__xludf.DUMMYFUNCTION("""COMPUTED_VALUE"""),"")</f>
        <v/>
      </c>
      <c r="Q938" s="5" t="str">
        <f ca="1">IFERROR(__xludf.DUMMYFUNCTION("""COMPUTED_VALUE"""),"")</f>
        <v/>
      </c>
      <c r="R938" s="6" t="str">
        <f ca="1">IFERROR(__xludf.DUMMYFUNCTION("""COMPUTED_VALUE"""),"")</f>
        <v/>
      </c>
      <c r="S938" t="str">
        <f ca="1">IFERROR(__xludf.DUMMYFUNCTION("""COMPUTED_VALUE"""),"")</f>
        <v/>
      </c>
      <c r="T938" t="str">
        <f ca="1">IFERROR(__xludf.DUMMYFUNCTION("""COMPUTED_VALUE"""),"")</f>
        <v/>
      </c>
      <c r="U938" t="str">
        <f ca="1">IFERROR(__xludf.DUMMYFUNCTION("""COMPUTED_VALUE"""),"")</f>
        <v/>
      </c>
      <c r="V938" t="str">
        <f ca="1">IFERROR(__xludf.DUMMYFUNCTION("""COMPUTED_VALUE"""),"")</f>
        <v/>
      </c>
      <c r="W938" t="str">
        <f ca="1">IFERROR(__xludf.DUMMYFUNCTION("""COMPUTED_VALUE"""),"")</f>
        <v/>
      </c>
      <c r="X938" t="str">
        <f ca="1">IFERROR(__xludf.DUMMYFUNCTION("""COMPUTED_VALUE"""),"")</f>
        <v/>
      </c>
      <c r="Y938" t="str">
        <f ca="1">IFERROR(__xludf.DUMMYFUNCTION("""COMPUTED_VALUE"""),"")</f>
        <v/>
      </c>
      <c r="Z938" t="str">
        <f ca="1">IFERROR(__xludf.DUMMYFUNCTION("""COMPUTED_VALUE"""),"")</f>
        <v/>
      </c>
      <c r="AA938" t="str">
        <f ca="1">IFERROR(__xludf.DUMMYFUNCTION("""COMPUTED_VALUE"""),"Pas de commande")</f>
        <v>Pas de commande</v>
      </c>
      <c r="AB938" s="8" t="str">
        <f ca="1">IFERROR(__xludf.DUMMYFUNCTION("""COMPUTED_VALUE"""),"")</f>
        <v/>
      </c>
      <c r="AC938" s="8" t="str">
        <f ca="1">IFERROR(__xludf.DUMMYFUNCTION("""COMPUTED_VALUE"""),"")</f>
        <v/>
      </c>
      <c r="AD938" s="11" t="str">
        <f ca="1">IFERROR(__xludf.DUMMYFUNCTION("""COMPUTED_VALUE"""),"")</f>
        <v/>
      </c>
      <c r="AE938" t="str">
        <f ca="1">IFERROR(__xludf.DUMMYFUNCTION("""COMPUTED_VALUE"""),"")</f>
        <v/>
      </c>
    </row>
    <row r="939" spans="1:31" ht="12.75" x14ac:dyDescent="0.2">
      <c r="A939">
        <f ca="1">IFERROR(__xludf.DUMMYFUNCTION("""COMPUTED_VALUE"""),23727)</f>
        <v>23727</v>
      </c>
      <c r="B939" t="str">
        <f ca="1">IFERROR(__xludf.DUMMYFUNCTION("""COMPUTED_VALUE"""),"ST MAUR DES FOSSES")</f>
        <v>ST MAUR DES FOSSES</v>
      </c>
      <c r="C939" t="str">
        <f ca="1">IFERROR(__xludf.DUMMYFUNCTION("""COMPUTED_VALUE"""),"U Express")</f>
        <v>U Express</v>
      </c>
      <c r="D939" t="str">
        <f ca="1">IFERROR(__xludf.DUMMYFUNCTION("""COMPUTED_VALUE"""),"Coop U Enseigne NordOuest")</f>
        <v>Coop U Enseigne NordOuest</v>
      </c>
      <c r="E939">
        <f ca="1">IFERROR(__xludf.DUMMYFUNCTION("""COMPUTED_VALUE"""),94100)</f>
        <v>94100</v>
      </c>
      <c r="F939" t="str">
        <f ca="1">IFERROR(__xludf.DUMMYFUNCTION("""COMPUTED_VALUE"""),"73 AVENUE JEAN JAURÈS")</f>
        <v>73 AVENUE JEAN JAURÈS</v>
      </c>
      <c r="G939" t="str">
        <f ca="1">IFERROR(__xludf.DUMMYFUNCTION("""COMPUTED_VALUE"""),"01.41.79.28.61")</f>
        <v>01.41.79.28.61</v>
      </c>
      <c r="H939" t="str">
        <f ca="1">IFERROR(__xludf.DUMMYFUNCTION("""COMPUTED_VALUE"""),"GOURNAY Jean-Philippe")</f>
        <v>GOURNAY Jean-Philippe</v>
      </c>
      <c r="I939" t="str">
        <f ca="1">IFERROR(__xludf.DUMMYFUNCTION("""COMPUTED_VALUE"""),"jean-philippe.gournay@systeme-u.fr")</f>
        <v>jean-philippe.gournay@systeme-u.fr</v>
      </c>
      <c r="J939" t="str">
        <f ca="1">IFERROR(__xludf.DUMMYFUNCTION("""COMPUTED_VALUE"""),"Mme Lenoir")</f>
        <v>Mme Lenoir</v>
      </c>
      <c r="K939" t="str">
        <f ca="1">IFERROR(__xludf.DUMMYFUNCTION("""COMPUTED_VALUE"""),"uexpress.saintmaurdesfosses.direction@systeme-u.fr")</f>
        <v>uexpress.saintmaurdesfosses.direction@systeme-u.fr</v>
      </c>
      <c r="L939" t="str">
        <f ca="1">IFERROR(__xludf.DUMMYFUNCTION("""COMPUTED_VALUE"""),"")</f>
        <v/>
      </c>
      <c r="M939" t="str">
        <f ca="1">IFERROR(__xludf.DUMMYFUNCTION("""COMPUTED_VALUE"""),"99.Hors Périmetre")</f>
        <v>99.Hors Périmetre</v>
      </c>
      <c r="N939" t="str">
        <f ca="1">IFERROR(__xludf.DUMMYFUNCTION("""COMPUTED_VALUE"""),"")</f>
        <v/>
      </c>
      <c r="O939" t="str">
        <f ca="1">IFERROR(__xludf.DUMMYFUNCTION("""COMPUTED_VALUE"""),"")</f>
        <v/>
      </c>
      <c r="P939" t="str">
        <f ca="1">IFERROR(__xludf.DUMMYFUNCTION("""COMPUTED_VALUE"""),"")</f>
        <v/>
      </c>
      <c r="Q939" s="5" t="str">
        <f ca="1">IFERROR(__xludf.DUMMYFUNCTION("""COMPUTED_VALUE"""),"")</f>
        <v/>
      </c>
      <c r="R939" s="6" t="str">
        <f ca="1">IFERROR(__xludf.DUMMYFUNCTION("""COMPUTED_VALUE"""),"")</f>
        <v/>
      </c>
      <c r="S939" t="str">
        <f ca="1">IFERROR(__xludf.DUMMYFUNCTION("""COMPUTED_VALUE"""),"")</f>
        <v/>
      </c>
      <c r="T939" t="str">
        <f ca="1">IFERROR(__xludf.DUMMYFUNCTION("""COMPUTED_VALUE"""),"")</f>
        <v/>
      </c>
      <c r="U939" t="str">
        <f ca="1">IFERROR(__xludf.DUMMYFUNCTION("""COMPUTED_VALUE"""),"")</f>
        <v/>
      </c>
      <c r="V939" t="str">
        <f ca="1">IFERROR(__xludf.DUMMYFUNCTION("""COMPUTED_VALUE"""),"")</f>
        <v/>
      </c>
      <c r="W939" t="str">
        <f ca="1">IFERROR(__xludf.DUMMYFUNCTION("""COMPUTED_VALUE"""),"")</f>
        <v/>
      </c>
      <c r="X939" t="str">
        <f ca="1">IFERROR(__xludf.DUMMYFUNCTION("""COMPUTED_VALUE"""),"")</f>
        <v/>
      </c>
      <c r="Y939" t="str">
        <f ca="1">IFERROR(__xludf.DUMMYFUNCTION("""COMPUTED_VALUE"""),"")</f>
        <v/>
      </c>
      <c r="Z939" t="str">
        <f ca="1">IFERROR(__xludf.DUMMYFUNCTION("""COMPUTED_VALUE"""),"")</f>
        <v/>
      </c>
      <c r="AA939" t="str">
        <f ca="1">IFERROR(__xludf.DUMMYFUNCTION("""COMPUTED_VALUE"""),"Pas de commande")</f>
        <v>Pas de commande</v>
      </c>
      <c r="AB939" s="8" t="str">
        <f ca="1">IFERROR(__xludf.DUMMYFUNCTION("""COMPUTED_VALUE"""),"")</f>
        <v/>
      </c>
      <c r="AC939" s="8" t="str">
        <f ca="1">IFERROR(__xludf.DUMMYFUNCTION("""COMPUTED_VALUE"""),"")</f>
        <v/>
      </c>
      <c r="AD939" s="11" t="str">
        <f ca="1">IFERROR(__xludf.DUMMYFUNCTION("""COMPUTED_VALUE"""),"")</f>
        <v/>
      </c>
      <c r="AE939" t="str">
        <f ca="1">IFERROR(__xludf.DUMMYFUNCTION("""COMPUTED_VALUE"""),"")</f>
        <v/>
      </c>
    </row>
    <row r="940" spans="1:31" ht="12.75" x14ac:dyDescent="0.2">
      <c r="A940">
        <f ca="1">IFERROR(__xludf.DUMMYFUNCTION("""COMPUTED_VALUE"""),95147)</f>
        <v>95147</v>
      </c>
      <c r="B940" t="str">
        <f ca="1">IFERROR(__xludf.DUMMYFUNCTION("""COMPUTED_VALUE"""),"ST MEDARD DE MUSSIDAN")</f>
        <v>ST MEDARD DE MUSSIDAN</v>
      </c>
      <c r="C940" t="str">
        <f ca="1">IFERROR(__xludf.DUMMYFUNCTION("""COMPUTED_VALUE"""),"Super U")</f>
        <v>Super U</v>
      </c>
      <c r="D940" t="str">
        <f ca="1">IFERROR(__xludf.DUMMYFUNCTION("""COMPUTED_VALUE"""),"Coop U Enseigne Sud")</f>
        <v>Coop U Enseigne Sud</v>
      </c>
      <c r="E940">
        <f ca="1">IFERROR(__xludf.DUMMYFUNCTION("""COMPUTED_VALUE"""),24400)</f>
        <v>24400</v>
      </c>
      <c r="F940" t="str">
        <f ca="1">IFERROR(__xludf.DUMMYFUNCTION("""COMPUTED_VALUE"""),"RUE DU 11 JUIN 1944")</f>
        <v>RUE DU 11 JUIN 1944</v>
      </c>
      <c r="G940" t="str">
        <f ca="1">IFERROR(__xludf.DUMMYFUNCTION("""COMPUTED_VALUE"""),"05.53.82.86.80")</f>
        <v>05.53.82.86.80</v>
      </c>
      <c r="H940" t="str">
        <f ca="1">IFERROR(__xludf.DUMMYFUNCTION("""COMPUTED_VALUE"""),"VILMENT Regis")</f>
        <v>VILMENT Regis</v>
      </c>
      <c r="I940" t="str">
        <f ca="1">IFERROR(__xludf.DUMMYFUNCTION("""COMPUTED_VALUE"""),"regis.vilment@systeme-u.fr")</f>
        <v>regis.vilment@systeme-u.fr</v>
      </c>
      <c r="J940" t="str">
        <f ca="1">IFERROR(__xludf.DUMMYFUNCTION("""COMPUTED_VALUE"""),"SERRE Sylvie")</f>
        <v>SERRE Sylvie</v>
      </c>
      <c r="K940" t="str">
        <f ca="1">IFERROR(__xludf.DUMMYFUNCTION("""COMPUTED_VALUE"""),"superu.saintmedarddemussidan.managersderayons@systeme-u.fr")</f>
        <v>superu.saintmedarddemussidan.managersderayons@systeme-u.fr</v>
      </c>
      <c r="L940" t="str">
        <f ca="1">IFERROR(__xludf.DUMMYFUNCTION("""COMPUTED_VALUE"""),"")</f>
        <v/>
      </c>
      <c r="M940" t="str">
        <f ca="1">IFERROR(__xludf.DUMMYFUNCTION("""COMPUTED_VALUE"""),"99.Hors Périmetre")</f>
        <v>99.Hors Périmetre</v>
      </c>
      <c r="N940" t="str">
        <f ca="1">IFERROR(__xludf.DUMMYFUNCTION("""COMPUTED_VALUE"""),"")</f>
        <v/>
      </c>
      <c r="O940" t="str">
        <f ca="1">IFERROR(__xludf.DUMMYFUNCTION("""COMPUTED_VALUE"""),"")</f>
        <v/>
      </c>
      <c r="P940" t="str">
        <f ca="1">IFERROR(__xludf.DUMMYFUNCTION("""COMPUTED_VALUE"""),"")</f>
        <v/>
      </c>
      <c r="Q940" s="5" t="str">
        <f ca="1">IFERROR(__xludf.DUMMYFUNCTION("""COMPUTED_VALUE"""),"")</f>
        <v/>
      </c>
      <c r="R940" s="6" t="str">
        <f ca="1">IFERROR(__xludf.DUMMYFUNCTION("""COMPUTED_VALUE"""),"")</f>
        <v/>
      </c>
      <c r="S940" t="str">
        <f ca="1">IFERROR(__xludf.DUMMYFUNCTION("""COMPUTED_VALUE"""),"")</f>
        <v/>
      </c>
      <c r="T940" t="str">
        <f ca="1">IFERROR(__xludf.DUMMYFUNCTION("""COMPUTED_VALUE"""),"")</f>
        <v/>
      </c>
      <c r="U940" t="str">
        <f ca="1">IFERROR(__xludf.DUMMYFUNCTION("""COMPUTED_VALUE"""),"")</f>
        <v/>
      </c>
      <c r="V940" t="str">
        <f ca="1">IFERROR(__xludf.DUMMYFUNCTION("""COMPUTED_VALUE"""),"")</f>
        <v/>
      </c>
      <c r="W940" t="str">
        <f ca="1">IFERROR(__xludf.DUMMYFUNCTION("""COMPUTED_VALUE"""),"")</f>
        <v/>
      </c>
      <c r="X940" t="str">
        <f ca="1">IFERROR(__xludf.DUMMYFUNCTION("""COMPUTED_VALUE"""),"")</f>
        <v/>
      </c>
      <c r="Y940" t="str">
        <f ca="1">IFERROR(__xludf.DUMMYFUNCTION("""COMPUTED_VALUE"""),"")</f>
        <v/>
      </c>
      <c r="Z940" t="str">
        <f ca="1">IFERROR(__xludf.DUMMYFUNCTION("""COMPUTED_VALUE"""),"")</f>
        <v/>
      </c>
      <c r="AA940" t="str">
        <f ca="1">IFERROR(__xludf.DUMMYFUNCTION("""COMPUTED_VALUE"""),"Pas de commande")</f>
        <v>Pas de commande</v>
      </c>
      <c r="AB940" s="8" t="str">
        <f ca="1">IFERROR(__xludf.DUMMYFUNCTION("""COMPUTED_VALUE"""),"")</f>
        <v/>
      </c>
      <c r="AC940" s="8" t="str">
        <f ca="1">IFERROR(__xludf.DUMMYFUNCTION("""COMPUTED_VALUE"""),"")</f>
        <v/>
      </c>
      <c r="AD940" s="11" t="str">
        <f ca="1">IFERROR(__xludf.DUMMYFUNCTION("""COMPUTED_VALUE"""),"")</f>
        <v/>
      </c>
      <c r="AE940" t="str">
        <f ca="1">IFERROR(__xludf.DUMMYFUNCTION("""COMPUTED_VALUE"""),"")</f>
        <v/>
      </c>
    </row>
    <row r="941" spans="1:31" ht="12.75" x14ac:dyDescent="0.2">
      <c r="A941">
        <f ca="1">IFERROR(__xludf.DUMMYFUNCTION("""COMPUTED_VALUE"""),90156)</f>
        <v>90156</v>
      </c>
      <c r="B941" t="str">
        <f ca="1">IFERROR(__xludf.DUMMYFUNCTION("""COMPUTED_VALUE"""),"ST PONS DE THOMIERES")</f>
        <v>ST PONS DE THOMIERES</v>
      </c>
      <c r="C941" t="str">
        <f ca="1">IFERROR(__xludf.DUMMYFUNCTION("""COMPUTED_VALUE"""),"U Express")</f>
        <v>U Express</v>
      </c>
      <c r="D941" t="str">
        <f ca="1">IFERROR(__xludf.DUMMYFUNCTION("""COMPUTED_VALUE"""),"Coop U Enseigne Sud")</f>
        <v>Coop U Enseigne Sud</v>
      </c>
      <c r="E941">
        <f ca="1">IFERROR(__xludf.DUMMYFUNCTION("""COMPUTED_VALUE"""),34220)</f>
        <v>34220</v>
      </c>
      <c r="F941" t="str">
        <f ca="1">IFERROR(__xludf.DUMMYFUNCTION("""COMPUTED_VALUE"""),"64 AVENUE DE LA GARE")</f>
        <v>64 AVENUE DE LA GARE</v>
      </c>
      <c r="G941" t="str">
        <f ca="1">IFERROR(__xludf.DUMMYFUNCTION("""COMPUTED_VALUE"""),"04.67.97.08.22")</f>
        <v>04.67.97.08.22</v>
      </c>
      <c r="H941" t="str">
        <f ca="1">IFERROR(__xludf.DUMMYFUNCTION("""COMPUTED_VALUE"""),"CAULLET Patrick")</f>
        <v>CAULLET Patrick</v>
      </c>
      <c r="I941" t="str">
        <f ca="1">IFERROR(__xludf.DUMMYFUNCTION("""COMPUTED_VALUE"""),"patrick.caullet@systeme-u.fr")</f>
        <v>patrick.caullet@systeme-u.fr</v>
      </c>
      <c r="J941" t="str">
        <f ca="1">IFERROR(__xludf.DUMMYFUNCTION("""COMPUTED_VALUE"""),"Mme CALVET")</f>
        <v>Mme CALVET</v>
      </c>
      <c r="K941" t="str">
        <f ca="1">IFERROR(__xludf.DUMMYFUNCTION("""COMPUTED_VALUE"""),"patrick.caullet@systeme-u.fr")</f>
        <v>patrick.caullet@systeme-u.fr</v>
      </c>
      <c r="L941" t="str">
        <f ca="1">IFERROR(__xludf.DUMMYFUNCTION("""COMPUTED_VALUE"""),"")</f>
        <v/>
      </c>
      <c r="M941" t="str">
        <f ca="1">IFERROR(__xludf.DUMMYFUNCTION("""COMPUTED_VALUE"""),"99.Hors Périmetre")</f>
        <v>99.Hors Périmetre</v>
      </c>
      <c r="N941" t="str">
        <f ca="1">IFERROR(__xludf.DUMMYFUNCTION("""COMPUTED_VALUE"""),"")</f>
        <v/>
      </c>
      <c r="O941" t="str">
        <f ca="1">IFERROR(__xludf.DUMMYFUNCTION("""COMPUTED_VALUE"""),"")</f>
        <v/>
      </c>
      <c r="P941" t="str">
        <f ca="1">IFERROR(__xludf.DUMMYFUNCTION("""COMPUTED_VALUE"""),"")</f>
        <v/>
      </c>
      <c r="Q941" s="5" t="str">
        <f ca="1">IFERROR(__xludf.DUMMYFUNCTION("""COMPUTED_VALUE"""),"")</f>
        <v/>
      </c>
      <c r="R941" s="6" t="str">
        <f ca="1">IFERROR(__xludf.DUMMYFUNCTION("""COMPUTED_VALUE"""),"")</f>
        <v/>
      </c>
      <c r="S941" t="str">
        <f ca="1">IFERROR(__xludf.DUMMYFUNCTION("""COMPUTED_VALUE"""),"")</f>
        <v/>
      </c>
      <c r="T941" t="str">
        <f ca="1">IFERROR(__xludf.DUMMYFUNCTION("""COMPUTED_VALUE"""),"")</f>
        <v/>
      </c>
      <c r="U941" t="str">
        <f ca="1">IFERROR(__xludf.DUMMYFUNCTION("""COMPUTED_VALUE"""),"")</f>
        <v/>
      </c>
      <c r="V941" t="str">
        <f ca="1">IFERROR(__xludf.DUMMYFUNCTION("""COMPUTED_VALUE"""),"")</f>
        <v/>
      </c>
      <c r="W941" t="str">
        <f ca="1">IFERROR(__xludf.DUMMYFUNCTION("""COMPUTED_VALUE"""),"")</f>
        <v/>
      </c>
      <c r="X941" t="str">
        <f ca="1">IFERROR(__xludf.DUMMYFUNCTION("""COMPUTED_VALUE"""),"")</f>
        <v/>
      </c>
      <c r="Y941" t="str">
        <f ca="1">IFERROR(__xludf.DUMMYFUNCTION("""COMPUTED_VALUE"""),"")</f>
        <v/>
      </c>
      <c r="Z941" t="str">
        <f ca="1">IFERROR(__xludf.DUMMYFUNCTION("""COMPUTED_VALUE"""),"")</f>
        <v/>
      </c>
      <c r="AA941" t="str">
        <f ca="1">IFERROR(__xludf.DUMMYFUNCTION("""COMPUTED_VALUE"""),"Pas de commande")</f>
        <v>Pas de commande</v>
      </c>
      <c r="AB941" s="8" t="str">
        <f ca="1">IFERROR(__xludf.DUMMYFUNCTION("""COMPUTED_VALUE"""),"")</f>
        <v/>
      </c>
      <c r="AC941" s="8" t="str">
        <f ca="1">IFERROR(__xludf.DUMMYFUNCTION("""COMPUTED_VALUE"""),"")</f>
        <v/>
      </c>
      <c r="AD941" s="11" t="str">
        <f ca="1">IFERROR(__xludf.DUMMYFUNCTION("""COMPUTED_VALUE"""),"")</f>
        <v/>
      </c>
      <c r="AE941" t="str">
        <f ca="1">IFERROR(__xludf.DUMMYFUNCTION("""COMPUTED_VALUE"""),"")</f>
        <v/>
      </c>
    </row>
    <row r="942" spans="1:31" ht="12.75" x14ac:dyDescent="0.2">
      <c r="A942">
        <f ca="1">IFERROR(__xludf.DUMMYFUNCTION("""COMPUTED_VALUE"""),26319)</f>
        <v>26319</v>
      </c>
      <c r="B942" t="str">
        <f ca="1">IFERROR(__xludf.DUMMYFUNCTION("""COMPUTED_VALUE"""),"ST PYTHON")</f>
        <v>ST PYTHON</v>
      </c>
      <c r="C942" t="str">
        <f ca="1">IFERROR(__xludf.DUMMYFUNCTION("""COMPUTED_VALUE"""),"Super U")</f>
        <v>Super U</v>
      </c>
      <c r="D942" t="str">
        <f ca="1">IFERROR(__xludf.DUMMYFUNCTION("""COMPUTED_VALUE"""),"Coop U Enseigne NordOuest")</f>
        <v>Coop U Enseigne NordOuest</v>
      </c>
      <c r="E942">
        <f ca="1">IFERROR(__xludf.DUMMYFUNCTION("""COMPUTED_VALUE"""),59730)</f>
        <v>59730</v>
      </c>
      <c r="F942" t="str">
        <f ca="1">IFERROR(__xludf.DUMMYFUNCTION("""COMPUTED_VALUE"""),"RUE DU PETIT SOLESMES")</f>
        <v>RUE DU PETIT SOLESMES</v>
      </c>
      <c r="G942" t="str">
        <f ca="1">IFERROR(__xludf.DUMMYFUNCTION("""COMPUTED_VALUE"""),"03.27.79.36.37")</f>
        <v>03.27.79.36.37</v>
      </c>
      <c r="H942" t="str">
        <f ca="1">IFERROR(__xludf.DUMMYFUNCTION("""COMPUTED_VALUE"""),"GROUSET Stéphane")</f>
        <v>GROUSET Stéphane</v>
      </c>
      <c r="I942" t="str">
        <f ca="1">IFERROR(__xludf.DUMMYFUNCTION("""COMPUTED_VALUE"""),"stephane.grouset@systeme-u.fr")</f>
        <v>stephane.grouset@systeme-u.fr</v>
      </c>
      <c r="J942" t="str">
        <f ca="1">IFERROR(__xludf.DUMMYFUNCTION("""COMPUTED_VALUE"""),"DUCROCQ Amandine")</f>
        <v>DUCROCQ Amandine</v>
      </c>
      <c r="K942" t="str">
        <f ca="1">IFERROR(__xludf.DUMMYFUNCTION("""COMPUTED_VALUE"""),"amandine.dubois0109@gmail.com")</f>
        <v>amandine.dubois0109@gmail.com</v>
      </c>
      <c r="L942" t="str">
        <f ca="1">IFERROR(__xludf.DUMMYFUNCTION("""COMPUTED_VALUE"""),"")</f>
        <v/>
      </c>
      <c r="M942" t="str">
        <f ca="1">IFERROR(__xludf.DUMMYFUNCTION("""COMPUTED_VALUE"""),"99.Hors Périmetre")</f>
        <v>99.Hors Périmetre</v>
      </c>
      <c r="N942" t="str">
        <f ca="1">IFERROR(__xludf.DUMMYFUNCTION("""COMPUTED_VALUE"""),"")</f>
        <v/>
      </c>
      <c r="O942" t="str">
        <f ca="1">IFERROR(__xludf.DUMMYFUNCTION("""COMPUTED_VALUE"""),"")</f>
        <v/>
      </c>
      <c r="P942" t="str">
        <f ca="1">IFERROR(__xludf.DUMMYFUNCTION("""COMPUTED_VALUE"""),"")</f>
        <v/>
      </c>
      <c r="Q942" s="5" t="str">
        <f ca="1">IFERROR(__xludf.DUMMYFUNCTION("""COMPUTED_VALUE"""),"")</f>
        <v/>
      </c>
      <c r="R942" s="6" t="str">
        <f ca="1">IFERROR(__xludf.DUMMYFUNCTION("""COMPUTED_VALUE"""),"")</f>
        <v/>
      </c>
      <c r="S942" t="str">
        <f ca="1">IFERROR(__xludf.DUMMYFUNCTION("""COMPUTED_VALUE"""),"")</f>
        <v/>
      </c>
      <c r="T942" t="str">
        <f ca="1">IFERROR(__xludf.DUMMYFUNCTION("""COMPUTED_VALUE"""),"")</f>
        <v/>
      </c>
      <c r="U942" t="str">
        <f ca="1">IFERROR(__xludf.DUMMYFUNCTION("""COMPUTED_VALUE"""),"")</f>
        <v/>
      </c>
      <c r="V942" t="str">
        <f ca="1">IFERROR(__xludf.DUMMYFUNCTION("""COMPUTED_VALUE"""),"")</f>
        <v/>
      </c>
      <c r="W942" t="str">
        <f ca="1">IFERROR(__xludf.DUMMYFUNCTION("""COMPUTED_VALUE"""),"")</f>
        <v/>
      </c>
      <c r="X942" t="str">
        <f ca="1">IFERROR(__xludf.DUMMYFUNCTION("""COMPUTED_VALUE"""),"")</f>
        <v/>
      </c>
      <c r="Y942" t="str">
        <f ca="1">IFERROR(__xludf.DUMMYFUNCTION("""COMPUTED_VALUE"""),"")</f>
        <v/>
      </c>
      <c r="Z942" t="str">
        <f ca="1">IFERROR(__xludf.DUMMYFUNCTION("""COMPUTED_VALUE"""),"")</f>
        <v/>
      </c>
      <c r="AA942" t="str">
        <f ca="1">IFERROR(__xludf.DUMMYFUNCTION("""COMPUTED_VALUE"""),"Pas de commande")</f>
        <v>Pas de commande</v>
      </c>
      <c r="AB942" s="8" t="str">
        <f ca="1">IFERROR(__xludf.DUMMYFUNCTION("""COMPUTED_VALUE"""),"")</f>
        <v/>
      </c>
      <c r="AC942" s="8" t="str">
        <f ca="1">IFERROR(__xludf.DUMMYFUNCTION("""COMPUTED_VALUE"""),"")</f>
        <v/>
      </c>
      <c r="AD942" s="11" t="str">
        <f ca="1">IFERROR(__xludf.DUMMYFUNCTION("""COMPUTED_VALUE"""),"")</f>
        <v/>
      </c>
      <c r="AE942" t="str">
        <f ca="1">IFERROR(__xludf.DUMMYFUNCTION("""COMPUTED_VALUE"""),"")</f>
        <v/>
      </c>
    </row>
    <row r="943" spans="1:31" ht="12.75" x14ac:dyDescent="0.2">
      <c r="A943">
        <f ca="1">IFERROR(__xludf.DUMMYFUNCTION("""COMPUTED_VALUE"""),21937)</f>
        <v>21937</v>
      </c>
      <c r="B943" t="str">
        <f ca="1">IFERROR(__xludf.DUMMYFUNCTION("""COMPUTED_VALUE"""),"ST QUENTIN")</f>
        <v>ST QUENTIN</v>
      </c>
      <c r="C943" t="str">
        <f ca="1">IFERROR(__xludf.DUMMYFUNCTION("""COMPUTED_VALUE"""),"U Express")</f>
        <v>U Express</v>
      </c>
      <c r="D943" t="str">
        <f ca="1">IFERROR(__xludf.DUMMYFUNCTION("""COMPUTED_VALUE"""),"Coop U Enseigne NordOuest")</f>
        <v>Coop U Enseigne NordOuest</v>
      </c>
      <c r="E943">
        <f ca="1">IFERROR(__xludf.DUMMYFUNCTION("""COMPUTED_VALUE"""),2100)</f>
        <v>2100</v>
      </c>
      <c r="F943" t="str">
        <f ca="1">IFERROR(__xludf.DUMMYFUNCTION("""COMPUTED_VALUE"""),"19 RUE CROIX BELLE PORTE")</f>
        <v>19 RUE CROIX BELLE PORTE</v>
      </c>
      <c r="G943" t="str">
        <f ca="1">IFERROR(__xludf.DUMMYFUNCTION("""COMPUTED_VALUE"""),"03.23.06.00.46")</f>
        <v>03.23.06.00.46</v>
      </c>
      <c r="H943" t="str">
        <f ca="1">IFERROR(__xludf.DUMMYFUNCTION("""COMPUTED_VALUE"""),"GIRARDOT Christophe")</f>
        <v>GIRARDOT Christophe</v>
      </c>
      <c r="I943" t="str">
        <f ca="1">IFERROR(__xludf.DUMMYFUNCTION("""COMPUTED_VALUE"""),"christophe.girardot@systeme-u.fr")</f>
        <v>christophe.girardot@systeme-u.fr</v>
      </c>
      <c r="J943" t="str">
        <f ca="1">IFERROR(__xludf.DUMMYFUNCTION("""COMPUTED_VALUE"""),"")</f>
        <v/>
      </c>
      <c r="K943" t="str">
        <f ca="1">IFERROR(__xludf.DUMMYFUNCTION("""COMPUTED_VALUE"""),"")</f>
        <v/>
      </c>
      <c r="L943" t="str">
        <f ca="1">IFERROR(__xludf.DUMMYFUNCTION("""COMPUTED_VALUE"""),"")</f>
        <v/>
      </c>
      <c r="M943" t="str">
        <f ca="1">IFERROR(__xludf.DUMMYFUNCTION("""COMPUTED_VALUE"""),"99.Hors Périmetre")</f>
        <v>99.Hors Périmetre</v>
      </c>
      <c r="N943" t="str">
        <f ca="1">IFERROR(__xludf.DUMMYFUNCTION("""COMPUTED_VALUE"""),"")</f>
        <v/>
      </c>
      <c r="O943" t="str">
        <f ca="1">IFERROR(__xludf.DUMMYFUNCTION("""COMPUTED_VALUE"""),"")</f>
        <v/>
      </c>
      <c r="P943" t="str">
        <f ca="1">IFERROR(__xludf.DUMMYFUNCTION("""COMPUTED_VALUE"""),"")</f>
        <v/>
      </c>
      <c r="Q943" s="5" t="str">
        <f ca="1">IFERROR(__xludf.DUMMYFUNCTION("""COMPUTED_VALUE"""),"")</f>
        <v/>
      </c>
      <c r="R943" s="6" t="str">
        <f ca="1">IFERROR(__xludf.DUMMYFUNCTION("""COMPUTED_VALUE"""),"")</f>
        <v/>
      </c>
      <c r="S943" t="str">
        <f ca="1">IFERROR(__xludf.DUMMYFUNCTION("""COMPUTED_VALUE"""),"")</f>
        <v/>
      </c>
      <c r="T943" t="str">
        <f ca="1">IFERROR(__xludf.DUMMYFUNCTION("""COMPUTED_VALUE"""),"")</f>
        <v/>
      </c>
      <c r="U943" t="str">
        <f ca="1">IFERROR(__xludf.DUMMYFUNCTION("""COMPUTED_VALUE"""),"")</f>
        <v/>
      </c>
      <c r="V943" t="str">
        <f ca="1">IFERROR(__xludf.DUMMYFUNCTION("""COMPUTED_VALUE"""),"")</f>
        <v/>
      </c>
      <c r="W943" t="str">
        <f ca="1">IFERROR(__xludf.DUMMYFUNCTION("""COMPUTED_VALUE"""),"")</f>
        <v/>
      </c>
      <c r="X943" t="str">
        <f ca="1">IFERROR(__xludf.DUMMYFUNCTION("""COMPUTED_VALUE"""),"")</f>
        <v/>
      </c>
      <c r="Y943" t="str">
        <f ca="1">IFERROR(__xludf.DUMMYFUNCTION("""COMPUTED_VALUE"""),"")</f>
        <v/>
      </c>
      <c r="Z943" t="str">
        <f ca="1">IFERROR(__xludf.DUMMYFUNCTION("""COMPUTED_VALUE"""),"")</f>
        <v/>
      </c>
      <c r="AA943" t="str">
        <f ca="1">IFERROR(__xludf.DUMMYFUNCTION("""COMPUTED_VALUE"""),"Pas de commande")</f>
        <v>Pas de commande</v>
      </c>
      <c r="AB943" s="8" t="str">
        <f ca="1">IFERROR(__xludf.DUMMYFUNCTION("""COMPUTED_VALUE"""),"")</f>
        <v/>
      </c>
      <c r="AC943" s="8" t="str">
        <f ca="1">IFERROR(__xludf.DUMMYFUNCTION("""COMPUTED_VALUE"""),"")</f>
        <v/>
      </c>
      <c r="AD943" s="11" t="str">
        <f ca="1">IFERROR(__xludf.DUMMYFUNCTION("""COMPUTED_VALUE"""),"")</f>
        <v/>
      </c>
      <c r="AE943" t="str">
        <f ca="1">IFERROR(__xludf.DUMMYFUNCTION("""COMPUTED_VALUE"""),"")</f>
        <v/>
      </c>
    </row>
    <row r="944" spans="1:31" ht="12.75" x14ac:dyDescent="0.2">
      <c r="A944">
        <f ca="1">IFERROR(__xludf.DUMMYFUNCTION("""COMPUTED_VALUE"""),90536)</f>
        <v>90536</v>
      </c>
      <c r="B944" t="str">
        <f ca="1">IFERROR(__xludf.DUMMYFUNCTION("""COMPUTED_VALUE"""),"ST RAPHAEL")</f>
        <v>ST RAPHAEL</v>
      </c>
      <c r="C944" t="str">
        <f ca="1">IFERROR(__xludf.DUMMYFUNCTION("""COMPUTED_VALUE"""),"Super U")</f>
        <v>Super U</v>
      </c>
      <c r="D944" t="str">
        <f ca="1">IFERROR(__xludf.DUMMYFUNCTION("""COMPUTED_VALUE"""),"Coop U Enseigne Sud")</f>
        <v>Coop U Enseigne Sud</v>
      </c>
      <c r="E944">
        <f ca="1">IFERROR(__xludf.DUMMYFUNCTION("""COMPUTED_VALUE"""),83700)</f>
        <v>83700</v>
      </c>
      <c r="F944" t="str">
        <f ca="1">IFERROR(__xludf.DUMMYFUNCTION("""COMPUTED_VALUE"""),"1205 BOULEVARD JEAN MOULIN")</f>
        <v>1205 BOULEVARD JEAN MOULIN</v>
      </c>
      <c r="G944" t="str">
        <f ca="1">IFERROR(__xludf.DUMMYFUNCTION("""COMPUTED_VALUE"""),"04.94.44.61.57")</f>
        <v>04.94.44.61.57</v>
      </c>
      <c r="H944" t="str">
        <f ca="1">IFERROR(__xludf.DUMMYFUNCTION("""COMPUTED_VALUE"""),"FIORITO Daniel")</f>
        <v>FIORITO Daniel</v>
      </c>
      <c r="I944" t="str">
        <f ca="1">IFERROR(__xludf.DUMMYFUNCTION("""COMPUTED_VALUE"""),"daniel.fiorito@systeme-u.fr")</f>
        <v>daniel.fiorito@systeme-u.fr</v>
      </c>
      <c r="J944" t="str">
        <f ca="1">IFERROR(__xludf.DUMMYFUNCTION("""COMPUTED_VALUE"""),"GUILLUT ALEXANDRE")</f>
        <v>GUILLUT ALEXANDRE</v>
      </c>
      <c r="K944" t="str">
        <f ca="1">IFERROR(__xludf.DUMMYFUNCTION("""COMPUTED_VALUE"""),"superu.saintraphael.direction@systeme-u.fr")</f>
        <v>superu.saintraphael.direction@systeme-u.fr</v>
      </c>
      <c r="L944" t="str">
        <f ca="1">IFERROR(__xludf.DUMMYFUNCTION("""COMPUTED_VALUE"""),"PiloteDepl")</f>
        <v>PiloteDepl</v>
      </c>
      <c r="M944" t="str">
        <f ca="1">IFERROR(__xludf.DUMMYFUNCTION("""COMPUTED_VALUE"""),"99.Hors Périmetre")</f>
        <v>99.Hors Périmetre</v>
      </c>
      <c r="N944" t="str">
        <f ca="1">IFERROR(__xludf.DUMMYFUNCTION("""COMPUTED_VALUE"""),"")</f>
        <v/>
      </c>
      <c r="O944" t="str">
        <f ca="1">IFERROR(__xludf.DUMMYFUNCTION("""COMPUTED_VALUE"""),"")</f>
        <v/>
      </c>
      <c r="P944" t="str">
        <f ca="1">IFERROR(__xludf.DUMMYFUNCTION("""COMPUTED_VALUE"""),"")</f>
        <v/>
      </c>
      <c r="Q944" s="5" t="str">
        <f ca="1">IFERROR(__xludf.DUMMYFUNCTION("""COMPUTED_VALUE"""),"")</f>
        <v/>
      </c>
      <c r="R944" s="6" t="str">
        <f ca="1">IFERROR(__xludf.DUMMYFUNCTION("""COMPUTED_VALUE"""),"")</f>
        <v/>
      </c>
      <c r="S944" t="str">
        <f ca="1">IFERROR(__xludf.DUMMYFUNCTION("""COMPUTED_VALUE"""),"")</f>
        <v/>
      </c>
      <c r="T944" t="str">
        <f ca="1">IFERROR(__xludf.DUMMYFUNCTION("""COMPUTED_VALUE"""),"")</f>
        <v/>
      </c>
      <c r="U944" t="str">
        <f ca="1">IFERROR(__xludf.DUMMYFUNCTION("""COMPUTED_VALUE"""),"")</f>
        <v/>
      </c>
      <c r="V944" t="str">
        <f ca="1">IFERROR(__xludf.DUMMYFUNCTION("""COMPUTED_VALUE"""),"")</f>
        <v/>
      </c>
      <c r="W944" t="str">
        <f ca="1">IFERROR(__xludf.DUMMYFUNCTION("""COMPUTED_VALUE"""),"R3")</f>
        <v>R3</v>
      </c>
      <c r="X944" t="str">
        <f ca="1">IFERROR(__xludf.DUMMYFUNCTION("""COMPUTED_VALUE"""),"Toshiba")</f>
        <v>Toshiba</v>
      </c>
      <c r="Y944" t="str">
        <f ca="1">IFERROR(__xludf.DUMMYFUNCTION("""COMPUTED_VALUE"""),"")</f>
        <v/>
      </c>
      <c r="Z944" t="str">
        <f ca="1">IFERROR(__xludf.DUMMYFUNCTION("""COMPUTED_VALUE"""),"")</f>
        <v/>
      </c>
      <c r="AA944" t="str">
        <f ca="1">IFERROR(__xludf.DUMMYFUNCTION("""COMPUTED_VALUE"""),"Pas de commande")</f>
        <v>Pas de commande</v>
      </c>
      <c r="AB944" s="8" t="str">
        <f ca="1">IFERROR(__xludf.DUMMYFUNCTION("""COMPUTED_VALUE"""),"")</f>
        <v/>
      </c>
      <c r="AC944" s="8" t="str">
        <f ca="1">IFERROR(__xludf.DUMMYFUNCTION("""COMPUTED_VALUE"""),"")</f>
        <v/>
      </c>
      <c r="AD944" s="11" t="str">
        <f ca="1">IFERROR(__xludf.DUMMYFUNCTION("""COMPUTED_VALUE"""),"")</f>
        <v/>
      </c>
      <c r="AE944" t="str">
        <f ca="1">IFERROR(__xludf.DUMMYFUNCTION("""COMPUTED_VALUE"""),"")</f>
        <v/>
      </c>
    </row>
    <row r="945" spans="1:31" ht="12.75" x14ac:dyDescent="0.2">
      <c r="A945">
        <f ca="1">IFERROR(__xludf.DUMMYFUNCTION("""COMPUTED_VALUE"""),90659)</f>
        <v>90659</v>
      </c>
      <c r="B945" t="str">
        <f ca="1">IFERROR(__xludf.DUMMYFUNCTION("""COMPUTED_VALUE"""),"ST REMY DE PROVENCE")</f>
        <v>ST REMY DE PROVENCE</v>
      </c>
      <c r="C945" t="str">
        <f ca="1">IFERROR(__xludf.DUMMYFUNCTION("""COMPUTED_VALUE"""),"U Express")</f>
        <v>U Express</v>
      </c>
      <c r="D945" t="str">
        <f ca="1">IFERROR(__xludf.DUMMYFUNCTION("""COMPUTED_VALUE"""),"Coop MISTRAL")</f>
        <v>Coop MISTRAL</v>
      </c>
      <c r="E945">
        <f ca="1">IFERROR(__xludf.DUMMYFUNCTION("""COMPUTED_VALUE"""),13210)</f>
        <v>13210</v>
      </c>
      <c r="F945" t="str">
        <f ca="1">IFERROR(__xludf.DUMMYFUNCTION("""COMPUTED_VALUE"""),"48 AVENUE DURAND MAILLANE")</f>
        <v>48 AVENUE DURAND MAILLANE</v>
      </c>
      <c r="G945" t="str">
        <f ca="1">IFERROR(__xludf.DUMMYFUNCTION("""COMPUTED_VALUE"""),"09.65.10.62.77")</f>
        <v>09.65.10.62.77</v>
      </c>
      <c r="H945" t="str">
        <f ca="1">IFERROR(__xludf.DUMMYFUNCTION("""COMPUTED_VALUE"""),"QUILES Jean-Francois")</f>
        <v>QUILES Jean-Francois</v>
      </c>
      <c r="I945" t="str">
        <f ca="1">IFERROR(__xludf.DUMMYFUNCTION("""COMPUTED_VALUE"""),"")</f>
        <v/>
      </c>
      <c r="J945" t="str">
        <f ca="1">IFERROR(__xludf.DUMMYFUNCTION("""COMPUTED_VALUE"""),"")</f>
        <v/>
      </c>
      <c r="K945" t="str">
        <f ca="1">IFERROR(__xludf.DUMMYFUNCTION("""COMPUTED_VALUE"""),"delphine.damian@lemistral.fr,helene.mina@lemistral.fr")</f>
        <v>delphine.damian@lemistral.fr,helene.mina@lemistral.fr</v>
      </c>
      <c r="L945" t="str">
        <f ca="1">IFERROR(__xludf.DUMMYFUNCTION("""COMPUTED_VALUE"""),"")</f>
        <v/>
      </c>
      <c r="M945" t="str">
        <f ca="1">IFERROR(__xludf.DUMMYFUNCTION("""COMPUTED_VALUE"""),"99.Hors Périmetre")</f>
        <v>99.Hors Périmetre</v>
      </c>
      <c r="N945" t="str">
        <f ca="1">IFERROR(__xludf.DUMMYFUNCTION("""COMPUTED_VALUE"""),"")</f>
        <v/>
      </c>
      <c r="O945" t="str">
        <f ca="1">IFERROR(__xludf.DUMMYFUNCTION("""COMPUTED_VALUE"""),"")</f>
        <v/>
      </c>
      <c r="P945" t="str">
        <f ca="1">IFERROR(__xludf.DUMMYFUNCTION("""COMPUTED_VALUE"""),"")</f>
        <v/>
      </c>
      <c r="Q945" s="5" t="str">
        <f ca="1">IFERROR(__xludf.DUMMYFUNCTION("""COMPUTED_VALUE"""),"")</f>
        <v/>
      </c>
      <c r="R945" s="6" t="str">
        <f ca="1">IFERROR(__xludf.DUMMYFUNCTION("""COMPUTED_VALUE"""),"")</f>
        <v/>
      </c>
      <c r="S945" t="str">
        <f ca="1">IFERROR(__xludf.DUMMYFUNCTION("""COMPUTED_VALUE"""),"")</f>
        <v/>
      </c>
      <c r="T945" t="str">
        <f ca="1">IFERROR(__xludf.DUMMYFUNCTION("""COMPUTED_VALUE"""),"")</f>
        <v/>
      </c>
      <c r="U945" t="str">
        <f ca="1">IFERROR(__xludf.DUMMYFUNCTION("""COMPUTED_VALUE"""),"")</f>
        <v/>
      </c>
      <c r="V945" t="str">
        <f ca="1">IFERROR(__xludf.DUMMYFUNCTION("""COMPUTED_VALUE"""),"")</f>
        <v/>
      </c>
      <c r="W945" t="str">
        <f ca="1">IFERROR(__xludf.DUMMYFUNCTION("""COMPUTED_VALUE"""),"")</f>
        <v/>
      </c>
      <c r="X945" t="str">
        <f ca="1">IFERROR(__xludf.DUMMYFUNCTION("""COMPUTED_VALUE"""),"")</f>
        <v/>
      </c>
      <c r="Y945" t="str">
        <f ca="1">IFERROR(__xludf.DUMMYFUNCTION("""COMPUTED_VALUE"""),"")</f>
        <v/>
      </c>
      <c r="Z945" t="str">
        <f ca="1">IFERROR(__xludf.DUMMYFUNCTION("""COMPUTED_VALUE"""),"")</f>
        <v/>
      </c>
      <c r="AA945" t="str">
        <f ca="1">IFERROR(__xludf.DUMMYFUNCTION("""COMPUTED_VALUE"""),"Pas de commande")</f>
        <v>Pas de commande</v>
      </c>
      <c r="AB945" s="8" t="str">
        <f ca="1">IFERROR(__xludf.DUMMYFUNCTION("""COMPUTED_VALUE"""),"")</f>
        <v/>
      </c>
      <c r="AC945" s="8" t="str">
        <f ca="1">IFERROR(__xludf.DUMMYFUNCTION("""COMPUTED_VALUE"""),"")</f>
        <v/>
      </c>
      <c r="AD945" s="11" t="str">
        <f ca="1">IFERROR(__xludf.DUMMYFUNCTION("""COMPUTED_VALUE"""),"")</f>
        <v/>
      </c>
      <c r="AE945" t="str">
        <f ca="1">IFERROR(__xludf.DUMMYFUNCTION("""COMPUTED_VALUE"""),"")</f>
        <v/>
      </c>
    </row>
    <row r="946" spans="1:31" ht="12.75" x14ac:dyDescent="0.2">
      <c r="A946">
        <f ca="1">IFERROR(__xludf.DUMMYFUNCTION("""COMPUTED_VALUE"""),28842)</f>
        <v>28842</v>
      </c>
      <c r="B946" t="str">
        <f ca="1">IFERROR(__xludf.DUMMYFUNCTION("""COMPUTED_VALUE"""),"ST ROMAIN DE COLBOSC")</f>
        <v>ST ROMAIN DE COLBOSC</v>
      </c>
      <c r="C946" t="str">
        <f ca="1">IFERROR(__xludf.DUMMYFUNCTION("""COMPUTED_VALUE"""),"Super U")</f>
        <v>Super U</v>
      </c>
      <c r="D946" t="str">
        <f ca="1">IFERROR(__xludf.DUMMYFUNCTION("""COMPUTED_VALUE"""),"Coop U Enseigne NordOuest")</f>
        <v>Coop U Enseigne NordOuest</v>
      </c>
      <c r="E946">
        <f ca="1">IFERROR(__xludf.DUMMYFUNCTION("""COMPUTED_VALUE"""),76430)</f>
        <v>76430</v>
      </c>
      <c r="F946" t="str">
        <f ca="1">IFERROR(__xludf.DUMMYFUNCTION("""COMPUTED_VALUE"""),"AV. MARECHAL DE LATTRE DE TASSIGNY")</f>
        <v>AV. MARECHAL DE LATTRE DE TASSIGNY</v>
      </c>
      <c r="G946" t="str">
        <f ca="1">IFERROR(__xludf.DUMMYFUNCTION("""COMPUTED_VALUE"""),"02.35.20.11.43")</f>
        <v>02.35.20.11.43</v>
      </c>
      <c r="H946" t="str">
        <f ca="1">IFERROR(__xludf.DUMMYFUNCTION("""COMPUTED_VALUE"""),"PHLIPAUX Gilles")</f>
        <v>PHLIPAUX Gilles</v>
      </c>
      <c r="I946" t="str">
        <f ca="1">IFERROR(__xludf.DUMMYFUNCTION("""COMPUTED_VALUE"""),"gilles.phlipaux@systeme-u.fr")</f>
        <v>gilles.phlipaux@systeme-u.fr</v>
      </c>
      <c r="J946" t="str">
        <f ca="1">IFERROR(__xludf.DUMMYFUNCTION("""COMPUTED_VALUE"""),"M. Rahn")</f>
        <v>M. Rahn</v>
      </c>
      <c r="K946" t="str">
        <f ca="1">IFERROR(__xludf.DUMMYFUNCTION("""COMPUTED_VALUE"""),"yves.rahn@systeme-u.fr")</f>
        <v>yves.rahn@systeme-u.fr</v>
      </c>
      <c r="L946" t="str">
        <f ca="1">IFERROR(__xludf.DUMMYFUNCTION("""COMPUTED_VALUE"""),"")</f>
        <v/>
      </c>
      <c r="M946" t="str">
        <f ca="1">IFERROR(__xludf.DUMMYFUNCTION("""COMPUTED_VALUE"""),"99.Hors Périmetre")</f>
        <v>99.Hors Périmetre</v>
      </c>
      <c r="N946" t="str">
        <f ca="1">IFERROR(__xludf.DUMMYFUNCTION("""COMPUTED_VALUE"""),"")</f>
        <v/>
      </c>
      <c r="O946" t="str">
        <f ca="1">IFERROR(__xludf.DUMMYFUNCTION("""COMPUTED_VALUE"""),"")</f>
        <v/>
      </c>
      <c r="P946" t="str">
        <f ca="1">IFERROR(__xludf.DUMMYFUNCTION("""COMPUTED_VALUE"""),"")</f>
        <v/>
      </c>
      <c r="Q946" s="5" t="str">
        <f ca="1">IFERROR(__xludf.DUMMYFUNCTION("""COMPUTED_VALUE"""),"")</f>
        <v/>
      </c>
      <c r="R946" s="6" t="str">
        <f ca="1">IFERROR(__xludf.DUMMYFUNCTION("""COMPUTED_VALUE"""),"")</f>
        <v/>
      </c>
      <c r="S946" t="str">
        <f ca="1">IFERROR(__xludf.DUMMYFUNCTION("""COMPUTED_VALUE"""),"")</f>
        <v/>
      </c>
      <c r="T946" t="str">
        <f ca="1">IFERROR(__xludf.DUMMYFUNCTION("""COMPUTED_VALUE"""),"")</f>
        <v/>
      </c>
      <c r="U946" t="str">
        <f ca="1">IFERROR(__xludf.DUMMYFUNCTION("""COMPUTED_VALUE"""),"")</f>
        <v/>
      </c>
      <c r="V946" t="str">
        <f ca="1">IFERROR(__xludf.DUMMYFUNCTION("""COMPUTED_VALUE"""),"")</f>
        <v/>
      </c>
      <c r="W946" t="str">
        <f ca="1">IFERROR(__xludf.DUMMYFUNCTION("""COMPUTED_VALUE"""),"")</f>
        <v/>
      </c>
      <c r="X946" t="str">
        <f ca="1">IFERROR(__xludf.DUMMYFUNCTION("""COMPUTED_VALUE"""),"")</f>
        <v/>
      </c>
      <c r="Y946" t="str">
        <f ca="1">IFERROR(__xludf.DUMMYFUNCTION("""COMPUTED_VALUE"""),"")</f>
        <v/>
      </c>
      <c r="Z946" t="str">
        <f ca="1">IFERROR(__xludf.DUMMYFUNCTION("""COMPUTED_VALUE"""),"")</f>
        <v/>
      </c>
      <c r="AA946" t="str">
        <f ca="1">IFERROR(__xludf.DUMMYFUNCTION("""COMPUTED_VALUE"""),"Pas de commande")</f>
        <v>Pas de commande</v>
      </c>
      <c r="AB946" s="8" t="str">
        <f ca="1">IFERROR(__xludf.DUMMYFUNCTION("""COMPUTED_VALUE"""),"")</f>
        <v/>
      </c>
      <c r="AC946" s="8" t="str">
        <f ca="1">IFERROR(__xludf.DUMMYFUNCTION("""COMPUTED_VALUE"""),"")</f>
        <v/>
      </c>
      <c r="AD946" s="11" t="str">
        <f ca="1">IFERROR(__xludf.DUMMYFUNCTION("""COMPUTED_VALUE"""),"")</f>
        <v/>
      </c>
      <c r="AE946" t="str">
        <f ca="1">IFERROR(__xludf.DUMMYFUNCTION("""COMPUTED_VALUE"""),"")</f>
        <v/>
      </c>
    </row>
    <row r="947" spans="1:31" ht="12.75" x14ac:dyDescent="0.2">
      <c r="A947">
        <f ca="1">IFERROR(__xludf.DUMMYFUNCTION("""COMPUTED_VALUE"""),68558)</f>
        <v>68558</v>
      </c>
      <c r="B947" t="str">
        <f ca="1">IFERROR(__xludf.DUMMYFUNCTION("""COMPUTED_VALUE"""),"ST ROMAIN EN GAL")</f>
        <v>ST ROMAIN EN GAL</v>
      </c>
      <c r="C947" t="str">
        <f ca="1">IFERROR(__xludf.DUMMYFUNCTION("""COMPUTED_VALUE"""),"U Express")</f>
        <v>U Express</v>
      </c>
      <c r="D947" t="str">
        <f ca="1">IFERROR(__xludf.DUMMYFUNCTION("""COMPUTED_VALUE"""),"Coop U Enseigne Est")</f>
        <v>Coop U Enseigne Est</v>
      </c>
      <c r="E947">
        <f ca="1">IFERROR(__xludf.DUMMYFUNCTION("""COMPUTED_VALUE"""),69560)</f>
        <v>69560</v>
      </c>
      <c r="F947" t="str">
        <f ca="1">IFERROR(__xludf.DUMMYFUNCTION("""COMPUTED_VALUE"""),"AVENUE DE LA GARE")</f>
        <v>AVENUE DE LA GARE</v>
      </c>
      <c r="G947" t="str">
        <f ca="1">IFERROR(__xludf.DUMMYFUNCTION("""COMPUTED_VALUE"""),"04.37.02.16.50")</f>
        <v>04.37.02.16.50</v>
      </c>
      <c r="H947" t="str">
        <f ca="1">IFERROR(__xludf.DUMMYFUNCTION("""COMPUTED_VALUE"""),"PAQUIS Thierry")</f>
        <v>PAQUIS Thierry</v>
      </c>
      <c r="I947" t="str">
        <f ca="1">IFERROR(__xludf.DUMMYFUNCTION("""COMPUTED_VALUE"""),"thierry.paquis@systeme-u.fr")</f>
        <v>thierry.paquis@systeme-u.fr</v>
      </c>
      <c r="J947" t="str">
        <f ca="1">IFERROR(__xludf.DUMMYFUNCTION("""COMPUTED_VALUE"""),"Paquis Nelly")</f>
        <v>Paquis Nelly</v>
      </c>
      <c r="K947" t="str">
        <f ca="1">IFERROR(__xludf.DUMMYFUNCTION("""COMPUTED_VALUE"""),"uexpress.saintromainengal.administratif@systeme-u.fr")</f>
        <v>uexpress.saintromainengal.administratif@systeme-u.fr</v>
      </c>
      <c r="L947" t="str">
        <f ca="1">IFERROR(__xludf.DUMMYFUNCTION("""COMPUTED_VALUE"""),"")</f>
        <v/>
      </c>
      <c r="M947" t="str">
        <f ca="1">IFERROR(__xludf.DUMMYFUNCTION("""COMPUTED_VALUE"""),"99.Hors Périmetre")</f>
        <v>99.Hors Périmetre</v>
      </c>
      <c r="N947" t="str">
        <f ca="1">IFERROR(__xludf.DUMMYFUNCTION("""COMPUTED_VALUE"""),"")</f>
        <v/>
      </c>
      <c r="O947" t="str">
        <f ca="1">IFERROR(__xludf.DUMMYFUNCTION("""COMPUTED_VALUE"""),"")</f>
        <v/>
      </c>
      <c r="P947" t="str">
        <f ca="1">IFERROR(__xludf.DUMMYFUNCTION("""COMPUTED_VALUE"""),"")</f>
        <v/>
      </c>
      <c r="Q947" s="5" t="str">
        <f ca="1">IFERROR(__xludf.DUMMYFUNCTION("""COMPUTED_VALUE"""),"")</f>
        <v/>
      </c>
      <c r="R947" s="6" t="str">
        <f ca="1">IFERROR(__xludf.DUMMYFUNCTION("""COMPUTED_VALUE"""),"")</f>
        <v/>
      </c>
      <c r="S947" t="str">
        <f ca="1">IFERROR(__xludf.DUMMYFUNCTION("""COMPUTED_VALUE"""),"")</f>
        <v/>
      </c>
      <c r="T947" t="str">
        <f ca="1">IFERROR(__xludf.DUMMYFUNCTION("""COMPUTED_VALUE"""),"")</f>
        <v/>
      </c>
      <c r="U947" t="str">
        <f ca="1">IFERROR(__xludf.DUMMYFUNCTION("""COMPUTED_VALUE"""),"")</f>
        <v/>
      </c>
      <c r="V947" t="str">
        <f ca="1">IFERROR(__xludf.DUMMYFUNCTION("""COMPUTED_VALUE"""),"")</f>
        <v/>
      </c>
      <c r="W947" t="str">
        <f ca="1">IFERROR(__xludf.DUMMYFUNCTION("""COMPUTED_VALUE"""),"")</f>
        <v/>
      </c>
      <c r="X947" t="str">
        <f ca="1">IFERROR(__xludf.DUMMYFUNCTION("""COMPUTED_VALUE"""),"")</f>
        <v/>
      </c>
      <c r="Y947" t="str">
        <f ca="1">IFERROR(__xludf.DUMMYFUNCTION("""COMPUTED_VALUE"""),"")</f>
        <v/>
      </c>
      <c r="Z947" t="str">
        <f ca="1">IFERROR(__xludf.DUMMYFUNCTION("""COMPUTED_VALUE"""),"")</f>
        <v/>
      </c>
      <c r="AA947" t="str">
        <f ca="1">IFERROR(__xludf.DUMMYFUNCTION("""COMPUTED_VALUE"""),"Pas de commande")</f>
        <v>Pas de commande</v>
      </c>
      <c r="AB947" s="8" t="str">
        <f ca="1">IFERROR(__xludf.DUMMYFUNCTION("""COMPUTED_VALUE"""),"")</f>
        <v/>
      </c>
      <c r="AC947" s="8" t="str">
        <f ca="1">IFERROR(__xludf.DUMMYFUNCTION("""COMPUTED_VALUE"""),"")</f>
        <v/>
      </c>
      <c r="AD947" s="11" t="str">
        <f ca="1">IFERROR(__xludf.DUMMYFUNCTION("""COMPUTED_VALUE"""),"")</f>
        <v/>
      </c>
      <c r="AE947" t="str">
        <f ca="1">IFERROR(__xludf.DUMMYFUNCTION("""COMPUTED_VALUE"""),"")</f>
        <v/>
      </c>
    </row>
    <row r="948" spans="1:31" ht="12.75" x14ac:dyDescent="0.2">
      <c r="A948">
        <f ca="1">IFERROR(__xludf.DUMMYFUNCTION("""COMPUTED_VALUE"""),20019)</f>
        <v>20019</v>
      </c>
      <c r="B948" t="str">
        <f ca="1">IFERROR(__xludf.DUMMYFUNCTION("""COMPUTED_VALUE"""),"ST SAUVEUR LE VICOMTE")</f>
        <v>ST SAUVEUR LE VICOMTE</v>
      </c>
      <c r="C948" t="str">
        <f ca="1">IFERROR(__xludf.DUMMYFUNCTION("""COMPUTED_VALUE"""),"Super U")</f>
        <v>Super U</v>
      </c>
      <c r="D948" t="str">
        <f ca="1">IFERROR(__xludf.DUMMYFUNCTION("""COMPUTED_VALUE"""),"Coop U Enseigne NordOuest")</f>
        <v>Coop U Enseigne NordOuest</v>
      </c>
      <c r="E948">
        <f ca="1">IFERROR(__xludf.DUMMYFUNCTION("""COMPUTED_VALUE"""),50390)</f>
        <v>50390</v>
      </c>
      <c r="F948" t="str">
        <f ca="1">IFERROR(__xludf.DUMMYFUNCTION("""COMPUTED_VALUE"""),"RUE DU SÉNATEUR FOUBERT")</f>
        <v>RUE DU SÉNATEUR FOUBERT</v>
      </c>
      <c r="G948" t="str">
        <f ca="1">IFERROR(__xludf.DUMMYFUNCTION("""COMPUTED_VALUE"""),"02.33.41.77.55")</f>
        <v>02.33.41.77.55</v>
      </c>
      <c r="H948" t="str">
        <f ca="1">IFERROR(__xludf.DUMMYFUNCTION("""COMPUTED_VALUE"""),"MARTIN Alain")</f>
        <v>MARTIN Alain</v>
      </c>
      <c r="I948" t="str">
        <f ca="1">IFERROR(__xludf.DUMMYFUNCTION("""COMPUTED_VALUE"""),"a.martin@systeme-u.fr")</f>
        <v>a.martin@systeme-u.fr</v>
      </c>
      <c r="J948" t="str">
        <f ca="1">IFERROR(__xludf.DUMMYFUNCTION("""COMPUTED_VALUE"""),"")</f>
        <v/>
      </c>
      <c r="K948" t="str">
        <f ca="1">IFERROR(__xludf.DUMMYFUNCTION("""COMPUTED_VALUE"""),"")</f>
        <v/>
      </c>
      <c r="L948" t="str">
        <f ca="1">IFERROR(__xludf.DUMMYFUNCTION("""COMPUTED_VALUE"""),"")</f>
        <v/>
      </c>
      <c r="M948" t="str">
        <f ca="1">IFERROR(__xludf.DUMMYFUNCTION("""COMPUTED_VALUE"""),"99.Hors Périmetre")</f>
        <v>99.Hors Périmetre</v>
      </c>
      <c r="N948" t="str">
        <f ca="1">IFERROR(__xludf.DUMMYFUNCTION("""COMPUTED_VALUE"""),"")</f>
        <v/>
      </c>
      <c r="O948" t="str">
        <f ca="1">IFERROR(__xludf.DUMMYFUNCTION("""COMPUTED_VALUE"""),"")</f>
        <v/>
      </c>
      <c r="P948" t="str">
        <f ca="1">IFERROR(__xludf.DUMMYFUNCTION("""COMPUTED_VALUE"""),"")</f>
        <v/>
      </c>
      <c r="Q948" s="5" t="str">
        <f ca="1">IFERROR(__xludf.DUMMYFUNCTION("""COMPUTED_VALUE"""),"")</f>
        <v/>
      </c>
      <c r="R948" s="6" t="str">
        <f ca="1">IFERROR(__xludf.DUMMYFUNCTION("""COMPUTED_VALUE"""),"")</f>
        <v/>
      </c>
      <c r="S948" t="str">
        <f ca="1">IFERROR(__xludf.DUMMYFUNCTION("""COMPUTED_VALUE"""),"")</f>
        <v/>
      </c>
      <c r="T948" t="str">
        <f ca="1">IFERROR(__xludf.DUMMYFUNCTION("""COMPUTED_VALUE"""),"")</f>
        <v/>
      </c>
      <c r="U948" t="str">
        <f ca="1">IFERROR(__xludf.DUMMYFUNCTION("""COMPUTED_VALUE"""),"")</f>
        <v/>
      </c>
      <c r="V948" t="str">
        <f ca="1">IFERROR(__xludf.DUMMYFUNCTION("""COMPUTED_VALUE"""),"")</f>
        <v/>
      </c>
      <c r="W948" t="str">
        <f ca="1">IFERROR(__xludf.DUMMYFUNCTION("""COMPUTED_VALUE"""),"")</f>
        <v/>
      </c>
      <c r="X948" t="str">
        <f ca="1">IFERROR(__xludf.DUMMYFUNCTION("""COMPUTED_VALUE"""),"")</f>
        <v/>
      </c>
      <c r="Y948" t="str">
        <f ca="1">IFERROR(__xludf.DUMMYFUNCTION("""COMPUTED_VALUE"""),"")</f>
        <v/>
      </c>
      <c r="Z948" t="str">
        <f ca="1">IFERROR(__xludf.DUMMYFUNCTION("""COMPUTED_VALUE"""),"")</f>
        <v/>
      </c>
      <c r="AA948" t="str">
        <f ca="1">IFERROR(__xludf.DUMMYFUNCTION("""COMPUTED_VALUE"""),"Pas de commande")</f>
        <v>Pas de commande</v>
      </c>
      <c r="AB948" s="8" t="str">
        <f ca="1">IFERROR(__xludf.DUMMYFUNCTION("""COMPUTED_VALUE"""),"")</f>
        <v/>
      </c>
      <c r="AC948" s="8" t="str">
        <f ca="1">IFERROR(__xludf.DUMMYFUNCTION("""COMPUTED_VALUE"""),"")</f>
        <v/>
      </c>
      <c r="AD948" s="11" t="str">
        <f ca="1">IFERROR(__xludf.DUMMYFUNCTION("""COMPUTED_VALUE"""),"")</f>
        <v/>
      </c>
      <c r="AE948" t="str">
        <f ca="1">IFERROR(__xludf.DUMMYFUNCTION("""COMPUTED_VALUE"""),"")</f>
        <v/>
      </c>
    </row>
    <row r="949" spans="1:31" ht="12.75" x14ac:dyDescent="0.2">
      <c r="A949">
        <f ca="1">IFERROR(__xludf.DUMMYFUNCTION("""COMPUTED_VALUE"""),96977)</f>
        <v>96977</v>
      </c>
      <c r="B949" t="str">
        <f ca="1">IFERROR(__xludf.DUMMYFUNCTION("""COMPUTED_VALUE"""),"ST SEURIN SUR L'ISLE")</f>
        <v>ST SEURIN SUR L'ISLE</v>
      </c>
      <c r="C949" t="str">
        <f ca="1">IFERROR(__xludf.DUMMYFUNCTION("""COMPUTED_VALUE"""),"Super U")</f>
        <v>Super U</v>
      </c>
      <c r="D949" t="str">
        <f ca="1">IFERROR(__xludf.DUMMYFUNCTION("""COMPUTED_VALUE"""),"Coop U Enseigne Sud")</f>
        <v>Coop U Enseigne Sud</v>
      </c>
      <c r="E949">
        <f ca="1">IFERROR(__xludf.DUMMYFUNCTION("""COMPUTED_VALUE"""),33660)</f>
        <v>33660</v>
      </c>
      <c r="F949" t="str">
        <f ca="1">IFERROR(__xludf.DUMMYFUNCTION("""COMPUTED_VALUE"""),"7 RUE DU BARRY NORD SUPER U")</f>
        <v>7 RUE DU BARRY NORD SUPER U</v>
      </c>
      <c r="G949" t="str">
        <f ca="1">IFERROR(__xludf.DUMMYFUNCTION("""COMPUTED_VALUE"""),"05.57.49.72.40")</f>
        <v>05.57.49.72.40</v>
      </c>
      <c r="H949" t="str">
        <f ca="1">IFERROR(__xludf.DUMMYFUNCTION("""COMPUTED_VALUE"""),"MARTINEZ Olivier")</f>
        <v>MARTINEZ Olivier</v>
      </c>
      <c r="I949" t="str">
        <f ca="1">IFERROR(__xludf.DUMMYFUNCTION("""COMPUTED_VALUE"""),"olivier.martinez@systeme-u.fr")</f>
        <v>olivier.martinez@systeme-u.fr</v>
      </c>
      <c r="J949" t="str">
        <f ca="1">IFERROR(__xludf.DUMMYFUNCTION("""COMPUTED_VALUE"""),"M. Allaire")</f>
        <v>M. Allaire</v>
      </c>
      <c r="K949" t="str">
        <f ca="1">IFERROR(__xludf.DUMMYFUNCTION("""COMPUTED_VALUE"""),"superu.saintseurin.direction@systeme-u.fr")</f>
        <v>superu.saintseurin.direction@systeme-u.fr</v>
      </c>
      <c r="L949" t="str">
        <f ca="1">IFERROR(__xludf.DUMMYFUNCTION("""COMPUTED_VALUE"""),"")</f>
        <v/>
      </c>
      <c r="M949" t="str">
        <f ca="1">IFERROR(__xludf.DUMMYFUNCTION("""COMPUTED_VALUE"""),"99.Hors Périmetre")</f>
        <v>99.Hors Périmetre</v>
      </c>
      <c r="N949" t="str">
        <f ca="1">IFERROR(__xludf.DUMMYFUNCTION("""COMPUTED_VALUE"""),"")</f>
        <v/>
      </c>
      <c r="O949" t="str">
        <f ca="1">IFERROR(__xludf.DUMMYFUNCTION("""COMPUTED_VALUE"""),"")</f>
        <v/>
      </c>
      <c r="P949" t="str">
        <f ca="1">IFERROR(__xludf.DUMMYFUNCTION("""COMPUTED_VALUE"""),"")</f>
        <v/>
      </c>
      <c r="Q949" s="5" t="str">
        <f ca="1">IFERROR(__xludf.DUMMYFUNCTION("""COMPUTED_VALUE"""),"")</f>
        <v/>
      </c>
      <c r="R949" s="6" t="str">
        <f ca="1">IFERROR(__xludf.DUMMYFUNCTION("""COMPUTED_VALUE"""),"")</f>
        <v/>
      </c>
      <c r="S949" t="str">
        <f ca="1">IFERROR(__xludf.DUMMYFUNCTION("""COMPUTED_VALUE"""),"")</f>
        <v/>
      </c>
      <c r="T949" t="str">
        <f ca="1">IFERROR(__xludf.DUMMYFUNCTION("""COMPUTED_VALUE"""),"")</f>
        <v/>
      </c>
      <c r="U949" t="str">
        <f ca="1">IFERROR(__xludf.DUMMYFUNCTION("""COMPUTED_VALUE"""),"")</f>
        <v/>
      </c>
      <c r="V949" t="str">
        <f ca="1">IFERROR(__xludf.DUMMYFUNCTION("""COMPUTED_VALUE"""),"")</f>
        <v/>
      </c>
      <c r="W949" t="str">
        <f ca="1">IFERROR(__xludf.DUMMYFUNCTION("""COMPUTED_VALUE"""),"")</f>
        <v/>
      </c>
      <c r="X949" t="str">
        <f ca="1">IFERROR(__xludf.DUMMYFUNCTION("""COMPUTED_VALUE"""),"")</f>
        <v/>
      </c>
      <c r="Y949" t="str">
        <f ca="1">IFERROR(__xludf.DUMMYFUNCTION("""COMPUTED_VALUE"""),"")</f>
        <v/>
      </c>
      <c r="Z949" t="str">
        <f ca="1">IFERROR(__xludf.DUMMYFUNCTION("""COMPUTED_VALUE"""),"")</f>
        <v/>
      </c>
      <c r="AA949" t="str">
        <f ca="1">IFERROR(__xludf.DUMMYFUNCTION("""COMPUTED_VALUE"""),"Pas de commande")</f>
        <v>Pas de commande</v>
      </c>
      <c r="AB949" s="8" t="str">
        <f ca="1">IFERROR(__xludf.DUMMYFUNCTION("""COMPUTED_VALUE"""),"")</f>
        <v/>
      </c>
      <c r="AC949" s="8" t="str">
        <f ca="1">IFERROR(__xludf.DUMMYFUNCTION("""COMPUTED_VALUE"""),"")</f>
        <v/>
      </c>
      <c r="AD949" s="11" t="str">
        <f ca="1">IFERROR(__xludf.DUMMYFUNCTION("""COMPUTED_VALUE"""),"")</f>
        <v/>
      </c>
      <c r="AE949" t="str">
        <f ca="1">IFERROR(__xludf.DUMMYFUNCTION("""COMPUTED_VALUE"""),"")</f>
        <v/>
      </c>
    </row>
    <row r="950" spans="1:31" ht="12.75" x14ac:dyDescent="0.2">
      <c r="A950">
        <f ca="1">IFERROR(__xludf.DUMMYFUNCTION("""COMPUTED_VALUE"""),90555)</f>
        <v>90555</v>
      </c>
      <c r="B950" t="str">
        <f ca="1">IFERROR(__xludf.DUMMYFUNCTION("""COMPUTED_VALUE"""),"ST SORLIN EN VALLOIRE")</f>
        <v>ST SORLIN EN VALLOIRE</v>
      </c>
      <c r="C950" t="str">
        <f ca="1">IFERROR(__xludf.DUMMYFUNCTION("""COMPUTED_VALUE"""),"Super U")</f>
        <v>Super U</v>
      </c>
      <c r="D950" t="str">
        <f ca="1">IFERROR(__xludf.DUMMYFUNCTION("""COMPUTED_VALUE"""),"Coop U Enseigne Sud")</f>
        <v>Coop U Enseigne Sud</v>
      </c>
      <c r="E950">
        <f ca="1">IFERROR(__xludf.DUMMYFUNCTION("""COMPUTED_VALUE"""),26210)</f>
        <v>26210</v>
      </c>
      <c r="F950" t="str">
        <f ca="1">IFERROR(__xludf.DUMMYFUNCTION("""COMPUTED_VALUE"""),"265 AVENUE DES PINS")</f>
        <v>265 AVENUE DES PINS</v>
      </c>
      <c r="G950" t="str">
        <f ca="1">IFERROR(__xludf.DUMMYFUNCTION("""COMPUTED_VALUE"""),"04.75.31.75.21")</f>
        <v>04.75.31.75.21</v>
      </c>
      <c r="H950" t="str">
        <f ca="1">IFERROR(__xludf.DUMMYFUNCTION("""COMPUTED_VALUE"""),"FERNANDEZ Stephane")</f>
        <v>FERNANDEZ Stephane</v>
      </c>
      <c r="I950" t="str">
        <f ca="1">IFERROR(__xludf.DUMMYFUNCTION("""COMPUTED_VALUE"""),"stephane.fernandez@systeme-u.fr")</f>
        <v>stephane.fernandez@systeme-u.fr</v>
      </c>
      <c r="J950" t="str">
        <f ca="1">IFERROR(__xludf.DUMMYFUNCTION("""COMPUTED_VALUE"""),"khiati kamel")</f>
        <v>khiati kamel</v>
      </c>
      <c r="K950" t="str">
        <f ca="1">IFERROR(__xludf.DUMMYFUNCTION("""COMPUTED_VALUE"""),"superu.saintsorlinenvalloire.directeur@systeme-u.fr")</f>
        <v>superu.saintsorlinenvalloire.directeur@systeme-u.fr</v>
      </c>
      <c r="L950" t="str">
        <f ca="1">IFERROR(__xludf.DUMMYFUNCTION("""COMPUTED_VALUE"""),"")</f>
        <v/>
      </c>
      <c r="M950" t="str">
        <f ca="1">IFERROR(__xludf.DUMMYFUNCTION("""COMPUTED_VALUE"""),"99.Hors Périmetre")</f>
        <v>99.Hors Périmetre</v>
      </c>
      <c r="N950" t="str">
        <f ca="1">IFERROR(__xludf.DUMMYFUNCTION("""COMPUTED_VALUE"""),"")</f>
        <v/>
      </c>
      <c r="O950" t="str">
        <f ca="1">IFERROR(__xludf.DUMMYFUNCTION("""COMPUTED_VALUE"""),"")</f>
        <v/>
      </c>
      <c r="P950" t="str">
        <f ca="1">IFERROR(__xludf.DUMMYFUNCTION("""COMPUTED_VALUE"""),"")</f>
        <v/>
      </c>
      <c r="Q950" s="5" t="str">
        <f ca="1">IFERROR(__xludf.DUMMYFUNCTION("""COMPUTED_VALUE"""),"")</f>
        <v/>
      </c>
      <c r="R950" s="6" t="str">
        <f ca="1">IFERROR(__xludf.DUMMYFUNCTION("""COMPUTED_VALUE"""),"")</f>
        <v/>
      </c>
      <c r="S950" t="str">
        <f ca="1">IFERROR(__xludf.DUMMYFUNCTION("""COMPUTED_VALUE"""),"")</f>
        <v/>
      </c>
      <c r="T950" t="str">
        <f ca="1">IFERROR(__xludf.DUMMYFUNCTION("""COMPUTED_VALUE"""),"")</f>
        <v/>
      </c>
      <c r="U950" t="str">
        <f ca="1">IFERROR(__xludf.DUMMYFUNCTION("""COMPUTED_VALUE"""),"")</f>
        <v/>
      </c>
      <c r="V950" t="str">
        <f ca="1">IFERROR(__xludf.DUMMYFUNCTION("""COMPUTED_VALUE"""),"")</f>
        <v/>
      </c>
      <c r="W950" t="str">
        <f ca="1">IFERROR(__xludf.DUMMYFUNCTION("""COMPUTED_VALUE"""),"")</f>
        <v/>
      </c>
      <c r="X950" t="str">
        <f ca="1">IFERROR(__xludf.DUMMYFUNCTION("""COMPUTED_VALUE"""),"")</f>
        <v/>
      </c>
      <c r="Y950" t="str">
        <f ca="1">IFERROR(__xludf.DUMMYFUNCTION("""COMPUTED_VALUE"""),"")</f>
        <v/>
      </c>
      <c r="Z950" t="str">
        <f ca="1">IFERROR(__xludf.DUMMYFUNCTION("""COMPUTED_VALUE"""),"")</f>
        <v/>
      </c>
      <c r="AA950" t="str">
        <f ca="1">IFERROR(__xludf.DUMMYFUNCTION("""COMPUTED_VALUE"""),"Pas de commande")</f>
        <v>Pas de commande</v>
      </c>
      <c r="AB950" s="8" t="str">
        <f ca="1">IFERROR(__xludf.DUMMYFUNCTION("""COMPUTED_VALUE"""),"")</f>
        <v/>
      </c>
      <c r="AC950" s="8" t="str">
        <f ca="1">IFERROR(__xludf.DUMMYFUNCTION("""COMPUTED_VALUE"""),"")</f>
        <v/>
      </c>
      <c r="AD950" s="11" t="str">
        <f ca="1">IFERROR(__xludf.DUMMYFUNCTION("""COMPUTED_VALUE"""),"")</f>
        <v/>
      </c>
      <c r="AE950" t="str">
        <f ca="1">IFERROR(__xludf.DUMMYFUNCTION("""COMPUTED_VALUE"""),"")</f>
        <v/>
      </c>
    </row>
    <row r="951" spans="1:31" ht="12.75" x14ac:dyDescent="0.2">
      <c r="A951">
        <f ca="1">IFERROR(__xludf.DUMMYFUNCTION("""COMPUTED_VALUE"""),96994)</f>
        <v>96994</v>
      </c>
      <c r="B951" t="str">
        <f ca="1">IFERROR(__xludf.DUMMYFUNCTION("""COMPUTED_VALUE"""),"ST SULPICE ET CAMEYRAC")</f>
        <v>ST SULPICE ET CAMEYRAC</v>
      </c>
      <c r="C951" t="str">
        <f ca="1">IFERROR(__xludf.DUMMYFUNCTION("""COMPUTED_VALUE"""),"Super U")</f>
        <v>Super U</v>
      </c>
      <c r="D951" t="str">
        <f ca="1">IFERROR(__xludf.DUMMYFUNCTION("""COMPUTED_VALUE"""),"Coop U Enseigne Sud")</f>
        <v>Coop U Enseigne Sud</v>
      </c>
      <c r="E951">
        <f ca="1">IFERROR(__xludf.DUMMYFUNCTION("""COMPUTED_VALUE"""),33450)</f>
        <v>33450</v>
      </c>
      <c r="F951" t="str">
        <f ca="1">IFERROR(__xludf.DUMMYFUNCTION("""COMPUTED_VALUE"""),"CENTRE COMMERCIAL")</f>
        <v>CENTRE COMMERCIAL</v>
      </c>
      <c r="G951" t="str">
        <f ca="1">IFERROR(__xludf.DUMMYFUNCTION("""COMPUTED_VALUE"""),"05.57.34.51.00")</f>
        <v>05.57.34.51.00</v>
      </c>
      <c r="H951" t="str">
        <f ca="1">IFERROR(__xludf.DUMMYFUNCTION("""COMPUTED_VALUE"""),"COURTIN Stephane")</f>
        <v>COURTIN Stephane</v>
      </c>
      <c r="I951" t="str">
        <f ca="1">IFERROR(__xludf.DUMMYFUNCTION("""COMPUTED_VALUE"""),"stephane.courtin@systeme-u.fr")</f>
        <v>stephane.courtin@systeme-u.fr</v>
      </c>
      <c r="J951" t="str">
        <f ca="1">IFERROR(__xludf.DUMMYFUNCTION("""COMPUTED_VALUE"""),"")</f>
        <v/>
      </c>
      <c r="K951" t="str">
        <f ca="1">IFERROR(__xludf.DUMMYFUNCTION("""COMPUTED_VALUE"""),"")</f>
        <v/>
      </c>
      <c r="L951" t="str">
        <f ca="1">IFERROR(__xludf.DUMMYFUNCTION("""COMPUTED_VALUE"""),"")</f>
        <v/>
      </c>
      <c r="M951" t="str">
        <f ca="1">IFERROR(__xludf.DUMMYFUNCTION("""COMPUTED_VALUE"""),"99.Hors Périmetre")</f>
        <v>99.Hors Périmetre</v>
      </c>
      <c r="N951" t="str">
        <f ca="1">IFERROR(__xludf.DUMMYFUNCTION("""COMPUTED_VALUE"""),"")</f>
        <v/>
      </c>
      <c r="O951" t="str">
        <f ca="1">IFERROR(__xludf.DUMMYFUNCTION("""COMPUTED_VALUE"""),"")</f>
        <v/>
      </c>
      <c r="P951" t="str">
        <f ca="1">IFERROR(__xludf.DUMMYFUNCTION("""COMPUTED_VALUE"""),"")</f>
        <v/>
      </c>
      <c r="Q951" s="5" t="str">
        <f ca="1">IFERROR(__xludf.DUMMYFUNCTION("""COMPUTED_VALUE"""),"")</f>
        <v/>
      </c>
      <c r="R951" s="6" t="str">
        <f ca="1">IFERROR(__xludf.DUMMYFUNCTION("""COMPUTED_VALUE"""),"")</f>
        <v/>
      </c>
      <c r="S951" t="str">
        <f ca="1">IFERROR(__xludf.DUMMYFUNCTION("""COMPUTED_VALUE"""),"")</f>
        <v/>
      </c>
      <c r="T951" t="str">
        <f ca="1">IFERROR(__xludf.DUMMYFUNCTION("""COMPUTED_VALUE"""),"")</f>
        <v/>
      </c>
      <c r="U951" t="str">
        <f ca="1">IFERROR(__xludf.DUMMYFUNCTION("""COMPUTED_VALUE"""),"")</f>
        <v/>
      </c>
      <c r="V951" t="str">
        <f ca="1">IFERROR(__xludf.DUMMYFUNCTION("""COMPUTED_VALUE"""),"")</f>
        <v/>
      </c>
      <c r="W951" t="str">
        <f ca="1">IFERROR(__xludf.DUMMYFUNCTION("""COMPUTED_VALUE"""),"")</f>
        <v/>
      </c>
      <c r="X951" t="str">
        <f ca="1">IFERROR(__xludf.DUMMYFUNCTION("""COMPUTED_VALUE"""),"")</f>
        <v/>
      </c>
      <c r="Y951" t="str">
        <f ca="1">IFERROR(__xludf.DUMMYFUNCTION("""COMPUTED_VALUE"""),"")</f>
        <v/>
      </c>
      <c r="Z951" t="str">
        <f ca="1">IFERROR(__xludf.DUMMYFUNCTION("""COMPUTED_VALUE"""),"")</f>
        <v/>
      </c>
      <c r="AA951" t="str">
        <f ca="1">IFERROR(__xludf.DUMMYFUNCTION("""COMPUTED_VALUE"""),"Pas de commande")</f>
        <v>Pas de commande</v>
      </c>
      <c r="AB951" s="8" t="str">
        <f ca="1">IFERROR(__xludf.DUMMYFUNCTION("""COMPUTED_VALUE"""),"")</f>
        <v/>
      </c>
      <c r="AC951" s="8" t="str">
        <f ca="1">IFERROR(__xludf.DUMMYFUNCTION("""COMPUTED_VALUE"""),"")</f>
        <v/>
      </c>
      <c r="AD951" s="11" t="str">
        <f ca="1">IFERROR(__xludf.DUMMYFUNCTION("""COMPUTED_VALUE"""),"")</f>
        <v/>
      </c>
      <c r="AE951" t="str">
        <f ca="1">IFERROR(__xludf.DUMMYFUNCTION("""COMPUTED_VALUE"""),"")</f>
        <v/>
      </c>
    </row>
    <row r="952" spans="1:31" ht="12.75" x14ac:dyDescent="0.2">
      <c r="A952">
        <f ca="1">IFERROR(__xludf.DUMMYFUNCTION("""COMPUTED_VALUE"""),91140)</f>
        <v>91140</v>
      </c>
      <c r="B952" t="str">
        <f ca="1">IFERROR(__xludf.DUMMYFUNCTION("""COMPUTED_VALUE"""),"ST VICTORET")</f>
        <v>ST VICTORET</v>
      </c>
      <c r="C952" t="str">
        <f ca="1">IFERROR(__xludf.DUMMYFUNCTION("""COMPUTED_VALUE"""),"U Express")</f>
        <v>U Express</v>
      </c>
      <c r="D952" t="str">
        <f ca="1">IFERROR(__xludf.DUMMYFUNCTION("""COMPUTED_VALUE"""),"Coop MISTRAL")</f>
        <v>Coop MISTRAL</v>
      </c>
      <c r="E952">
        <f ca="1">IFERROR(__xludf.DUMMYFUNCTION("""COMPUTED_VALUE"""),13730)</f>
        <v>13730</v>
      </c>
      <c r="F952" t="str">
        <f ca="1">IFERROR(__xludf.DUMMYFUNCTION("""COMPUTED_VALUE"""),"734 BOULEVARD ABBADIE")</f>
        <v>734 BOULEVARD ABBADIE</v>
      </c>
      <c r="G952" t="str">
        <f ca="1">IFERROR(__xludf.DUMMYFUNCTION("""COMPUTED_VALUE"""),"04.42.46.36.09")</f>
        <v>04.42.46.36.09</v>
      </c>
      <c r="H952" t="str">
        <f ca="1">IFERROR(__xludf.DUMMYFUNCTION("""COMPUTED_VALUE"""),"GOLL Florent")</f>
        <v>GOLL Florent</v>
      </c>
      <c r="I952" t="str">
        <f ca="1">IFERROR(__xludf.DUMMYFUNCTION("""COMPUTED_VALUE"""),"usaintvictoret@orange.fr")</f>
        <v>usaintvictoret@orange.fr</v>
      </c>
      <c r="J952" t="str">
        <f ca="1">IFERROR(__xludf.DUMMYFUNCTION("""COMPUTED_VALUE"""),"")</f>
        <v/>
      </c>
      <c r="K952" t="str">
        <f ca="1">IFERROR(__xludf.DUMMYFUNCTION("""COMPUTED_VALUE"""),"delphine.damian@lemistral.fr,helene.mina@lemistral.fr")</f>
        <v>delphine.damian@lemistral.fr,helene.mina@lemistral.fr</v>
      </c>
      <c r="L952" t="str">
        <f ca="1">IFERROR(__xludf.DUMMYFUNCTION("""COMPUTED_VALUE"""),"")</f>
        <v/>
      </c>
      <c r="M952" t="str">
        <f ca="1">IFERROR(__xludf.DUMMYFUNCTION("""COMPUTED_VALUE"""),"99.Hors Périmetre")</f>
        <v>99.Hors Périmetre</v>
      </c>
      <c r="N952" t="str">
        <f ca="1">IFERROR(__xludf.DUMMYFUNCTION("""COMPUTED_VALUE"""),"")</f>
        <v/>
      </c>
      <c r="O952" t="str">
        <f ca="1">IFERROR(__xludf.DUMMYFUNCTION("""COMPUTED_VALUE"""),"")</f>
        <v/>
      </c>
      <c r="P952" t="str">
        <f ca="1">IFERROR(__xludf.DUMMYFUNCTION("""COMPUTED_VALUE"""),"")</f>
        <v/>
      </c>
      <c r="Q952" s="5" t="str">
        <f ca="1">IFERROR(__xludf.DUMMYFUNCTION("""COMPUTED_VALUE"""),"")</f>
        <v/>
      </c>
      <c r="R952" s="6" t="str">
        <f ca="1">IFERROR(__xludf.DUMMYFUNCTION("""COMPUTED_VALUE"""),"")</f>
        <v/>
      </c>
      <c r="S952" t="str">
        <f ca="1">IFERROR(__xludf.DUMMYFUNCTION("""COMPUTED_VALUE"""),"")</f>
        <v/>
      </c>
      <c r="T952" t="str">
        <f ca="1">IFERROR(__xludf.DUMMYFUNCTION("""COMPUTED_VALUE"""),"")</f>
        <v/>
      </c>
      <c r="U952" t="str">
        <f ca="1">IFERROR(__xludf.DUMMYFUNCTION("""COMPUTED_VALUE"""),"")</f>
        <v/>
      </c>
      <c r="V952" t="str">
        <f ca="1">IFERROR(__xludf.DUMMYFUNCTION("""COMPUTED_VALUE"""),"")</f>
        <v/>
      </c>
      <c r="W952" t="str">
        <f ca="1">IFERROR(__xludf.DUMMYFUNCTION("""COMPUTED_VALUE"""),"")</f>
        <v/>
      </c>
      <c r="X952" t="str">
        <f ca="1">IFERROR(__xludf.DUMMYFUNCTION("""COMPUTED_VALUE"""),"")</f>
        <v/>
      </c>
      <c r="Y952" t="str">
        <f ca="1">IFERROR(__xludf.DUMMYFUNCTION("""COMPUTED_VALUE"""),"")</f>
        <v/>
      </c>
      <c r="Z952" t="str">
        <f ca="1">IFERROR(__xludf.DUMMYFUNCTION("""COMPUTED_VALUE"""),"")</f>
        <v/>
      </c>
      <c r="AA952" t="str">
        <f ca="1">IFERROR(__xludf.DUMMYFUNCTION("""COMPUTED_VALUE"""),"Pas de commande")</f>
        <v>Pas de commande</v>
      </c>
      <c r="AB952" s="8" t="str">
        <f ca="1">IFERROR(__xludf.DUMMYFUNCTION("""COMPUTED_VALUE"""),"")</f>
        <v/>
      </c>
      <c r="AC952" s="8" t="str">
        <f ca="1">IFERROR(__xludf.DUMMYFUNCTION("""COMPUTED_VALUE"""),"")</f>
        <v/>
      </c>
      <c r="AD952" s="11" t="str">
        <f ca="1">IFERROR(__xludf.DUMMYFUNCTION("""COMPUTED_VALUE"""),"")</f>
        <v/>
      </c>
      <c r="AE952" t="str">
        <f ca="1">IFERROR(__xludf.DUMMYFUNCTION("""COMPUTED_VALUE"""),"")</f>
        <v/>
      </c>
    </row>
    <row r="953" spans="1:31" ht="12.75" x14ac:dyDescent="0.2">
      <c r="A953">
        <f ca="1">IFERROR(__xludf.DUMMYFUNCTION("""COMPUTED_VALUE"""),63012)</f>
        <v>63012</v>
      </c>
      <c r="B953" t="str">
        <f ca="1">IFERROR(__xludf.DUMMYFUNCTION("""COMPUTED_VALUE"""),"ST VIT")</f>
        <v>ST VIT</v>
      </c>
      <c r="C953" t="str">
        <f ca="1">IFERROR(__xludf.DUMMYFUNCTION("""COMPUTED_VALUE"""),"Super U")</f>
        <v>Super U</v>
      </c>
      <c r="D953" t="str">
        <f ca="1">IFERROR(__xludf.DUMMYFUNCTION("""COMPUTED_VALUE"""),"Coop U Enseigne Est")</f>
        <v>Coop U Enseigne Est</v>
      </c>
      <c r="E953">
        <f ca="1">IFERROR(__xludf.DUMMYFUNCTION("""COMPUTED_VALUE"""),25410)</f>
        <v>25410</v>
      </c>
      <c r="F953" t="str">
        <f ca="1">IFERROR(__xludf.DUMMYFUNCTION("""COMPUTED_VALUE"""),"ZA LES BELLES OUVRIÈRES")</f>
        <v>ZA LES BELLES OUVRIÈRES</v>
      </c>
      <c r="G953" t="str">
        <f ca="1">IFERROR(__xludf.DUMMYFUNCTION("""COMPUTED_VALUE"""),"03.81.87.71.81")</f>
        <v>03.81.87.71.81</v>
      </c>
      <c r="H953" t="str">
        <f ca="1">IFERROR(__xludf.DUMMYFUNCTION("""COMPUTED_VALUE"""),"BERTHOD Gilles")</f>
        <v>BERTHOD Gilles</v>
      </c>
      <c r="I953" t="str">
        <f ca="1">IFERROR(__xludf.DUMMYFUNCTION("""COMPUTED_VALUE"""),"gilles.berthod@systeme-u.fr")</f>
        <v>gilles.berthod@systeme-u.fr</v>
      </c>
      <c r="J953" t="str">
        <f ca="1">IFERROR(__xludf.DUMMYFUNCTION("""COMPUTED_VALUE"""),"M PRINCE")</f>
        <v>M PRINCE</v>
      </c>
      <c r="K953" t="str">
        <f ca="1">IFERROR(__xludf.DUMMYFUNCTION("""COMPUTED_VALUE"""),"superu.administratif@wanadoo.fr")</f>
        <v>superu.administratif@wanadoo.fr</v>
      </c>
      <c r="L953" t="str">
        <f ca="1">IFERROR(__xludf.DUMMYFUNCTION("""COMPUTED_VALUE"""),"")</f>
        <v/>
      </c>
      <c r="M953" t="str">
        <f ca="1">IFERROR(__xludf.DUMMYFUNCTION("""COMPUTED_VALUE"""),"99.Hors Périmetre")</f>
        <v>99.Hors Périmetre</v>
      </c>
      <c r="N953" t="str">
        <f ca="1">IFERROR(__xludf.DUMMYFUNCTION("""COMPUTED_VALUE"""),"")</f>
        <v/>
      </c>
      <c r="O953" t="str">
        <f ca="1">IFERROR(__xludf.DUMMYFUNCTION("""COMPUTED_VALUE"""),"")</f>
        <v/>
      </c>
      <c r="P953" t="str">
        <f ca="1">IFERROR(__xludf.DUMMYFUNCTION("""COMPUTED_VALUE"""),"")</f>
        <v/>
      </c>
      <c r="Q953" s="5" t="str">
        <f ca="1">IFERROR(__xludf.DUMMYFUNCTION("""COMPUTED_VALUE"""),"")</f>
        <v/>
      </c>
      <c r="R953" s="6" t="str">
        <f ca="1">IFERROR(__xludf.DUMMYFUNCTION("""COMPUTED_VALUE"""),"")</f>
        <v/>
      </c>
      <c r="S953" t="str">
        <f ca="1">IFERROR(__xludf.DUMMYFUNCTION("""COMPUTED_VALUE"""),"")</f>
        <v/>
      </c>
      <c r="T953" t="str">
        <f ca="1">IFERROR(__xludf.DUMMYFUNCTION("""COMPUTED_VALUE"""),"")</f>
        <v/>
      </c>
      <c r="U953" t="str">
        <f ca="1">IFERROR(__xludf.DUMMYFUNCTION("""COMPUTED_VALUE"""),"")</f>
        <v/>
      </c>
      <c r="V953" t="str">
        <f ca="1">IFERROR(__xludf.DUMMYFUNCTION("""COMPUTED_VALUE"""),"")</f>
        <v/>
      </c>
      <c r="W953" t="str">
        <f ca="1">IFERROR(__xludf.DUMMYFUNCTION("""COMPUTED_VALUE"""),"")</f>
        <v/>
      </c>
      <c r="X953" t="str">
        <f ca="1">IFERROR(__xludf.DUMMYFUNCTION("""COMPUTED_VALUE"""),"")</f>
        <v/>
      </c>
      <c r="Y953" t="str">
        <f ca="1">IFERROR(__xludf.DUMMYFUNCTION("""COMPUTED_VALUE"""),"")</f>
        <v/>
      </c>
      <c r="Z953" t="str">
        <f ca="1">IFERROR(__xludf.DUMMYFUNCTION("""COMPUTED_VALUE"""),"")</f>
        <v/>
      </c>
      <c r="AA953" t="str">
        <f ca="1">IFERROR(__xludf.DUMMYFUNCTION("""COMPUTED_VALUE"""),"Pas de commande")</f>
        <v>Pas de commande</v>
      </c>
      <c r="AB953" s="8" t="str">
        <f ca="1">IFERROR(__xludf.DUMMYFUNCTION("""COMPUTED_VALUE"""),"")</f>
        <v/>
      </c>
      <c r="AC953" s="8" t="str">
        <f ca="1">IFERROR(__xludf.DUMMYFUNCTION("""COMPUTED_VALUE"""),"")</f>
        <v/>
      </c>
      <c r="AD953" s="11" t="str">
        <f ca="1">IFERROR(__xludf.DUMMYFUNCTION("""COMPUTED_VALUE"""),"")</f>
        <v/>
      </c>
      <c r="AE953" t="str">
        <f ca="1">IFERROR(__xludf.DUMMYFUNCTION("""COMPUTED_VALUE"""),"")</f>
        <v/>
      </c>
    </row>
    <row r="954" spans="1:31" ht="12.75" x14ac:dyDescent="0.2">
      <c r="A954">
        <f ca="1">IFERROR(__xludf.DUMMYFUNCTION("""COMPUTED_VALUE"""),90502)</f>
        <v>90502</v>
      </c>
      <c r="B954" t="str">
        <f ca="1">IFERROR(__xludf.DUMMYFUNCTION("""COMPUTED_VALUE"""),"ST ZACHARIE JURAMY")</f>
        <v>ST ZACHARIE JURAMY</v>
      </c>
      <c r="C954" t="str">
        <f ca="1">IFERROR(__xludf.DUMMYFUNCTION("""COMPUTED_VALUE"""),"Super U")</f>
        <v>Super U</v>
      </c>
      <c r="D954" t="str">
        <f ca="1">IFERROR(__xludf.DUMMYFUNCTION("""COMPUTED_VALUE"""),"Coop U Enseigne Sud")</f>
        <v>Coop U Enseigne Sud</v>
      </c>
      <c r="E954">
        <f ca="1">IFERROR(__xludf.DUMMYFUNCTION("""COMPUTED_VALUE"""),83640)</f>
        <v>83640</v>
      </c>
      <c r="F954" t="str">
        <f ca="1">IFERROR(__xludf.DUMMYFUNCTION("""COMPUTED_VALUE"""),"Avenue Juramy")</f>
        <v>Avenue Juramy</v>
      </c>
      <c r="G954" t="str">
        <f ca="1">IFERROR(__xludf.DUMMYFUNCTION("""COMPUTED_VALUE"""),"04.42.62.70.70")</f>
        <v>04.42.62.70.70</v>
      </c>
      <c r="H954" t="str">
        <f ca="1">IFERROR(__xludf.DUMMYFUNCTION("""COMPUTED_VALUE"""),"BENHAMOU Stephane")</f>
        <v>BENHAMOU Stephane</v>
      </c>
      <c r="I954" t="str">
        <f ca="1">IFERROR(__xludf.DUMMYFUNCTION("""COMPUTED_VALUE"""),"stephane.benhamou@systeme-u.fr")</f>
        <v>stephane.benhamou@systeme-u.fr</v>
      </c>
      <c r="J954" t="str">
        <f ca="1">IFERROR(__xludf.DUMMYFUNCTION("""COMPUTED_VALUE"""),"Mr Licata")</f>
        <v>Mr Licata</v>
      </c>
      <c r="K954" t="str">
        <f ca="1">IFERROR(__xludf.DUMMYFUNCTION("""COMPUTED_VALUE"""),"a.licata@pacapart.fr")</f>
        <v>a.licata@pacapart.fr</v>
      </c>
      <c r="L954" t="str">
        <f ca="1">IFERROR(__xludf.DUMMYFUNCTION("""COMPUTED_VALUE"""),"")</f>
        <v/>
      </c>
      <c r="M954" t="str">
        <f ca="1">IFERROR(__xludf.DUMMYFUNCTION("""COMPUTED_VALUE"""),"")</f>
        <v/>
      </c>
      <c r="N954" t="str">
        <f ca="1">IFERROR(__xludf.DUMMYFUNCTION("""COMPUTED_VALUE"""),"")</f>
        <v/>
      </c>
      <c r="O954" t="str">
        <f ca="1">IFERROR(__xludf.DUMMYFUNCTION("""COMPUTED_VALUE"""),"")</f>
        <v/>
      </c>
      <c r="P954" t="str">
        <f ca="1">IFERROR(__xludf.DUMMYFUNCTION("""COMPUTED_VALUE"""),"")</f>
        <v/>
      </c>
      <c r="Q954" s="5" t="str">
        <f ca="1">IFERROR(__xludf.DUMMYFUNCTION("""COMPUTED_VALUE"""),"")</f>
        <v/>
      </c>
      <c r="R954" s="6" t="str">
        <f ca="1">IFERROR(__xludf.DUMMYFUNCTION("""COMPUTED_VALUE"""),"")</f>
        <v/>
      </c>
      <c r="S954" t="str">
        <f ca="1">IFERROR(__xludf.DUMMYFUNCTION("""COMPUTED_VALUE"""),"")</f>
        <v/>
      </c>
      <c r="T954" t="str">
        <f ca="1">IFERROR(__xludf.DUMMYFUNCTION("""COMPUTED_VALUE"""),"")</f>
        <v/>
      </c>
      <c r="U954" t="str">
        <f ca="1">IFERROR(__xludf.DUMMYFUNCTION("""COMPUTED_VALUE"""),"")</f>
        <v/>
      </c>
      <c r="V954" t="str">
        <f ca="1">IFERROR(__xludf.DUMMYFUNCTION("""COMPUTED_VALUE"""),"")</f>
        <v/>
      </c>
      <c r="W954" t="str">
        <f ca="1">IFERROR(__xludf.DUMMYFUNCTION("""COMPUTED_VALUE"""),"R5")</f>
        <v>R5</v>
      </c>
      <c r="X954" t="str">
        <f ca="1">IFERROR(__xludf.DUMMYFUNCTION("""COMPUTED_VALUE"""),"Pricer")</f>
        <v>Pricer</v>
      </c>
      <c r="Y954" t="str">
        <f ca="1">IFERROR(__xludf.DUMMYFUNCTION("""COMPUTED_VALUE"""),"")</f>
        <v/>
      </c>
      <c r="Z954" t="str">
        <f ca="1">IFERROR(__xludf.DUMMYFUNCTION("""COMPUTED_VALUE"""),"")</f>
        <v/>
      </c>
      <c r="AA954" t="str">
        <f ca="1">IFERROR(__xludf.DUMMYFUNCTION("""COMPUTED_VALUE"""),"Pas de commande")</f>
        <v>Pas de commande</v>
      </c>
      <c r="AB954" s="8" t="str">
        <f ca="1">IFERROR(__xludf.DUMMYFUNCTION("""COMPUTED_VALUE"""),"")</f>
        <v/>
      </c>
      <c r="AC954" s="8" t="str">
        <f ca="1">IFERROR(__xludf.DUMMYFUNCTION("""COMPUTED_VALUE"""),"")</f>
        <v/>
      </c>
      <c r="AD954" s="11" t="str">
        <f ca="1">IFERROR(__xludf.DUMMYFUNCTION("""COMPUTED_VALUE"""),"")</f>
        <v/>
      </c>
      <c r="AE954" t="str">
        <f ca="1">IFERROR(__xludf.DUMMYFUNCTION("""COMPUTED_VALUE"""),"")</f>
        <v/>
      </c>
    </row>
    <row r="955" spans="1:31" ht="12.75" x14ac:dyDescent="0.2">
      <c r="A955">
        <f ca="1">IFERROR(__xludf.DUMMYFUNCTION("""COMPUTED_VALUE"""),36572)</f>
        <v>36572</v>
      </c>
      <c r="B955" t="str">
        <f ca="1">IFERROR(__xludf.DUMMYFUNCTION("""COMPUTED_VALUE"""),"ST-AIGNAN")</f>
        <v>ST-AIGNAN</v>
      </c>
      <c r="C955" t="str">
        <f ca="1">IFERROR(__xludf.DUMMYFUNCTION("""COMPUTED_VALUE"""),"Super U")</f>
        <v>Super U</v>
      </c>
      <c r="D955" t="str">
        <f ca="1">IFERROR(__xludf.DUMMYFUNCTION("""COMPUTED_VALUE"""),"Coop U Enseigne Ouest")</f>
        <v>Coop U Enseigne Ouest</v>
      </c>
      <c r="E955">
        <f ca="1">IFERROR(__xludf.DUMMYFUNCTION("""COMPUTED_VALUE"""),41110)</f>
        <v>41110</v>
      </c>
      <c r="F955" t="str">
        <f ca="1">IFERROR(__xludf.DUMMYFUNCTION("""COMPUTED_VALUE"""),"LES TERRES ROUGES")</f>
        <v>LES TERRES ROUGES</v>
      </c>
      <c r="G955" t="str">
        <f ca="1">IFERROR(__xludf.DUMMYFUNCTION("""COMPUTED_VALUE"""),"02.54.75.11.11")</f>
        <v>02.54.75.11.11</v>
      </c>
      <c r="H955" t="str">
        <f ca="1">IFERROR(__xludf.DUMMYFUNCTION("""COMPUTED_VALUE"""),"HUMEAU RPT SAS TMBC Thierry")</f>
        <v>HUMEAU RPT SAS TMBC Thierry</v>
      </c>
      <c r="I955" t="str">
        <f ca="1">IFERROR(__xludf.DUMMYFUNCTION("""COMPUTED_VALUE"""),"thierry.humeau@systeme-u.fr")</f>
        <v>thierry.humeau@systeme-u.fr</v>
      </c>
      <c r="J955" t="str">
        <f ca="1">IFERROR(__xludf.DUMMYFUNCTION("""COMPUTED_VALUE"""),"Me Humeau")</f>
        <v>Me Humeau</v>
      </c>
      <c r="K955" t="str">
        <f ca="1">IFERROR(__xludf.DUMMYFUNCTION("""COMPUTED_VALUE"""),"anais.humeau@systeme-u.fr")</f>
        <v>anais.humeau@systeme-u.fr</v>
      </c>
      <c r="L955" t="str">
        <f ca="1">IFERROR(__xludf.DUMMYFUNCTION("""COMPUTED_VALUE"""),"")</f>
        <v/>
      </c>
      <c r="M955" t="str">
        <f ca="1">IFERROR(__xludf.DUMMYFUNCTION("""COMPUTED_VALUE"""),"99.Hors Périmetre")</f>
        <v>99.Hors Périmetre</v>
      </c>
      <c r="N955" t="str">
        <f ca="1">IFERROR(__xludf.DUMMYFUNCTION("""COMPUTED_VALUE"""),"")</f>
        <v/>
      </c>
      <c r="O955" t="str">
        <f ca="1">IFERROR(__xludf.DUMMYFUNCTION("""COMPUTED_VALUE"""),"")</f>
        <v/>
      </c>
      <c r="P955" t="str">
        <f ca="1">IFERROR(__xludf.DUMMYFUNCTION("""COMPUTED_VALUE"""),"")</f>
        <v/>
      </c>
      <c r="Q955" s="5" t="str">
        <f ca="1">IFERROR(__xludf.DUMMYFUNCTION("""COMPUTED_VALUE"""),"")</f>
        <v/>
      </c>
      <c r="R955" s="6" t="str">
        <f ca="1">IFERROR(__xludf.DUMMYFUNCTION("""COMPUTED_VALUE"""),"")</f>
        <v/>
      </c>
      <c r="S955" t="str">
        <f ca="1">IFERROR(__xludf.DUMMYFUNCTION("""COMPUTED_VALUE"""),"")</f>
        <v/>
      </c>
      <c r="T955" t="str">
        <f ca="1">IFERROR(__xludf.DUMMYFUNCTION("""COMPUTED_VALUE"""),"")</f>
        <v/>
      </c>
      <c r="U955" t="str">
        <f ca="1">IFERROR(__xludf.DUMMYFUNCTION("""COMPUTED_VALUE"""),"")</f>
        <v/>
      </c>
      <c r="V955" t="str">
        <f ca="1">IFERROR(__xludf.DUMMYFUNCTION("""COMPUTED_VALUE"""),"")</f>
        <v/>
      </c>
      <c r="W955" t="str">
        <f ca="1">IFERROR(__xludf.DUMMYFUNCTION("""COMPUTED_VALUE"""),"")</f>
        <v/>
      </c>
      <c r="X955" t="str">
        <f ca="1">IFERROR(__xludf.DUMMYFUNCTION("""COMPUTED_VALUE"""),"")</f>
        <v/>
      </c>
      <c r="Y955" t="str">
        <f ca="1">IFERROR(__xludf.DUMMYFUNCTION("""COMPUTED_VALUE"""),"")</f>
        <v/>
      </c>
      <c r="Z955" t="str">
        <f ca="1">IFERROR(__xludf.DUMMYFUNCTION("""COMPUTED_VALUE"""),"")</f>
        <v/>
      </c>
      <c r="AA955" t="str">
        <f ca="1">IFERROR(__xludf.DUMMYFUNCTION("""COMPUTED_VALUE"""),"Pas de commande")</f>
        <v>Pas de commande</v>
      </c>
      <c r="AB955" s="8" t="str">
        <f ca="1">IFERROR(__xludf.DUMMYFUNCTION("""COMPUTED_VALUE"""),"")</f>
        <v/>
      </c>
      <c r="AC955" s="8" t="str">
        <f ca="1">IFERROR(__xludf.DUMMYFUNCTION("""COMPUTED_VALUE"""),"")</f>
        <v/>
      </c>
      <c r="AD955" s="11" t="str">
        <f ca="1">IFERROR(__xludf.DUMMYFUNCTION("""COMPUTED_VALUE"""),"")</f>
        <v/>
      </c>
      <c r="AE955" t="str">
        <f ca="1">IFERROR(__xludf.DUMMYFUNCTION("""COMPUTED_VALUE"""),"")</f>
        <v/>
      </c>
    </row>
    <row r="956" spans="1:31" ht="12.75" x14ac:dyDescent="0.2">
      <c r="A956">
        <f ca="1">IFERROR(__xludf.DUMMYFUNCTION("""COMPUTED_VALUE"""),34187)</f>
        <v>34187</v>
      </c>
      <c r="B956" t="str">
        <f ca="1">IFERROR(__xludf.DUMMYFUNCTION("""COMPUTED_VALUE"""),"ST-AIGULIN")</f>
        <v>ST-AIGULIN</v>
      </c>
      <c r="C956" t="str">
        <f ca="1">IFERROR(__xludf.DUMMYFUNCTION("""COMPUTED_VALUE"""),"U Express")</f>
        <v>U Express</v>
      </c>
      <c r="D956" t="str">
        <f ca="1">IFERROR(__xludf.DUMMYFUNCTION("""COMPUTED_VALUE"""),"Coop Atlantique")</f>
        <v>Coop Atlantique</v>
      </c>
      <c r="E956">
        <f ca="1">IFERROR(__xludf.DUMMYFUNCTION("""COMPUTED_VALUE"""),17360)</f>
        <v>17360</v>
      </c>
      <c r="F956" t="str">
        <f ca="1">IFERROR(__xludf.DUMMYFUNCTION("""COMPUTED_VALUE"""),"8 AVENUE DU MARECHAL LECLERC")</f>
        <v>8 AVENUE DU MARECHAL LECLERC</v>
      </c>
      <c r="G956" t="str">
        <f ca="1">IFERROR(__xludf.DUMMYFUNCTION("""COMPUTED_VALUE"""),"05.46.04.82.13")</f>
        <v>05.46.04.82.13</v>
      </c>
      <c r="H956" t="str">
        <f ca="1">IFERROR(__xludf.DUMMYFUNCTION("""COMPUTED_VALUE"""),"FLAMBARD Hervé")</f>
        <v>FLAMBARD Hervé</v>
      </c>
      <c r="I956" t="str">
        <f ca="1">IFERROR(__xludf.DUMMYFUNCTION("""COMPUTED_VALUE"""),"bertrand.defontaine_coop_su_uex@systeme-u.fr")</f>
        <v>bertrand.defontaine_coop_su_uex@systeme-u.fr</v>
      </c>
      <c r="J956" t="str">
        <f ca="1">IFERROR(__xludf.DUMMYFUNCTION("""COMPUTED_VALUE"""),"Elodie CAPS")</f>
        <v>Elodie CAPS</v>
      </c>
      <c r="K956" t="str">
        <f ca="1">IFERROR(__xludf.DUMMYFUNCTION("""COMPUTED_VALUE"""),"uexpress.saintaigulin.direction@systeme-u.fr,nbrigant@coop-atlantique.fr,sjaud@coop-atlantique.fr")</f>
        <v>uexpress.saintaigulin.direction@systeme-u.fr,nbrigant@coop-atlantique.fr,sjaud@coop-atlantique.fr</v>
      </c>
      <c r="L956" t="str">
        <f ca="1">IFERROR(__xludf.DUMMYFUNCTION("""COMPUTED_VALUE"""),"")</f>
        <v/>
      </c>
      <c r="M956" t="str">
        <f ca="1">IFERROR(__xludf.DUMMYFUNCTION("""COMPUTED_VALUE"""),"99.Hors Périmetre")</f>
        <v>99.Hors Périmetre</v>
      </c>
      <c r="N956" t="str">
        <f ca="1">IFERROR(__xludf.DUMMYFUNCTION("""COMPUTED_VALUE"""),"")</f>
        <v/>
      </c>
      <c r="O956" t="str">
        <f ca="1">IFERROR(__xludf.DUMMYFUNCTION("""COMPUTED_VALUE"""),"")</f>
        <v/>
      </c>
      <c r="P956" t="str">
        <f ca="1">IFERROR(__xludf.DUMMYFUNCTION("""COMPUTED_VALUE"""),"")</f>
        <v/>
      </c>
      <c r="Q956" s="5" t="str">
        <f ca="1">IFERROR(__xludf.DUMMYFUNCTION("""COMPUTED_VALUE"""),"")</f>
        <v/>
      </c>
      <c r="R956" s="6" t="str">
        <f ca="1">IFERROR(__xludf.DUMMYFUNCTION("""COMPUTED_VALUE"""),"")</f>
        <v/>
      </c>
      <c r="S956" t="str">
        <f ca="1">IFERROR(__xludf.DUMMYFUNCTION("""COMPUTED_VALUE"""),"")</f>
        <v/>
      </c>
      <c r="T956" t="str">
        <f ca="1">IFERROR(__xludf.DUMMYFUNCTION("""COMPUTED_VALUE"""),"")</f>
        <v/>
      </c>
      <c r="U956" t="str">
        <f ca="1">IFERROR(__xludf.DUMMYFUNCTION("""COMPUTED_VALUE"""),"")</f>
        <v/>
      </c>
      <c r="V956" t="str">
        <f ca="1">IFERROR(__xludf.DUMMYFUNCTION("""COMPUTED_VALUE"""),"")</f>
        <v/>
      </c>
      <c r="W956" t="str">
        <f ca="1">IFERROR(__xludf.DUMMYFUNCTION("""COMPUTED_VALUE"""),"")</f>
        <v/>
      </c>
      <c r="X956" t="str">
        <f ca="1">IFERROR(__xludf.DUMMYFUNCTION("""COMPUTED_VALUE"""),"")</f>
        <v/>
      </c>
      <c r="Y956" t="str">
        <f ca="1">IFERROR(__xludf.DUMMYFUNCTION("""COMPUTED_VALUE"""),"")</f>
        <v/>
      </c>
      <c r="Z956" t="str">
        <f ca="1">IFERROR(__xludf.DUMMYFUNCTION("""COMPUTED_VALUE"""),"")</f>
        <v/>
      </c>
      <c r="AA956" t="str">
        <f ca="1">IFERROR(__xludf.DUMMYFUNCTION("""COMPUTED_VALUE"""),"Pas de commande")</f>
        <v>Pas de commande</v>
      </c>
      <c r="AB956" s="8" t="str">
        <f ca="1">IFERROR(__xludf.DUMMYFUNCTION("""COMPUTED_VALUE"""),"")</f>
        <v/>
      </c>
      <c r="AC956" s="8" t="str">
        <f ca="1">IFERROR(__xludf.DUMMYFUNCTION("""COMPUTED_VALUE"""),"")</f>
        <v/>
      </c>
      <c r="AD956" s="11" t="str">
        <f ca="1">IFERROR(__xludf.DUMMYFUNCTION("""COMPUTED_VALUE"""),"")</f>
        <v/>
      </c>
      <c r="AE956" t="str">
        <f ca="1">IFERROR(__xludf.DUMMYFUNCTION("""COMPUTED_VALUE"""),"")</f>
        <v/>
      </c>
    </row>
    <row r="957" spans="1:31" ht="12.75" x14ac:dyDescent="0.2">
      <c r="A957">
        <f ca="1">IFERROR(__xludf.DUMMYFUNCTION("""COMPUTED_VALUE"""),99203)</f>
        <v>99203</v>
      </c>
      <c r="B957" t="str">
        <f ca="1">IFERROR(__xludf.DUMMYFUNCTION("""COMPUTED_VALUE"""),"ST-ANDRE-IDR")</f>
        <v>ST-ANDRE-IDR</v>
      </c>
      <c r="C957" t="str">
        <f ca="1">IFERROR(__xludf.DUMMYFUNCTION("""COMPUTED_VALUE"""),"Super U")</f>
        <v>Super U</v>
      </c>
      <c r="D957" t="str">
        <f ca="1">IFERROR(__xludf.DUMMYFUNCTION("""COMPUTED_VALUE"""),"Coop U Enseigne Sud")</f>
        <v>Coop U Enseigne Sud</v>
      </c>
      <c r="E957">
        <f ca="1">IFERROR(__xludf.DUMMYFUNCTION("""COMPUTED_VALUE"""),97440)</f>
        <v>97440</v>
      </c>
      <c r="F957" t="str">
        <f ca="1">IFERROR(__xludf.DUMMYFUNCTION("""COMPUTED_VALUE"""),"200 RUE DU LYCÉE")</f>
        <v>200 RUE DU LYCÉE</v>
      </c>
      <c r="G957" t="str">
        <f ca="1">IFERROR(__xludf.DUMMYFUNCTION("""COMPUTED_VALUE"""),"02.62.46.26.74")</f>
        <v>02.62.46.26.74</v>
      </c>
      <c r="H957" t="str">
        <f ca="1">IFERROR(__xludf.DUMMYFUNCTION("""COMPUTED_VALUE"""),"LAO OUINE Jean-Pierre")</f>
        <v>LAO OUINE Jean-Pierre</v>
      </c>
      <c r="I957" t="str">
        <f ca="1">IFERROR(__xludf.DUMMYFUNCTION("""COMPUTED_VALUE"""),"issa.lao-ouine@systeme-u.fr")</f>
        <v>issa.lao-ouine@systeme-u.fr</v>
      </c>
      <c r="J957" t="str">
        <f ca="1">IFERROR(__xludf.DUMMYFUNCTION("""COMPUTED_VALUE"""),"TELEF Olivier")</f>
        <v>TELEF Olivier</v>
      </c>
      <c r="K957" t="str">
        <f ca="1">IFERROR(__xludf.DUMMYFUNCTION("""COMPUTED_VALUE"""),"o.telef@slholding.re")</f>
        <v>o.telef@slholding.re</v>
      </c>
      <c r="L957" t="str">
        <f ca="1">IFERROR(__xludf.DUMMYFUNCTION("""COMPUTED_VALUE"""),"")</f>
        <v/>
      </c>
      <c r="M957" t="str">
        <f ca="1">IFERROR(__xludf.DUMMYFUNCTION("""COMPUTED_VALUE"""),"99.Hors Périmetre")</f>
        <v>99.Hors Périmetre</v>
      </c>
      <c r="N957" t="str">
        <f ca="1">IFERROR(__xludf.DUMMYFUNCTION("""COMPUTED_VALUE"""),"")</f>
        <v/>
      </c>
      <c r="O957" t="str">
        <f ca="1">IFERROR(__xludf.DUMMYFUNCTION("""COMPUTED_VALUE"""),"")</f>
        <v/>
      </c>
      <c r="P957" t="str">
        <f ca="1">IFERROR(__xludf.DUMMYFUNCTION("""COMPUTED_VALUE"""),"")</f>
        <v/>
      </c>
      <c r="Q957" s="5" t="str">
        <f ca="1">IFERROR(__xludf.DUMMYFUNCTION("""COMPUTED_VALUE"""),"")</f>
        <v/>
      </c>
      <c r="R957" s="6" t="str">
        <f ca="1">IFERROR(__xludf.DUMMYFUNCTION("""COMPUTED_VALUE"""),"")</f>
        <v/>
      </c>
      <c r="S957" t="str">
        <f ca="1">IFERROR(__xludf.DUMMYFUNCTION("""COMPUTED_VALUE"""),"")</f>
        <v/>
      </c>
      <c r="T957" t="str">
        <f ca="1">IFERROR(__xludf.DUMMYFUNCTION("""COMPUTED_VALUE"""),"")</f>
        <v/>
      </c>
      <c r="U957" t="str">
        <f ca="1">IFERROR(__xludf.DUMMYFUNCTION("""COMPUTED_VALUE"""),"")</f>
        <v/>
      </c>
      <c r="V957" t="str">
        <f ca="1">IFERROR(__xludf.DUMMYFUNCTION("""COMPUTED_VALUE"""),"")</f>
        <v/>
      </c>
      <c r="W957" t="str">
        <f ca="1">IFERROR(__xludf.DUMMYFUNCTION("""COMPUTED_VALUE"""),"")</f>
        <v/>
      </c>
      <c r="X957" t="str">
        <f ca="1">IFERROR(__xludf.DUMMYFUNCTION("""COMPUTED_VALUE"""),"")</f>
        <v/>
      </c>
      <c r="Y957" t="str">
        <f ca="1">IFERROR(__xludf.DUMMYFUNCTION("""COMPUTED_VALUE"""),"")</f>
        <v/>
      </c>
      <c r="Z957" t="str">
        <f ca="1">IFERROR(__xludf.DUMMYFUNCTION("""COMPUTED_VALUE"""),"")</f>
        <v/>
      </c>
      <c r="AA957" t="str">
        <f ca="1">IFERROR(__xludf.DUMMYFUNCTION("""COMPUTED_VALUE"""),"Pas de commande")</f>
        <v>Pas de commande</v>
      </c>
      <c r="AB957" s="8" t="str">
        <f ca="1">IFERROR(__xludf.DUMMYFUNCTION("""COMPUTED_VALUE"""),"")</f>
        <v/>
      </c>
      <c r="AC957" s="8" t="str">
        <f ca="1">IFERROR(__xludf.DUMMYFUNCTION("""COMPUTED_VALUE"""),"")</f>
        <v/>
      </c>
      <c r="AD957" s="11" t="str">
        <f ca="1">IFERROR(__xludf.DUMMYFUNCTION("""COMPUTED_VALUE"""),"")</f>
        <v/>
      </c>
      <c r="AE957" t="str">
        <f ca="1">IFERROR(__xludf.DUMMYFUNCTION("""COMPUTED_VALUE"""),"")</f>
        <v/>
      </c>
    </row>
    <row r="958" spans="1:31" ht="12.75" x14ac:dyDescent="0.2">
      <c r="A958">
        <f ca="1">IFERROR(__xludf.DUMMYFUNCTION("""COMPUTED_VALUE"""),35134)</f>
        <v>35134</v>
      </c>
      <c r="B958" t="str">
        <f ca="1">IFERROR(__xludf.DUMMYFUNCTION("""COMPUTED_VALUE"""),"ST-AUBIN-D'AUBIGNE")</f>
        <v>ST-AUBIN-D'AUBIGNE</v>
      </c>
      <c r="C958" t="str">
        <f ca="1">IFERROR(__xludf.DUMMYFUNCTION("""COMPUTED_VALUE"""),"Super U")</f>
        <v>Super U</v>
      </c>
      <c r="D958" t="str">
        <f ca="1">IFERROR(__xludf.DUMMYFUNCTION("""COMPUTED_VALUE"""),"Coop U Enseigne Ouest")</f>
        <v>Coop U Enseigne Ouest</v>
      </c>
      <c r="E958">
        <f ca="1">IFERROR(__xludf.DUMMYFUNCTION("""COMPUTED_VALUE"""),35250)</f>
        <v>35250</v>
      </c>
      <c r="F958" t="str">
        <f ca="1">IFERROR(__xludf.DUMMYFUNCTION("""COMPUTED_VALUE"""),"2, ALLÉE DE LA PILOINAIS")</f>
        <v>2, ALLÉE DE LA PILOINAIS</v>
      </c>
      <c r="G958" t="str">
        <f ca="1">IFERROR(__xludf.DUMMYFUNCTION("""COMPUTED_VALUE"""),"02.99.55.21.61")</f>
        <v>02.99.55.21.61</v>
      </c>
      <c r="H958" t="str">
        <f ca="1">IFERROR(__xludf.DUMMYFUNCTION("""COMPUTED_VALUE"""),"LASSAIGNE RPT SAS KERLADIS Kristèle")</f>
        <v>LASSAIGNE RPT SAS KERLADIS Kristèle</v>
      </c>
      <c r="I958" t="str">
        <f ca="1">IFERROR(__xludf.DUMMYFUNCTION("""COMPUTED_VALUE"""),"kristele.lassaigne@systeme-u.fr")</f>
        <v>kristele.lassaigne@systeme-u.fr</v>
      </c>
      <c r="J958" t="str">
        <f ca="1">IFERROR(__xludf.DUMMYFUNCTION("""COMPUTED_VALUE"""),"boisgontier laurent")</f>
        <v>boisgontier laurent</v>
      </c>
      <c r="K958" t="str">
        <f ca="1">IFERROR(__xludf.DUMMYFUNCTION("""COMPUTED_VALUE"""),"laurent.boisgontier@systeme-u.fr")</f>
        <v>laurent.boisgontier@systeme-u.fr</v>
      </c>
      <c r="L958" t="str">
        <f ca="1">IFERROR(__xludf.DUMMYFUNCTION("""COMPUTED_VALUE"""),"")</f>
        <v/>
      </c>
      <c r="M958" t="str">
        <f ca="1">IFERROR(__xludf.DUMMYFUNCTION("""COMPUTED_VALUE"""),"99.Hors Périmetre")</f>
        <v>99.Hors Périmetre</v>
      </c>
      <c r="N958" t="str">
        <f ca="1">IFERROR(__xludf.DUMMYFUNCTION("""COMPUTED_VALUE"""),"")</f>
        <v/>
      </c>
      <c r="O958" t="str">
        <f ca="1">IFERROR(__xludf.DUMMYFUNCTION("""COMPUTED_VALUE"""),"")</f>
        <v/>
      </c>
      <c r="P958" t="str">
        <f ca="1">IFERROR(__xludf.DUMMYFUNCTION("""COMPUTED_VALUE"""),"")</f>
        <v/>
      </c>
      <c r="Q958" s="5" t="str">
        <f ca="1">IFERROR(__xludf.DUMMYFUNCTION("""COMPUTED_VALUE"""),"")</f>
        <v/>
      </c>
      <c r="R958" s="6" t="str">
        <f ca="1">IFERROR(__xludf.DUMMYFUNCTION("""COMPUTED_VALUE"""),"")</f>
        <v/>
      </c>
      <c r="S958" t="str">
        <f ca="1">IFERROR(__xludf.DUMMYFUNCTION("""COMPUTED_VALUE"""),"")</f>
        <v/>
      </c>
      <c r="T958" t="str">
        <f ca="1">IFERROR(__xludf.DUMMYFUNCTION("""COMPUTED_VALUE"""),"")</f>
        <v/>
      </c>
      <c r="U958" t="str">
        <f ca="1">IFERROR(__xludf.DUMMYFUNCTION("""COMPUTED_VALUE"""),"")</f>
        <v/>
      </c>
      <c r="V958" t="str">
        <f ca="1">IFERROR(__xludf.DUMMYFUNCTION("""COMPUTED_VALUE"""),"")</f>
        <v/>
      </c>
      <c r="W958" t="str">
        <f ca="1">IFERROR(__xludf.DUMMYFUNCTION("""COMPUTED_VALUE"""),"")</f>
        <v/>
      </c>
      <c r="X958" t="str">
        <f ca="1">IFERROR(__xludf.DUMMYFUNCTION("""COMPUTED_VALUE"""),"")</f>
        <v/>
      </c>
      <c r="Y958" t="str">
        <f ca="1">IFERROR(__xludf.DUMMYFUNCTION("""COMPUTED_VALUE"""),"")</f>
        <v/>
      </c>
      <c r="Z958" t="str">
        <f ca="1">IFERROR(__xludf.DUMMYFUNCTION("""COMPUTED_VALUE"""),"")</f>
        <v/>
      </c>
      <c r="AA958" t="str">
        <f ca="1">IFERROR(__xludf.DUMMYFUNCTION("""COMPUTED_VALUE"""),"Pas de commande")</f>
        <v>Pas de commande</v>
      </c>
      <c r="AB958" s="8" t="str">
        <f ca="1">IFERROR(__xludf.DUMMYFUNCTION("""COMPUTED_VALUE"""),"")</f>
        <v/>
      </c>
      <c r="AC958" s="8" t="str">
        <f ca="1">IFERROR(__xludf.DUMMYFUNCTION("""COMPUTED_VALUE"""),"")</f>
        <v/>
      </c>
      <c r="AD958" s="11" t="str">
        <f ca="1">IFERROR(__xludf.DUMMYFUNCTION("""COMPUTED_VALUE"""),"")</f>
        <v/>
      </c>
      <c r="AE958" t="str">
        <f ca="1">IFERROR(__xludf.DUMMYFUNCTION("""COMPUTED_VALUE"""),"")</f>
        <v/>
      </c>
    </row>
    <row r="959" spans="1:31" ht="12.75" x14ac:dyDescent="0.2">
      <c r="A959">
        <f ca="1">IFERROR(__xludf.DUMMYFUNCTION("""COMPUTED_VALUE"""),33193)</f>
        <v>33193</v>
      </c>
      <c r="B959" t="str">
        <f ca="1">IFERROR(__xludf.DUMMYFUNCTION("""COMPUTED_VALUE"""),"ST-BARTH OASIS")</f>
        <v>ST-BARTH OASIS</v>
      </c>
      <c r="C959" t="str">
        <f ca="1">IFERROR(__xludf.DUMMYFUNCTION("""COMPUTED_VALUE"""),"U Express")</f>
        <v>U Express</v>
      </c>
      <c r="D959" t="str">
        <f ca="1">IFERROR(__xludf.DUMMYFUNCTION("""COMPUTED_VALUE"""),"Coop U Enseigne Ouest")</f>
        <v>Coop U Enseigne Ouest</v>
      </c>
      <c r="E959">
        <f ca="1">IFERROR(__xludf.DUMMYFUNCTION("""COMPUTED_VALUE"""),97133)</f>
        <v>97133</v>
      </c>
      <c r="F959" t="str">
        <f ca="1">IFERROR(__xludf.DUMMYFUNCTION("""COMPUTED_VALUE"""),"CENTRE COMMERCIAL L'OASIS")</f>
        <v>CENTRE COMMERCIAL L'OASIS</v>
      </c>
      <c r="G959" t="str">
        <f ca="1">IFERROR(__xludf.DUMMYFUNCTION("""COMPUTED_VALUE"""),"05.90.29.72.46")</f>
        <v>05.90.29.72.46</v>
      </c>
      <c r="H959" t="str">
        <f ca="1">IFERROR(__xludf.DUMMYFUNCTION("""COMPUTED_VALUE"""),"CHEVREUL Jean Paul")</f>
        <v>CHEVREUL Jean Paul</v>
      </c>
      <c r="I959" t="str">
        <f ca="1">IFERROR(__xludf.DUMMYFUNCTION("""COMPUTED_VALUE"""),"jean-paul.chevreul@systeme-u.fr")</f>
        <v>jean-paul.chevreul@systeme-u.fr</v>
      </c>
      <c r="J959" t="str">
        <f ca="1">IFERROR(__xludf.DUMMYFUNCTION("""COMPUTED_VALUE"""),"TZANIS Jean-Michel")</f>
        <v>TZANIS Jean-Michel</v>
      </c>
      <c r="K959" t="str">
        <f ca="1">IFERROR(__xludf.DUMMYFUNCTION("""COMPUTED_VALUE"""),"direction97133.oasis@gmail.com,martine.crevecoeur@systeme-u.fr")</f>
        <v>direction97133.oasis@gmail.com,martine.crevecoeur@systeme-u.fr</v>
      </c>
      <c r="L959" t="str">
        <f ca="1">IFERROR(__xludf.DUMMYFUNCTION("""COMPUTED_VALUE"""),"")</f>
        <v/>
      </c>
      <c r="M959" t="str">
        <f ca="1">IFERROR(__xludf.DUMMYFUNCTION("""COMPUTED_VALUE"""),"99.Hors Périmetre")</f>
        <v>99.Hors Périmetre</v>
      </c>
      <c r="N959" t="str">
        <f ca="1">IFERROR(__xludf.DUMMYFUNCTION("""COMPUTED_VALUE"""),"")</f>
        <v/>
      </c>
      <c r="O959" t="str">
        <f ca="1">IFERROR(__xludf.DUMMYFUNCTION("""COMPUTED_VALUE"""),"")</f>
        <v/>
      </c>
      <c r="P959" t="str">
        <f ca="1">IFERROR(__xludf.DUMMYFUNCTION("""COMPUTED_VALUE"""),"")</f>
        <v/>
      </c>
      <c r="Q959" s="5" t="str">
        <f ca="1">IFERROR(__xludf.DUMMYFUNCTION("""COMPUTED_VALUE"""),"")</f>
        <v/>
      </c>
      <c r="R959" s="6" t="str">
        <f ca="1">IFERROR(__xludf.DUMMYFUNCTION("""COMPUTED_VALUE"""),"")</f>
        <v/>
      </c>
      <c r="S959" t="str">
        <f ca="1">IFERROR(__xludf.DUMMYFUNCTION("""COMPUTED_VALUE"""),"")</f>
        <v/>
      </c>
      <c r="T959" t="str">
        <f ca="1">IFERROR(__xludf.DUMMYFUNCTION("""COMPUTED_VALUE"""),"")</f>
        <v/>
      </c>
      <c r="U959" t="str">
        <f ca="1">IFERROR(__xludf.DUMMYFUNCTION("""COMPUTED_VALUE"""),"")</f>
        <v/>
      </c>
      <c r="V959" t="str">
        <f ca="1">IFERROR(__xludf.DUMMYFUNCTION("""COMPUTED_VALUE"""),"")</f>
        <v/>
      </c>
      <c r="W959" t="str">
        <f ca="1">IFERROR(__xludf.DUMMYFUNCTION("""COMPUTED_VALUE"""),"")</f>
        <v/>
      </c>
      <c r="X959" t="str">
        <f ca="1">IFERROR(__xludf.DUMMYFUNCTION("""COMPUTED_VALUE"""),"")</f>
        <v/>
      </c>
      <c r="Y959" t="str">
        <f ca="1">IFERROR(__xludf.DUMMYFUNCTION("""COMPUTED_VALUE"""),"")</f>
        <v/>
      </c>
      <c r="Z959" t="str">
        <f ca="1">IFERROR(__xludf.DUMMYFUNCTION("""COMPUTED_VALUE"""),"")</f>
        <v/>
      </c>
      <c r="AA959" t="str">
        <f ca="1">IFERROR(__xludf.DUMMYFUNCTION("""COMPUTED_VALUE"""),"Pas de commande")</f>
        <v>Pas de commande</v>
      </c>
      <c r="AB959" s="8" t="str">
        <f ca="1">IFERROR(__xludf.DUMMYFUNCTION("""COMPUTED_VALUE"""),"")</f>
        <v/>
      </c>
      <c r="AC959" s="8" t="str">
        <f ca="1">IFERROR(__xludf.DUMMYFUNCTION("""COMPUTED_VALUE"""),"")</f>
        <v/>
      </c>
      <c r="AD959" s="11" t="str">
        <f ca="1">IFERROR(__xludf.DUMMYFUNCTION("""COMPUTED_VALUE"""),"")</f>
        <v/>
      </c>
      <c r="AE959" t="str">
        <f ca="1">IFERROR(__xludf.DUMMYFUNCTION("""COMPUTED_VALUE"""),"")</f>
        <v/>
      </c>
    </row>
    <row r="960" spans="1:31" ht="12.75" x14ac:dyDescent="0.2">
      <c r="A960">
        <f ca="1">IFERROR(__xludf.DUMMYFUNCTION("""COMPUTED_VALUE"""),33181)</f>
        <v>33181</v>
      </c>
      <c r="B960" t="str">
        <f ca="1">IFERROR(__xludf.DUMMYFUNCTION("""COMPUTED_VALUE"""),"ST-BARTHELEMY")</f>
        <v>ST-BARTHELEMY</v>
      </c>
      <c r="C960" t="str">
        <f ca="1">IFERROR(__xludf.DUMMYFUNCTION("""COMPUTED_VALUE"""),"Marché U")</f>
        <v>Marché U</v>
      </c>
      <c r="D960" t="str">
        <f ca="1">IFERROR(__xludf.DUMMYFUNCTION("""COMPUTED_VALUE"""),"Coop U Enseigne Ouest")</f>
        <v>Coop U Enseigne Ouest</v>
      </c>
      <c r="E960">
        <f ca="1">IFERROR(__xludf.DUMMYFUNCTION("""COMPUTED_VALUE"""),97133)</f>
        <v>97133</v>
      </c>
      <c r="F960" t="str">
        <f ca="1">IFERROR(__xludf.DUMMYFUNCTION("""COMPUTED_VALUE"""),"QUARTIER ST JEAN MARCHE U")</f>
        <v>QUARTIER ST JEAN MARCHE U</v>
      </c>
      <c r="G960" t="str">
        <f ca="1">IFERROR(__xludf.DUMMYFUNCTION("""COMPUTED_VALUE"""),"05.90.27.68.16")</f>
        <v>05.90.27.68.16</v>
      </c>
      <c r="H960" t="str">
        <f ca="1">IFERROR(__xludf.DUMMYFUNCTION("""COMPUTED_VALUE"""),"CHEVREUL Julie")</f>
        <v>CHEVREUL Julie</v>
      </c>
      <c r="I960" t="str">
        <f ca="1">IFERROR(__xludf.DUMMYFUNCTION("""COMPUTED_VALUE"""),"julie.chevreul@systeme-u.fr")</f>
        <v>julie.chevreul@systeme-u.fr</v>
      </c>
      <c r="J960" t="str">
        <f ca="1">IFERROR(__xludf.DUMMYFUNCTION("""COMPUTED_VALUE"""),"Mr Emilien Launay (directeur)")</f>
        <v>Mr Emilien Launay (directeur)</v>
      </c>
      <c r="K960" t="str">
        <f ca="1">IFERROR(__xludf.DUMMYFUNCTION("""COMPUTED_VALUE"""),"martine.crevecoeur@systeme-u.fr, marcheu.saintbarthelemy.direction@systeme-u.fr")</f>
        <v>martine.crevecoeur@systeme-u.fr, marcheu.saintbarthelemy.direction@systeme-u.fr</v>
      </c>
      <c r="L960" t="str">
        <f ca="1">IFERROR(__xludf.DUMMYFUNCTION("""COMPUTED_VALUE"""),"")</f>
        <v/>
      </c>
      <c r="M960" t="str">
        <f ca="1">IFERROR(__xludf.DUMMYFUNCTION("""COMPUTED_VALUE"""),"99.Hors Périmetre")</f>
        <v>99.Hors Périmetre</v>
      </c>
      <c r="N960" t="str">
        <f ca="1">IFERROR(__xludf.DUMMYFUNCTION("""COMPUTED_VALUE"""),"")</f>
        <v/>
      </c>
      <c r="O960" t="str">
        <f ca="1">IFERROR(__xludf.DUMMYFUNCTION("""COMPUTED_VALUE"""),"")</f>
        <v/>
      </c>
      <c r="P960" t="str">
        <f ca="1">IFERROR(__xludf.DUMMYFUNCTION("""COMPUTED_VALUE"""),"")</f>
        <v/>
      </c>
      <c r="Q960" s="5" t="str">
        <f ca="1">IFERROR(__xludf.DUMMYFUNCTION("""COMPUTED_VALUE"""),"")</f>
        <v/>
      </c>
      <c r="R960" s="6" t="str">
        <f ca="1">IFERROR(__xludf.DUMMYFUNCTION("""COMPUTED_VALUE"""),"")</f>
        <v/>
      </c>
      <c r="S960" t="str">
        <f ca="1">IFERROR(__xludf.DUMMYFUNCTION("""COMPUTED_VALUE"""),"")</f>
        <v/>
      </c>
      <c r="T960" t="str">
        <f ca="1">IFERROR(__xludf.DUMMYFUNCTION("""COMPUTED_VALUE"""),"")</f>
        <v/>
      </c>
      <c r="U960" t="str">
        <f ca="1">IFERROR(__xludf.DUMMYFUNCTION("""COMPUTED_VALUE"""),"")</f>
        <v/>
      </c>
      <c r="V960" t="str">
        <f ca="1">IFERROR(__xludf.DUMMYFUNCTION("""COMPUTED_VALUE"""),"")</f>
        <v/>
      </c>
      <c r="W960" t="str">
        <f ca="1">IFERROR(__xludf.DUMMYFUNCTION("""COMPUTED_VALUE"""),"")</f>
        <v/>
      </c>
      <c r="X960" t="str">
        <f ca="1">IFERROR(__xludf.DUMMYFUNCTION("""COMPUTED_VALUE"""),"")</f>
        <v/>
      </c>
      <c r="Y960" t="str">
        <f ca="1">IFERROR(__xludf.DUMMYFUNCTION("""COMPUTED_VALUE"""),"")</f>
        <v/>
      </c>
      <c r="Z960" t="str">
        <f ca="1">IFERROR(__xludf.DUMMYFUNCTION("""COMPUTED_VALUE"""),"")</f>
        <v/>
      </c>
      <c r="AA960" t="str">
        <f ca="1">IFERROR(__xludf.DUMMYFUNCTION("""COMPUTED_VALUE"""),"Pas de commande")</f>
        <v>Pas de commande</v>
      </c>
      <c r="AB960" s="8" t="str">
        <f ca="1">IFERROR(__xludf.DUMMYFUNCTION("""COMPUTED_VALUE"""),"")</f>
        <v/>
      </c>
      <c r="AC960" s="8" t="str">
        <f ca="1">IFERROR(__xludf.DUMMYFUNCTION("""COMPUTED_VALUE"""),"")</f>
        <v/>
      </c>
      <c r="AD960" s="11" t="str">
        <f ca="1">IFERROR(__xludf.DUMMYFUNCTION("""COMPUTED_VALUE"""),"")</f>
        <v/>
      </c>
      <c r="AE960" t="str">
        <f ca="1">IFERROR(__xludf.DUMMYFUNCTION("""COMPUTED_VALUE"""),"")</f>
        <v/>
      </c>
    </row>
    <row r="961" spans="1:31" ht="12.75" x14ac:dyDescent="0.2">
      <c r="A961">
        <f ca="1">IFERROR(__xludf.DUMMYFUNCTION("""COMPUTED_VALUE"""),37307)</f>
        <v>37307</v>
      </c>
      <c r="B961" t="str">
        <f ca="1">IFERROR(__xludf.DUMMYFUNCTION("""COMPUTED_VALUE"""),"ST-BARTHELEMY BANCHAIS")</f>
        <v>ST-BARTHELEMY BANCHAIS</v>
      </c>
      <c r="C961" t="str">
        <f ca="1">IFERROR(__xludf.DUMMYFUNCTION("""COMPUTED_VALUE"""),"Super U")</f>
        <v>Super U</v>
      </c>
      <c r="D961" t="str">
        <f ca="1">IFERROR(__xludf.DUMMYFUNCTION("""COMPUTED_VALUE"""),"Coop U Enseigne Ouest")</f>
        <v>Coop U Enseigne Ouest</v>
      </c>
      <c r="E961">
        <f ca="1">IFERROR(__xludf.DUMMYFUNCTION("""COMPUTED_VALUE"""),49124)</f>
        <v>49124</v>
      </c>
      <c r="F961" t="str">
        <f ca="1">IFERROR(__xludf.DUMMYFUNCTION("""COMPUTED_VALUE"""),"360 RUE HAUTE DES BANCHAIS")</f>
        <v>360 RUE HAUTE DES BANCHAIS</v>
      </c>
      <c r="G961" t="str">
        <f ca="1">IFERROR(__xludf.DUMMYFUNCTION("""COMPUTED_VALUE"""),"02.41.43.63.55")</f>
        <v>02.41.43.63.55</v>
      </c>
      <c r="H961" t="str">
        <f ca="1">IFERROR(__xludf.DUMMYFUNCTION("""COMPUTED_VALUE"""),"MANIABLE RPT BECRIGEST Christophe")</f>
        <v>MANIABLE RPT BECRIGEST Christophe</v>
      </c>
      <c r="I961" t="str">
        <f ca="1">IFERROR(__xludf.DUMMYFUNCTION("""COMPUTED_VALUE"""),"christophe.maniable@systeme-u.fr")</f>
        <v>christophe.maniable@systeme-u.fr</v>
      </c>
      <c r="J961" t="str">
        <f ca="1">IFERROR(__xludf.DUMMYFUNCTION("""COMPUTED_VALUE"""),"Mme Gascoin")</f>
        <v>Mme Gascoin</v>
      </c>
      <c r="K961" t="str">
        <f ca="1">IFERROR(__xludf.DUMMYFUNCTION("""COMPUTED_VALUE"""),"superu.saintbarthelemybanchais.direction@systeme-u.fr")</f>
        <v>superu.saintbarthelemybanchais.direction@systeme-u.fr</v>
      </c>
      <c r="L961" t="str">
        <f ca="1">IFERROR(__xludf.DUMMYFUNCTION("""COMPUTED_VALUE"""),"")</f>
        <v/>
      </c>
      <c r="M961" t="str">
        <f ca="1">IFERROR(__xludf.DUMMYFUNCTION("""COMPUTED_VALUE"""),"99.Hors Périmetre")</f>
        <v>99.Hors Périmetre</v>
      </c>
      <c r="N961" t="str">
        <f ca="1">IFERROR(__xludf.DUMMYFUNCTION("""COMPUTED_VALUE"""),"")</f>
        <v/>
      </c>
      <c r="O961" t="str">
        <f ca="1">IFERROR(__xludf.DUMMYFUNCTION("""COMPUTED_VALUE"""),"")</f>
        <v/>
      </c>
      <c r="P961" t="str">
        <f ca="1">IFERROR(__xludf.DUMMYFUNCTION("""COMPUTED_VALUE"""),"")</f>
        <v/>
      </c>
      <c r="Q961" s="5" t="str">
        <f ca="1">IFERROR(__xludf.DUMMYFUNCTION("""COMPUTED_VALUE"""),"")</f>
        <v/>
      </c>
      <c r="R961" s="6" t="str">
        <f ca="1">IFERROR(__xludf.DUMMYFUNCTION("""COMPUTED_VALUE"""),"")</f>
        <v/>
      </c>
      <c r="S961" t="str">
        <f ca="1">IFERROR(__xludf.DUMMYFUNCTION("""COMPUTED_VALUE"""),"")</f>
        <v/>
      </c>
      <c r="T961" t="str">
        <f ca="1">IFERROR(__xludf.DUMMYFUNCTION("""COMPUTED_VALUE"""),"")</f>
        <v/>
      </c>
      <c r="U961" t="str">
        <f ca="1">IFERROR(__xludf.DUMMYFUNCTION("""COMPUTED_VALUE"""),"")</f>
        <v/>
      </c>
      <c r="V961" t="str">
        <f ca="1">IFERROR(__xludf.DUMMYFUNCTION("""COMPUTED_VALUE"""),"")</f>
        <v/>
      </c>
      <c r="W961" t="str">
        <f ca="1">IFERROR(__xludf.DUMMYFUNCTION("""COMPUTED_VALUE"""),"")</f>
        <v/>
      </c>
      <c r="X961" t="str">
        <f ca="1">IFERROR(__xludf.DUMMYFUNCTION("""COMPUTED_VALUE"""),"")</f>
        <v/>
      </c>
      <c r="Y961" t="str">
        <f ca="1">IFERROR(__xludf.DUMMYFUNCTION("""COMPUTED_VALUE"""),"")</f>
        <v/>
      </c>
      <c r="Z961" t="str">
        <f ca="1">IFERROR(__xludf.DUMMYFUNCTION("""COMPUTED_VALUE"""),"")</f>
        <v/>
      </c>
      <c r="AA961" t="str">
        <f ca="1">IFERROR(__xludf.DUMMYFUNCTION("""COMPUTED_VALUE"""),"Pas de commande")</f>
        <v>Pas de commande</v>
      </c>
      <c r="AB961" s="8" t="str">
        <f ca="1">IFERROR(__xludf.DUMMYFUNCTION("""COMPUTED_VALUE"""),"")</f>
        <v/>
      </c>
      <c r="AC961" s="8" t="str">
        <f ca="1">IFERROR(__xludf.DUMMYFUNCTION("""COMPUTED_VALUE"""),"")</f>
        <v/>
      </c>
      <c r="AD961" s="11" t="str">
        <f ca="1">IFERROR(__xludf.DUMMYFUNCTION("""COMPUTED_VALUE"""),"")</f>
        <v/>
      </c>
      <c r="AE961" t="str">
        <f ca="1">IFERROR(__xludf.DUMMYFUNCTION("""COMPUTED_VALUE"""),"")</f>
        <v/>
      </c>
    </row>
    <row r="962" spans="1:31" ht="12.75" x14ac:dyDescent="0.2">
      <c r="A962">
        <f ca="1">IFERROR(__xludf.DUMMYFUNCTION("""COMPUTED_VALUE"""),37048)</f>
        <v>37048</v>
      </c>
      <c r="B962" t="str">
        <f ca="1">IFERROR(__xludf.DUMMYFUNCTION("""COMPUTED_VALUE"""),"ST-BARTHELEMY VERDUN")</f>
        <v>ST-BARTHELEMY VERDUN</v>
      </c>
      <c r="C962" t="str">
        <f ca="1">IFERROR(__xludf.DUMMYFUNCTION("""COMPUTED_VALUE"""),"Super U")</f>
        <v>Super U</v>
      </c>
      <c r="D962" t="str">
        <f ca="1">IFERROR(__xludf.DUMMYFUNCTION("""COMPUTED_VALUE"""),"Coop U Enseigne Ouest")</f>
        <v>Coop U Enseigne Ouest</v>
      </c>
      <c r="E962">
        <f ca="1">IFERROR(__xludf.DUMMYFUNCTION("""COMPUTED_VALUE"""),49124)</f>
        <v>49124</v>
      </c>
      <c r="F962" t="str">
        <f ca="1">IFERROR(__xludf.DUMMYFUNCTION("""COMPUTED_VALUE"""),"COEUR DE VILLE")</f>
        <v>COEUR DE VILLE</v>
      </c>
      <c r="G962" t="str">
        <f ca="1">IFERROR(__xludf.DUMMYFUNCTION("""COMPUTED_VALUE"""),"02.41.21.09.21")</f>
        <v>02.41.21.09.21</v>
      </c>
      <c r="H962" t="str">
        <f ca="1">IFERROR(__xludf.DUMMYFUNCTION("""COMPUTED_VALUE"""),"BELLIARD RPT SARL TREBEL François")</f>
        <v>BELLIARD RPT SARL TREBEL François</v>
      </c>
      <c r="I962" t="str">
        <f ca="1">IFERROR(__xludf.DUMMYFUNCTION("""COMPUTED_VALUE"""),"francois.belliard@systeme-u.fr")</f>
        <v>francois.belliard@systeme-u.fr</v>
      </c>
      <c r="J962" t="str">
        <f ca="1">IFERROR(__xludf.DUMMYFUNCTION("""COMPUTED_VALUE"""),"Fabienne BELLIARD")</f>
        <v>Fabienne BELLIARD</v>
      </c>
      <c r="K962" t="str">
        <f ca="1">IFERROR(__xludf.DUMMYFUNCTION("""COMPUTED_VALUE"""),"fabienne.belliard@systeme-u.fr")</f>
        <v>fabienne.belliard@systeme-u.fr</v>
      </c>
      <c r="L962" t="str">
        <f ca="1">IFERROR(__xludf.DUMMYFUNCTION("""COMPUTED_VALUE"""),"")</f>
        <v/>
      </c>
      <c r="M962" t="str">
        <f ca="1">IFERROR(__xludf.DUMMYFUNCTION("""COMPUTED_VALUE"""),"99.Hors Périmetre")</f>
        <v>99.Hors Périmetre</v>
      </c>
      <c r="N962" t="str">
        <f ca="1">IFERROR(__xludf.DUMMYFUNCTION("""COMPUTED_VALUE"""),"")</f>
        <v/>
      </c>
      <c r="O962" t="str">
        <f ca="1">IFERROR(__xludf.DUMMYFUNCTION("""COMPUTED_VALUE"""),"")</f>
        <v/>
      </c>
      <c r="P962" t="str">
        <f ca="1">IFERROR(__xludf.DUMMYFUNCTION("""COMPUTED_VALUE"""),"")</f>
        <v/>
      </c>
      <c r="Q962" s="5" t="str">
        <f ca="1">IFERROR(__xludf.DUMMYFUNCTION("""COMPUTED_VALUE"""),"")</f>
        <v/>
      </c>
      <c r="R962" s="6" t="str">
        <f ca="1">IFERROR(__xludf.DUMMYFUNCTION("""COMPUTED_VALUE"""),"")</f>
        <v/>
      </c>
      <c r="S962" t="str">
        <f ca="1">IFERROR(__xludf.DUMMYFUNCTION("""COMPUTED_VALUE"""),"")</f>
        <v/>
      </c>
      <c r="T962" t="str">
        <f ca="1">IFERROR(__xludf.DUMMYFUNCTION("""COMPUTED_VALUE"""),"")</f>
        <v/>
      </c>
      <c r="U962" t="str">
        <f ca="1">IFERROR(__xludf.DUMMYFUNCTION("""COMPUTED_VALUE"""),"")</f>
        <v/>
      </c>
      <c r="V962" t="str">
        <f ca="1">IFERROR(__xludf.DUMMYFUNCTION("""COMPUTED_VALUE"""),"")</f>
        <v/>
      </c>
      <c r="W962" t="str">
        <f ca="1">IFERROR(__xludf.DUMMYFUNCTION("""COMPUTED_VALUE"""),"")</f>
        <v/>
      </c>
      <c r="X962" t="str">
        <f ca="1">IFERROR(__xludf.DUMMYFUNCTION("""COMPUTED_VALUE"""),"")</f>
        <v/>
      </c>
      <c r="Y962" t="str">
        <f ca="1">IFERROR(__xludf.DUMMYFUNCTION("""COMPUTED_VALUE"""),"")</f>
        <v/>
      </c>
      <c r="Z962" t="str">
        <f ca="1">IFERROR(__xludf.DUMMYFUNCTION("""COMPUTED_VALUE"""),"")</f>
        <v/>
      </c>
      <c r="AA962" t="str">
        <f ca="1">IFERROR(__xludf.DUMMYFUNCTION("""COMPUTED_VALUE"""),"Pas de commande")</f>
        <v>Pas de commande</v>
      </c>
      <c r="AB962" s="8" t="str">
        <f ca="1">IFERROR(__xludf.DUMMYFUNCTION("""COMPUTED_VALUE"""),"")</f>
        <v/>
      </c>
      <c r="AC962" s="8" t="str">
        <f ca="1">IFERROR(__xludf.DUMMYFUNCTION("""COMPUTED_VALUE"""),"")</f>
        <v/>
      </c>
      <c r="AD962" s="11" t="str">
        <f ca="1">IFERROR(__xludf.DUMMYFUNCTION("""COMPUTED_VALUE"""),"")</f>
        <v/>
      </c>
      <c r="AE962" t="str">
        <f ca="1">IFERROR(__xludf.DUMMYFUNCTION("""COMPUTED_VALUE"""),"")</f>
        <v/>
      </c>
    </row>
    <row r="963" spans="1:31" ht="12.75" x14ac:dyDescent="0.2">
      <c r="A963">
        <f ca="1">IFERROR(__xludf.DUMMYFUNCTION("""COMPUTED_VALUE"""),31503)</f>
        <v>31503</v>
      </c>
      <c r="B963" t="str">
        <f ca="1">IFERROR(__xludf.DUMMYFUNCTION("""COMPUTED_VALUE"""),"ST-BENOIT-DU-SAULT")</f>
        <v>ST-BENOIT-DU-SAULT</v>
      </c>
      <c r="C963" t="str">
        <f ca="1">IFERROR(__xludf.DUMMYFUNCTION("""COMPUTED_VALUE"""),"Super U")</f>
        <v>Super U</v>
      </c>
      <c r="D963" t="str">
        <f ca="1">IFERROR(__xludf.DUMMYFUNCTION("""COMPUTED_VALUE"""),"Coop U Enseigne Ouest")</f>
        <v>Coop U Enseigne Ouest</v>
      </c>
      <c r="E963">
        <f ca="1">IFERROR(__xludf.DUMMYFUNCTION("""COMPUTED_VALUE"""),36170)</f>
        <v>36170</v>
      </c>
      <c r="F963" t="str">
        <f ca="1">IFERROR(__xludf.DUMMYFUNCTION("""COMPUTED_VALUE"""),"23 ROUTE D ARGENTON")</f>
        <v>23 ROUTE D ARGENTON</v>
      </c>
      <c r="G963" t="str">
        <f ca="1">IFERROR(__xludf.DUMMYFUNCTION("""COMPUTED_VALUE"""),"02.54.47.65.53")</f>
        <v>02.54.47.65.53</v>
      </c>
      <c r="H963" t="str">
        <f ca="1">IFERROR(__xludf.DUMMYFUNCTION("""COMPUTED_VALUE"""),"MOCZULSKI Maxime")</f>
        <v>MOCZULSKI Maxime</v>
      </c>
      <c r="I963" t="str">
        <f ca="1">IFERROR(__xludf.DUMMYFUNCTION("""COMPUTED_VALUE"""),"maxime.moczulski@systeme-u.fr")</f>
        <v>maxime.moczulski@systeme-u.fr</v>
      </c>
      <c r="J963" t="str">
        <f ca="1">IFERROR(__xludf.DUMMYFUNCTION("""COMPUTED_VALUE"""),"M. COURET")</f>
        <v>M. COURET</v>
      </c>
      <c r="K963" t="str">
        <f ca="1">IFERROR(__xludf.DUMMYFUNCTION("""COMPUTED_VALUE"""),"superu.saintbenoitdusault.direction@systeme-u.fr")</f>
        <v>superu.saintbenoitdusault.direction@systeme-u.fr</v>
      </c>
      <c r="L963" t="str">
        <f ca="1">IFERROR(__xludf.DUMMYFUNCTION("""COMPUTED_VALUE"""),"")</f>
        <v/>
      </c>
      <c r="M963" t="str">
        <f ca="1">IFERROR(__xludf.DUMMYFUNCTION("""COMPUTED_VALUE"""),"99.Hors Périmetre")</f>
        <v>99.Hors Périmetre</v>
      </c>
      <c r="N963" t="str">
        <f ca="1">IFERROR(__xludf.DUMMYFUNCTION("""COMPUTED_VALUE"""),"")</f>
        <v/>
      </c>
      <c r="O963" t="str">
        <f ca="1">IFERROR(__xludf.DUMMYFUNCTION("""COMPUTED_VALUE"""),"")</f>
        <v/>
      </c>
      <c r="P963" t="str">
        <f ca="1">IFERROR(__xludf.DUMMYFUNCTION("""COMPUTED_VALUE"""),"")</f>
        <v/>
      </c>
      <c r="Q963" s="5" t="str">
        <f ca="1">IFERROR(__xludf.DUMMYFUNCTION("""COMPUTED_VALUE"""),"")</f>
        <v/>
      </c>
      <c r="R963" s="6" t="str">
        <f ca="1">IFERROR(__xludf.DUMMYFUNCTION("""COMPUTED_VALUE"""),"")</f>
        <v/>
      </c>
      <c r="S963" t="str">
        <f ca="1">IFERROR(__xludf.DUMMYFUNCTION("""COMPUTED_VALUE"""),"")</f>
        <v/>
      </c>
      <c r="T963" t="str">
        <f ca="1">IFERROR(__xludf.DUMMYFUNCTION("""COMPUTED_VALUE"""),"")</f>
        <v/>
      </c>
      <c r="U963" t="str">
        <f ca="1">IFERROR(__xludf.DUMMYFUNCTION("""COMPUTED_VALUE"""),"")</f>
        <v/>
      </c>
      <c r="V963" t="str">
        <f ca="1">IFERROR(__xludf.DUMMYFUNCTION("""COMPUTED_VALUE"""),"")</f>
        <v/>
      </c>
      <c r="W963" t="str">
        <f ca="1">IFERROR(__xludf.DUMMYFUNCTION("""COMPUTED_VALUE"""),"")</f>
        <v/>
      </c>
      <c r="X963" t="str">
        <f ca="1">IFERROR(__xludf.DUMMYFUNCTION("""COMPUTED_VALUE"""),"")</f>
        <v/>
      </c>
      <c r="Y963" t="str">
        <f ca="1">IFERROR(__xludf.DUMMYFUNCTION("""COMPUTED_VALUE"""),"")</f>
        <v/>
      </c>
      <c r="Z963" t="str">
        <f ca="1">IFERROR(__xludf.DUMMYFUNCTION("""COMPUTED_VALUE"""),"")</f>
        <v/>
      </c>
      <c r="AA963" t="str">
        <f ca="1">IFERROR(__xludf.DUMMYFUNCTION("""COMPUTED_VALUE"""),"Pas de commande")</f>
        <v>Pas de commande</v>
      </c>
      <c r="AB963" s="8" t="str">
        <f ca="1">IFERROR(__xludf.DUMMYFUNCTION("""COMPUTED_VALUE"""),"")</f>
        <v/>
      </c>
      <c r="AC963" s="8" t="str">
        <f ca="1">IFERROR(__xludf.DUMMYFUNCTION("""COMPUTED_VALUE"""),"")</f>
        <v/>
      </c>
      <c r="AD963" s="11" t="str">
        <f ca="1">IFERROR(__xludf.DUMMYFUNCTION("""COMPUTED_VALUE"""),"")</f>
        <v/>
      </c>
      <c r="AE963" t="str">
        <f ca="1">IFERROR(__xludf.DUMMYFUNCTION("""COMPUTED_VALUE"""),"")</f>
        <v/>
      </c>
    </row>
    <row r="964" spans="1:31" ht="12.75" x14ac:dyDescent="0.2">
      <c r="A964">
        <f ca="1">IFERROR(__xludf.DUMMYFUNCTION("""COMPUTED_VALUE"""),99108)</f>
        <v>99108</v>
      </c>
      <c r="B964" t="str">
        <f ca="1">IFERROR(__xludf.DUMMYFUNCTION("""COMPUTED_VALUE"""),"ST-BENOIT-IDR")</f>
        <v>ST-BENOIT-IDR</v>
      </c>
      <c r="C964" t="str">
        <f ca="1">IFERROR(__xludf.DUMMYFUNCTION("""COMPUTED_VALUE"""),"U Express")</f>
        <v>U Express</v>
      </c>
      <c r="D964" t="str">
        <f ca="1">IFERROR(__xludf.DUMMYFUNCTION("""COMPUTED_VALUE"""),"Coop U Enseigne Sud")</f>
        <v>Coop U Enseigne Sud</v>
      </c>
      <c r="E964">
        <f ca="1">IFERROR(__xludf.DUMMYFUNCTION("""COMPUTED_VALUE"""),97470)</f>
        <v>97470</v>
      </c>
      <c r="F964" t="str">
        <f ca="1">IFERROR(__xludf.DUMMYFUNCTION("""COMPUTED_VALUE"""),"1 RUE LOUIS BRUNET BP 75")</f>
        <v>1 RUE LOUIS BRUNET BP 75</v>
      </c>
      <c r="G964" t="str">
        <f ca="1">IFERROR(__xludf.DUMMYFUNCTION("""COMPUTED_VALUE"""),"02.62.50.31.70")</f>
        <v>02.62.50.31.70</v>
      </c>
      <c r="H964" t="str">
        <f ca="1">IFERROR(__xludf.DUMMYFUNCTION("""COMPUTED_VALUE"""),"THIA-SOUI TCHONG Corinne")</f>
        <v>THIA-SOUI TCHONG Corinne</v>
      </c>
      <c r="I964" t="str">
        <f ca="1">IFERROR(__xludf.DUMMYFUNCTION("""COMPUTED_VALUE"""),"corinne.thia@systeme-u.fr")</f>
        <v>corinne.thia@systeme-u.fr</v>
      </c>
      <c r="J964" t="str">
        <f ca="1">IFERROR(__xludf.DUMMYFUNCTION("""COMPUTED_VALUE"""),"")</f>
        <v/>
      </c>
      <c r="K964" t="str">
        <f ca="1">IFERROR(__xludf.DUMMYFUNCTION("""COMPUTED_VALUE"""),"")</f>
        <v/>
      </c>
      <c r="L964" t="str">
        <f ca="1">IFERROR(__xludf.DUMMYFUNCTION("""COMPUTED_VALUE"""),"")</f>
        <v/>
      </c>
      <c r="M964" t="str">
        <f ca="1">IFERROR(__xludf.DUMMYFUNCTION("""COMPUTED_VALUE"""),"99.Hors Périmetre")</f>
        <v>99.Hors Périmetre</v>
      </c>
      <c r="N964" t="str">
        <f ca="1">IFERROR(__xludf.DUMMYFUNCTION("""COMPUTED_VALUE"""),"")</f>
        <v/>
      </c>
      <c r="O964" t="str">
        <f ca="1">IFERROR(__xludf.DUMMYFUNCTION("""COMPUTED_VALUE"""),"")</f>
        <v/>
      </c>
      <c r="P964" t="str">
        <f ca="1">IFERROR(__xludf.DUMMYFUNCTION("""COMPUTED_VALUE"""),"")</f>
        <v/>
      </c>
      <c r="Q964" s="5" t="str">
        <f ca="1">IFERROR(__xludf.DUMMYFUNCTION("""COMPUTED_VALUE"""),"")</f>
        <v/>
      </c>
      <c r="R964" s="6" t="str">
        <f ca="1">IFERROR(__xludf.DUMMYFUNCTION("""COMPUTED_VALUE"""),"")</f>
        <v/>
      </c>
      <c r="S964" t="str">
        <f ca="1">IFERROR(__xludf.DUMMYFUNCTION("""COMPUTED_VALUE"""),"")</f>
        <v/>
      </c>
      <c r="T964" t="str">
        <f ca="1">IFERROR(__xludf.DUMMYFUNCTION("""COMPUTED_VALUE"""),"")</f>
        <v/>
      </c>
      <c r="U964" t="str">
        <f ca="1">IFERROR(__xludf.DUMMYFUNCTION("""COMPUTED_VALUE"""),"")</f>
        <v/>
      </c>
      <c r="V964" t="str">
        <f ca="1">IFERROR(__xludf.DUMMYFUNCTION("""COMPUTED_VALUE"""),"")</f>
        <v/>
      </c>
      <c r="W964" t="str">
        <f ca="1">IFERROR(__xludf.DUMMYFUNCTION("""COMPUTED_VALUE"""),"")</f>
        <v/>
      </c>
      <c r="X964" t="str">
        <f ca="1">IFERROR(__xludf.DUMMYFUNCTION("""COMPUTED_VALUE"""),"")</f>
        <v/>
      </c>
      <c r="Y964" t="str">
        <f ca="1">IFERROR(__xludf.DUMMYFUNCTION("""COMPUTED_VALUE"""),"")</f>
        <v/>
      </c>
      <c r="Z964" t="str">
        <f ca="1">IFERROR(__xludf.DUMMYFUNCTION("""COMPUTED_VALUE"""),"")</f>
        <v/>
      </c>
      <c r="AA964" t="str">
        <f ca="1">IFERROR(__xludf.DUMMYFUNCTION("""COMPUTED_VALUE"""),"Pas de commande")</f>
        <v>Pas de commande</v>
      </c>
      <c r="AB964" s="8" t="str">
        <f ca="1">IFERROR(__xludf.DUMMYFUNCTION("""COMPUTED_VALUE"""),"")</f>
        <v/>
      </c>
      <c r="AC964" s="8" t="str">
        <f ca="1">IFERROR(__xludf.DUMMYFUNCTION("""COMPUTED_VALUE"""),"")</f>
        <v/>
      </c>
      <c r="AD964" s="11" t="str">
        <f ca="1">IFERROR(__xludf.DUMMYFUNCTION("""COMPUTED_VALUE"""),"")</f>
        <v/>
      </c>
      <c r="AE964" t="str">
        <f ca="1">IFERROR(__xludf.DUMMYFUNCTION("""COMPUTED_VALUE"""),"")</f>
        <v/>
      </c>
    </row>
    <row r="965" spans="1:31" ht="12.75" x14ac:dyDescent="0.2">
      <c r="A965">
        <f ca="1">IFERROR(__xludf.DUMMYFUNCTION("""COMPUTED_VALUE"""),31430)</f>
        <v>31430</v>
      </c>
      <c r="B965" t="str">
        <f ca="1">IFERROR(__xludf.DUMMYFUNCTION("""COMPUTED_VALUE"""),"ST-BREVIN-LES PINS")</f>
        <v>ST-BREVIN-LES PINS</v>
      </c>
      <c r="C965" t="str">
        <f ca="1">IFERROR(__xludf.DUMMYFUNCTION("""COMPUTED_VALUE"""),"Super U")</f>
        <v>Super U</v>
      </c>
      <c r="D965" t="str">
        <f ca="1">IFERROR(__xludf.DUMMYFUNCTION("""COMPUTED_VALUE"""),"Coop U Enseigne Ouest")</f>
        <v>Coop U Enseigne Ouest</v>
      </c>
      <c r="E965">
        <f ca="1">IFERROR(__xludf.DUMMYFUNCTION("""COMPUTED_VALUE"""),44250)</f>
        <v>44250</v>
      </c>
      <c r="F965" t="str">
        <f ca="1">IFERROR(__xludf.DUMMYFUNCTION("""COMPUTED_VALUE"""),"PLACE HENRI BASLE")</f>
        <v>PLACE HENRI BASLE</v>
      </c>
      <c r="G965" t="str">
        <f ca="1">IFERROR(__xludf.DUMMYFUNCTION("""COMPUTED_VALUE"""),"02.40.27.20.20")</f>
        <v>02.40.27.20.20</v>
      </c>
      <c r="H965" t="str">
        <f ca="1">IFERROR(__xludf.DUMMYFUNCTION("""COMPUTED_VALUE"""),"RENAUD Benoît")</f>
        <v>RENAUD Benoît</v>
      </c>
      <c r="I965" t="str">
        <f ca="1">IFERROR(__xludf.DUMMYFUNCTION("""COMPUTED_VALUE"""),"benoit.renaud@systeme-u.fr")</f>
        <v>benoit.renaud@systeme-u.fr</v>
      </c>
      <c r="J965" t="str">
        <f ca="1">IFERROR(__xludf.DUMMYFUNCTION("""COMPUTED_VALUE"""),"RENAUD Benoît")</f>
        <v>RENAUD Benoît</v>
      </c>
      <c r="K965" t="str">
        <f ca="1">IFERROR(__xludf.DUMMYFUNCTION("""COMPUTED_VALUE"""),"benoit.renaud@systeme-u.fr")</f>
        <v>benoit.renaud@systeme-u.fr</v>
      </c>
      <c r="L965" t="str">
        <f ca="1">IFERROR(__xludf.DUMMYFUNCTION("""COMPUTED_VALUE"""),"")</f>
        <v/>
      </c>
      <c r="M965" t="str">
        <f ca="1">IFERROR(__xludf.DUMMYFUNCTION("""COMPUTED_VALUE"""),"99.Hors Périmetre")</f>
        <v>99.Hors Périmetre</v>
      </c>
      <c r="N965" t="str">
        <f ca="1">IFERROR(__xludf.DUMMYFUNCTION("""COMPUTED_VALUE"""),"")</f>
        <v/>
      </c>
      <c r="O965" t="str">
        <f ca="1">IFERROR(__xludf.DUMMYFUNCTION("""COMPUTED_VALUE"""),"")</f>
        <v/>
      </c>
      <c r="P965" t="str">
        <f ca="1">IFERROR(__xludf.DUMMYFUNCTION("""COMPUTED_VALUE"""),"")</f>
        <v/>
      </c>
      <c r="Q965" s="5" t="str">
        <f ca="1">IFERROR(__xludf.DUMMYFUNCTION("""COMPUTED_VALUE"""),"")</f>
        <v/>
      </c>
      <c r="R965" s="6" t="str">
        <f ca="1">IFERROR(__xludf.DUMMYFUNCTION("""COMPUTED_VALUE"""),"")</f>
        <v/>
      </c>
      <c r="S965" t="str">
        <f ca="1">IFERROR(__xludf.DUMMYFUNCTION("""COMPUTED_VALUE"""),"")</f>
        <v/>
      </c>
      <c r="T965" t="str">
        <f ca="1">IFERROR(__xludf.DUMMYFUNCTION("""COMPUTED_VALUE"""),"")</f>
        <v/>
      </c>
      <c r="U965" t="str">
        <f ca="1">IFERROR(__xludf.DUMMYFUNCTION("""COMPUTED_VALUE"""),"")</f>
        <v/>
      </c>
      <c r="V965" t="str">
        <f ca="1">IFERROR(__xludf.DUMMYFUNCTION("""COMPUTED_VALUE"""),"")</f>
        <v/>
      </c>
      <c r="W965" t="str">
        <f ca="1">IFERROR(__xludf.DUMMYFUNCTION("""COMPUTED_VALUE"""),"")</f>
        <v/>
      </c>
      <c r="X965" t="str">
        <f ca="1">IFERROR(__xludf.DUMMYFUNCTION("""COMPUTED_VALUE"""),"")</f>
        <v/>
      </c>
      <c r="Y965" t="str">
        <f ca="1">IFERROR(__xludf.DUMMYFUNCTION("""COMPUTED_VALUE"""),"")</f>
        <v/>
      </c>
      <c r="Z965" t="str">
        <f ca="1">IFERROR(__xludf.DUMMYFUNCTION("""COMPUTED_VALUE"""),"")</f>
        <v/>
      </c>
      <c r="AA965" t="str">
        <f ca="1">IFERROR(__xludf.DUMMYFUNCTION("""COMPUTED_VALUE"""),"Pas de commande")</f>
        <v>Pas de commande</v>
      </c>
      <c r="AB965" s="8" t="str">
        <f ca="1">IFERROR(__xludf.DUMMYFUNCTION("""COMPUTED_VALUE"""),"")</f>
        <v/>
      </c>
      <c r="AC965" s="8" t="str">
        <f ca="1">IFERROR(__xludf.DUMMYFUNCTION("""COMPUTED_VALUE"""),"")</f>
        <v/>
      </c>
      <c r="AD965" s="11" t="str">
        <f ca="1">IFERROR(__xludf.DUMMYFUNCTION("""COMPUTED_VALUE"""),"")</f>
        <v/>
      </c>
      <c r="AE965" t="str">
        <f ca="1">IFERROR(__xludf.DUMMYFUNCTION("""COMPUTED_VALUE"""),"")</f>
        <v/>
      </c>
    </row>
    <row r="966" spans="1:31" ht="12.75" x14ac:dyDescent="0.2">
      <c r="A966">
        <f ca="1">IFERROR(__xludf.DUMMYFUNCTION("""COMPUTED_VALUE"""),30418)</f>
        <v>30418</v>
      </c>
      <c r="B966" t="str">
        <f ca="1">IFERROR(__xludf.DUMMYFUNCTION("""COMPUTED_VALUE"""),"ST-BRICE-EN-COGLES")</f>
        <v>ST-BRICE-EN-COGLES</v>
      </c>
      <c r="C966" t="str">
        <f ca="1">IFERROR(__xludf.DUMMYFUNCTION("""COMPUTED_VALUE"""),"Super U")</f>
        <v>Super U</v>
      </c>
      <c r="D966" t="str">
        <f ca="1">IFERROR(__xludf.DUMMYFUNCTION("""COMPUTED_VALUE"""),"Coop U Enseigne Ouest")</f>
        <v>Coop U Enseigne Ouest</v>
      </c>
      <c r="E966">
        <f ca="1">IFERROR(__xludf.DUMMYFUNCTION("""COMPUTED_VALUE"""),35460)</f>
        <v>35460</v>
      </c>
      <c r="F966" t="str">
        <f ca="1">IFERROR(__xludf.DUMMYFUNCTION("""COMPUTED_VALUE"""),"ZAC DE LA CROIX ROUGE")</f>
        <v>ZAC DE LA CROIX ROUGE</v>
      </c>
      <c r="G966" t="str">
        <f ca="1">IFERROR(__xludf.DUMMYFUNCTION("""COMPUTED_VALUE"""),"02.99.98.66.43")</f>
        <v>02.99.98.66.43</v>
      </c>
      <c r="H966" t="str">
        <f ca="1">IFERROR(__xludf.DUMMYFUNCTION("""COMPUTED_VALUE"""),"RICHER TREHU Alexandra")</f>
        <v>RICHER TREHU Alexandra</v>
      </c>
      <c r="I966" t="str">
        <f ca="1">IFERROR(__xludf.DUMMYFUNCTION("""COMPUTED_VALUE"""),"alexandra.richer@systeme-u.fr")</f>
        <v>alexandra.richer@systeme-u.fr</v>
      </c>
      <c r="J966" t="str">
        <f ca="1">IFERROR(__xludf.DUMMYFUNCTION("""COMPUTED_VALUE"""),"")</f>
        <v/>
      </c>
      <c r="K966" t="str">
        <f ca="1">IFERROR(__xludf.DUMMYFUNCTION("""COMPUTED_VALUE"""),"")</f>
        <v/>
      </c>
      <c r="L966" t="str">
        <f ca="1">IFERROR(__xludf.DUMMYFUNCTION("""COMPUTED_VALUE"""),"")</f>
        <v/>
      </c>
      <c r="M966" t="str">
        <f ca="1">IFERROR(__xludf.DUMMYFUNCTION("""COMPUTED_VALUE"""),"99.Hors Périmetre")</f>
        <v>99.Hors Périmetre</v>
      </c>
      <c r="N966" t="str">
        <f ca="1">IFERROR(__xludf.DUMMYFUNCTION("""COMPUTED_VALUE"""),"")</f>
        <v/>
      </c>
      <c r="O966" t="str">
        <f ca="1">IFERROR(__xludf.DUMMYFUNCTION("""COMPUTED_VALUE"""),"")</f>
        <v/>
      </c>
      <c r="P966" t="str">
        <f ca="1">IFERROR(__xludf.DUMMYFUNCTION("""COMPUTED_VALUE"""),"")</f>
        <v/>
      </c>
      <c r="Q966" s="5" t="str">
        <f ca="1">IFERROR(__xludf.DUMMYFUNCTION("""COMPUTED_VALUE"""),"")</f>
        <v/>
      </c>
      <c r="R966" s="6" t="str">
        <f ca="1">IFERROR(__xludf.DUMMYFUNCTION("""COMPUTED_VALUE"""),"")</f>
        <v/>
      </c>
      <c r="S966" t="str">
        <f ca="1">IFERROR(__xludf.DUMMYFUNCTION("""COMPUTED_VALUE"""),"")</f>
        <v/>
      </c>
      <c r="T966" t="str">
        <f ca="1">IFERROR(__xludf.DUMMYFUNCTION("""COMPUTED_VALUE"""),"")</f>
        <v/>
      </c>
      <c r="U966" t="str">
        <f ca="1">IFERROR(__xludf.DUMMYFUNCTION("""COMPUTED_VALUE"""),"")</f>
        <v/>
      </c>
      <c r="V966" t="str">
        <f ca="1">IFERROR(__xludf.DUMMYFUNCTION("""COMPUTED_VALUE"""),"")</f>
        <v/>
      </c>
      <c r="W966" t="str">
        <f ca="1">IFERROR(__xludf.DUMMYFUNCTION("""COMPUTED_VALUE"""),"")</f>
        <v/>
      </c>
      <c r="X966" t="str">
        <f ca="1">IFERROR(__xludf.DUMMYFUNCTION("""COMPUTED_VALUE"""),"")</f>
        <v/>
      </c>
      <c r="Y966" t="str">
        <f ca="1">IFERROR(__xludf.DUMMYFUNCTION("""COMPUTED_VALUE"""),"")</f>
        <v/>
      </c>
      <c r="Z966" t="str">
        <f ca="1">IFERROR(__xludf.DUMMYFUNCTION("""COMPUTED_VALUE"""),"")</f>
        <v/>
      </c>
      <c r="AA966" t="str">
        <f ca="1">IFERROR(__xludf.DUMMYFUNCTION("""COMPUTED_VALUE"""),"Pas de commande")</f>
        <v>Pas de commande</v>
      </c>
      <c r="AB966" s="8" t="str">
        <f ca="1">IFERROR(__xludf.DUMMYFUNCTION("""COMPUTED_VALUE"""),"")</f>
        <v/>
      </c>
      <c r="AC966" s="8" t="str">
        <f ca="1">IFERROR(__xludf.DUMMYFUNCTION("""COMPUTED_VALUE"""),"")</f>
        <v/>
      </c>
      <c r="AD966" s="11" t="str">
        <f ca="1">IFERROR(__xludf.DUMMYFUNCTION("""COMPUTED_VALUE"""),"")</f>
        <v/>
      </c>
      <c r="AE966" t="str">
        <f ca="1">IFERROR(__xludf.DUMMYFUNCTION("""COMPUTED_VALUE"""),"")</f>
        <v/>
      </c>
    </row>
    <row r="967" spans="1:31" ht="12.75" x14ac:dyDescent="0.2">
      <c r="A967">
        <f ca="1">IFERROR(__xludf.DUMMYFUNCTION("""COMPUTED_VALUE"""),35509)</f>
        <v>35509</v>
      </c>
      <c r="B967" t="str">
        <f ca="1">IFERROR(__xludf.DUMMYFUNCTION("""COMPUTED_VALUE"""),"ST-BRIEUC BENOIT")</f>
        <v>ST-BRIEUC BENOIT</v>
      </c>
      <c r="C967" t="str">
        <f ca="1">IFERROR(__xludf.DUMMYFUNCTION("""COMPUTED_VALUE"""),"U Express")</f>
        <v>U Express</v>
      </c>
      <c r="D967" t="str">
        <f ca="1">IFERROR(__xludf.DUMMYFUNCTION("""COMPUTED_VALUE"""),"Coop U Enseigne Ouest")</f>
        <v>Coop U Enseigne Ouest</v>
      </c>
      <c r="E967">
        <f ca="1">IFERROR(__xludf.DUMMYFUNCTION("""COMPUTED_VALUE"""),22000)</f>
        <v>22000</v>
      </c>
      <c r="F967" t="str">
        <f ca="1">IFERROR(__xludf.DUMMYFUNCTION("""COMPUTED_VALUE"""),"8 RUE SAINT BENOIT")</f>
        <v>8 RUE SAINT BENOIT</v>
      </c>
      <c r="G967" t="str">
        <f ca="1">IFERROR(__xludf.DUMMYFUNCTION("""COMPUTED_VALUE"""),"02.96.33.58.06")</f>
        <v>02.96.33.58.06</v>
      </c>
      <c r="H967" t="str">
        <f ca="1">IFERROR(__xludf.DUMMYFUNCTION("""COMPUTED_VALUE"""),"PRIGENT RPT SAS GEFFDIS Gildas")</f>
        <v>PRIGENT RPT SAS GEFFDIS Gildas</v>
      </c>
      <c r="I967" t="str">
        <f ca="1">IFERROR(__xludf.DUMMYFUNCTION("""COMPUTED_VALUE"""),"gildas.prigent@systeme-u.fr")</f>
        <v>gildas.prigent@systeme-u.fr</v>
      </c>
      <c r="J967" t="str">
        <f ca="1">IFERROR(__xludf.DUMMYFUNCTION("""COMPUTED_VALUE"""),"PRIGENT Nadine")</f>
        <v>PRIGENT Nadine</v>
      </c>
      <c r="K967" t="str">
        <f ca="1">IFERROR(__xludf.DUMMYFUNCTION("""COMPUTED_VALUE"""),"uexpress.saintbrieucbenoit@systeme-u.fr")</f>
        <v>uexpress.saintbrieucbenoit@systeme-u.fr</v>
      </c>
      <c r="L967" t="str">
        <f ca="1">IFERROR(__xludf.DUMMYFUNCTION("""COMPUTED_VALUE"""),"")</f>
        <v/>
      </c>
      <c r="M967" t="str">
        <f ca="1">IFERROR(__xludf.DUMMYFUNCTION("""COMPUTED_VALUE"""),"99.Hors Périmetre")</f>
        <v>99.Hors Périmetre</v>
      </c>
      <c r="N967" t="str">
        <f ca="1">IFERROR(__xludf.DUMMYFUNCTION("""COMPUTED_VALUE"""),"")</f>
        <v/>
      </c>
      <c r="O967" t="str">
        <f ca="1">IFERROR(__xludf.DUMMYFUNCTION("""COMPUTED_VALUE"""),"")</f>
        <v/>
      </c>
      <c r="P967" t="str">
        <f ca="1">IFERROR(__xludf.DUMMYFUNCTION("""COMPUTED_VALUE"""),"")</f>
        <v/>
      </c>
      <c r="Q967" s="5" t="str">
        <f ca="1">IFERROR(__xludf.DUMMYFUNCTION("""COMPUTED_VALUE"""),"")</f>
        <v/>
      </c>
      <c r="R967" s="6" t="str">
        <f ca="1">IFERROR(__xludf.DUMMYFUNCTION("""COMPUTED_VALUE"""),"")</f>
        <v/>
      </c>
      <c r="S967" t="str">
        <f ca="1">IFERROR(__xludf.DUMMYFUNCTION("""COMPUTED_VALUE"""),"")</f>
        <v/>
      </c>
      <c r="T967" t="str">
        <f ca="1">IFERROR(__xludf.DUMMYFUNCTION("""COMPUTED_VALUE"""),"")</f>
        <v/>
      </c>
      <c r="U967" t="str">
        <f ca="1">IFERROR(__xludf.DUMMYFUNCTION("""COMPUTED_VALUE"""),"")</f>
        <v/>
      </c>
      <c r="V967" t="str">
        <f ca="1">IFERROR(__xludf.DUMMYFUNCTION("""COMPUTED_VALUE"""),"")</f>
        <v/>
      </c>
      <c r="W967" t="str">
        <f ca="1">IFERROR(__xludf.DUMMYFUNCTION("""COMPUTED_VALUE"""),"")</f>
        <v/>
      </c>
      <c r="X967" t="str">
        <f ca="1">IFERROR(__xludf.DUMMYFUNCTION("""COMPUTED_VALUE"""),"")</f>
        <v/>
      </c>
      <c r="Y967" t="str">
        <f ca="1">IFERROR(__xludf.DUMMYFUNCTION("""COMPUTED_VALUE"""),"")</f>
        <v/>
      </c>
      <c r="Z967" t="str">
        <f ca="1">IFERROR(__xludf.DUMMYFUNCTION("""COMPUTED_VALUE"""),"")</f>
        <v/>
      </c>
      <c r="AA967" t="str">
        <f ca="1">IFERROR(__xludf.DUMMYFUNCTION("""COMPUTED_VALUE"""),"Pas de commande")</f>
        <v>Pas de commande</v>
      </c>
      <c r="AB967" s="8" t="str">
        <f ca="1">IFERROR(__xludf.DUMMYFUNCTION("""COMPUTED_VALUE"""),"")</f>
        <v/>
      </c>
      <c r="AC967" s="8" t="str">
        <f ca="1">IFERROR(__xludf.DUMMYFUNCTION("""COMPUTED_VALUE"""),"")</f>
        <v/>
      </c>
      <c r="AD967" s="11" t="str">
        <f ca="1">IFERROR(__xludf.DUMMYFUNCTION("""COMPUTED_VALUE"""),"")</f>
        <v/>
      </c>
      <c r="AE967" t="str">
        <f ca="1">IFERROR(__xludf.DUMMYFUNCTION("""COMPUTED_VALUE"""),"")</f>
        <v/>
      </c>
    </row>
    <row r="968" spans="1:31" ht="12.75" x14ac:dyDescent="0.2">
      <c r="A968">
        <f ca="1">IFERROR(__xludf.DUMMYFUNCTION("""COMPUTED_VALUE"""),38114)</f>
        <v>38114</v>
      </c>
      <c r="B968" t="str">
        <f ca="1">IFERROR(__xludf.DUMMYFUNCTION("""COMPUTED_VALUE"""),"ST-CAST-LE-GUILDO")</f>
        <v>ST-CAST-LE-GUILDO</v>
      </c>
      <c r="C968" t="str">
        <f ca="1">IFERROR(__xludf.DUMMYFUNCTION("""COMPUTED_VALUE"""),"U Express")</f>
        <v>U Express</v>
      </c>
      <c r="D968" t="str">
        <f ca="1">IFERROR(__xludf.DUMMYFUNCTION("""COMPUTED_VALUE"""),"Coop U Enseigne Ouest")</f>
        <v>Coop U Enseigne Ouest</v>
      </c>
      <c r="E968">
        <f ca="1">IFERROR(__xludf.DUMMYFUNCTION("""COMPUTED_VALUE"""),22380)</f>
        <v>22380</v>
      </c>
      <c r="F968" t="str">
        <f ca="1">IFERROR(__xludf.DUMMYFUNCTION("""COMPUTED_VALUE"""),"RUE DES ROCHETTES")</f>
        <v>RUE DES ROCHETTES</v>
      </c>
      <c r="G968" t="str">
        <f ca="1">IFERROR(__xludf.DUMMYFUNCTION("""COMPUTED_VALUE"""),"02.96.87.54.30")</f>
        <v>02.96.87.54.30</v>
      </c>
      <c r="H968" t="str">
        <f ca="1">IFERROR(__xludf.DUMMYFUNCTION("""COMPUTED_VALUE"""),"LAIGO FLORENCE")</f>
        <v>LAIGO FLORENCE</v>
      </c>
      <c r="I968" t="str">
        <f ca="1">IFERROR(__xludf.DUMMYFUNCTION("""COMPUTED_VALUE"""),"florence.laigo@systeme-u.fr")</f>
        <v>florence.laigo@systeme-u.fr</v>
      </c>
      <c r="J968" t="str">
        <f ca="1">IFERROR(__xludf.DUMMYFUNCTION("""COMPUTED_VALUE"""),"Marianne")</f>
        <v>Marianne</v>
      </c>
      <c r="K968" t="str">
        <f ca="1">IFERROR(__xludf.DUMMYFUNCTION("""COMPUTED_VALUE"""),"superu.matignon@systeme-u.fr")</f>
        <v>superu.matignon@systeme-u.fr</v>
      </c>
      <c r="L968" t="str">
        <f ca="1">IFERROR(__xludf.DUMMYFUNCTION("""COMPUTED_VALUE"""),"")</f>
        <v/>
      </c>
      <c r="M968" t="str">
        <f ca="1">IFERROR(__xludf.DUMMYFUNCTION("""COMPUTED_VALUE"""),"99.Hors Périmetre")</f>
        <v>99.Hors Périmetre</v>
      </c>
      <c r="N968" t="str">
        <f ca="1">IFERROR(__xludf.DUMMYFUNCTION("""COMPUTED_VALUE"""),"")</f>
        <v/>
      </c>
      <c r="O968" t="str">
        <f ca="1">IFERROR(__xludf.DUMMYFUNCTION("""COMPUTED_VALUE"""),"")</f>
        <v/>
      </c>
      <c r="P968" t="str">
        <f ca="1">IFERROR(__xludf.DUMMYFUNCTION("""COMPUTED_VALUE"""),"")</f>
        <v/>
      </c>
      <c r="Q968" s="5" t="str">
        <f ca="1">IFERROR(__xludf.DUMMYFUNCTION("""COMPUTED_VALUE"""),"")</f>
        <v/>
      </c>
      <c r="R968" s="6" t="str">
        <f ca="1">IFERROR(__xludf.DUMMYFUNCTION("""COMPUTED_VALUE"""),"")</f>
        <v/>
      </c>
      <c r="S968" t="str">
        <f ca="1">IFERROR(__xludf.DUMMYFUNCTION("""COMPUTED_VALUE"""),"")</f>
        <v/>
      </c>
      <c r="T968" t="str">
        <f ca="1">IFERROR(__xludf.DUMMYFUNCTION("""COMPUTED_VALUE"""),"")</f>
        <v/>
      </c>
      <c r="U968" t="str">
        <f ca="1">IFERROR(__xludf.DUMMYFUNCTION("""COMPUTED_VALUE"""),"")</f>
        <v/>
      </c>
      <c r="V968" t="str">
        <f ca="1">IFERROR(__xludf.DUMMYFUNCTION("""COMPUTED_VALUE"""),"")</f>
        <v/>
      </c>
      <c r="W968" t="str">
        <f ca="1">IFERROR(__xludf.DUMMYFUNCTION("""COMPUTED_VALUE"""),"")</f>
        <v/>
      </c>
      <c r="X968" t="str">
        <f ca="1">IFERROR(__xludf.DUMMYFUNCTION("""COMPUTED_VALUE"""),"")</f>
        <v/>
      </c>
      <c r="Y968" t="str">
        <f ca="1">IFERROR(__xludf.DUMMYFUNCTION("""COMPUTED_VALUE"""),"")</f>
        <v/>
      </c>
      <c r="Z968" t="str">
        <f ca="1">IFERROR(__xludf.DUMMYFUNCTION("""COMPUTED_VALUE"""),"")</f>
        <v/>
      </c>
      <c r="AA968" t="str">
        <f ca="1">IFERROR(__xludf.DUMMYFUNCTION("""COMPUTED_VALUE"""),"Pas de commande")</f>
        <v>Pas de commande</v>
      </c>
      <c r="AB968" s="8" t="str">
        <f ca="1">IFERROR(__xludf.DUMMYFUNCTION("""COMPUTED_VALUE"""),"")</f>
        <v/>
      </c>
      <c r="AC968" s="8" t="str">
        <f ca="1">IFERROR(__xludf.DUMMYFUNCTION("""COMPUTED_VALUE"""),"")</f>
        <v/>
      </c>
      <c r="AD968" s="11" t="str">
        <f ca="1">IFERROR(__xludf.DUMMYFUNCTION("""COMPUTED_VALUE"""),"")</f>
        <v/>
      </c>
      <c r="AE968" t="str">
        <f ca="1">IFERROR(__xludf.DUMMYFUNCTION("""COMPUTED_VALUE"""),"")</f>
        <v/>
      </c>
    </row>
    <row r="969" spans="1:31" ht="12.75" x14ac:dyDescent="0.2">
      <c r="A969">
        <f ca="1">IFERROR(__xludf.DUMMYFUNCTION("""COMPUTED_VALUE"""),34190)</f>
        <v>34190</v>
      </c>
      <c r="B969" t="str">
        <f ca="1">IFERROR(__xludf.DUMMYFUNCTION("""COMPUTED_VALUE"""),"ST-CYR-SUR-LOIRE")</f>
        <v>ST-CYR-SUR-LOIRE</v>
      </c>
      <c r="C969" t="str">
        <f ca="1">IFERROR(__xludf.DUMMYFUNCTION("""COMPUTED_VALUE"""),"U Express")</f>
        <v>U Express</v>
      </c>
      <c r="D969" t="str">
        <f ca="1">IFERROR(__xludf.DUMMYFUNCTION("""COMPUTED_VALUE"""),"Coop Atlantique")</f>
        <v>Coop Atlantique</v>
      </c>
      <c r="E969">
        <f ca="1">IFERROR(__xludf.DUMMYFUNCTION("""COMPUTED_VALUE"""),37540)</f>
        <v>37540</v>
      </c>
      <c r="F969" t="str">
        <f ca="1">IFERROR(__xludf.DUMMYFUNCTION("""COMPUTED_VALUE"""),"PLACE GUY RAYNAUD")</f>
        <v>PLACE GUY RAYNAUD</v>
      </c>
      <c r="G969" t="str">
        <f ca="1">IFERROR(__xludf.DUMMYFUNCTION("""COMPUTED_VALUE"""),"02.47.54.13.71")</f>
        <v>02.47.54.13.71</v>
      </c>
      <c r="H969" t="str">
        <f ca="1">IFERROR(__xludf.DUMMYFUNCTION("""COMPUTED_VALUE"""),"FLAMBARD Hervé")</f>
        <v>FLAMBARD Hervé</v>
      </c>
      <c r="I969" t="str">
        <f ca="1">IFERROR(__xludf.DUMMYFUNCTION("""COMPUTED_VALUE"""),"bertrand.defontaine_coop_su_uex@systeme-u.fr")</f>
        <v>bertrand.defontaine_coop_su_uex@systeme-u.fr</v>
      </c>
      <c r="J969" t="str">
        <f ca="1">IFERROR(__xludf.DUMMYFUNCTION("""COMPUTED_VALUE"""),"Gérald SAUNIER")</f>
        <v>Gérald SAUNIER</v>
      </c>
      <c r="K969" t="str">
        <f ca="1">IFERROR(__xludf.DUMMYFUNCTION("""COMPUTED_VALUE"""),"nbrigant@coop-atlantique.fr,sjaud@coop-atlantique.fr,gsaunier@coop-atlantique.fr,uexpress.saintcyrsurloire.direction@systeme-u.fr")</f>
        <v>nbrigant@coop-atlantique.fr,sjaud@coop-atlantique.fr,gsaunier@coop-atlantique.fr,uexpress.saintcyrsurloire.direction@systeme-u.fr</v>
      </c>
      <c r="L969" t="str">
        <f ca="1">IFERROR(__xludf.DUMMYFUNCTION("""COMPUTED_VALUE"""),"")</f>
        <v/>
      </c>
      <c r="M969" t="str">
        <f ca="1">IFERROR(__xludf.DUMMYFUNCTION("""COMPUTED_VALUE"""),"99.Hors Périmetre")</f>
        <v>99.Hors Périmetre</v>
      </c>
      <c r="N969" t="str">
        <f ca="1">IFERROR(__xludf.DUMMYFUNCTION("""COMPUTED_VALUE"""),"")</f>
        <v/>
      </c>
      <c r="O969" t="str">
        <f ca="1">IFERROR(__xludf.DUMMYFUNCTION("""COMPUTED_VALUE"""),"")</f>
        <v/>
      </c>
      <c r="P969" t="str">
        <f ca="1">IFERROR(__xludf.DUMMYFUNCTION("""COMPUTED_VALUE"""),"")</f>
        <v/>
      </c>
      <c r="Q969" s="5" t="str">
        <f ca="1">IFERROR(__xludf.DUMMYFUNCTION("""COMPUTED_VALUE"""),"")</f>
        <v/>
      </c>
      <c r="R969" s="6" t="str">
        <f ca="1">IFERROR(__xludf.DUMMYFUNCTION("""COMPUTED_VALUE"""),"")</f>
        <v/>
      </c>
      <c r="S969" t="str">
        <f ca="1">IFERROR(__xludf.DUMMYFUNCTION("""COMPUTED_VALUE"""),"")</f>
        <v/>
      </c>
      <c r="T969" t="str">
        <f ca="1">IFERROR(__xludf.DUMMYFUNCTION("""COMPUTED_VALUE"""),"")</f>
        <v/>
      </c>
      <c r="U969" t="str">
        <f ca="1">IFERROR(__xludf.DUMMYFUNCTION("""COMPUTED_VALUE"""),"")</f>
        <v/>
      </c>
      <c r="V969" t="str">
        <f ca="1">IFERROR(__xludf.DUMMYFUNCTION("""COMPUTED_VALUE"""),"")</f>
        <v/>
      </c>
      <c r="W969" t="str">
        <f ca="1">IFERROR(__xludf.DUMMYFUNCTION("""COMPUTED_VALUE"""),"")</f>
        <v/>
      </c>
      <c r="X969" t="str">
        <f ca="1">IFERROR(__xludf.DUMMYFUNCTION("""COMPUTED_VALUE"""),"")</f>
        <v/>
      </c>
      <c r="Y969" t="str">
        <f ca="1">IFERROR(__xludf.DUMMYFUNCTION("""COMPUTED_VALUE"""),"")</f>
        <v/>
      </c>
      <c r="Z969" t="str">
        <f ca="1">IFERROR(__xludf.DUMMYFUNCTION("""COMPUTED_VALUE"""),"")</f>
        <v/>
      </c>
      <c r="AA969" t="str">
        <f ca="1">IFERROR(__xludf.DUMMYFUNCTION("""COMPUTED_VALUE"""),"Pas de commande")</f>
        <v>Pas de commande</v>
      </c>
      <c r="AB969" s="8" t="str">
        <f ca="1">IFERROR(__xludf.DUMMYFUNCTION("""COMPUTED_VALUE"""),"")</f>
        <v/>
      </c>
      <c r="AC969" s="8" t="str">
        <f ca="1">IFERROR(__xludf.DUMMYFUNCTION("""COMPUTED_VALUE"""),"")</f>
        <v/>
      </c>
      <c r="AD969" s="11" t="str">
        <f ca="1">IFERROR(__xludf.DUMMYFUNCTION("""COMPUTED_VALUE"""),"")</f>
        <v/>
      </c>
      <c r="AE969" t="str">
        <f ca="1">IFERROR(__xludf.DUMMYFUNCTION("""COMPUTED_VALUE"""),"")</f>
        <v/>
      </c>
    </row>
    <row r="970" spans="1:31" ht="12.75" x14ac:dyDescent="0.2">
      <c r="A970">
        <f ca="1">IFERROR(__xludf.DUMMYFUNCTION("""COMPUTED_VALUE"""),34212)</f>
        <v>34212</v>
      </c>
      <c r="B970" t="str">
        <f ca="1">IFERROR(__xludf.DUMMYFUNCTION("""COMPUTED_VALUE"""),"ST-DENIS-D OLERON")</f>
        <v>ST-DENIS-D OLERON</v>
      </c>
      <c r="C970" t="str">
        <f ca="1">IFERROR(__xludf.DUMMYFUNCTION("""COMPUTED_VALUE"""),"Utile")</f>
        <v>Utile</v>
      </c>
      <c r="D970" t="str">
        <f ca="1">IFERROR(__xludf.DUMMYFUNCTION("""COMPUTED_VALUE"""),"Coop Atlantique")</f>
        <v>Coop Atlantique</v>
      </c>
      <c r="E970">
        <f ca="1">IFERROR(__xludf.DUMMYFUNCTION("""COMPUTED_VALUE"""),17650)</f>
        <v>17650</v>
      </c>
      <c r="F970" t="str">
        <f ca="1">IFERROR(__xludf.DUMMYFUNCTION("""COMPUTED_VALUE"""),"RUE ERNEST MAURISSET")</f>
        <v>RUE ERNEST MAURISSET</v>
      </c>
      <c r="G970" t="str">
        <f ca="1">IFERROR(__xludf.DUMMYFUNCTION("""COMPUTED_VALUE"""),"05.46.47.86.00")</f>
        <v>05.46.47.86.00</v>
      </c>
      <c r="H970" t="str">
        <f ca="1">IFERROR(__xludf.DUMMYFUNCTION("""COMPUTED_VALUE"""),"FLAMBARD Hervé")</f>
        <v>FLAMBARD Hervé</v>
      </c>
      <c r="I970" t="str">
        <f ca="1">IFERROR(__xludf.DUMMYFUNCTION("""COMPUTED_VALUE"""),"bertrand.defontaine_coop_su_uex@systeme-u.fr")</f>
        <v>bertrand.defontaine_coop_su_uex@systeme-u.fr</v>
      </c>
      <c r="J970" t="str">
        <f ca="1">IFERROR(__xludf.DUMMYFUNCTION("""COMPUTED_VALUE"""),"Laurent DELION")</f>
        <v>Laurent DELION</v>
      </c>
      <c r="K970" t="str">
        <f ca="1">IFERROR(__xludf.DUMMYFUNCTION("""COMPUTED_VALUE"""),"uexpress.saintdenisdoleron.direction@systeme-u.fr,nbrigant@coop-atlantique.fr,sjaud@coop-atlantique.fr")</f>
        <v>uexpress.saintdenisdoleron.direction@systeme-u.fr,nbrigant@coop-atlantique.fr,sjaud@coop-atlantique.fr</v>
      </c>
      <c r="L970" t="str">
        <f ca="1">IFERROR(__xludf.DUMMYFUNCTION("""COMPUTED_VALUE"""),"Standard")</f>
        <v>Standard</v>
      </c>
      <c r="M970" t="str">
        <f ca="1">IFERROR(__xludf.DUMMYFUNCTION("""COMPUTED_VALUE"""),"0. Non démarré")</f>
        <v>0. Non démarré</v>
      </c>
      <c r="N970" t="str">
        <f ca="1">IFERROR(__xludf.DUMMYFUNCTION("""COMPUTED_VALUE"""),"")</f>
        <v/>
      </c>
      <c r="O970" t="str">
        <f ca="1">IFERROR(__xludf.DUMMYFUNCTION("""COMPUTED_VALUE"""),"")</f>
        <v/>
      </c>
      <c r="P970" t="str">
        <f ca="1">IFERROR(__xludf.DUMMYFUNCTION("""COMPUTED_VALUE"""),"")</f>
        <v/>
      </c>
      <c r="Q970" s="5" t="str">
        <f ca="1">IFERROR(__xludf.DUMMYFUNCTION("""COMPUTED_VALUE"""),"")</f>
        <v/>
      </c>
      <c r="R970" s="6" t="str">
        <f ca="1">IFERROR(__xludf.DUMMYFUNCTION("""COMPUTED_VALUE"""),"")</f>
        <v/>
      </c>
      <c r="S970" t="str">
        <f ca="1">IFERROR(__xludf.DUMMYFUNCTION("""COMPUTED_VALUE"""),"")</f>
        <v/>
      </c>
      <c r="T970" t="str">
        <f ca="1">IFERROR(__xludf.DUMMYFUNCTION("""COMPUTED_VALUE"""),"")</f>
        <v/>
      </c>
      <c r="U970" t="str">
        <f ca="1">IFERROR(__xludf.DUMMYFUNCTION("""COMPUTED_VALUE"""),"")</f>
        <v/>
      </c>
      <c r="V970" t="str">
        <f ca="1">IFERROR(__xludf.DUMMYFUNCTION("""COMPUTED_VALUE"""),"")</f>
        <v/>
      </c>
      <c r="W970" t="str">
        <f ca="1">IFERROR(__xludf.DUMMYFUNCTION("""COMPUTED_VALUE"""),"R5")</f>
        <v>R5</v>
      </c>
      <c r="X970" t="str">
        <f ca="1">IFERROR(__xludf.DUMMYFUNCTION("""COMPUTED_VALUE"""),"PC mag &lt;8Go")</f>
        <v>PC mag &lt;8Go</v>
      </c>
      <c r="Y970" t="str">
        <f ca="1">IFERROR(__xludf.DUMMYFUNCTION("""COMPUTED_VALUE"""),"")</f>
        <v/>
      </c>
      <c r="Z970" t="str">
        <f ca="1">IFERROR(__xludf.DUMMYFUNCTION("""COMPUTED_VALUE"""),"")</f>
        <v/>
      </c>
      <c r="AA970" t="str">
        <f ca="1">IFERROR(__xludf.DUMMYFUNCTION("""COMPUTED_VALUE"""),"Pas de commande")</f>
        <v>Pas de commande</v>
      </c>
      <c r="AB970" s="8" t="str">
        <f ca="1">IFERROR(__xludf.DUMMYFUNCTION("""COMPUTED_VALUE"""),"")</f>
        <v/>
      </c>
      <c r="AC970" s="8" t="str">
        <f ca="1">IFERROR(__xludf.DUMMYFUNCTION("""COMPUTED_VALUE"""),"")</f>
        <v/>
      </c>
      <c r="AD970" s="11" t="str">
        <f ca="1">IFERROR(__xludf.DUMMYFUNCTION("""COMPUTED_VALUE"""),"")</f>
        <v/>
      </c>
      <c r="AE970" t="str">
        <f ca="1">IFERROR(__xludf.DUMMYFUNCTION("""COMPUTED_VALUE"""),"")</f>
        <v/>
      </c>
    </row>
    <row r="971" spans="1:31" ht="12.75" x14ac:dyDescent="0.2">
      <c r="A971">
        <f ca="1">IFERROR(__xludf.DUMMYFUNCTION("""COMPUTED_VALUE"""),37844)</f>
        <v>37844</v>
      </c>
      <c r="B971" t="str">
        <f ca="1">IFERROR(__xludf.DUMMYFUNCTION("""COMPUTED_VALUE"""),"ST-DENIS-DE-L'HOTEL")</f>
        <v>ST-DENIS-DE-L'HOTEL</v>
      </c>
      <c r="C971" t="str">
        <f ca="1">IFERROR(__xludf.DUMMYFUNCTION("""COMPUTED_VALUE"""),"U Express")</f>
        <v>U Express</v>
      </c>
      <c r="D971" t="str">
        <f ca="1">IFERROR(__xludf.DUMMYFUNCTION("""COMPUTED_VALUE"""),"Coop U Enseigne Ouest")</f>
        <v>Coop U Enseigne Ouest</v>
      </c>
      <c r="E971">
        <f ca="1">IFERROR(__xludf.DUMMYFUNCTION("""COMPUTED_VALUE"""),45500)</f>
        <v>45500</v>
      </c>
      <c r="F971" t="str">
        <f ca="1">IFERROR(__xludf.DUMMYFUNCTION("""COMPUTED_VALUE"""),"3, RUE DE LA BORDE")</f>
        <v>3, RUE DE LA BORDE</v>
      </c>
      <c r="G971" t="str">
        <f ca="1">IFERROR(__xludf.DUMMYFUNCTION("""COMPUTED_VALUE"""),"02.38.59.14.82")</f>
        <v>02.38.59.14.82</v>
      </c>
      <c r="H971" t="str">
        <f ca="1">IFERROR(__xludf.DUMMYFUNCTION("""COMPUTED_VALUE"""),"PELTIER Pascal")</f>
        <v>PELTIER Pascal</v>
      </c>
      <c r="I971" t="str">
        <f ca="1">IFERROR(__xludf.DUMMYFUNCTION("""COMPUTED_VALUE"""),"pascal.peltier@systeme-u.fr")</f>
        <v>pascal.peltier@systeme-u.fr</v>
      </c>
      <c r="J971" t="str">
        <f ca="1">IFERROR(__xludf.DUMMYFUNCTION("""COMPUTED_VALUE"""),"")</f>
        <v/>
      </c>
      <c r="K971" t="str">
        <f ca="1">IFERROR(__xludf.DUMMYFUNCTION("""COMPUTED_VALUE"""),"")</f>
        <v/>
      </c>
      <c r="L971" t="str">
        <f ca="1">IFERROR(__xludf.DUMMYFUNCTION("""COMPUTED_VALUE"""),"")</f>
        <v/>
      </c>
      <c r="M971" t="str">
        <f ca="1">IFERROR(__xludf.DUMMYFUNCTION("""COMPUTED_VALUE"""),"99.Hors Périmetre")</f>
        <v>99.Hors Périmetre</v>
      </c>
      <c r="N971" t="str">
        <f ca="1">IFERROR(__xludf.DUMMYFUNCTION("""COMPUTED_VALUE"""),"")</f>
        <v/>
      </c>
      <c r="O971" t="str">
        <f ca="1">IFERROR(__xludf.DUMMYFUNCTION("""COMPUTED_VALUE"""),"")</f>
        <v/>
      </c>
      <c r="P971" t="str">
        <f ca="1">IFERROR(__xludf.DUMMYFUNCTION("""COMPUTED_VALUE"""),"")</f>
        <v/>
      </c>
      <c r="Q971" s="5" t="str">
        <f ca="1">IFERROR(__xludf.DUMMYFUNCTION("""COMPUTED_VALUE"""),"")</f>
        <v/>
      </c>
      <c r="R971" s="6" t="str">
        <f ca="1">IFERROR(__xludf.DUMMYFUNCTION("""COMPUTED_VALUE"""),"")</f>
        <v/>
      </c>
      <c r="S971" t="str">
        <f ca="1">IFERROR(__xludf.DUMMYFUNCTION("""COMPUTED_VALUE"""),"")</f>
        <v/>
      </c>
      <c r="T971" t="str">
        <f ca="1">IFERROR(__xludf.DUMMYFUNCTION("""COMPUTED_VALUE"""),"")</f>
        <v/>
      </c>
      <c r="U971" t="str">
        <f ca="1">IFERROR(__xludf.DUMMYFUNCTION("""COMPUTED_VALUE"""),"")</f>
        <v/>
      </c>
      <c r="V971" t="str">
        <f ca="1">IFERROR(__xludf.DUMMYFUNCTION("""COMPUTED_VALUE"""),"")</f>
        <v/>
      </c>
      <c r="W971" t="str">
        <f ca="1">IFERROR(__xludf.DUMMYFUNCTION("""COMPUTED_VALUE"""),"")</f>
        <v/>
      </c>
      <c r="X971" t="str">
        <f ca="1">IFERROR(__xludf.DUMMYFUNCTION("""COMPUTED_VALUE"""),"")</f>
        <v/>
      </c>
      <c r="Y971" t="str">
        <f ca="1">IFERROR(__xludf.DUMMYFUNCTION("""COMPUTED_VALUE"""),"")</f>
        <v/>
      </c>
      <c r="Z971" t="str">
        <f ca="1">IFERROR(__xludf.DUMMYFUNCTION("""COMPUTED_VALUE"""),"")</f>
        <v/>
      </c>
      <c r="AA971" t="str">
        <f ca="1">IFERROR(__xludf.DUMMYFUNCTION("""COMPUTED_VALUE"""),"Pas de commande")</f>
        <v>Pas de commande</v>
      </c>
      <c r="AB971" s="8" t="str">
        <f ca="1">IFERROR(__xludf.DUMMYFUNCTION("""COMPUTED_VALUE"""),"")</f>
        <v/>
      </c>
      <c r="AC971" s="8" t="str">
        <f ca="1">IFERROR(__xludf.DUMMYFUNCTION("""COMPUTED_VALUE"""),"")</f>
        <v/>
      </c>
      <c r="AD971" s="11" t="str">
        <f ca="1">IFERROR(__xludf.DUMMYFUNCTION("""COMPUTED_VALUE"""),"")</f>
        <v/>
      </c>
      <c r="AE971" t="str">
        <f ca="1">IFERROR(__xludf.DUMMYFUNCTION("""COMPUTED_VALUE"""),"")</f>
        <v/>
      </c>
    </row>
    <row r="972" spans="1:31" ht="12.75" x14ac:dyDescent="0.2">
      <c r="A972">
        <f ca="1">IFERROR(__xludf.DUMMYFUNCTION("""COMPUTED_VALUE"""),36459)</f>
        <v>36459</v>
      </c>
      <c r="B972" t="str">
        <f ca="1">IFERROR(__xludf.DUMMYFUNCTION("""COMPUTED_VALUE"""),"ST-ETIENNE-DE-MONTLUC")</f>
        <v>ST-ETIENNE-DE-MONTLUC</v>
      </c>
      <c r="C972" t="str">
        <f ca="1">IFERROR(__xludf.DUMMYFUNCTION("""COMPUTED_VALUE"""),"Super U")</f>
        <v>Super U</v>
      </c>
      <c r="D972" t="str">
        <f ca="1">IFERROR(__xludf.DUMMYFUNCTION("""COMPUTED_VALUE"""),"Coop U Enseigne Ouest")</f>
        <v>Coop U Enseigne Ouest</v>
      </c>
      <c r="E972">
        <f ca="1">IFERROR(__xludf.DUMMYFUNCTION("""COMPUTED_VALUE"""),44360)</f>
        <v>44360</v>
      </c>
      <c r="F972" t="str">
        <f ca="1">IFERROR(__xludf.DUMMYFUNCTION("""COMPUTED_VALUE"""),"24, ROUTE DE COUÉRON")</f>
        <v>24, ROUTE DE COUÉRON</v>
      </c>
      <c r="G972" t="str">
        <f ca="1">IFERROR(__xludf.DUMMYFUNCTION("""COMPUTED_VALUE"""),"02.40.86.97.67")</f>
        <v>02.40.86.97.67</v>
      </c>
      <c r="H972" t="str">
        <f ca="1">IFERROR(__xludf.DUMMYFUNCTION("""COMPUTED_VALUE"""),"CHARBONNEAU RPT SARL FINANDIS Jean Claude")</f>
        <v>CHARBONNEAU RPT SARL FINANDIS Jean Claude</v>
      </c>
      <c r="I972" t="str">
        <f ca="1">IFERROR(__xludf.DUMMYFUNCTION("""COMPUTED_VALUE"""),"jean-claude.charbonneau@systeme-u.fr")</f>
        <v>jean-claude.charbonneau@systeme-u.fr</v>
      </c>
      <c r="J972" t="str">
        <f ca="1">IFERROR(__xludf.DUMMYFUNCTION("""COMPUTED_VALUE"""),"CHARBONNEAU Jean Claude")</f>
        <v>CHARBONNEAU Jean Claude</v>
      </c>
      <c r="K972" t="str">
        <f ca="1">IFERROR(__xludf.DUMMYFUNCTION("""COMPUTED_VALUE"""),"jean-claude.charbonneau@systeme-u.fr")</f>
        <v>jean-claude.charbonneau@systeme-u.fr</v>
      </c>
      <c r="L972" t="str">
        <f ca="1">IFERROR(__xludf.DUMMYFUNCTION("""COMPUTED_VALUE"""),"")</f>
        <v/>
      </c>
      <c r="M972" t="str">
        <f ca="1">IFERROR(__xludf.DUMMYFUNCTION("""COMPUTED_VALUE"""),"99.Hors Périmetre")</f>
        <v>99.Hors Périmetre</v>
      </c>
      <c r="N972" t="str">
        <f ca="1">IFERROR(__xludf.DUMMYFUNCTION("""COMPUTED_VALUE"""),"")</f>
        <v/>
      </c>
      <c r="O972" t="str">
        <f ca="1">IFERROR(__xludf.DUMMYFUNCTION("""COMPUTED_VALUE"""),"")</f>
        <v/>
      </c>
      <c r="P972" t="str">
        <f ca="1">IFERROR(__xludf.DUMMYFUNCTION("""COMPUTED_VALUE"""),"")</f>
        <v/>
      </c>
      <c r="Q972" s="5" t="str">
        <f ca="1">IFERROR(__xludf.DUMMYFUNCTION("""COMPUTED_VALUE"""),"")</f>
        <v/>
      </c>
      <c r="R972" s="6" t="str">
        <f ca="1">IFERROR(__xludf.DUMMYFUNCTION("""COMPUTED_VALUE"""),"")</f>
        <v/>
      </c>
      <c r="S972" t="str">
        <f ca="1">IFERROR(__xludf.DUMMYFUNCTION("""COMPUTED_VALUE"""),"")</f>
        <v/>
      </c>
      <c r="T972" t="str">
        <f ca="1">IFERROR(__xludf.DUMMYFUNCTION("""COMPUTED_VALUE"""),"")</f>
        <v/>
      </c>
      <c r="U972" t="str">
        <f ca="1">IFERROR(__xludf.DUMMYFUNCTION("""COMPUTED_VALUE"""),"")</f>
        <v/>
      </c>
      <c r="V972" t="str">
        <f ca="1">IFERROR(__xludf.DUMMYFUNCTION("""COMPUTED_VALUE"""),"")</f>
        <v/>
      </c>
      <c r="W972" t="str">
        <f ca="1">IFERROR(__xludf.DUMMYFUNCTION("""COMPUTED_VALUE"""),"")</f>
        <v/>
      </c>
      <c r="X972" t="str">
        <f ca="1">IFERROR(__xludf.DUMMYFUNCTION("""COMPUTED_VALUE"""),"")</f>
        <v/>
      </c>
      <c r="Y972" t="str">
        <f ca="1">IFERROR(__xludf.DUMMYFUNCTION("""COMPUTED_VALUE"""),"")</f>
        <v/>
      </c>
      <c r="Z972" t="str">
        <f ca="1">IFERROR(__xludf.DUMMYFUNCTION("""COMPUTED_VALUE"""),"")</f>
        <v/>
      </c>
      <c r="AA972" t="str">
        <f ca="1">IFERROR(__xludf.DUMMYFUNCTION("""COMPUTED_VALUE"""),"Pas de commande")</f>
        <v>Pas de commande</v>
      </c>
      <c r="AB972" s="8" t="str">
        <f ca="1">IFERROR(__xludf.DUMMYFUNCTION("""COMPUTED_VALUE"""),"")</f>
        <v/>
      </c>
      <c r="AC972" s="8" t="str">
        <f ca="1">IFERROR(__xludf.DUMMYFUNCTION("""COMPUTED_VALUE"""),"")</f>
        <v/>
      </c>
      <c r="AD972" s="11" t="str">
        <f ca="1">IFERROR(__xludf.DUMMYFUNCTION("""COMPUTED_VALUE"""),"")</f>
        <v/>
      </c>
      <c r="AE972" t="str">
        <f ca="1">IFERROR(__xludf.DUMMYFUNCTION("""COMPUTED_VALUE"""),"")</f>
        <v/>
      </c>
    </row>
    <row r="973" spans="1:31" ht="12.75" x14ac:dyDescent="0.2">
      <c r="A973">
        <f ca="1">IFERROR(__xludf.DUMMYFUNCTION("""COMPUTED_VALUE"""),38605)</f>
        <v>38605</v>
      </c>
      <c r="B973" t="str">
        <f ca="1">IFERROR(__xludf.DUMMYFUNCTION("""COMPUTED_VALUE"""),"ST-FLORENT-SUR-CHER")</f>
        <v>ST-FLORENT-SUR-CHER</v>
      </c>
      <c r="C973" t="str">
        <f ca="1">IFERROR(__xludf.DUMMYFUNCTION("""COMPUTED_VALUE"""),"Super U")</f>
        <v>Super U</v>
      </c>
      <c r="D973" t="str">
        <f ca="1">IFERROR(__xludf.DUMMYFUNCTION("""COMPUTED_VALUE"""),"Coop U Enseigne Ouest")</f>
        <v>Coop U Enseigne Ouest</v>
      </c>
      <c r="E973">
        <f ca="1">IFERROR(__xludf.DUMMYFUNCTION("""COMPUTED_VALUE"""),18400)</f>
        <v>18400</v>
      </c>
      <c r="F973" t="str">
        <f ca="1">IFERROR(__xludf.DUMMYFUNCTION("""COMPUTED_VALUE"""),"ZAC DE LA VIGONNIÈRE LES BROSSES")</f>
        <v>ZAC DE LA VIGONNIÈRE LES BROSSES</v>
      </c>
      <c r="G973" t="str">
        <f ca="1">IFERROR(__xludf.DUMMYFUNCTION("""COMPUTED_VALUE"""),"02.48.55.87.87")</f>
        <v>02.48.55.87.87</v>
      </c>
      <c r="H973" t="str">
        <f ca="1">IFERROR(__xludf.DUMMYFUNCTION("""COMPUTED_VALUE"""),"RIGAL Christian")</f>
        <v>RIGAL Christian</v>
      </c>
      <c r="I973" t="str">
        <f ca="1">IFERROR(__xludf.DUMMYFUNCTION("""COMPUTED_VALUE"""),"christian.rigal@systeme-u.fr")</f>
        <v>christian.rigal@systeme-u.fr</v>
      </c>
      <c r="J973" t="str">
        <f ca="1">IFERROR(__xludf.DUMMYFUNCTION("""COMPUTED_VALUE"""),"RIGAL Marylène")</f>
        <v>RIGAL Marylène</v>
      </c>
      <c r="K973" t="str">
        <f ca="1">IFERROR(__xludf.DUMMYFUNCTION("""COMPUTED_VALUE"""),"marylene.rigal@systeme-u.fr, superu.saintflorentsurcher@systeme-u.fr")</f>
        <v>marylene.rigal@systeme-u.fr, superu.saintflorentsurcher@systeme-u.fr</v>
      </c>
      <c r="L973" t="str">
        <f ca="1">IFERROR(__xludf.DUMMYFUNCTION("""COMPUTED_VALUE"""),"")</f>
        <v/>
      </c>
      <c r="M973" t="str">
        <f ca="1">IFERROR(__xludf.DUMMYFUNCTION("""COMPUTED_VALUE"""),"99.Hors Périmetre")</f>
        <v>99.Hors Périmetre</v>
      </c>
      <c r="N973" t="str">
        <f ca="1">IFERROR(__xludf.DUMMYFUNCTION("""COMPUTED_VALUE"""),"")</f>
        <v/>
      </c>
      <c r="O973" t="str">
        <f ca="1">IFERROR(__xludf.DUMMYFUNCTION("""COMPUTED_VALUE"""),"")</f>
        <v/>
      </c>
      <c r="P973" t="str">
        <f ca="1">IFERROR(__xludf.DUMMYFUNCTION("""COMPUTED_VALUE"""),"")</f>
        <v/>
      </c>
      <c r="Q973" s="5" t="str">
        <f ca="1">IFERROR(__xludf.DUMMYFUNCTION("""COMPUTED_VALUE"""),"")</f>
        <v/>
      </c>
      <c r="R973" s="6" t="str">
        <f ca="1">IFERROR(__xludf.DUMMYFUNCTION("""COMPUTED_VALUE"""),"")</f>
        <v/>
      </c>
      <c r="S973" t="str">
        <f ca="1">IFERROR(__xludf.DUMMYFUNCTION("""COMPUTED_VALUE"""),"")</f>
        <v/>
      </c>
      <c r="T973" t="str">
        <f ca="1">IFERROR(__xludf.DUMMYFUNCTION("""COMPUTED_VALUE"""),"")</f>
        <v/>
      </c>
      <c r="U973" t="str">
        <f ca="1">IFERROR(__xludf.DUMMYFUNCTION("""COMPUTED_VALUE"""),"")</f>
        <v/>
      </c>
      <c r="V973" t="str">
        <f ca="1">IFERROR(__xludf.DUMMYFUNCTION("""COMPUTED_VALUE"""),"")</f>
        <v/>
      </c>
      <c r="W973" t="str">
        <f ca="1">IFERROR(__xludf.DUMMYFUNCTION("""COMPUTED_VALUE"""),"")</f>
        <v/>
      </c>
      <c r="X973" t="str">
        <f ca="1">IFERROR(__xludf.DUMMYFUNCTION("""COMPUTED_VALUE"""),"")</f>
        <v/>
      </c>
      <c r="Y973" t="str">
        <f ca="1">IFERROR(__xludf.DUMMYFUNCTION("""COMPUTED_VALUE"""),"")</f>
        <v/>
      </c>
      <c r="Z973" t="str">
        <f ca="1">IFERROR(__xludf.DUMMYFUNCTION("""COMPUTED_VALUE"""),"")</f>
        <v/>
      </c>
      <c r="AA973" t="str">
        <f ca="1">IFERROR(__xludf.DUMMYFUNCTION("""COMPUTED_VALUE"""),"Pas de commande")</f>
        <v>Pas de commande</v>
      </c>
      <c r="AB973" s="8" t="str">
        <f ca="1">IFERROR(__xludf.DUMMYFUNCTION("""COMPUTED_VALUE"""),"")</f>
        <v/>
      </c>
      <c r="AC973" s="8" t="str">
        <f ca="1">IFERROR(__xludf.DUMMYFUNCTION("""COMPUTED_VALUE"""),"")</f>
        <v/>
      </c>
      <c r="AD973" s="11" t="str">
        <f ca="1">IFERROR(__xludf.DUMMYFUNCTION("""COMPUTED_VALUE"""),"")</f>
        <v/>
      </c>
      <c r="AE973" t="str">
        <f ca="1">IFERROR(__xludf.DUMMYFUNCTION("""COMPUTED_VALUE"""),"")</f>
        <v/>
      </c>
    </row>
    <row r="974" spans="1:31" ht="12.75" x14ac:dyDescent="0.2">
      <c r="A974">
        <f ca="1">IFERROR(__xludf.DUMMYFUNCTION("""COMPUTED_VALUE"""),37447)</f>
        <v>37447</v>
      </c>
      <c r="B974" t="str">
        <f ca="1">IFERROR(__xludf.DUMMYFUNCTION("""COMPUTED_VALUE"""),"ST-FULGENT")</f>
        <v>ST-FULGENT</v>
      </c>
      <c r="C974" t="str">
        <f ca="1">IFERROR(__xludf.DUMMYFUNCTION("""COMPUTED_VALUE"""),"Super U")</f>
        <v>Super U</v>
      </c>
      <c r="D974" t="str">
        <f ca="1">IFERROR(__xludf.DUMMYFUNCTION("""COMPUTED_VALUE"""),"Coop U Enseigne Ouest")</f>
        <v>Coop U Enseigne Ouest</v>
      </c>
      <c r="E974">
        <f ca="1">IFERROR(__xludf.DUMMYFUNCTION("""COMPUTED_VALUE"""),85250)</f>
        <v>85250</v>
      </c>
      <c r="F974" t="str">
        <f ca="1">IFERROR(__xludf.DUMMYFUNCTION("""COMPUTED_VALUE"""),"ZAC DE LA METAIRIE")</f>
        <v>ZAC DE LA METAIRIE</v>
      </c>
      <c r="G974" t="str">
        <f ca="1">IFERROR(__xludf.DUMMYFUNCTION("""COMPUTED_VALUE"""),"02.51.42.60.15")</f>
        <v>02.51.42.60.15</v>
      </c>
      <c r="H974" t="str">
        <f ca="1">IFERROR(__xludf.DUMMYFUNCTION("""COMPUTED_VALUE"""),"PASQUIER RPT SARL EXPADIS Julien")</f>
        <v>PASQUIER RPT SARL EXPADIS Julien</v>
      </c>
      <c r="I974" t="str">
        <f ca="1">IFERROR(__xludf.DUMMYFUNCTION("""COMPUTED_VALUE"""),"julien.pasquier@systeme-u.fr")</f>
        <v>julien.pasquier@systeme-u.fr</v>
      </c>
      <c r="J974" t="str">
        <f ca="1">IFERROR(__xludf.DUMMYFUNCTION("""COMPUTED_VALUE"""),"PASQUIER Jean-Pierre")</f>
        <v>PASQUIER Jean-Pierre</v>
      </c>
      <c r="K974" t="str">
        <f ca="1">IFERROR(__xludf.DUMMYFUNCTION("""COMPUTED_VALUE"""),"jean-pierre.pasquier@systeme-u.fr")</f>
        <v>jean-pierre.pasquier@systeme-u.fr</v>
      </c>
      <c r="L974" t="str">
        <f ca="1">IFERROR(__xludf.DUMMYFUNCTION("""COMPUTED_VALUE"""),"")</f>
        <v/>
      </c>
      <c r="M974" t="str">
        <f ca="1">IFERROR(__xludf.DUMMYFUNCTION("""COMPUTED_VALUE"""),"99.Hors Périmetre")</f>
        <v>99.Hors Périmetre</v>
      </c>
      <c r="N974" t="str">
        <f ca="1">IFERROR(__xludf.DUMMYFUNCTION("""COMPUTED_VALUE"""),"")</f>
        <v/>
      </c>
      <c r="O974" t="str">
        <f ca="1">IFERROR(__xludf.DUMMYFUNCTION("""COMPUTED_VALUE"""),"")</f>
        <v/>
      </c>
      <c r="P974" t="str">
        <f ca="1">IFERROR(__xludf.DUMMYFUNCTION("""COMPUTED_VALUE"""),"")</f>
        <v/>
      </c>
      <c r="Q974" s="5" t="str">
        <f ca="1">IFERROR(__xludf.DUMMYFUNCTION("""COMPUTED_VALUE"""),"")</f>
        <v/>
      </c>
      <c r="R974" s="6" t="str">
        <f ca="1">IFERROR(__xludf.DUMMYFUNCTION("""COMPUTED_VALUE"""),"")</f>
        <v/>
      </c>
      <c r="S974" t="str">
        <f ca="1">IFERROR(__xludf.DUMMYFUNCTION("""COMPUTED_VALUE"""),"")</f>
        <v/>
      </c>
      <c r="T974" t="str">
        <f ca="1">IFERROR(__xludf.DUMMYFUNCTION("""COMPUTED_VALUE"""),"")</f>
        <v/>
      </c>
      <c r="U974" t="str">
        <f ca="1">IFERROR(__xludf.DUMMYFUNCTION("""COMPUTED_VALUE"""),"")</f>
        <v/>
      </c>
      <c r="V974" t="str">
        <f ca="1">IFERROR(__xludf.DUMMYFUNCTION("""COMPUTED_VALUE"""),"")</f>
        <v/>
      </c>
      <c r="W974" t="str">
        <f ca="1">IFERROR(__xludf.DUMMYFUNCTION("""COMPUTED_VALUE"""),"")</f>
        <v/>
      </c>
      <c r="X974" t="str">
        <f ca="1">IFERROR(__xludf.DUMMYFUNCTION("""COMPUTED_VALUE"""),"")</f>
        <v/>
      </c>
      <c r="Y974" t="str">
        <f ca="1">IFERROR(__xludf.DUMMYFUNCTION("""COMPUTED_VALUE"""),"")</f>
        <v/>
      </c>
      <c r="Z974" t="str">
        <f ca="1">IFERROR(__xludf.DUMMYFUNCTION("""COMPUTED_VALUE"""),"")</f>
        <v/>
      </c>
      <c r="AA974" t="str">
        <f ca="1">IFERROR(__xludf.DUMMYFUNCTION("""COMPUTED_VALUE"""),"Pas de commande")</f>
        <v>Pas de commande</v>
      </c>
      <c r="AB974" s="8" t="str">
        <f ca="1">IFERROR(__xludf.DUMMYFUNCTION("""COMPUTED_VALUE"""),"")</f>
        <v/>
      </c>
      <c r="AC974" s="8" t="str">
        <f ca="1">IFERROR(__xludf.DUMMYFUNCTION("""COMPUTED_VALUE"""),"")</f>
        <v/>
      </c>
      <c r="AD974" s="11" t="str">
        <f ca="1">IFERROR(__xludf.DUMMYFUNCTION("""COMPUTED_VALUE"""),"")</f>
        <v/>
      </c>
      <c r="AE974" t="str">
        <f ca="1">IFERROR(__xludf.DUMMYFUNCTION("""COMPUTED_VALUE"""),"")</f>
        <v/>
      </c>
    </row>
    <row r="975" spans="1:31" ht="12.75" x14ac:dyDescent="0.2">
      <c r="A975">
        <f ca="1">IFERROR(__xludf.DUMMYFUNCTION("""COMPUTED_VALUE"""),32083)</f>
        <v>32083</v>
      </c>
      <c r="B975" t="str">
        <f ca="1">IFERROR(__xludf.DUMMYFUNCTION("""COMPUTED_VALUE"""),"ST-GEORGES-DE-DIDONNE")</f>
        <v>ST-GEORGES-DE-DIDONNE</v>
      </c>
      <c r="C975" t="str">
        <f ca="1">IFERROR(__xludf.DUMMYFUNCTION("""COMPUTED_VALUE"""),"Super U")</f>
        <v>Super U</v>
      </c>
      <c r="D975" t="str">
        <f ca="1">IFERROR(__xludf.DUMMYFUNCTION("""COMPUTED_VALUE"""),"Coop Atlantique")</f>
        <v>Coop Atlantique</v>
      </c>
      <c r="E975">
        <f ca="1">IFERROR(__xludf.DUMMYFUNCTION("""COMPUTED_VALUE"""),17120)</f>
        <v>17120</v>
      </c>
      <c r="F975" t="str">
        <f ca="1">IFERROR(__xludf.DUMMYFUNCTION("""COMPUTED_VALUE"""),"68 AVENUE DU MARÉCHAL JUIN")</f>
        <v>68 AVENUE DU MARÉCHAL JUIN</v>
      </c>
      <c r="G975" t="str">
        <f ca="1">IFERROR(__xludf.DUMMYFUNCTION("""COMPUTED_VALUE"""),"05.46.05.78.12")</f>
        <v>05.46.05.78.12</v>
      </c>
      <c r="H975" t="str">
        <f ca="1">IFERROR(__xludf.DUMMYFUNCTION("""COMPUTED_VALUE"""),"FLAMBARD Hervé")</f>
        <v>FLAMBARD Hervé</v>
      </c>
      <c r="I975" t="str">
        <f ca="1">IFERROR(__xludf.DUMMYFUNCTION("""COMPUTED_VALUE"""),"bertrand.defontaine_coop_su_uex@systeme-u.fr")</f>
        <v>bertrand.defontaine_coop_su_uex@systeme-u.fr</v>
      </c>
      <c r="J975" t="str">
        <f ca="1">IFERROR(__xludf.DUMMYFUNCTION("""COMPUTED_VALUE"""),"Chereau Patrick")</f>
        <v>Chereau Patrick</v>
      </c>
      <c r="K975" t="str">
        <f ca="1">IFERROR(__xludf.DUMMYFUNCTION("""COMPUTED_VALUE"""),"superu.saintgeorgesdedidonne.direction@systeme-u.fr,nbrigant@coop-atlantique.fr,sjaud@coop-atlantique.fr,pchereau@coop-atlantique.fr")</f>
        <v>superu.saintgeorgesdedidonne.direction@systeme-u.fr,nbrigant@coop-atlantique.fr,sjaud@coop-atlantique.fr,pchereau@coop-atlantique.fr</v>
      </c>
      <c r="L975" t="str">
        <f ca="1">IFERROR(__xludf.DUMMYFUNCTION("""COMPUTED_VALUE"""),"")</f>
        <v/>
      </c>
      <c r="M975" t="str">
        <f ca="1">IFERROR(__xludf.DUMMYFUNCTION("""COMPUTED_VALUE"""),"99.Hors Périmetre")</f>
        <v>99.Hors Périmetre</v>
      </c>
      <c r="N975" t="str">
        <f ca="1">IFERROR(__xludf.DUMMYFUNCTION("""COMPUTED_VALUE"""),"")</f>
        <v/>
      </c>
      <c r="O975" t="str">
        <f ca="1">IFERROR(__xludf.DUMMYFUNCTION("""COMPUTED_VALUE"""),"")</f>
        <v/>
      </c>
      <c r="P975" t="str">
        <f ca="1">IFERROR(__xludf.DUMMYFUNCTION("""COMPUTED_VALUE"""),"")</f>
        <v/>
      </c>
      <c r="Q975" s="5" t="str">
        <f ca="1">IFERROR(__xludf.DUMMYFUNCTION("""COMPUTED_VALUE"""),"")</f>
        <v/>
      </c>
      <c r="R975" s="6" t="str">
        <f ca="1">IFERROR(__xludf.DUMMYFUNCTION("""COMPUTED_VALUE"""),"")</f>
        <v/>
      </c>
      <c r="S975" t="str">
        <f ca="1">IFERROR(__xludf.DUMMYFUNCTION("""COMPUTED_VALUE"""),"")</f>
        <v/>
      </c>
      <c r="T975" t="str">
        <f ca="1">IFERROR(__xludf.DUMMYFUNCTION("""COMPUTED_VALUE"""),"")</f>
        <v/>
      </c>
      <c r="U975" t="str">
        <f ca="1">IFERROR(__xludf.DUMMYFUNCTION("""COMPUTED_VALUE"""),"")</f>
        <v/>
      </c>
      <c r="V975" t="str">
        <f ca="1">IFERROR(__xludf.DUMMYFUNCTION("""COMPUTED_VALUE"""),"")</f>
        <v/>
      </c>
      <c r="W975" t="str">
        <f ca="1">IFERROR(__xludf.DUMMYFUNCTION("""COMPUTED_VALUE"""),"")</f>
        <v/>
      </c>
      <c r="X975" t="str">
        <f ca="1">IFERROR(__xludf.DUMMYFUNCTION("""COMPUTED_VALUE"""),"")</f>
        <v/>
      </c>
      <c r="Y975" t="str">
        <f ca="1">IFERROR(__xludf.DUMMYFUNCTION("""COMPUTED_VALUE"""),"")</f>
        <v/>
      </c>
      <c r="Z975" t="str">
        <f ca="1">IFERROR(__xludf.DUMMYFUNCTION("""COMPUTED_VALUE"""),"")</f>
        <v/>
      </c>
      <c r="AA975" t="str">
        <f ca="1">IFERROR(__xludf.DUMMYFUNCTION("""COMPUTED_VALUE"""),"Pas de commande")</f>
        <v>Pas de commande</v>
      </c>
      <c r="AB975" s="8" t="str">
        <f ca="1">IFERROR(__xludf.DUMMYFUNCTION("""COMPUTED_VALUE"""),"")</f>
        <v/>
      </c>
      <c r="AC975" s="8" t="str">
        <f ca="1">IFERROR(__xludf.DUMMYFUNCTION("""COMPUTED_VALUE"""),"")</f>
        <v/>
      </c>
      <c r="AD975" s="11" t="str">
        <f ca="1">IFERROR(__xludf.DUMMYFUNCTION("""COMPUTED_VALUE"""),"")</f>
        <v/>
      </c>
      <c r="AE975" t="str">
        <f ca="1">IFERROR(__xludf.DUMMYFUNCTION("""COMPUTED_VALUE"""),"")</f>
        <v/>
      </c>
    </row>
    <row r="976" spans="1:31" ht="12.75" x14ac:dyDescent="0.2">
      <c r="A976">
        <f ca="1">IFERROR(__xludf.DUMMYFUNCTION("""COMPUTED_VALUE"""),34214)</f>
        <v>34214</v>
      </c>
      <c r="B976" t="str">
        <f ca="1">IFERROR(__xludf.DUMMYFUNCTION("""COMPUTED_VALUE"""),"ST-GEORGES-DE-DIDONNE")</f>
        <v>ST-GEORGES-DE-DIDONNE</v>
      </c>
      <c r="C976" t="str">
        <f ca="1">IFERROR(__xludf.DUMMYFUNCTION("""COMPUTED_VALUE"""),"Utile")</f>
        <v>Utile</v>
      </c>
      <c r="D976" t="str">
        <f ca="1">IFERROR(__xludf.DUMMYFUNCTION("""COMPUTED_VALUE"""),"Coop Atlantique")</f>
        <v>Coop Atlantique</v>
      </c>
      <c r="E976">
        <f ca="1">IFERROR(__xludf.DUMMYFUNCTION("""COMPUTED_VALUE"""),17110)</f>
        <v>17110</v>
      </c>
      <c r="F976" t="str">
        <f ca="1">IFERROR(__xludf.DUMMYFUNCTION("""COMPUTED_VALUE"""),"4, RUE CARNOT")</f>
        <v>4, RUE CARNOT</v>
      </c>
      <c r="G976" t="str">
        <f ca="1">IFERROR(__xludf.DUMMYFUNCTION("""COMPUTED_VALUE"""),"05.46.05.07.03")</f>
        <v>05.46.05.07.03</v>
      </c>
      <c r="H976" t="str">
        <f ca="1">IFERROR(__xludf.DUMMYFUNCTION("""COMPUTED_VALUE"""),"FLAMBARD Hervé")</f>
        <v>FLAMBARD Hervé</v>
      </c>
      <c r="I976" t="str">
        <f ca="1">IFERROR(__xludf.DUMMYFUNCTION("""COMPUTED_VALUE"""),"bertrand.defontaine_coop_su_uex@systeme-u.fr")</f>
        <v>bertrand.defontaine_coop_su_uex@systeme-u.fr</v>
      </c>
      <c r="J976" t="str">
        <f ca="1">IFERROR(__xludf.DUMMYFUNCTION("""COMPUTED_VALUE"""),"Laurie DEVILLE")</f>
        <v>Laurie DEVILLE</v>
      </c>
      <c r="K976" t="str">
        <f ca="1">IFERROR(__xludf.DUMMYFUNCTION("""COMPUTED_VALUE"""),"uexpress.saintgeorgesdedidonnecarnot.direction@systeme-u.fr,dpetit@coop-atlantique.fr,nbrigant@coop-atlantique.fr,sjaud@coop-atlantique.fr")</f>
        <v>uexpress.saintgeorgesdedidonnecarnot.direction@systeme-u.fr,dpetit@coop-atlantique.fr,nbrigant@coop-atlantique.fr,sjaud@coop-atlantique.fr</v>
      </c>
      <c r="L976" t="str">
        <f ca="1">IFERROR(__xludf.DUMMYFUNCTION("""COMPUTED_VALUE"""),"Standard")</f>
        <v>Standard</v>
      </c>
      <c r="M976" t="str">
        <f ca="1">IFERROR(__xludf.DUMMYFUNCTION("""COMPUTED_VALUE"""),"0. Non démarré")</f>
        <v>0. Non démarré</v>
      </c>
      <c r="N976" t="str">
        <f ca="1">IFERROR(__xludf.DUMMYFUNCTION("""COMPUTED_VALUE"""),"")</f>
        <v/>
      </c>
      <c r="O976" t="str">
        <f ca="1">IFERROR(__xludf.DUMMYFUNCTION("""COMPUTED_VALUE"""),"")</f>
        <v/>
      </c>
      <c r="P976" t="str">
        <f ca="1">IFERROR(__xludf.DUMMYFUNCTION("""COMPUTED_VALUE"""),"")</f>
        <v/>
      </c>
      <c r="Q976" s="5" t="str">
        <f ca="1">IFERROR(__xludf.DUMMYFUNCTION("""COMPUTED_VALUE"""),"")</f>
        <v/>
      </c>
      <c r="R976" s="6" t="str">
        <f ca="1">IFERROR(__xludf.DUMMYFUNCTION("""COMPUTED_VALUE"""),"")</f>
        <v/>
      </c>
      <c r="S976" t="str">
        <f ca="1">IFERROR(__xludf.DUMMYFUNCTION("""COMPUTED_VALUE"""),"")</f>
        <v/>
      </c>
      <c r="T976" t="str">
        <f ca="1">IFERROR(__xludf.DUMMYFUNCTION("""COMPUTED_VALUE"""),"")</f>
        <v/>
      </c>
      <c r="U976" t="str">
        <f ca="1">IFERROR(__xludf.DUMMYFUNCTION("""COMPUTED_VALUE"""),"")</f>
        <v/>
      </c>
      <c r="V976" t="str">
        <f ca="1">IFERROR(__xludf.DUMMYFUNCTION("""COMPUTED_VALUE"""),"")</f>
        <v/>
      </c>
      <c r="W976" t="str">
        <f ca="1">IFERROR(__xludf.DUMMYFUNCTION("""COMPUTED_VALUE"""),"R5")</f>
        <v>R5</v>
      </c>
      <c r="X976" t="str">
        <f ca="1">IFERROR(__xludf.DUMMYFUNCTION("""COMPUTED_VALUE"""),"PC mag &lt;8Go")</f>
        <v>PC mag &lt;8Go</v>
      </c>
      <c r="Y976" t="str">
        <f ca="1">IFERROR(__xludf.DUMMYFUNCTION("""COMPUTED_VALUE"""),"")</f>
        <v/>
      </c>
      <c r="Z976" t="str">
        <f ca="1">IFERROR(__xludf.DUMMYFUNCTION("""COMPUTED_VALUE"""),"")</f>
        <v/>
      </c>
      <c r="AA976" t="str">
        <f ca="1">IFERROR(__xludf.DUMMYFUNCTION("""COMPUTED_VALUE"""),"Pas de commande")</f>
        <v>Pas de commande</v>
      </c>
      <c r="AB976" s="8" t="str">
        <f ca="1">IFERROR(__xludf.DUMMYFUNCTION("""COMPUTED_VALUE"""),"")</f>
        <v/>
      </c>
      <c r="AC976" s="8" t="str">
        <f ca="1">IFERROR(__xludf.DUMMYFUNCTION("""COMPUTED_VALUE"""),"")</f>
        <v/>
      </c>
      <c r="AD976" s="11" t="str">
        <f ca="1">IFERROR(__xludf.DUMMYFUNCTION("""COMPUTED_VALUE"""),"")</f>
        <v/>
      </c>
      <c r="AE976" t="str">
        <f ca="1">IFERROR(__xludf.DUMMYFUNCTION("""COMPUTED_VALUE"""),"")</f>
        <v/>
      </c>
    </row>
    <row r="977" spans="1:31" ht="12.75" x14ac:dyDescent="0.2">
      <c r="A977">
        <f ca="1">IFERROR(__xludf.DUMMYFUNCTION("""COMPUTED_VALUE"""),30361)</f>
        <v>30361</v>
      </c>
      <c r="B977" t="str">
        <f ca="1">IFERROR(__xludf.DUMMYFUNCTION("""COMPUTED_VALUE"""),"ST-GEORGES-LES BAILLARGEAU")</f>
        <v>ST-GEORGES-LES BAILLARGEAU</v>
      </c>
      <c r="C977" t="str">
        <f ca="1">IFERROR(__xludf.DUMMYFUNCTION("""COMPUTED_VALUE"""),"Super U")</f>
        <v>Super U</v>
      </c>
      <c r="D977" t="str">
        <f ca="1">IFERROR(__xludf.DUMMYFUNCTION("""COMPUTED_VALUE"""),"Coop U Enseigne Ouest")</f>
        <v>Coop U Enseigne Ouest</v>
      </c>
      <c r="E977">
        <f ca="1">IFERROR(__xludf.DUMMYFUNCTION("""COMPUTED_VALUE"""),86130)</f>
        <v>86130</v>
      </c>
      <c r="F977" t="str">
        <f ca="1">IFERROR(__xludf.DUMMYFUNCTION("""COMPUTED_VALUE"""),"ROUTE DU CHAMP DE GAIN")</f>
        <v>ROUTE DU CHAMP DE GAIN</v>
      </c>
      <c r="G977" t="str">
        <f ca="1">IFERROR(__xludf.DUMMYFUNCTION("""COMPUTED_VALUE"""),"05.49.52.28.05")</f>
        <v>05.49.52.28.05</v>
      </c>
      <c r="H977" t="str">
        <f ca="1">IFERROR(__xludf.DUMMYFUNCTION("""COMPUTED_VALUE"""),"HERRY Jean-François")</f>
        <v>HERRY Jean-François</v>
      </c>
      <c r="I977" t="str">
        <f ca="1">IFERROR(__xludf.DUMMYFUNCTION("""COMPUTED_VALUE"""),"jean-francois.herry@systeme-u.fr")</f>
        <v>jean-francois.herry@systeme-u.fr</v>
      </c>
      <c r="J977" t="str">
        <f ca="1">IFERROR(__xludf.DUMMYFUNCTION("""COMPUTED_VALUE"""),"JEFFROY Isabelle")</f>
        <v>JEFFROY Isabelle</v>
      </c>
      <c r="K977" t="str">
        <f ca="1">IFERROR(__xludf.DUMMYFUNCTION("""COMPUTED_VALUE"""),"superu.saintgeorgeslesbaillargeaux.rh@systeme-u.fr")</f>
        <v>superu.saintgeorgeslesbaillargeaux.rh@systeme-u.fr</v>
      </c>
      <c r="L977" t="str">
        <f ca="1">IFERROR(__xludf.DUMMYFUNCTION("""COMPUTED_VALUE"""),"")</f>
        <v/>
      </c>
      <c r="M977" t="str">
        <f ca="1">IFERROR(__xludf.DUMMYFUNCTION("""COMPUTED_VALUE"""),"99.Hors Périmetre")</f>
        <v>99.Hors Périmetre</v>
      </c>
      <c r="N977" t="str">
        <f ca="1">IFERROR(__xludf.DUMMYFUNCTION("""COMPUTED_VALUE"""),"")</f>
        <v/>
      </c>
      <c r="O977" t="str">
        <f ca="1">IFERROR(__xludf.DUMMYFUNCTION("""COMPUTED_VALUE"""),"")</f>
        <v/>
      </c>
      <c r="P977" t="str">
        <f ca="1">IFERROR(__xludf.DUMMYFUNCTION("""COMPUTED_VALUE"""),"")</f>
        <v/>
      </c>
      <c r="Q977" s="5" t="str">
        <f ca="1">IFERROR(__xludf.DUMMYFUNCTION("""COMPUTED_VALUE"""),"")</f>
        <v/>
      </c>
      <c r="R977" s="6" t="str">
        <f ca="1">IFERROR(__xludf.DUMMYFUNCTION("""COMPUTED_VALUE"""),"")</f>
        <v/>
      </c>
      <c r="S977" t="str">
        <f ca="1">IFERROR(__xludf.DUMMYFUNCTION("""COMPUTED_VALUE"""),"")</f>
        <v/>
      </c>
      <c r="T977" t="str">
        <f ca="1">IFERROR(__xludf.DUMMYFUNCTION("""COMPUTED_VALUE"""),"")</f>
        <v/>
      </c>
      <c r="U977" t="str">
        <f ca="1">IFERROR(__xludf.DUMMYFUNCTION("""COMPUTED_VALUE"""),"")</f>
        <v/>
      </c>
      <c r="V977" t="str">
        <f ca="1">IFERROR(__xludf.DUMMYFUNCTION("""COMPUTED_VALUE"""),"")</f>
        <v/>
      </c>
      <c r="W977" t="str">
        <f ca="1">IFERROR(__xludf.DUMMYFUNCTION("""COMPUTED_VALUE"""),"")</f>
        <v/>
      </c>
      <c r="X977" t="str">
        <f ca="1">IFERROR(__xludf.DUMMYFUNCTION("""COMPUTED_VALUE"""),"")</f>
        <v/>
      </c>
      <c r="Y977" t="str">
        <f ca="1">IFERROR(__xludf.DUMMYFUNCTION("""COMPUTED_VALUE"""),"")</f>
        <v/>
      </c>
      <c r="Z977" t="str">
        <f ca="1">IFERROR(__xludf.DUMMYFUNCTION("""COMPUTED_VALUE"""),"")</f>
        <v/>
      </c>
      <c r="AA977" t="str">
        <f ca="1">IFERROR(__xludf.DUMMYFUNCTION("""COMPUTED_VALUE"""),"Pas de commande")</f>
        <v>Pas de commande</v>
      </c>
      <c r="AB977" s="8" t="str">
        <f ca="1">IFERROR(__xludf.DUMMYFUNCTION("""COMPUTED_VALUE"""),"")</f>
        <v/>
      </c>
      <c r="AC977" s="8" t="str">
        <f ca="1">IFERROR(__xludf.DUMMYFUNCTION("""COMPUTED_VALUE"""),"")</f>
        <v/>
      </c>
      <c r="AD977" s="11" t="str">
        <f ca="1">IFERROR(__xludf.DUMMYFUNCTION("""COMPUTED_VALUE"""),"")</f>
        <v/>
      </c>
      <c r="AE977" t="str">
        <f ca="1">IFERROR(__xludf.DUMMYFUNCTION("""COMPUTED_VALUE"""),"")</f>
        <v/>
      </c>
    </row>
    <row r="978" spans="1:31" ht="12.75" x14ac:dyDescent="0.2">
      <c r="A978">
        <f ca="1">IFERROR(__xludf.DUMMYFUNCTION("""COMPUTED_VALUE"""),35193)</f>
        <v>35193</v>
      </c>
      <c r="B978" t="str">
        <f ca="1">IFERROR(__xludf.DUMMYFUNCTION("""COMPUTED_VALUE"""),"ST-GEORGES-SUR-LOIRE")</f>
        <v>ST-GEORGES-SUR-LOIRE</v>
      </c>
      <c r="C978" t="str">
        <f ca="1">IFERROR(__xludf.DUMMYFUNCTION("""COMPUTED_VALUE"""),"Super U")</f>
        <v>Super U</v>
      </c>
      <c r="D978" t="str">
        <f ca="1">IFERROR(__xludf.DUMMYFUNCTION("""COMPUTED_VALUE"""),"Coop U Enseigne Ouest")</f>
        <v>Coop U Enseigne Ouest</v>
      </c>
      <c r="E978">
        <f ca="1">IFERROR(__xludf.DUMMYFUNCTION("""COMPUTED_VALUE"""),49170)</f>
        <v>49170</v>
      </c>
      <c r="F978" t="str">
        <f ca="1">IFERROR(__xludf.DUMMYFUNCTION("""COMPUTED_VALUE"""),"ZAC DES FOUGÈRES")</f>
        <v>ZAC DES FOUGÈRES</v>
      </c>
      <c r="G978" t="str">
        <f ca="1">IFERROR(__xludf.DUMMYFUNCTION("""COMPUTED_VALUE"""),"02.41.36.81.00")</f>
        <v>02.41.36.81.00</v>
      </c>
      <c r="H978" t="str">
        <f ca="1">IFERROR(__xludf.DUMMYFUNCTION("""COMPUTED_VALUE"""),"BIRON Alexandre")</f>
        <v>BIRON Alexandre</v>
      </c>
      <c r="I978" t="str">
        <f ca="1">IFERROR(__xludf.DUMMYFUNCTION("""COMPUTED_VALUE"""),"alexandre.biron@systeme-u.fr")</f>
        <v>alexandre.biron@systeme-u.fr</v>
      </c>
      <c r="J978" t="str">
        <f ca="1">IFERROR(__xludf.DUMMYFUNCTION("""COMPUTED_VALUE"""),"Mme. JUPILLE Murielle")</f>
        <v>Mme. JUPILLE Murielle</v>
      </c>
      <c r="K978" t="str">
        <f ca="1">IFERROR(__xludf.DUMMYFUNCTION("""COMPUTED_VALUE"""),"murielle.jupille@systeme-u.fr")</f>
        <v>murielle.jupille@systeme-u.fr</v>
      </c>
      <c r="L978" t="str">
        <f ca="1">IFERROR(__xludf.DUMMYFUNCTION("""COMPUTED_VALUE"""),"")</f>
        <v/>
      </c>
      <c r="M978" t="str">
        <f ca="1">IFERROR(__xludf.DUMMYFUNCTION("""COMPUTED_VALUE"""),"99.Hors Périmetre")</f>
        <v>99.Hors Périmetre</v>
      </c>
      <c r="N978" t="str">
        <f ca="1">IFERROR(__xludf.DUMMYFUNCTION("""COMPUTED_VALUE"""),"")</f>
        <v/>
      </c>
      <c r="O978" t="str">
        <f ca="1">IFERROR(__xludf.DUMMYFUNCTION("""COMPUTED_VALUE"""),"")</f>
        <v/>
      </c>
      <c r="P978" t="str">
        <f ca="1">IFERROR(__xludf.DUMMYFUNCTION("""COMPUTED_VALUE"""),"")</f>
        <v/>
      </c>
      <c r="Q978" s="5" t="str">
        <f ca="1">IFERROR(__xludf.DUMMYFUNCTION("""COMPUTED_VALUE"""),"")</f>
        <v/>
      </c>
      <c r="R978" s="6" t="str">
        <f ca="1">IFERROR(__xludf.DUMMYFUNCTION("""COMPUTED_VALUE"""),"")</f>
        <v/>
      </c>
      <c r="S978" t="str">
        <f ca="1">IFERROR(__xludf.DUMMYFUNCTION("""COMPUTED_VALUE"""),"")</f>
        <v/>
      </c>
      <c r="T978" t="str">
        <f ca="1">IFERROR(__xludf.DUMMYFUNCTION("""COMPUTED_VALUE"""),"")</f>
        <v/>
      </c>
      <c r="U978" t="str">
        <f ca="1">IFERROR(__xludf.DUMMYFUNCTION("""COMPUTED_VALUE"""),"")</f>
        <v/>
      </c>
      <c r="V978" t="str">
        <f ca="1">IFERROR(__xludf.DUMMYFUNCTION("""COMPUTED_VALUE"""),"")</f>
        <v/>
      </c>
      <c r="W978" t="str">
        <f ca="1">IFERROR(__xludf.DUMMYFUNCTION("""COMPUTED_VALUE"""),"")</f>
        <v/>
      </c>
      <c r="X978" t="str">
        <f ca="1">IFERROR(__xludf.DUMMYFUNCTION("""COMPUTED_VALUE"""),"")</f>
        <v/>
      </c>
      <c r="Y978" t="str">
        <f ca="1">IFERROR(__xludf.DUMMYFUNCTION("""COMPUTED_VALUE"""),"")</f>
        <v/>
      </c>
      <c r="Z978" t="str">
        <f ca="1">IFERROR(__xludf.DUMMYFUNCTION("""COMPUTED_VALUE"""),"")</f>
        <v/>
      </c>
      <c r="AA978" t="str">
        <f ca="1">IFERROR(__xludf.DUMMYFUNCTION("""COMPUTED_VALUE"""),"Pas de commande")</f>
        <v>Pas de commande</v>
      </c>
      <c r="AB978" s="8" t="str">
        <f ca="1">IFERROR(__xludf.DUMMYFUNCTION("""COMPUTED_VALUE"""),"")</f>
        <v/>
      </c>
      <c r="AC978" s="8" t="str">
        <f ca="1">IFERROR(__xludf.DUMMYFUNCTION("""COMPUTED_VALUE"""),"")</f>
        <v/>
      </c>
      <c r="AD978" s="11" t="str">
        <f ca="1">IFERROR(__xludf.DUMMYFUNCTION("""COMPUTED_VALUE"""),"")</f>
        <v/>
      </c>
      <c r="AE978" t="str">
        <f ca="1">IFERROR(__xludf.DUMMYFUNCTION("""COMPUTED_VALUE"""),"")</f>
        <v/>
      </c>
    </row>
    <row r="979" spans="1:31" ht="12.75" x14ac:dyDescent="0.2">
      <c r="A979">
        <f ca="1">IFERROR(__xludf.DUMMYFUNCTION("""COMPUTED_VALUE"""),30582)</f>
        <v>30582</v>
      </c>
      <c r="B979" t="str">
        <f ca="1">IFERROR(__xludf.DUMMYFUNCTION("""COMPUTED_VALUE"""),"ST-GILDAS-DES-BOIS")</f>
        <v>ST-GILDAS-DES-BOIS</v>
      </c>
      <c r="C979" t="str">
        <f ca="1">IFERROR(__xludf.DUMMYFUNCTION("""COMPUTED_VALUE"""),"Super U")</f>
        <v>Super U</v>
      </c>
      <c r="D979" t="str">
        <f ca="1">IFERROR(__xludf.DUMMYFUNCTION("""COMPUTED_VALUE"""),"Coop U Enseigne Ouest")</f>
        <v>Coop U Enseigne Ouest</v>
      </c>
      <c r="E979">
        <f ca="1">IFERROR(__xludf.DUMMYFUNCTION("""COMPUTED_VALUE"""),44530)</f>
        <v>44530</v>
      </c>
      <c r="F979" t="str">
        <f ca="1">IFERROR(__xludf.DUMMYFUNCTION("""COMPUTED_VALUE"""),"ROUTE DE PONTCHÂTEAU")</f>
        <v>ROUTE DE PONTCHÂTEAU</v>
      </c>
      <c r="G979" t="str">
        <f ca="1">IFERROR(__xludf.DUMMYFUNCTION("""COMPUTED_VALUE"""),"02.40.88.67.00")</f>
        <v>02.40.88.67.00</v>
      </c>
      <c r="H979" t="str">
        <f ca="1">IFERROR(__xludf.DUMMYFUNCTION("""COMPUTED_VALUE"""),"MOREAU RPT CM DEVELOPPEMENT Cyrille")</f>
        <v>MOREAU RPT CM DEVELOPPEMENT Cyrille</v>
      </c>
      <c r="I979" t="str">
        <f ca="1">IFERROR(__xludf.DUMMYFUNCTION("""COMPUTED_VALUE"""),"cyrille.moreau@systeme-u.fr")</f>
        <v>cyrille.moreau@systeme-u.fr</v>
      </c>
      <c r="J979" t="str">
        <f ca="1">IFERROR(__xludf.DUMMYFUNCTION("""COMPUTED_VALUE"""),"Mme Marie Georget")</f>
        <v>Mme Marie Georget</v>
      </c>
      <c r="K979" t="str">
        <f ca="1">IFERROR(__xludf.DUMMYFUNCTION("""COMPUTED_VALUE"""),"superu.saintgildasdesbois.administratif@systeme-u.fr,
superu.saintgildasdesbois.ACCUEIL@systeme-u.fr")</f>
        <v>superu.saintgildasdesbois.administratif@systeme-u.fr,
superu.saintgildasdesbois.ACCUEIL@systeme-u.fr</v>
      </c>
      <c r="L979" t="str">
        <f ca="1">IFERROR(__xludf.DUMMYFUNCTION("""COMPUTED_VALUE"""),"")</f>
        <v/>
      </c>
      <c r="M979" t="str">
        <f ca="1">IFERROR(__xludf.DUMMYFUNCTION("""COMPUTED_VALUE"""),"99.Hors Périmetre")</f>
        <v>99.Hors Périmetre</v>
      </c>
      <c r="N979" t="str">
        <f ca="1">IFERROR(__xludf.DUMMYFUNCTION("""COMPUTED_VALUE"""),"")</f>
        <v/>
      </c>
      <c r="O979" t="str">
        <f ca="1">IFERROR(__xludf.DUMMYFUNCTION("""COMPUTED_VALUE"""),"")</f>
        <v/>
      </c>
      <c r="P979" t="str">
        <f ca="1">IFERROR(__xludf.DUMMYFUNCTION("""COMPUTED_VALUE"""),"")</f>
        <v/>
      </c>
      <c r="Q979" s="5" t="str">
        <f ca="1">IFERROR(__xludf.DUMMYFUNCTION("""COMPUTED_VALUE"""),"")</f>
        <v/>
      </c>
      <c r="R979" s="6" t="str">
        <f ca="1">IFERROR(__xludf.DUMMYFUNCTION("""COMPUTED_VALUE"""),"")</f>
        <v/>
      </c>
      <c r="S979" t="str">
        <f ca="1">IFERROR(__xludf.DUMMYFUNCTION("""COMPUTED_VALUE"""),"")</f>
        <v/>
      </c>
      <c r="T979" t="str">
        <f ca="1">IFERROR(__xludf.DUMMYFUNCTION("""COMPUTED_VALUE"""),"")</f>
        <v/>
      </c>
      <c r="U979" t="str">
        <f ca="1">IFERROR(__xludf.DUMMYFUNCTION("""COMPUTED_VALUE"""),"")</f>
        <v/>
      </c>
      <c r="V979" t="str">
        <f ca="1">IFERROR(__xludf.DUMMYFUNCTION("""COMPUTED_VALUE"""),"")</f>
        <v/>
      </c>
      <c r="W979" t="str">
        <f ca="1">IFERROR(__xludf.DUMMYFUNCTION("""COMPUTED_VALUE"""),"")</f>
        <v/>
      </c>
      <c r="X979" t="str">
        <f ca="1">IFERROR(__xludf.DUMMYFUNCTION("""COMPUTED_VALUE"""),"")</f>
        <v/>
      </c>
      <c r="Y979" t="str">
        <f ca="1">IFERROR(__xludf.DUMMYFUNCTION("""COMPUTED_VALUE"""),"")</f>
        <v/>
      </c>
      <c r="Z979" t="str">
        <f ca="1">IFERROR(__xludf.DUMMYFUNCTION("""COMPUTED_VALUE"""),"")</f>
        <v/>
      </c>
      <c r="AA979" t="str">
        <f ca="1">IFERROR(__xludf.DUMMYFUNCTION("""COMPUTED_VALUE"""),"Pas de commande")</f>
        <v>Pas de commande</v>
      </c>
      <c r="AB979" s="8" t="str">
        <f ca="1">IFERROR(__xludf.DUMMYFUNCTION("""COMPUTED_VALUE"""),"")</f>
        <v/>
      </c>
      <c r="AC979" s="8" t="str">
        <f ca="1">IFERROR(__xludf.DUMMYFUNCTION("""COMPUTED_VALUE"""),"")</f>
        <v/>
      </c>
      <c r="AD979" s="11" t="str">
        <f ca="1">IFERROR(__xludf.DUMMYFUNCTION("""COMPUTED_VALUE"""),"")</f>
        <v/>
      </c>
      <c r="AE979" t="str">
        <f ca="1">IFERROR(__xludf.DUMMYFUNCTION("""COMPUTED_VALUE"""),"")</f>
        <v/>
      </c>
    </row>
    <row r="980" spans="1:31" ht="12.75" x14ac:dyDescent="0.2">
      <c r="A980">
        <f ca="1">IFERROR(__xludf.DUMMYFUNCTION("""COMPUTED_VALUE"""),30523)</f>
        <v>30523</v>
      </c>
      <c r="B980" t="str">
        <f ca="1">IFERROR(__xludf.DUMMYFUNCTION("""COMPUTED_VALUE"""),"ST-GILLES-CROIX-DE-VIE")</f>
        <v>ST-GILLES-CROIX-DE-VIE</v>
      </c>
      <c r="C980" t="str">
        <f ca="1">IFERROR(__xludf.DUMMYFUNCTION("""COMPUTED_VALUE"""),"Super U")</f>
        <v>Super U</v>
      </c>
      <c r="D980" t="str">
        <f ca="1">IFERROR(__xludf.DUMMYFUNCTION("""COMPUTED_VALUE"""),"Coop U Enseigne Ouest")</f>
        <v>Coop U Enseigne Ouest</v>
      </c>
      <c r="E980">
        <f ca="1">IFERROR(__xludf.DUMMYFUNCTION("""COMPUTED_VALUE"""),85804)</f>
        <v>85804</v>
      </c>
      <c r="F980" t="str">
        <f ca="1">IFERROR(__xludf.DUMMYFUNCTION("""COMPUTED_VALUE"""),"1 RUE DE LA DRIE")</f>
        <v>1 RUE DE LA DRIE</v>
      </c>
      <c r="G980" t="str">
        <f ca="1">IFERROR(__xludf.DUMMYFUNCTION("""COMPUTED_VALUE"""),"02.51.55.40.40")</f>
        <v>02.51.55.40.40</v>
      </c>
      <c r="H980" t="str">
        <f ca="1">IFERROR(__xludf.DUMMYFUNCTION("""COMPUTED_VALUE"""),"STEPHAN Loic")</f>
        <v>STEPHAN Loic</v>
      </c>
      <c r="I980" t="str">
        <f ca="1">IFERROR(__xludf.DUMMYFUNCTION("""COMPUTED_VALUE"""),"loic.stephan@systeme-u.fr")</f>
        <v>loic.stephan@systeme-u.fr</v>
      </c>
      <c r="J980" t="str">
        <f ca="1">IFERROR(__xludf.DUMMYFUNCTION("""COMPUTED_VALUE"""),"RABILLE Nicolas")</f>
        <v>RABILLE Nicolas</v>
      </c>
      <c r="K980" t="str">
        <f ca="1">IFERROR(__xludf.DUMMYFUNCTION("""COMPUTED_VALUE"""),"superu.saintgillescroixdevie.gescom@systeme-u.fr")</f>
        <v>superu.saintgillescroixdevie.gescom@systeme-u.fr</v>
      </c>
      <c r="L980" t="str">
        <f ca="1">IFERROR(__xludf.DUMMYFUNCTION("""COMPUTED_VALUE"""),"")</f>
        <v/>
      </c>
      <c r="M980" t="str">
        <f ca="1">IFERROR(__xludf.DUMMYFUNCTION("""COMPUTED_VALUE"""),"99.Hors Périmetre")</f>
        <v>99.Hors Périmetre</v>
      </c>
      <c r="N980" t="str">
        <f ca="1">IFERROR(__xludf.DUMMYFUNCTION("""COMPUTED_VALUE"""),"")</f>
        <v/>
      </c>
      <c r="O980" t="str">
        <f ca="1">IFERROR(__xludf.DUMMYFUNCTION("""COMPUTED_VALUE"""),"")</f>
        <v/>
      </c>
      <c r="P980" t="str">
        <f ca="1">IFERROR(__xludf.DUMMYFUNCTION("""COMPUTED_VALUE"""),"")</f>
        <v/>
      </c>
      <c r="Q980" s="5" t="str">
        <f ca="1">IFERROR(__xludf.DUMMYFUNCTION("""COMPUTED_VALUE"""),"")</f>
        <v/>
      </c>
      <c r="R980" s="6" t="str">
        <f ca="1">IFERROR(__xludf.DUMMYFUNCTION("""COMPUTED_VALUE"""),"")</f>
        <v/>
      </c>
      <c r="S980" t="str">
        <f ca="1">IFERROR(__xludf.DUMMYFUNCTION("""COMPUTED_VALUE"""),"")</f>
        <v/>
      </c>
      <c r="T980" t="str">
        <f ca="1">IFERROR(__xludf.DUMMYFUNCTION("""COMPUTED_VALUE"""),"")</f>
        <v/>
      </c>
      <c r="U980" t="str">
        <f ca="1">IFERROR(__xludf.DUMMYFUNCTION("""COMPUTED_VALUE"""),"")</f>
        <v/>
      </c>
      <c r="V980" t="str">
        <f ca="1">IFERROR(__xludf.DUMMYFUNCTION("""COMPUTED_VALUE"""),"")</f>
        <v/>
      </c>
      <c r="W980" t="str">
        <f ca="1">IFERROR(__xludf.DUMMYFUNCTION("""COMPUTED_VALUE"""),"")</f>
        <v/>
      </c>
      <c r="X980" t="str">
        <f ca="1">IFERROR(__xludf.DUMMYFUNCTION("""COMPUTED_VALUE"""),"")</f>
        <v/>
      </c>
      <c r="Y980" t="str">
        <f ca="1">IFERROR(__xludf.DUMMYFUNCTION("""COMPUTED_VALUE"""),"")</f>
        <v/>
      </c>
      <c r="Z980" t="str">
        <f ca="1">IFERROR(__xludf.DUMMYFUNCTION("""COMPUTED_VALUE"""),"")</f>
        <v/>
      </c>
      <c r="AA980" t="str">
        <f ca="1">IFERROR(__xludf.DUMMYFUNCTION("""COMPUTED_VALUE"""),"Pas de commande")</f>
        <v>Pas de commande</v>
      </c>
      <c r="AB980" s="8" t="str">
        <f ca="1">IFERROR(__xludf.DUMMYFUNCTION("""COMPUTED_VALUE"""),"")</f>
        <v/>
      </c>
      <c r="AC980" s="8" t="str">
        <f ca="1">IFERROR(__xludf.DUMMYFUNCTION("""COMPUTED_VALUE"""),"")</f>
        <v/>
      </c>
      <c r="AD980" s="11" t="str">
        <f ca="1">IFERROR(__xludf.DUMMYFUNCTION("""COMPUTED_VALUE"""),"")</f>
        <v/>
      </c>
      <c r="AE980" t="str">
        <f ca="1">IFERROR(__xludf.DUMMYFUNCTION("""COMPUTED_VALUE"""),"")</f>
        <v/>
      </c>
    </row>
    <row r="981" spans="1:31" ht="12.75" x14ac:dyDescent="0.2">
      <c r="A981">
        <f ca="1">IFERROR(__xludf.DUMMYFUNCTION("""COMPUTED_VALUE"""),32712)</f>
        <v>32712</v>
      </c>
      <c r="B981" t="str">
        <f ca="1">IFERROR(__xludf.DUMMYFUNCTION("""COMPUTED_VALUE"""),"ST-HERBLAIN")</f>
        <v>ST-HERBLAIN</v>
      </c>
      <c r="C981" t="str">
        <f ca="1">IFERROR(__xludf.DUMMYFUNCTION("""COMPUTED_VALUE"""),"Super U")</f>
        <v>Super U</v>
      </c>
      <c r="D981" t="str">
        <f ca="1">IFERROR(__xludf.DUMMYFUNCTION("""COMPUTED_VALUE"""),"Coop U Enseigne Ouest")</f>
        <v>Coop U Enseigne Ouest</v>
      </c>
      <c r="E981">
        <f ca="1">IFERROR(__xludf.DUMMYFUNCTION("""COMPUTED_VALUE"""),44800)</f>
        <v>44800</v>
      </c>
      <c r="F981" t="str">
        <f ca="1">IFERROR(__xludf.DUMMYFUNCTION("""COMPUTED_VALUE"""),"14 RUE DU LIEUTENANT MOUILLIÉ")</f>
        <v>14 RUE DU LIEUTENANT MOUILLIÉ</v>
      </c>
      <c r="G981" t="str">
        <f ca="1">IFERROR(__xludf.DUMMYFUNCTION("""COMPUTED_VALUE"""),"02.40.38.30.05")</f>
        <v>02.40.38.30.05</v>
      </c>
      <c r="H981" t="str">
        <f ca="1">IFERROR(__xludf.DUMMYFUNCTION("""COMPUTED_VALUE"""),"SANZ Olivier")</f>
        <v>SANZ Olivier</v>
      </c>
      <c r="I981" t="str">
        <f ca="1">IFERROR(__xludf.DUMMYFUNCTION("""COMPUTED_VALUE"""),"olivier.sanz@systeme-u.fr")</f>
        <v>olivier.sanz@systeme-u.fr</v>
      </c>
      <c r="J981" t="str">
        <f ca="1">IFERROR(__xludf.DUMMYFUNCTION("""COMPUTED_VALUE"""),"SANZ Celine")</f>
        <v>SANZ Celine</v>
      </c>
      <c r="K981" t="str">
        <f ca="1">IFERROR(__xludf.DUMMYFUNCTION("""COMPUTED_VALUE"""),"celine.sanz@systeme-u.fr")</f>
        <v>celine.sanz@systeme-u.fr</v>
      </c>
      <c r="L981" t="str">
        <f ca="1">IFERROR(__xludf.DUMMYFUNCTION("""COMPUTED_VALUE"""),"")</f>
        <v/>
      </c>
      <c r="M981" t="str">
        <f ca="1">IFERROR(__xludf.DUMMYFUNCTION("""COMPUTED_VALUE"""),"99.Hors Périmetre")</f>
        <v>99.Hors Périmetre</v>
      </c>
      <c r="N981" t="str">
        <f ca="1">IFERROR(__xludf.DUMMYFUNCTION("""COMPUTED_VALUE"""),"")</f>
        <v/>
      </c>
      <c r="O981" t="str">
        <f ca="1">IFERROR(__xludf.DUMMYFUNCTION("""COMPUTED_VALUE"""),"")</f>
        <v/>
      </c>
      <c r="P981" t="str">
        <f ca="1">IFERROR(__xludf.DUMMYFUNCTION("""COMPUTED_VALUE"""),"")</f>
        <v/>
      </c>
      <c r="Q981" s="5" t="str">
        <f ca="1">IFERROR(__xludf.DUMMYFUNCTION("""COMPUTED_VALUE"""),"")</f>
        <v/>
      </c>
      <c r="R981" s="6" t="str">
        <f ca="1">IFERROR(__xludf.DUMMYFUNCTION("""COMPUTED_VALUE"""),"")</f>
        <v/>
      </c>
      <c r="S981" t="str">
        <f ca="1">IFERROR(__xludf.DUMMYFUNCTION("""COMPUTED_VALUE"""),"")</f>
        <v/>
      </c>
      <c r="T981" t="str">
        <f ca="1">IFERROR(__xludf.DUMMYFUNCTION("""COMPUTED_VALUE"""),"")</f>
        <v/>
      </c>
      <c r="U981" t="str">
        <f ca="1">IFERROR(__xludf.DUMMYFUNCTION("""COMPUTED_VALUE"""),"")</f>
        <v/>
      </c>
      <c r="V981" t="str">
        <f ca="1">IFERROR(__xludf.DUMMYFUNCTION("""COMPUTED_VALUE"""),"")</f>
        <v/>
      </c>
      <c r="W981" t="str">
        <f ca="1">IFERROR(__xludf.DUMMYFUNCTION("""COMPUTED_VALUE"""),"")</f>
        <v/>
      </c>
      <c r="X981" t="str">
        <f ca="1">IFERROR(__xludf.DUMMYFUNCTION("""COMPUTED_VALUE"""),"")</f>
        <v/>
      </c>
      <c r="Y981" t="str">
        <f ca="1">IFERROR(__xludf.DUMMYFUNCTION("""COMPUTED_VALUE"""),"")</f>
        <v/>
      </c>
      <c r="Z981" t="str">
        <f ca="1">IFERROR(__xludf.DUMMYFUNCTION("""COMPUTED_VALUE"""),"")</f>
        <v/>
      </c>
      <c r="AA981" t="str">
        <f ca="1">IFERROR(__xludf.DUMMYFUNCTION("""COMPUTED_VALUE"""),"Pas de commande")</f>
        <v>Pas de commande</v>
      </c>
      <c r="AB981" s="8" t="str">
        <f ca="1">IFERROR(__xludf.DUMMYFUNCTION("""COMPUTED_VALUE"""),"")</f>
        <v/>
      </c>
      <c r="AC981" s="8" t="str">
        <f ca="1">IFERROR(__xludf.DUMMYFUNCTION("""COMPUTED_VALUE"""),"")</f>
        <v/>
      </c>
      <c r="AD981" s="11" t="str">
        <f ca="1">IFERROR(__xludf.DUMMYFUNCTION("""COMPUTED_VALUE"""),"")</f>
        <v/>
      </c>
      <c r="AE981" t="str">
        <f ca="1">IFERROR(__xludf.DUMMYFUNCTION("""COMPUTED_VALUE"""),"")</f>
        <v/>
      </c>
    </row>
    <row r="982" spans="1:31" ht="12.75" x14ac:dyDescent="0.2">
      <c r="A982">
        <f ca="1">IFERROR(__xludf.DUMMYFUNCTION("""COMPUTED_VALUE"""),37668)</f>
        <v>37668</v>
      </c>
      <c r="B982" t="str">
        <f ca="1">IFERROR(__xludf.DUMMYFUNCTION("""COMPUTED_VALUE"""),"ST-HERBLAIN BEAUSEJOUR")</f>
        <v>ST-HERBLAIN BEAUSEJOUR</v>
      </c>
      <c r="C982" t="str">
        <f ca="1">IFERROR(__xludf.DUMMYFUNCTION("""COMPUTED_VALUE"""),"U Express")</f>
        <v>U Express</v>
      </c>
      <c r="D982" t="str">
        <f ca="1">IFERROR(__xludf.DUMMYFUNCTION("""COMPUTED_VALUE"""),"Coop U Enseigne Ouest")</f>
        <v>Coop U Enseigne Ouest</v>
      </c>
      <c r="E982">
        <f ca="1">IFERROR(__xludf.DUMMYFUNCTION("""COMPUTED_VALUE"""),44800)</f>
        <v>44800</v>
      </c>
      <c r="F982" t="str">
        <f ca="1">IFERROR(__xludf.DUMMYFUNCTION("""COMPUTED_VALUE"""),"149 ROUTE DE VANNES")</f>
        <v>149 ROUTE DE VANNES</v>
      </c>
      <c r="G982" t="str">
        <f ca="1">IFERROR(__xludf.DUMMYFUNCTION("""COMPUTED_VALUE"""),"02.40.76.42.59")</f>
        <v>02.40.76.42.59</v>
      </c>
      <c r="H982" t="str">
        <f ca="1">IFERROR(__xludf.DUMMYFUNCTION("""COMPUTED_VALUE"""),"TRINQUART Yoann")</f>
        <v>TRINQUART Yoann</v>
      </c>
      <c r="I982" t="str">
        <f ca="1">IFERROR(__xludf.DUMMYFUNCTION("""COMPUTED_VALUE"""),"yoann.trinquart@systeme-u.fr")</f>
        <v>yoann.trinquart@systeme-u.fr</v>
      </c>
      <c r="J982" t="str">
        <f ca="1">IFERROR(__xludf.DUMMYFUNCTION("""COMPUTED_VALUE"""),"Trinquart Yoann ")</f>
        <v xml:space="preserve">Trinquart Yoann </v>
      </c>
      <c r="K982" t="str">
        <f ca="1">IFERROR(__xludf.DUMMYFUNCTION("""COMPUTED_VALUE"""),"yoann.trinquart@systeme-u.fr")</f>
        <v>yoann.trinquart@systeme-u.fr</v>
      </c>
      <c r="L982" t="str">
        <f ca="1">IFERROR(__xludf.DUMMYFUNCTION("""COMPUTED_VALUE"""),"")</f>
        <v/>
      </c>
      <c r="M982" t="str">
        <f ca="1">IFERROR(__xludf.DUMMYFUNCTION("""COMPUTED_VALUE"""),"99.Hors Périmetre")</f>
        <v>99.Hors Périmetre</v>
      </c>
      <c r="N982" t="str">
        <f ca="1">IFERROR(__xludf.DUMMYFUNCTION("""COMPUTED_VALUE"""),"")</f>
        <v/>
      </c>
      <c r="O982" t="str">
        <f ca="1">IFERROR(__xludf.DUMMYFUNCTION("""COMPUTED_VALUE"""),"")</f>
        <v/>
      </c>
      <c r="P982" t="str">
        <f ca="1">IFERROR(__xludf.DUMMYFUNCTION("""COMPUTED_VALUE"""),"")</f>
        <v/>
      </c>
      <c r="Q982" s="5" t="str">
        <f ca="1">IFERROR(__xludf.DUMMYFUNCTION("""COMPUTED_VALUE"""),"")</f>
        <v/>
      </c>
      <c r="R982" s="6" t="str">
        <f ca="1">IFERROR(__xludf.DUMMYFUNCTION("""COMPUTED_VALUE"""),"")</f>
        <v/>
      </c>
      <c r="S982" t="str">
        <f ca="1">IFERROR(__xludf.DUMMYFUNCTION("""COMPUTED_VALUE"""),"")</f>
        <v/>
      </c>
      <c r="T982" t="str">
        <f ca="1">IFERROR(__xludf.DUMMYFUNCTION("""COMPUTED_VALUE"""),"")</f>
        <v/>
      </c>
      <c r="U982" t="str">
        <f ca="1">IFERROR(__xludf.DUMMYFUNCTION("""COMPUTED_VALUE"""),"")</f>
        <v/>
      </c>
      <c r="V982" t="str">
        <f ca="1">IFERROR(__xludf.DUMMYFUNCTION("""COMPUTED_VALUE"""),"")</f>
        <v/>
      </c>
      <c r="W982" t="str">
        <f ca="1">IFERROR(__xludf.DUMMYFUNCTION("""COMPUTED_VALUE"""),"")</f>
        <v/>
      </c>
      <c r="X982" t="str">
        <f ca="1">IFERROR(__xludf.DUMMYFUNCTION("""COMPUTED_VALUE"""),"")</f>
        <v/>
      </c>
      <c r="Y982" t="str">
        <f ca="1">IFERROR(__xludf.DUMMYFUNCTION("""COMPUTED_VALUE"""),"")</f>
        <v/>
      </c>
      <c r="Z982" t="str">
        <f ca="1">IFERROR(__xludf.DUMMYFUNCTION("""COMPUTED_VALUE"""),"")</f>
        <v/>
      </c>
      <c r="AA982" t="str">
        <f ca="1">IFERROR(__xludf.DUMMYFUNCTION("""COMPUTED_VALUE"""),"Pas de commande")</f>
        <v>Pas de commande</v>
      </c>
      <c r="AB982" s="8" t="str">
        <f ca="1">IFERROR(__xludf.DUMMYFUNCTION("""COMPUTED_VALUE"""),"")</f>
        <v/>
      </c>
      <c r="AC982" s="8" t="str">
        <f ca="1">IFERROR(__xludf.DUMMYFUNCTION("""COMPUTED_VALUE"""),"")</f>
        <v/>
      </c>
      <c r="AD982" s="11" t="str">
        <f ca="1">IFERROR(__xludf.DUMMYFUNCTION("""COMPUTED_VALUE"""),"")</f>
        <v/>
      </c>
      <c r="AE982" t="str">
        <f ca="1">IFERROR(__xludf.DUMMYFUNCTION("""COMPUTED_VALUE"""),"")</f>
        <v/>
      </c>
    </row>
    <row r="983" spans="1:31" ht="12.75" x14ac:dyDescent="0.2">
      <c r="A983">
        <f ca="1">IFERROR(__xludf.DUMMYFUNCTION("""COMPUTED_VALUE"""),30108)</f>
        <v>30108</v>
      </c>
      <c r="B983" t="str">
        <f ca="1">IFERROR(__xludf.DUMMYFUNCTION("""COMPUTED_VALUE"""),"ST-HILAIRE-DE-RIEZ")</f>
        <v>ST-HILAIRE-DE-RIEZ</v>
      </c>
      <c r="C983" t="str">
        <f ca="1">IFERROR(__xludf.DUMMYFUNCTION("""COMPUTED_VALUE"""),"Hyper U")</f>
        <v>Hyper U</v>
      </c>
      <c r="D983" t="str">
        <f ca="1">IFERROR(__xludf.DUMMYFUNCTION("""COMPUTED_VALUE"""),"Coop U Enseigne Ouest")</f>
        <v>Coop U Enseigne Ouest</v>
      </c>
      <c r="E983">
        <f ca="1">IFERROR(__xludf.DUMMYFUNCTION("""COMPUTED_VALUE"""),85270)</f>
        <v>85270</v>
      </c>
      <c r="F983" t="str">
        <f ca="1">IFERROR(__xludf.DUMMYFUNCTION("""COMPUTED_VALUE"""),"140 AVENUE DE L'ISLE DE RIEZ")</f>
        <v>140 AVENUE DE L'ISLE DE RIEZ</v>
      </c>
      <c r="G983" t="str">
        <f ca="1">IFERROR(__xludf.DUMMYFUNCTION("""COMPUTED_VALUE"""),"02.51.54.55.71")</f>
        <v>02.51.54.55.71</v>
      </c>
      <c r="H983" t="str">
        <f ca="1">IFERROR(__xludf.DUMMYFUNCTION("""COMPUTED_VALUE"""),"GUERIN Mathieu")</f>
        <v>GUERIN Mathieu</v>
      </c>
      <c r="I983" t="str">
        <f ca="1">IFERROR(__xludf.DUMMYFUNCTION("""COMPUTED_VALUE"""),"mathieu.guerin@systeme-u.fr")</f>
        <v>mathieu.guerin@systeme-u.fr</v>
      </c>
      <c r="J983" t="str">
        <f ca="1">IFERROR(__xludf.DUMMYFUNCTION("""COMPUTED_VALUE"""),"GUERIN Mathieu")</f>
        <v>GUERIN Mathieu</v>
      </c>
      <c r="K983" t="str">
        <f ca="1">IFERROR(__xludf.DUMMYFUNCTION("""COMPUTED_VALUE"""),"mathieu.guerin@systeme-u.fr")</f>
        <v>mathieu.guerin@systeme-u.fr</v>
      </c>
      <c r="L983" t="str">
        <f ca="1">IFERROR(__xludf.DUMMYFUNCTION("""COMPUTED_VALUE"""),"")</f>
        <v/>
      </c>
      <c r="M983" t="str">
        <f ca="1">IFERROR(__xludf.DUMMYFUNCTION("""COMPUTED_VALUE"""),"99.Hors Périmetre")</f>
        <v>99.Hors Périmetre</v>
      </c>
      <c r="N983" t="str">
        <f ca="1">IFERROR(__xludf.DUMMYFUNCTION("""COMPUTED_VALUE"""),"")</f>
        <v/>
      </c>
      <c r="O983" t="str">
        <f ca="1">IFERROR(__xludf.DUMMYFUNCTION("""COMPUTED_VALUE"""),"")</f>
        <v/>
      </c>
      <c r="P983" t="str">
        <f ca="1">IFERROR(__xludf.DUMMYFUNCTION("""COMPUTED_VALUE"""),"")</f>
        <v/>
      </c>
      <c r="Q983" s="5" t="str">
        <f ca="1">IFERROR(__xludf.DUMMYFUNCTION("""COMPUTED_VALUE"""),"")</f>
        <v/>
      </c>
      <c r="R983" s="6" t="str">
        <f ca="1">IFERROR(__xludf.DUMMYFUNCTION("""COMPUTED_VALUE"""),"")</f>
        <v/>
      </c>
      <c r="S983" t="str">
        <f ca="1">IFERROR(__xludf.DUMMYFUNCTION("""COMPUTED_VALUE"""),"")</f>
        <v/>
      </c>
      <c r="T983" t="str">
        <f ca="1">IFERROR(__xludf.DUMMYFUNCTION("""COMPUTED_VALUE"""),"")</f>
        <v/>
      </c>
      <c r="U983" t="str">
        <f ca="1">IFERROR(__xludf.DUMMYFUNCTION("""COMPUTED_VALUE"""),"")</f>
        <v/>
      </c>
      <c r="V983" t="str">
        <f ca="1">IFERROR(__xludf.DUMMYFUNCTION("""COMPUTED_VALUE"""),"")</f>
        <v/>
      </c>
      <c r="W983" t="str">
        <f ca="1">IFERROR(__xludf.DUMMYFUNCTION("""COMPUTED_VALUE"""),"")</f>
        <v/>
      </c>
      <c r="X983" t="str">
        <f ca="1">IFERROR(__xludf.DUMMYFUNCTION("""COMPUTED_VALUE"""),"")</f>
        <v/>
      </c>
      <c r="Y983" t="str">
        <f ca="1">IFERROR(__xludf.DUMMYFUNCTION("""COMPUTED_VALUE"""),"")</f>
        <v/>
      </c>
      <c r="Z983" t="str">
        <f ca="1">IFERROR(__xludf.DUMMYFUNCTION("""COMPUTED_VALUE"""),"")</f>
        <v/>
      </c>
      <c r="AA983" t="str">
        <f ca="1">IFERROR(__xludf.DUMMYFUNCTION("""COMPUTED_VALUE"""),"Pas de commande")</f>
        <v>Pas de commande</v>
      </c>
      <c r="AB983" s="8" t="str">
        <f ca="1">IFERROR(__xludf.DUMMYFUNCTION("""COMPUTED_VALUE"""),"")</f>
        <v/>
      </c>
      <c r="AC983" s="8" t="str">
        <f ca="1">IFERROR(__xludf.DUMMYFUNCTION("""COMPUTED_VALUE"""),"")</f>
        <v/>
      </c>
      <c r="AD983" s="11" t="str">
        <f ca="1">IFERROR(__xludf.DUMMYFUNCTION("""COMPUTED_VALUE"""),"")</f>
        <v/>
      </c>
      <c r="AE983" t="str">
        <f ca="1">IFERROR(__xludf.DUMMYFUNCTION("""COMPUTED_VALUE"""),"")</f>
        <v/>
      </c>
    </row>
    <row r="984" spans="1:31" ht="12.75" x14ac:dyDescent="0.2">
      <c r="A984">
        <f ca="1">IFERROR(__xludf.DUMMYFUNCTION("""COMPUTED_VALUE"""),39237)</f>
        <v>39237</v>
      </c>
      <c r="B984" t="str">
        <f ca="1">IFERROR(__xludf.DUMMYFUNCTION("""COMPUTED_VALUE"""),"ST-JAMES")</f>
        <v>ST-JAMES</v>
      </c>
      <c r="C984" t="str">
        <f ca="1">IFERROR(__xludf.DUMMYFUNCTION("""COMPUTED_VALUE"""),"Super U")</f>
        <v>Super U</v>
      </c>
      <c r="D984" t="str">
        <f ca="1">IFERROR(__xludf.DUMMYFUNCTION("""COMPUTED_VALUE"""),"Coop U Enseigne Ouest")</f>
        <v>Coop U Enseigne Ouest</v>
      </c>
      <c r="E984">
        <f ca="1">IFERROR(__xludf.DUMMYFUNCTION("""COMPUTED_VALUE"""),50240)</f>
        <v>50240</v>
      </c>
      <c r="F984" t="str">
        <f ca="1">IFERROR(__xludf.DUMMYFUNCTION("""COMPUTED_VALUE"""),"ZONE DE BEAUFOUR")</f>
        <v>ZONE DE BEAUFOUR</v>
      </c>
      <c r="G984" t="str">
        <f ca="1">IFERROR(__xludf.DUMMYFUNCTION("""COMPUTED_VALUE"""),"02.33.89.64.40")</f>
        <v>02.33.89.64.40</v>
      </c>
      <c r="H984" t="str">
        <f ca="1">IFERROR(__xludf.DUMMYFUNCTION("""COMPUTED_VALUE"""),"BARON RPT SAS LYTI HOLDING Laurent")</f>
        <v>BARON RPT SAS LYTI HOLDING Laurent</v>
      </c>
      <c r="I984" t="str">
        <f ca="1">IFERROR(__xludf.DUMMYFUNCTION("""COMPUTED_VALUE"""),"laurent.baron@systeme-u.fr")</f>
        <v>laurent.baron@systeme-u.fr</v>
      </c>
      <c r="J984" t="str">
        <f ca="1">IFERROR(__xludf.DUMMYFUNCTION("""COMPUTED_VALUE"""),"BARON Thierry")</f>
        <v>BARON Thierry</v>
      </c>
      <c r="K984" t="str">
        <f ca="1">IFERROR(__xludf.DUMMYFUNCTION("""COMPUTED_VALUE"""),"thierry.baron@systeme-u.fr")</f>
        <v>thierry.baron@systeme-u.fr</v>
      </c>
      <c r="L984" t="str">
        <f ca="1">IFERROR(__xludf.DUMMYFUNCTION("""COMPUTED_VALUE"""),"")</f>
        <v/>
      </c>
      <c r="M984" t="str">
        <f ca="1">IFERROR(__xludf.DUMMYFUNCTION("""COMPUTED_VALUE"""),"99.Hors Périmetre")</f>
        <v>99.Hors Périmetre</v>
      </c>
      <c r="N984" t="str">
        <f ca="1">IFERROR(__xludf.DUMMYFUNCTION("""COMPUTED_VALUE"""),"")</f>
        <v/>
      </c>
      <c r="O984" t="str">
        <f ca="1">IFERROR(__xludf.DUMMYFUNCTION("""COMPUTED_VALUE"""),"")</f>
        <v/>
      </c>
      <c r="P984" t="str">
        <f ca="1">IFERROR(__xludf.DUMMYFUNCTION("""COMPUTED_VALUE"""),"")</f>
        <v/>
      </c>
      <c r="Q984" s="5" t="str">
        <f ca="1">IFERROR(__xludf.DUMMYFUNCTION("""COMPUTED_VALUE"""),"")</f>
        <v/>
      </c>
      <c r="R984" s="6" t="str">
        <f ca="1">IFERROR(__xludf.DUMMYFUNCTION("""COMPUTED_VALUE"""),"")</f>
        <v/>
      </c>
      <c r="S984" t="str">
        <f ca="1">IFERROR(__xludf.DUMMYFUNCTION("""COMPUTED_VALUE"""),"")</f>
        <v/>
      </c>
      <c r="T984" t="str">
        <f ca="1">IFERROR(__xludf.DUMMYFUNCTION("""COMPUTED_VALUE"""),"")</f>
        <v/>
      </c>
      <c r="U984" t="str">
        <f ca="1">IFERROR(__xludf.DUMMYFUNCTION("""COMPUTED_VALUE"""),"")</f>
        <v/>
      </c>
      <c r="V984" t="str">
        <f ca="1">IFERROR(__xludf.DUMMYFUNCTION("""COMPUTED_VALUE"""),"")</f>
        <v/>
      </c>
      <c r="W984" t="str">
        <f ca="1">IFERROR(__xludf.DUMMYFUNCTION("""COMPUTED_VALUE"""),"")</f>
        <v/>
      </c>
      <c r="X984" t="str">
        <f ca="1">IFERROR(__xludf.DUMMYFUNCTION("""COMPUTED_VALUE"""),"")</f>
        <v/>
      </c>
      <c r="Y984" t="str">
        <f ca="1">IFERROR(__xludf.DUMMYFUNCTION("""COMPUTED_VALUE"""),"")</f>
        <v/>
      </c>
      <c r="Z984" t="str">
        <f ca="1">IFERROR(__xludf.DUMMYFUNCTION("""COMPUTED_VALUE"""),"")</f>
        <v/>
      </c>
      <c r="AA984" t="str">
        <f ca="1">IFERROR(__xludf.DUMMYFUNCTION("""COMPUTED_VALUE"""),"Pas de commande")</f>
        <v>Pas de commande</v>
      </c>
      <c r="AB984" s="8" t="str">
        <f ca="1">IFERROR(__xludf.DUMMYFUNCTION("""COMPUTED_VALUE"""),"")</f>
        <v/>
      </c>
      <c r="AC984" s="8" t="str">
        <f ca="1">IFERROR(__xludf.DUMMYFUNCTION("""COMPUTED_VALUE"""),"")</f>
        <v/>
      </c>
      <c r="AD984" s="11" t="str">
        <f ca="1">IFERROR(__xludf.DUMMYFUNCTION("""COMPUTED_VALUE"""),"")</f>
        <v/>
      </c>
      <c r="AE984" t="str">
        <f ca="1">IFERROR(__xludf.DUMMYFUNCTION("""COMPUTED_VALUE"""),"")</f>
        <v/>
      </c>
    </row>
    <row r="985" spans="1:31" ht="12.75" x14ac:dyDescent="0.2">
      <c r="A985">
        <f ca="1">IFERROR(__xludf.DUMMYFUNCTION("""COMPUTED_VALUE"""),34216)</f>
        <v>34216</v>
      </c>
      <c r="B985" t="str">
        <f ca="1">IFERROR(__xludf.DUMMYFUNCTION("""COMPUTED_VALUE"""),"ST-JEAN-D'ANGELY")</f>
        <v>ST-JEAN-D'ANGELY</v>
      </c>
      <c r="C985" t="str">
        <f ca="1">IFERROR(__xludf.DUMMYFUNCTION("""COMPUTED_VALUE"""),"Utile")</f>
        <v>Utile</v>
      </c>
      <c r="D985" t="str">
        <f ca="1">IFERROR(__xludf.DUMMYFUNCTION("""COMPUTED_VALUE"""),"Coop Atlantique")</f>
        <v>Coop Atlantique</v>
      </c>
      <c r="E985">
        <f ca="1">IFERROR(__xludf.DUMMYFUNCTION("""COMPUTED_VALUE"""),17400)</f>
        <v>17400</v>
      </c>
      <c r="F985" t="str">
        <f ca="1">IFERROR(__xludf.DUMMYFUNCTION("""COMPUTED_VALUE"""),"6, RUE DE L'HOTEL DE VILLE")</f>
        <v>6, RUE DE L'HOTEL DE VILLE</v>
      </c>
      <c r="G985" t="str">
        <f ca="1">IFERROR(__xludf.DUMMYFUNCTION("""COMPUTED_VALUE"""),"05.46.32.06.40")</f>
        <v>05.46.32.06.40</v>
      </c>
      <c r="H985" t="str">
        <f ca="1">IFERROR(__xludf.DUMMYFUNCTION("""COMPUTED_VALUE"""),"FLAMBARD Hervé")</f>
        <v>FLAMBARD Hervé</v>
      </c>
      <c r="I985" t="str">
        <f ca="1">IFERROR(__xludf.DUMMYFUNCTION("""COMPUTED_VALUE"""),"bertrand.defontaine_coop_su_uex@systeme-u.fr")</f>
        <v>bertrand.defontaine_coop_su_uex@systeme-u.fr</v>
      </c>
      <c r="J985" t="str">
        <f ca="1">IFERROR(__xludf.DUMMYFUNCTION("""COMPUTED_VALUE"""),"Grégory LEFEBVRE")</f>
        <v>Grégory LEFEBVRE</v>
      </c>
      <c r="K985" t="str">
        <f ca="1">IFERROR(__xludf.DUMMYFUNCTION("""COMPUTED_VALUE"""),"uexpress.saintjeandangely.direction@systeme-u.fr,nbrigant@coop-atlantique.fr,sjaud@coop-atlantique.fr")</f>
        <v>uexpress.saintjeandangely.direction@systeme-u.fr,nbrigant@coop-atlantique.fr,sjaud@coop-atlantique.fr</v>
      </c>
      <c r="L985" t="str">
        <f ca="1">IFERROR(__xludf.DUMMYFUNCTION("""COMPUTED_VALUE"""),"Standard")</f>
        <v>Standard</v>
      </c>
      <c r="M985" t="str">
        <f ca="1">IFERROR(__xludf.DUMMYFUNCTION("""COMPUTED_VALUE"""),"0. Non démarré")</f>
        <v>0. Non démarré</v>
      </c>
      <c r="N985" t="str">
        <f ca="1">IFERROR(__xludf.DUMMYFUNCTION("""COMPUTED_VALUE"""),"")</f>
        <v/>
      </c>
      <c r="O985" t="str">
        <f ca="1">IFERROR(__xludf.DUMMYFUNCTION("""COMPUTED_VALUE"""),"")</f>
        <v/>
      </c>
      <c r="P985" t="str">
        <f ca="1">IFERROR(__xludf.DUMMYFUNCTION("""COMPUTED_VALUE"""),"")</f>
        <v/>
      </c>
      <c r="Q985" s="5" t="str">
        <f ca="1">IFERROR(__xludf.DUMMYFUNCTION("""COMPUTED_VALUE"""),"")</f>
        <v/>
      </c>
      <c r="R985" s="6" t="str">
        <f ca="1">IFERROR(__xludf.DUMMYFUNCTION("""COMPUTED_VALUE"""),"")</f>
        <v/>
      </c>
      <c r="S985" t="str">
        <f ca="1">IFERROR(__xludf.DUMMYFUNCTION("""COMPUTED_VALUE"""),"")</f>
        <v/>
      </c>
      <c r="T985" t="str">
        <f ca="1">IFERROR(__xludf.DUMMYFUNCTION("""COMPUTED_VALUE"""),"")</f>
        <v/>
      </c>
      <c r="U985" t="str">
        <f ca="1">IFERROR(__xludf.DUMMYFUNCTION("""COMPUTED_VALUE"""),"")</f>
        <v/>
      </c>
      <c r="V985" t="str">
        <f ca="1">IFERROR(__xludf.DUMMYFUNCTION("""COMPUTED_VALUE"""),"")</f>
        <v/>
      </c>
      <c r="W985" t="str">
        <f ca="1">IFERROR(__xludf.DUMMYFUNCTION("""COMPUTED_VALUE"""),"R5")</f>
        <v>R5</v>
      </c>
      <c r="X985" t="str">
        <f ca="1">IFERROR(__xludf.DUMMYFUNCTION("""COMPUTED_VALUE"""),"PC mag &lt;8Go")</f>
        <v>PC mag &lt;8Go</v>
      </c>
      <c r="Y985" t="str">
        <f ca="1">IFERROR(__xludf.DUMMYFUNCTION("""COMPUTED_VALUE"""),"")</f>
        <v/>
      </c>
      <c r="Z985" t="str">
        <f ca="1">IFERROR(__xludf.DUMMYFUNCTION("""COMPUTED_VALUE"""),"")</f>
        <v/>
      </c>
      <c r="AA985" t="str">
        <f ca="1">IFERROR(__xludf.DUMMYFUNCTION("""COMPUTED_VALUE"""),"Pas de commande")</f>
        <v>Pas de commande</v>
      </c>
      <c r="AB985" s="8" t="str">
        <f ca="1">IFERROR(__xludf.DUMMYFUNCTION("""COMPUTED_VALUE"""),"")</f>
        <v/>
      </c>
      <c r="AC985" s="8" t="str">
        <f ca="1">IFERROR(__xludf.DUMMYFUNCTION("""COMPUTED_VALUE"""),"")</f>
        <v/>
      </c>
      <c r="AD985" s="11" t="str">
        <f ca="1">IFERROR(__xludf.DUMMYFUNCTION("""COMPUTED_VALUE"""),"")</f>
        <v/>
      </c>
      <c r="AE985" t="str">
        <f ca="1">IFERROR(__xludf.DUMMYFUNCTION("""COMPUTED_VALUE"""),"")</f>
        <v/>
      </c>
    </row>
    <row r="986" spans="1:31" ht="12.75" x14ac:dyDescent="0.2">
      <c r="A986">
        <f ca="1">IFERROR(__xludf.DUMMYFUNCTION("""COMPUTED_VALUE"""),32054)</f>
        <v>32054</v>
      </c>
      <c r="B986" t="str">
        <f ca="1">IFERROR(__xludf.DUMMYFUNCTION("""COMPUTED_VALUE"""),"ST-JEAN-DE-MONTS")</f>
        <v>ST-JEAN-DE-MONTS</v>
      </c>
      <c r="C986" t="str">
        <f ca="1">IFERROR(__xludf.DUMMYFUNCTION("""COMPUTED_VALUE"""),"Super U")</f>
        <v>Super U</v>
      </c>
      <c r="D986" t="str">
        <f ca="1">IFERROR(__xludf.DUMMYFUNCTION("""COMPUTED_VALUE"""),"Coop U Enseigne Ouest")</f>
        <v>Coop U Enseigne Ouest</v>
      </c>
      <c r="E986">
        <f ca="1">IFERROR(__xludf.DUMMYFUNCTION("""COMPUTED_VALUE"""),85160)</f>
        <v>85160</v>
      </c>
      <c r="F986" t="str">
        <f ca="1">IFERROR(__xludf.DUMMYFUNCTION("""COMPUTED_VALUE"""),"ROUTE DE CHALLANS")</f>
        <v>ROUTE DE CHALLANS</v>
      </c>
      <c r="G986" t="str">
        <f ca="1">IFERROR(__xludf.DUMMYFUNCTION("""COMPUTED_VALUE"""),"02.51.26.55.55")</f>
        <v>02.51.26.55.55</v>
      </c>
      <c r="H986" t="str">
        <f ca="1">IFERROR(__xludf.DUMMYFUNCTION("""COMPUTED_VALUE"""),"GAUDIN RPT SARL SODISMONTS Philippe")</f>
        <v>GAUDIN RPT SARL SODISMONTS Philippe</v>
      </c>
      <c r="I986" t="str">
        <f ca="1">IFERROR(__xludf.DUMMYFUNCTION("""COMPUTED_VALUE"""),"philippe.gaudin@systeme-u.fr")</f>
        <v>philippe.gaudin@systeme-u.fr</v>
      </c>
      <c r="J986" t="str">
        <f ca="1">IFERROR(__xludf.DUMMYFUNCTION("""COMPUTED_VALUE"""),"Brethé Marie-Claire
Mme Sophie MOREAU (UPLV)")</f>
        <v>Brethé Marie-Claire
Mme Sophie MOREAU (UPLV)</v>
      </c>
      <c r="K986" t="str">
        <f ca="1">IFERROR(__xludf.DUMMYFUNCTION("""COMPUTED_VALUE"""),"superu.saintjeandemonts.affichage@systeme-u.fr")</f>
        <v>superu.saintjeandemonts.affichage@systeme-u.fr</v>
      </c>
      <c r="L986" t="str">
        <f ca="1">IFERROR(__xludf.DUMMYFUNCTION("""COMPUTED_VALUE"""),"")</f>
        <v/>
      </c>
      <c r="M986" t="str">
        <f ca="1">IFERROR(__xludf.DUMMYFUNCTION("""COMPUTED_VALUE"""),"99.Hors Périmetre")</f>
        <v>99.Hors Périmetre</v>
      </c>
      <c r="N986" t="str">
        <f ca="1">IFERROR(__xludf.DUMMYFUNCTION("""COMPUTED_VALUE"""),"")</f>
        <v/>
      </c>
      <c r="O986" t="str">
        <f ca="1">IFERROR(__xludf.DUMMYFUNCTION("""COMPUTED_VALUE"""),"")</f>
        <v/>
      </c>
      <c r="P986" t="str">
        <f ca="1">IFERROR(__xludf.DUMMYFUNCTION("""COMPUTED_VALUE"""),"")</f>
        <v/>
      </c>
      <c r="Q986" s="5" t="str">
        <f ca="1">IFERROR(__xludf.DUMMYFUNCTION("""COMPUTED_VALUE"""),"")</f>
        <v/>
      </c>
      <c r="R986" s="6" t="str">
        <f ca="1">IFERROR(__xludf.DUMMYFUNCTION("""COMPUTED_VALUE"""),"")</f>
        <v/>
      </c>
      <c r="S986" t="str">
        <f ca="1">IFERROR(__xludf.DUMMYFUNCTION("""COMPUTED_VALUE"""),"")</f>
        <v/>
      </c>
      <c r="T986" t="str">
        <f ca="1">IFERROR(__xludf.DUMMYFUNCTION("""COMPUTED_VALUE"""),"")</f>
        <v/>
      </c>
      <c r="U986" t="str">
        <f ca="1">IFERROR(__xludf.DUMMYFUNCTION("""COMPUTED_VALUE"""),"")</f>
        <v/>
      </c>
      <c r="V986" t="str">
        <f ca="1">IFERROR(__xludf.DUMMYFUNCTION("""COMPUTED_VALUE"""),"")</f>
        <v/>
      </c>
      <c r="W986" t="str">
        <f ca="1">IFERROR(__xludf.DUMMYFUNCTION("""COMPUTED_VALUE"""),"")</f>
        <v/>
      </c>
      <c r="X986" t="str">
        <f ca="1">IFERROR(__xludf.DUMMYFUNCTION("""COMPUTED_VALUE"""),"")</f>
        <v/>
      </c>
      <c r="Y986" t="str">
        <f ca="1">IFERROR(__xludf.DUMMYFUNCTION("""COMPUTED_VALUE"""),"")</f>
        <v/>
      </c>
      <c r="Z986" t="str">
        <f ca="1">IFERROR(__xludf.DUMMYFUNCTION("""COMPUTED_VALUE"""),"")</f>
        <v/>
      </c>
      <c r="AA986" t="str">
        <f ca="1">IFERROR(__xludf.DUMMYFUNCTION("""COMPUTED_VALUE"""),"Pas de commande")</f>
        <v>Pas de commande</v>
      </c>
      <c r="AB986" s="8" t="str">
        <f ca="1">IFERROR(__xludf.DUMMYFUNCTION("""COMPUTED_VALUE"""),"")</f>
        <v/>
      </c>
      <c r="AC986" s="8" t="str">
        <f ca="1">IFERROR(__xludf.DUMMYFUNCTION("""COMPUTED_VALUE"""),"")</f>
        <v/>
      </c>
      <c r="AD986" s="11" t="str">
        <f ca="1">IFERROR(__xludf.DUMMYFUNCTION("""COMPUTED_VALUE"""),"")</f>
        <v/>
      </c>
      <c r="AE986" t="str">
        <f ca="1">IFERROR(__xludf.DUMMYFUNCTION("""COMPUTED_VALUE"""),"")</f>
        <v/>
      </c>
    </row>
    <row r="987" spans="1:31" ht="12.75" x14ac:dyDescent="0.2">
      <c r="A987">
        <f ca="1">IFERROR(__xludf.DUMMYFUNCTION("""COMPUTED_VALUE"""),31444)</f>
        <v>31444</v>
      </c>
      <c r="B987" t="str">
        <f ca="1">IFERROR(__xludf.DUMMYFUNCTION("""COMPUTED_VALUE"""),"ST-JUNIEN")</f>
        <v>ST-JUNIEN</v>
      </c>
      <c r="C987" t="str">
        <f ca="1">IFERROR(__xludf.DUMMYFUNCTION("""COMPUTED_VALUE"""),"Hyper U")</f>
        <v>Hyper U</v>
      </c>
      <c r="D987" t="str">
        <f ca="1">IFERROR(__xludf.DUMMYFUNCTION("""COMPUTED_VALUE"""),"Coop Atlantique")</f>
        <v>Coop Atlantique</v>
      </c>
      <c r="E987">
        <f ca="1">IFERROR(__xludf.DUMMYFUNCTION("""COMPUTED_VALUE"""),87200)</f>
        <v>87200</v>
      </c>
      <c r="F987" t="str">
        <f ca="1">IFERROR(__xludf.DUMMYFUNCTION("""COMPUTED_VALUE"""),"AVENUE NELSON MANDELA")</f>
        <v>AVENUE NELSON MANDELA</v>
      </c>
      <c r="G987" t="str">
        <f ca="1">IFERROR(__xludf.DUMMYFUNCTION("""COMPUTED_VALUE"""),"05.55.43.05.70")</f>
        <v>05.55.43.05.70</v>
      </c>
      <c r="H987" t="str">
        <f ca="1">IFERROR(__xludf.DUMMYFUNCTION("""COMPUTED_VALUE"""),"FLAMBARD Hervé")</f>
        <v>FLAMBARD Hervé</v>
      </c>
      <c r="I987" t="str">
        <f ca="1">IFERROR(__xludf.DUMMYFUNCTION("""COMPUTED_VALUE"""),"laurent.fleury_coop_hu@systeme-u.fr")</f>
        <v>laurent.fleury_coop_hu@systeme-u.fr</v>
      </c>
      <c r="J987" t="str">
        <f ca="1">IFERROR(__xludf.DUMMYFUNCTION("""COMPUTED_VALUE"""),"Karine BESSE")</f>
        <v>Karine BESSE</v>
      </c>
      <c r="K987" t="str">
        <f ca="1">IFERROR(__xludf.DUMMYFUNCTION("""COMPUTED_VALUE"""),"hyperu.saintjunien.direction@systeme-u.fr,nbrigant@coop-atlantique.fr,sjaud@coop-atlantique.fr,kbesse@coop-atlantique.fr")</f>
        <v>hyperu.saintjunien.direction@systeme-u.fr,nbrigant@coop-atlantique.fr,sjaud@coop-atlantique.fr,kbesse@coop-atlantique.fr</v>
      </c>
      <c r="L987" t="str">
        <f ca="1">IFERROR(__xludf.DUMMYFUNCTION("""COMPUTED_VALUE"""),"")</f>
        <v/>
      </c>
      <c r="M987" t="str">
        <f ca="1">IFERROR(__xludf.DUMMYFUNCTION("""COMPUTED_VALUE"""),"99.Hors Périmetre")</f>
        <v>99.Hors Périmetre</v>
      </c>
      <c r="N987" t="str">
        <f ca="1">IFERROR(__xludf.DUMMYFUNCTION("""COMPUTED_VALUE"""),"")</f>
        <v/>
      </c>
      <c r="O987" t="str">
        <f ca="1">IFERROR(__xludf.DUMMYFUNCTION("""COMPUTED_VALUE"""),"")</f>
        <v/>
      </c>
      <c r="P987" t="str">
        <f ca="1">IFERROR(__xludf.DUMMYFUNCTION("""COMPUTED_VALUE"""),"")</f>
        <v/>
      </c>
      <c r="Q987" s="5" t="str">
        <f ca="1">IFERROR(__xludf.DUMMYFUNCTION("""COMPUTED_VALUE"""),"")</f>
        <v/>
      </c>
      <c r="R987" s="6" t="str">
        <f ca="1">IFERROR(__xludf.DUMMYFUNCTION("""COMPUTED_VALUE"""),"")</f>
        <v/>
      </c>
      <c r="S987" t="str">
        <f ca="1">IFERROR(__xludf.DUMMYFUNCTION("""COMPUTED_VALUE"""),"")</f>
        <v/>
      </c>
      <c r="T987" t="str">
        <f ca="1">IFERROR(__xludf.DUMMYFUNCTION("""COMPUTED_VALUE"""),"")</f>
        <v/>
      </c>
      <c r="U987" t="str">
        <f ca="1">IFERROR(__xludf.DUMMYFUNCTION("""COMPUTED_VALUE"""),"")</f>
        <v/>
      </c>
      <c r="V987" t="str">
        <f ca="1">IFERROR(__xludf.DUMMYFUNCTION("""COMPUTED_VALUE"""),"")</f>
        <v/>
      </c>
      <c r="W987" t="str">
        <f ca="1">IFERROR(__xludf.DUMMYFUNCTION("""COMPUTED_VALUE"""),"")</f>
        <v/>
      </c>
      <c r="X987" t="str">
        <f ca="1">IFERROR(__xludf.DUMMYFUNCTION("""COMPUTED_VALUE"""),"")</f>
        <v/>
      </c>
      <c r="Y987" t="str">
        <f ca="1">IFERROR(__xludf.DUMMYFUNCTION("""COMPUTED_VALUE"""),"")</f>
        <v/>
      </c>
      <c r="Z987" t="str">
        <f ca="1">IFERROR(__xludf.DUMMYFUNCTION("""COMPUTED_VALUE"""),"")</f>
        <v/>
      </c>
      <c r="AA987" t="str">
        <f ca="1">IFERROR(__xludf.DUMMYFUNCTION("""COMPUTED_VALUE"""),"Pas de commande")</f>
        <v>Pas de commande</v>
      </c>
      <c r="AB987" s="8" t="str">
        <f ca="1">IFERROR(__xludf.DUMMYFUNCTION("""COMPUTED_VALUE"""),"")</f>
        <v/>
      </c>
      <c r="AC987" s="8" t="str">
        <f ca="1">IFERROR(__xludf.DUMMYFUNCTION("""COMPUTED_VALUE"""),"")</f>
        <v/>
      </c>
      <c r="AD987" s="11" t="str">
        <f ca="1">IFERROR(__xludf.DUMMYFUNCTION("""COMPUTED_VALUE"""),"")</f>
        <v/>
      </c>
      <c r="AE987" t="str">
        <f ca="1">IFERROR(__xludf.DUMMYFUNCTION("""COMPUTED_VALUE"""),"")</f>
        <v/>
      </c>
    </row>
    <row r="988" spans="1:31" ht="12.75" x14ac:dyDescent="0.2">
      <c r="A988">
        <f ca="1">IFERROR(__xludf.DUMMYFUNCTION("""COMPUTED_VALUE"""),34221)</f>
        <v>34221</v>
      </c>
      <c r="B988" t="str">
        <f ca="1">IFERROR(__xludf.DUMMYFUNCTION("""COMPUTED_VALUE"""),"ST-JUNIEN")</f>
        <v>ST-JUNIEN</v>
      </c>
      <c r="C988" t="str">
        <f ca="1">IFERROR(__xludf.DUMMYFUNCTION("""COMPUTED_VALUE"""),"Utile")</f>
        <v>Utile</v>
      </c>
      <c r="D988" t="str">
        <f ca="1">IFERROR(__xludf.DUMMYFUNCTION("""COMPUTED_VALUE"""),"Coop Atlantique")</f>
        <v>Coop Atlantique</v>
      </c>
      <c r="E988">
        <f ca="1">IFERROR(__xludf.DUMMYFUNCTION("""COMPUTED_VALUE"""),87200)</f>
        <v>87200</v>
      </c>
      <c r="F988" t="str">
        <f ca="1">IFERROR(__xludf.DUMMYFUNCTION("""COMPUTED_VALUE"""),"7 BOULEVARD BROSSOLETTE")</f>
        <v>7 BOULEVARD BROSSOLETTE</v>
      </c>
      <c r="G988" t="str">
        <f ca="1">IFERROR(__xludf.DUMMYFUNCTION("""COMPUTED_VALUE"""),"05.55.02.20.46")</f>
        <v>05.55.02.20.46</v>
      </c>
      <c r="H988" t="str">
        <f ca="1">IFERROR(__xludf.DUMMYFUNCTION("""COMPUTED_VALUE"""),"FLAMBARD Hervé")</f>
        <v>FLAMBARD Hervé</v>
      </c>
      <c r="I988" t="str">
        <f ca="1">IFERROR(__xludf.DUMMYFUNCTION("""COMPUTED_VALUE"""),"bertrand.defontaine_coop_su_uex@systeme-u.fr")</f>
        <v>bertrand.defontaine_coop_su_uex@systeme-u.fr</v>
      </c>
      <c r="J988" t="str">
        <f ca="1">IFERROR(__xludf.DUMMYFUNCTION("""COMPUTED_VALUE"""),"Ludovic CAUNES / Aurélie DOUYET")</f>
        <v>Ludovic CAUNES / Aurélie DOUYET</v>
      </c>
      <c r="K988" t="str">
        <f ca="1">IFERROR(__xludf.DUMMYFUNCTION("""COMPUTED_VALUE"""),"uexpress.saintjunienbrossolette.direction@systeme-u.fr,nbrigant@coop-atlantique.fr,sjaud@coop-atlantique.fr,lcaunes@coop-atlantique.fr")</f>
        <v>uexpress.saintjunienbrossolette.direction@systeme-u.fr,nbrigant@coop-atlantique.fr,sjaud@coop-atlantique.fr,lcaunes@coop-atlantique.fr</v>
      </c>
      <c r="L988" t="str">
        <f ca="1">IFERROR(__xludf.DUMMYFUNCTION("""COMPUTED_VALUE"""),"Standard")</f>
        <v>Standard</v>
      </c>
      <c r="M988" t="str">
        <f ca="1">IFERROR(__xludf.DUMMYFUNCTION("""COMPUTED_VALUE"""),"0. Non démarré")</f>
        <v>0. Non démarré</v>
      </c>
      <c r="N988" t="str">
        <f ca="1">IFERROR(__xludf.DUMMYFUNCTION("""COMPUTED_VALUE"""),"")</f>
        <v/>
      </c>
      <c r="O988" t="str">
        <f ca="1">IFERROR(__xludf.DUMMYFUNCTION("""COMPUTED_VALUE"""),"")</f>
        <v/>
      </c>
      <c r="P988" t="str">
        <f ca="1">IFERROR(__xludf.DUMMYFUNCTION("""COMPUTED_VALUE"""),"")</f>
        <v/>
      </c>
      <c r="Q988" s="5" t="str">
        <f ca="1">IFERROR(__xludf.DUMMYFUNCTION("""COMPUTED_VALUE"""),"")</f>
        <v/>
      </c>
      <c r="R988" s="6" t="str">
        <f ca="1">IFERROR(__xludf.DUMMYFUNCTION("""COMPUTED_VALUE"""),"")</f>
        <v/>
      </c>
      <c r="S988" t="str">
        <f ca="1">IFERROR(__xludf.DUMMYFUNCTION("""COMPUTED_VALUE"""),"")</f>
        <v/>
      </c>
      <c r="T988" t="str">
        <f ca="1">IFERROR(__xludf.DUMMYFUNCTION("""COMPUTED_VALUE"""),"")</f>
        <v/>
      </c>
      <c r="U988" t="str">
        <f ca="1">IFERROR(__xludf.DUMMYFUNCTION("""COMPUTED_VALUE"""),"")</f>
        <v/>
      </c>
      <c r="V988" t="str">
        <f ca="1">IFERROR(__xludf.DUMMYFUNCTION("""COMPUTED_VALUE"""),"")</f>
        <v/>
      </c>
      <c r="W988" t="str">
        <f ca="1">IFERROR(__xludf.DUMMYFUNCTION("""COMPUTED_VALUE"""),"R5")</f>
        <v>R5</v>
      </c>
      <c r="X988" t="str">
        <f ca="1">IFERROR(__xludf.DUMMYFUNCTION("""COMPUTED_VALUE"""),"PC mag &lt;8Go")</f>
        <v>PC mag &lt;8Go</v>
      </c>
      <c r="Y988" t="str">
        <f ca="1">IFERROR(__xludf.DUMMYFUNCTION("""COMPUTED_VALUE"""),"")</f>
        <v/>
      </c>
      <c r="Z988" t="str">
        <f ca="1">IFERROR(__xludf.DUMMYFUNCTION("""COMPUTED_VALUE"""),"")</f>
        <v/>
      </c>
      <c r="AA988" t="str">
        <f ca="1">IFERROR(__xludf.DUMMYFUNCTION("""COMPUTED_VALUE"""),"Pas de commande")</f>
        <v>Pas de commande</v>
      </c>
      <c r="AB988" s="8" t="str">
        <f ca="1">IFERROR(__xludf.DUMMYFUNCTION("""COMPUTED_VALUE"""),"")</f>
        <v/>
      </c>
      <c r="AC988" s="8" t="str">
        <f ca="1">IFERROR(__xludf.DUMMYFUNCTION("""COMPUTED_VALUE"""),"")</f>
        <v/>
      </c>
      <c r="AD988" s="11" t="str">
        <f ca="1">IFERROR(__xludf.DUMMYFUNCTION("""COMPUTED_VALUE"""),"")</f>
        <v/>
      </c>
      <c r="AE988" t="str">
        <f ca="1">IFERROR(__xludf.DUMMYFUNCTION("""COMPUTED_VALUE"""),"")</f>
        <v/>
      </c>
    </row>
    <row r="989" spans="1:31" ht="12.75" x14ac:dyDescent="0.2">
      <c r="A989">
        <f ca="1">IFERROR(__xludf.DUMMYFUNCTION("""COMPUTED_VALUE"""),35533)</f>
        <v>35533</v>
      </c>
      <c r="B989" t="str">
        <f ca="1">IFERROR(__xludf.DUMMYFUNCTION("""COMPUTED_VALUE"""),"ST-LAURENT-DU-MARONI")</f>
        <v>ST-LAURENT-DU-MARONI</v>
      </c>
      <c r="C989" t="str">
        <f ca="1">IFERROR(__xludf.DUMMYFUNCTION("""COMPUTED_VALUE"""),"Super U")</f>
        <v>Super U</v>
      </c>
      <c r="D989" t="str">
        <f ca="1">IFERROR(__xludf.DUMMYFUNCTION("""COMPUTED_VALUE"""),"Coop U Enseigne Ouest")</f>
        <v>Coop U Enseigne Ouest</v>
      </c>
      <c r="E989">
        <f ca="1">IFERROR(__xludf.DUMMYFUNCTION("""COMPUTED_VALUE"""),97320)</f>
        <v>97320</v>
      </c>
      <c r="F989" t="str">
        <f ca="1">IFERROR(__xludf.DUMMYFUNCTION("""COMPUTED_VALUE"""),"1, RUE DU PORT")</f>
        <v>1, RUE DU PORT</v>
      </c>
      <c r="G989" t="str">
        <f ca="1">IFERROR(__xludf.DUMMYFUNCTION("""COMPUTED_VALUE"""),"05.94.27.83.11")</f>
        <v>05.94.27.83.11</v>
      </c>
      <c r="H989" t="str">
        <f ca="1">IFERROR(__xludf.DUMMYFUNCTION("""COMPUTED_VALUE"""),"DU Jan")</f>
        <v>DU Jan</v>
      </c>
      <c r="I989" t="str">
        <f ca="1">IFERROR(__xludf.DUMMYFUNCTION("""COMPUTED_VALUE"""),"katia.du@systeme-u.fr")</f>
        <v>katia.du@systeme-u.fr</v>
      </c>
      <c r="J989" t="str">
        <f ca="1">IFERROR(__xludf.DUMMYFUNCTION("""COMPUTED_VALUE"""),"Stephane GOVEN")</f>
        <v>Stephane GOVEN</v>
      </c>
      <c r="K989" t="str">
        <f ca="1">IFERROR(__xludf.DUMMYFUNCTION("""COMPUTED_VALUE"""),"superu.saintlaurentdumaroni.direction@systeme-u.fr")</f>
        <v>superu.saintlaurentdumaroni.direction@systeme-u.fr</v>
      </c>
      <c r="L989" t="str">
        <f ca="1">IFERROR(__xludf.DUMMYFUNCTION("""COMPUTED_VALUE"""),"")</f>
        <v/>
      </c>
      <c r="M989" t="str">
        <f ca="1">IFERROR(__xludf.DUMMYFUNCTION("""COMPUTED_VALUE"""),"99.Hors Périmetre")</f>
        <v>99.Hors Périmetre</v>
      </c>
      <c r="N989" t="str">
        <f ca="1">IFERROR(__xludf.DUMMYFUNCTION("""COMPUTED_VALUE"""),"")</f>
        <v/>
      </c>
      <c r="O989" t="str">
        <f ca="1">IFERROR(__xludf.DUMMYFUNCTION("""COMPUTED_VALUE"""),"")</f>
        <v/>
      </c>
      <c r="P989" t="str">
        <f ca="1">IFERROR(__xludf.DUMMYFUNCTION("""COMPUTED_VALUE"""),"")</f>
        <v/>
      </c>
      <c r="Q989" s="5" t="str">
        <f ca="1">IFERROR(__xludf.DUMMYFUNCTION("""COMPUTED_VALUE"""),"")</f>
        <v/>
      </c>
      <c r="R989" s="6" t="str">
        <f ca="1">IFERROR(__xludf.DUMMYFUNCTION("""COMPUTED_VALUE"""),"")</f>
        <v/>
      </c>
      <c r="S989" t="str">
        <f ca="1">IFERROR(__xludf.DUMMYFUNCTION("""COMPUTED_VALUE"""),"")</f>
        <v/>
      </c>
      <c r="T989" t="str">
        <f ca="1">IFERROR(__xludf.DUMMYFUNCTION("""COMPUTED_VALUE"""),"")</f>
        <v/>
      </c>
      <c r="U989" t="str">
        <f ca="1">IFERROR(__xludf.DUMMYFUNCTION("""COMPUTED_VALUE"""),"")</f>
        <v/>
      </c>
      <c r="V989" t="str">
        <f ca="1">IFERROR(__xludf.DUMMYFUNCTION("""COMPUTED_VALUE"""),"")</f>
        <v/>
      </c>
      <c r="W989" t="str">
        <f ca="1">IFERROR(__xludf.DUMMYFUNCTION("""COMPUTED_VALUE"""),"")</f>
        <v/>
      </c>
      <c r="X989" t="str">
        <f ca="1">IFERROR(__xludf.DUMMYFUNCTION("""COMPUTED_VALUE"""),"")</f>
        <v/>
      </c>
      <c r="Y989" t="str">
        <f ca="1">IFERROR(__xludf.DUMMYFUNCTION("""COMPUTED_VALUE"""),"")</f>
        <v/>
      </c>
      <c r="Z989" t="str">
        <f ca="1">IFERROR(__xludf.DUMMYFUNCTION("""COMPUTED_VALUE"""),"")</f>
        <v/>
      </c>
      <c r="AA989" t="str">
        <f ca="1">IFERROR(__xludf.DUMMYFUNCTION("""COMPUTED_VALUE"""),"Pas de commande")</f>
        <v>Pas de commande</v>
      </c>
      <c r="AB989" s="8" t="str">
        <f ca="1">IFERROR(__xludf.DUMMYFUNCTION("""COMPUTED_VALUE"""),"")</f>
        <v/>
      </c>
      <c r="AC989" s="8" t="str">
        <f ca="1">IFERROR(__xludf.DUMMYFUNCTION("""COMPUTED_VALUE"""),"")</f>
        <v/>
      </c>
      <c r="AD989" s="11" t="str">
        <f ca="1">IFERROR(__xludf.DUMMYFUNCTION("""COMPUTED_VALUE"""),"")</f>
        <v/>
      </c>
      <c r="AE989" t="str">
        <f ca="1">IFERROR(__xludf.DUMMYFUNCTION("""COMPUTED_VALUE"""),"")</f>
        <v/>
      </c>
    </row>
    <row r="990" spans="1:31" ht="12.75" x14ac:dyDescent="0.2">
      <c r="A990">
        <f ca="1">IFERROR(__xludf.DUMMYFUNCTION("""COMPUTED_VALUE"""),30612)</f>
        <v>30612</v>
      </c>
      <c r="B990" t="str">
        <f ca="1">IFERROR(__xludf.DUMMYFUNCTION("""COMPUTED_VALUE"""),"ST-LAURENT-NOUAN")</f>
        <v>ST-LAURENT-NOUAN</v>
      </c>
      <c r="C990" t="str">
        <f ca="1">IFERROR(__xludf.DUMMYFUNCTION("""COMPUTED_VALUE"""),"Super U")</f>
        <v>Super U</v>
      </c>
      <c r="D990" t="str">
        <f ca="1">IFERROR(__xludf.DUMMYFUNCTION("""COMPUTED_VALUE"""),"Coop U Enseigne Ouest")</f>
        <v>Coop U Enseigne Ouest</v>
      </c>
      <c r="E990">
        <f ca="1">IFERROR(__xludf.DUMMYFUNCTION("""COMPUTED_VALUE"""),41220)</f>
        <v>41220</v>
      </c>
      <c r="F990" t="str">
        <f ca="1">IFERROR(__xludf.DUMMYFUNCTION("""COMPUTED_VALUE"""),"AVENUE DE SOLOGNE")</f>
        <v>AVENUE DE SOLOGNE</v>
      </c>
      <c r="G990" t="str">
        <f ca="1">IFERROR(__xludf.DUMMYFUNCTION("""COMPUTED_VALUE"""),"02.54.87.22.00")</f>
        <v>02.54.87.22.00</v>
      </c>
      <c r="H990" t="str">
        <f ca="1">IFERROR(__xludf.DUMMYFUNCTION("""COMPUTED_VALUE"""),"BORGET Jean-François")</f>
        <v>BORGET Jean-François</v>
      </c>
      <c r="I990" t="str">
        <f ca="1">IFERROR(__xludf.DUMMYFUNCTION("""COMPUTED_VALUE"""),"jean-francois.borget@systeme-u.fr")</f>
        <v>jean-francois.borget@systeme-u.fr</v>
      </c>
      <c r="J990" t="str">
        <f ca="1">IFERROR(__xludf.DUMMYFUNCTION("""COMPUTED_VALUE"""),"Nelson DE AZEVEDO")</f>
        <v>Nelson DE AZEVEDO</v>
      </c>
      <c r="K990" t="str">
        <f ca="1">IFERROR(__xludf.DUMMYFUNCTION("""COMPUTED_VALUE"""),"superu.saintlaurentnouan.direction@systeme-u.fr")</f>
        <v>superu.saintlaurentnouan.direction@systeme-u.fr</v>
      </c>
      <c r="L990" t="str">
        <f ca="1">IFERROR(__xludf.DUMMYFUNCTION("""COMPUTED_VALUE"""),"")</f>
        <v/>
      </c>
      <c r="M990" t="str">
        <f ca="1">IFERROR(__xludf.DUMMYFUNCTION("""COMPUTED_VALUE"""),"99.Hors Périmetre")</f>
        <v>99.Hors Périmetre</v>
      </c>
      <c r="N990" t="str">
        <f ca="1">IFERROR(__xludf.DUMMYFUNCTION("""COMPUTED_VALUE"""),"")</f>
        <v/>
      </c>
      <c r="O990" t="str">
        <f ca="1">IFERROR(__xludf.DUMMYFUNCTION("""COMPUTED_VALUE"""),"")</f>
        <v/>
      </c>
      <c r="P990" t="str">
        <f ca="1">IFERROR(__xludf.DUMMYFUNCTION("""COMPUTED_VALUE"""),"")</f>
        <v/>
      </c>
      <c r="Q990" s="5" t="str">
        <f ca="1">IFERROR(__xludf.DUMMYFUNCTION("""COMPUTED_VALUE"""),"")</f>
        <v/>
      </c>
      <c r="R990" s="6" t="str">
        <f ca="1">IFERROR(__xludf.DUMMYFUNCTION("""COMPUTED_VALUE"""),"")</f>
        <v/>
      </c>
      <c r="S990" t="str">
        <f ca="1">IFERROR(__xludf.DUMMYFUNCTION("""COMPUTED_VALUE"""),"")</f>
        <v/>
      </c>
      <c r="T990" t="str">
        <f ca="1">IFERROR(__xludf.DUMMYFUNCTION("""COMPUTED_VALUE"""),"")</f>
        <v/>
      </c>
      <c r="U990" t="str">
        <f ca="1">IFERROR(__xludf.DUMMYFUNCTION("""COMPUTED_VALUE"""),"")</f>
        <v/>
      </c>
      <c r="V990" t="str">
        <f ca="1">IFERROR(__xludf.DUMMYFUNCTION("""COMPUTED_VALUE"""),"")</f>
        <v/>
      </c>
      <c r="W990" t="str">
        <f ca="1">IFERROR(__xludf.DUMMYFUNCTION("""COMPUTED_VALUE"""),"")</f>
        <v/>
      </c>
      <c r="X990" t="str">
        <f ca="1">IFERROR(__xludf.DUMMYFUNCTION("""COMPUTED_VALUE"""),"")</f>
        <v/>
      </c>
      <c r="Y990" t="str">
        <f ca="1">IFERROR(__xludf.DUMMYFUNCTION("""COMPUTED_VALUE"""),"")</f>
        <v/>
      </c>
      <c r="Z990" t="str">
        <f ca="1">IFERROR(__xludf.DUMMYFUNCTION("""COMPUTED_VALUE"""),"")</f>
        <v/>
      </c>
      <c r="AA990" t="str">
        <f ca="1">IFERROR(__xludf.DUMMYFUNCTION("""COMPUTED_VALUE"""),"Pas de commande")</f>
        <v>Pas de commande</v>
      </c>
      <c r="AB990" s="8" t="str">
        <f ca="1">IFERROR(__xludf.DUMMYFUNCTION("""COMPUTED_VALUE"""),"")</f>
        <v/>
      </c>
      <c r="AC990" s="8" t="str">
        <f ca="1">IFERROR(__xludf.DUMMYFUNCTION("""COMPUTED_VALUE"""),"")</f>
        <v/>
      </c>
      <c r="AD990" s="11" t="str">
        <f ca="1">IFERROR(__xludf.DUMMYFUNCTION("""COMPUTED_VALUE"""),"")</f>
        <v/>
      </c>
      <c r="AE990" t="str">
        <f ca="1">IFERROR(__xludf.DUMMYFUNCTION("""COMPUTED_VALUE"""),"")</f>
        <v/>
      </c>
    </row>
    <row r="991" spans="1:31" ht="12.75" x14ac:dyDescent="0.2">
      <c r="A991">
        <f ca="1">IFERROR(__xludf.DUMMYFUNCTION("""COMPUTED_VALUE"""),38188)</f>
        <v>38188</v>
      </c>
      <c r="B991" t="str">
        <f ca="1">IFERROR(__xludf.DUMMYFUNCTION("""COMPUTED_VALUE"""),"ST-LOUIS")</f>
        <v>ST-LOUIS</v>
      </c>
      <c r="C991" t="str">
        <f ca="1">IFERROR(__xludf.DUMMYFUNCTION("""COMPUTED_VALUE"""),"U Express")</f>
        <v>U Express</v>
      </c>
      <c r="D991" t="str">
        <f ca="1">IFERROR(__xludf.DUMMYFUNCTION("""COMPUTED_VALUE"""),"Coop U Enseigne Ouest")</f>
        <v>Coop U Enseigne Ouest</v>
      </c>
      <c r="E991">
        <f ca="1">IFERROR(__xludf.DUMMYFUNCTION("""COMPUTED_VALUE"""),97134)</f>
        <v>97134</v>
      </c>
      <c r="F991" t="str">
        <f ca="1">IFERROR(__xludf.DUMMYFUNCTION("""COMPUTED_VALUE"""),"BAS DE LA SOURCE")</f>
        <v>BAS DE LA SOURCE</v>
      </c>
      <c r="G991" t="str">
        <f ca="1">IFERROR(__xludf.DUMMYFUNCTION("""COMPUTED_VALUE"""),"05.90.97.00.30")</f>
        <v>05.90.97.00.30</v>
      </c>
      <c r="H991" t="str">
        <f ca="1">IFERROR(__xludf.DUMMYFUNCTION("""COMPUTED_VALUE"""),"GOUFFRAN Jerry")</f>
        <v>GOUFFRAN Jerry</v>
      </c>
      <c r="I991" t="str">
        <f ca="1">IFERROR(__xludf.DUMMYFUNCTION("""COMPUTED_VALUE"""),"jerry.gouffran@systeme-u.fr")</f>
        <v>jerry.gouffran@systeme-u.fr</v>
      </c>
      <c r="J991" t="str">
        <f ca="1">IFERROR(__xludf.DUMMYFUNCTION("""COMPUTED_VALUE"""),"")</f>
        <v/>
      </c>
      <c r="K991" t="str">
        <f ca="1">IFERROR(__xludf.DUMMYFUNCTION("""COMPUTED_VALUE"""),"martine.crevecoeur@systeme-u.fr")</f>
        <v>martine.crevecoeur@systeme-u.fr</v>
      </c>
      <c r="L991" t="str">
        <f ca="1">IFERROR(__xludf.DUMMYFUNCTION("""COMPUTED_VALUE"""),"")</f>
        <v/>
      </c>
      <c r="M991" t="str">
        <f ca="1">IFERROR(__xludf.DUMMYFUNCTION("""COMPUTED_VALUE"""),"99.Hors Périmetre")</f>
        <v>99.Hors Périmetre</v>
      </c>
      <c r="N991" t="str">
        <f ca="1">IFERROR(__xludf.DUMMYFUNCTION("""COMPUTED_VALUE"""),"")</f>
        <v/>
      </c>
      <c r="O991" t="str">
        <f ca="1">IFERROR(__xludf.DUMMYFUNCTION("""COMPUTED_VALUE"""),"")</f>
        <v/>
      </c>
      <c r="P991" t="str">
        <f ca="1">IFERROR(__xludf.DUMMYFUNCTION("""COMPUTED_VALUE"""),"")</f>
        <v/>
      </c>
      <c r="Q991" s="5" t="str">
        <f ca="1">IFERROR(__xludf.DUMMYFUNCTION("""COMPUTED_VALUE"""),"")</f>
        <v/>
      </c>
      <c r="R991" s="6" t="str">
        <f ca="1">IFERROR(__xludf.DUMMYFUNCTION("""COMPUTED_VALUE"""),"")</f>
        <v/>
      </c>
      <c r="S991" t="str">
        <f ca="1">IFERROR(__xludf.DUMMYFUNCTION("""COMPUTED_VALUE"""),"")</f>
        <v/>
      </c>
      <c r="T991" t="str">
        <f ca="1">IFERROR(__xludf.DUMMYFUNCTION("""COMPUTED_VALUE"""),"")</f>
        <v/>
      </c>
      <c r="U991" t="str">
        <f ca="1">IFERROR(__xludf.DUMMYFUNCTION("""COMPUTED_VALUE"""),"")</f>
        <v/>
      </c>
      <c r="V991" t="str">
        <f ca="1">IFERROR(__xludf.DUMMYFUNCTION("""COMPUTED_VALUE"""),"")</f>
        <v/>
      </c>
      <c r="W991" t="str">
        <f ca="1">IFERROR(__xludf.DUMMYFUNCTION("""COMPUTED_VALUE"""),"")</f>
        <v/>
      </c>
      <c r="X991" t="str">
        <f ca="1">IFERROR(__xludf.DUMMYFUNCTION("""COMPUTED_VALUE"""),"")</f>
        <v/>
      </c>
      <c r="Y991" t="str">
        <f ca="1">IFERROR(__xludf.DUMMYFUNCTION("""COMPUTED_VALUE"""),"")</f>
        <v/>
      </c>
      <c r="Z991" t="str">
        <f ca="1">IFERROR(__xludf.DUMMYFUNCTION("""COMPUTED_VALUE"""),"")</f>
        <v/>
      </c>
      <c r="AA991" t="str">
        <f ca="1">IFERROR(__xludf.DUMMYFUNCTION("""COMPUTED_VALUE"""),"Pas de commande")</f>
        <v>Pas de commande</v>
      </c>
      <c r="AB991" s="8" t="str">
        <f ca="1">IFERROR(__xludf.DUMMYFUNCTION("""COMPUTED_VALUE"""),"")</f>
        <v/>
      </c>
      <c r="AC991" s="8" t="str">
        <f ca="1">IFERROR(__xludf.DUMMYFUNCTION("""COMPUTED_VALUE"""),"")</f>
        <v/>
      </c>
      <c r="AD991" s="11" t="str">
        <f ca="1">IFERROR(__xludf.DUMMYFUNCTION("""COMPUTED_VALUE"""),"")</f>
        <v/>
      </c>
      <c r="AE991" t="str">
        <f ca="1">IFERROR(__xludf.DUMMYFUNCTION("""COMPUTED_VALUE"""),"")</f>
        <v/>
      </c>
    </row>
    <row r="992" spans="1:31" ht="12.75" x14ac:dyDescent="0.2">
      <c r="A992">
        <f ca="1">IFERROR(__xludf.DUMMYFUNCTION("""COMPUTED_VALUE"""),38621)</f>
        <v>38621</v>
      </c>
      <c r="B992" t="str">
        <f ca="1">IFERROR(__xludf.DUMMYFUNCTION("""COMPUTED_VALUE"""),"ST-MACAIRE-EN-MAUGES")</f>
        <v>ST-MACAIRE-EN-MAUGES</v>
      </c>
      <c r="C992" t="str">
        <f ca="1">IFERROR(__xludf.DUMMYFUNCTION("""COMPUTED_VALUE"""),"Super U")</f>
        <v>Super U</v>
      </c>
      <c r="D992" t="str">
        <f ca="1">IFERROR(__xludf.DUMMYFUNCTION("""COMPUTED_VALUE"""),"Coop U Enseigne Ouest")</f>
        <v>Coop U Enseigne Ouest</v>
      </c>
      <c r="E992">
        <f ca="1">IFERROR(__xludf.DUMMYFUNCTION("""COMPUTED_VALUE"""),49450)</f>
        <v>49450</v>
      </c>
      <c r="F992" t="str">
        <f ca="1">IFERROR(__xludf.DUMMYFUNCTION("""COMPUTED_VALUE"""),"8, RUE KONRAD ADENAUER")</f>
        <v>8, RUE KONRAD ADENAUER</v>
      </c>
      <c r="G992" t="str">
        <f ca="1">IFERROR(__xludf.DUMMYFUNCTION("""COMPUTED_VALUE"""),"02.41.49.13.80")</f>
        <v>02.41.49.13.80</v>
      </c>
      <c r="H992" t="str">
        <f ca="1">IFERROR(__xludf.DUMMYFUNCTION("""COMPUTED_VALUE"""),"GODINEAU RPT SARL JICA Jean-Yves")</f>
        <v>GODINEAU RPT SARL JICA Jean-Yves</v>
      </c>
      <c r="I992" t="str">
        <f ca="1">IFERROR(__xludf.DUMMYFUNCTION("""COMPUTED_VALUE"""),"jean-yves.godineau@systeme-u.fr")</f>
        <v>jean-yves.godineau@systeme-u.fr</v>
      </c>
      <c r="J992" t="str">
        <f ca="1">IFERROR(__xludf.DUMMYFUNCTION("""COMPUTED_VALUE"""),"Madame Bretadeau ")</f>
        <v xml:space="preserve">Madame Bretadeau </v>
      </c>
      <c r="K992" t="str">
        <f ca="1">IFERROR(__xludf.DUMMYFUNCTION("""COMPUTED_VALUE"""),"superu.saintmacaireenmauges.administratif@systeme-u.fr")</f>
        <v>superu.saintmacaireenmauges.administratif@systeme-u.fr</v>
      </c>
      <c r="L992" t="str">
        <f ca="1">IFERROR(__xludf.DUMMYFUNCTION("""COMPUTED_VALUE"""),"")</f>
        <v/>
      </c>
      <c r="M992" t="str">
        <f ca="1">IFERROR(__xludf.DUMMYFUNCTION("""COMPUTED_VALUE"""),"99.Hors Périmetre")</f>
        <v>99.Hors Périmetre</v>
      </c>
      <c r="N992" t="str">
        <f ca="1">IFERROR(__xludf.DUMMYFUNCTION("""COMPUTED_VALUE"""),"")</f>
        <v/>
      </c>
      <c r="O992" t="str">
        <f ca="1">IFERROR(__xludf.DUMMYFUNCTION("""COMPUTED_VALUE"""),"")</f>
        <v/>
      </c>
      <c r="P992" t="str">
        <f ca="1">IFERROR(__xludf.DUMMYFUNCTION("""COMPUTED_VALUE"""),"")</f>
        <v/>
      </c>
      <c r="Q992" s="5" t="str">
        <f ca="1">IFERROR(__xludf.DUMMYFUNCTION("""COMPUTED_VALUE"""),"")</f>
        <v/>
      </c>
      <c r="R992" s="6" t="str">
        <f ca="1">IFERROR(__xludf.DUMMYFUNCTION("""COMPUTED_VALUE"""),"")</f>
        <v/>
      </c>
      <c r="S992" t="str">
        <f ca="1">IFERROR(__xludf.DUMMYFUNCTION("""COMPUTED_VALUE"""),"")</f>
        <v/>
      </c>
      <c r="T992" t="str">
        <f ca="1">IFERROR(__xludf.DUMMYFUNCTION("""COMPUTED_VALUE"""),"")</f>
        <v/>
      </c>
      <c r="U992" t="str">
        <f ca="1">IFERROR(__xludf.DUMMYFUNCTION("""COMPUTED_VALUE"""),"")</f>
        <v/>
      </c>
      <c r="V992" t="str">
        <f ca="1">IFERROR(__xludf.DUMMYFUNCTION("""COMPUTED_VALUE"""),"")</f>
        <v/>
      </c>
      <c r="W992" t="str">
        <f ca="1">IFERROR(__xludf.DUMMYFUNCTION("""COMPUTED_VALUE"""),"")</f>
        <v/>
      </c>
      <c r="X992" t="str">
        <f ca="1">IFERROR(__xludf.DUMMYFUNCTION("""COMPUTED_VALUE"""),"")</f>
        <v/>
      </c>
      <c r="Y992" t="str">
        <f ca="1">IFERROR(__xludf.DUMMYFUNCTION("""COMPUTED_VALUE"""),"")</f>
        <v/>
      </c>
      <c r="Z992" t="str">
        <f ca="1">IFERROR(__xludf.DUMMYFUNCTION("""COMPUTED_VALUE"""),"")</f>
        <v/>
      </c>
      <c r="AA992" t="str">
        <f ca="1">IFERROR(__xludf.DUMMYFUNCTION("""COMPUTED_VALUE"""),"Pas de commande")</f>
        <v>Pas de commande</v>
      </c>
      <c r="AB992" s="8" t="str">
        <f ca="1">IFERROR(__xludf.DUMMYFUNCTION("""COMPUTED_VALUE"""),"")</f>
        <v/>
      </c>
      <c r="AC992" s="8" t="str">
        <f ca="1">IFERROR(__xludf.DUMMYFUNCTION("""COMPUTED_VALUE"""),"")</f>
        <v/>
      </c>
      <c r="AD992" s="11" t="str">
        <f ca="1">IFERROR(__xludf.DUMMYFUNCTION("""COMPUTED_VALUE"""),"")</f>
        <v/>
      </c>
      <c r="AE992" t="str">
        <f ca="1">IFERROR(__xludf.DUMMYFUNCTION("""COMPUTED_VALUE"""),"")</f>
        <v/>
      </c>
    </row>
    <row r="993" spans="1:31" ht="12.75" x14ac:dyDescent="0.2">
      <c r="A993">
        <f ca="1">IFERROR(__xludf.DUMMYFUNCTION("""COMPUTED_VALUE"""),34228)</f>
        <v>34228</v>
      </c>
      <c r="B993" t="str">
        <f ca="1">IFERROR(__xludf.DUMMYFUNCTION("""COMPUTED_VALUE"""),"ST-MAIXENT")</f>
        <v>ST-MAIXENT</v>
      </c>
      <c r="C993" t="str">
        <f ca="1">IFERROR(__xludf.DUMMYFUNCTION("""COMPUTED_VALUE"""),"Utile")</f>
        <v>Utile</v>
      </c>
      <c r="D993" t="str">
        <f ca="1">IFERROR(__xludf.DUMMYFUNCTION("""COMPUTED_VALUE"""),"Coop Atlantique")</f>
        <v>Coop Atlantique</v>
      </c>
      <c r="E993">
        <f ca="1">IFERROR(__xludf.DUMMYFUNCTION("""COMPUTED_VALUE"""),79400)</f>
        <v>79400</v>
      </c>
      <c r="F993" t="str">
        <f ca="1">IFERROR(__xludf.DUMMYFUNCTION("""COMPUTED_VALUE"""),"26, AVENUE GAMBETTA")</f>
        <v>26, AVENUE GAMBETTA</v>
      </c>
      <c r="G993" t="str">
        <f ca="1">IFERROR(__xludf.DUMMYFUNCTION("""COMPUTED_VALUE"""),"05.49.05.52.69")</f>
        <v>05.49.05.52.69</v>
      </c>
      <c r="H993" t="str">
        <f ca="1">IFERROR(__xludf.DUMMYFUNCTION("""COMPUTED_VALUE"""),"FLAMBARD Hervé")</f>
        <v>FLAMBARD Hervé</v>
      </c>
      <c r="I993" t="str">
        <f ca="1">IFERROR(__xludf.DUMMYFUNCTION("""COMPUTED_VALUE"""),"bertrand.defontaine_coop_su_uex@systeme-u.fr")</f>
        <v>bertrand.defontaine_coop_su_uex@systeme-u.fr</v>
      </c>
      <c r="J993" t="str">
        <f ca="1">IFERROR(__xludf.DUMMYFUNCTION("""COMPUTED_VALUE"""),"Béatrice GAIE")</f>
        <v>Béatrice GAIE</v>
      </c>
      <c r="K993" t="str">
        <f ca="1">IFERROR(__xludf.DUMMYFUNCTION("""COMPUTED_VALUE"""),"uexpress.saintmaixent.direction@systeme-u.fr,nbrigant@coop-atlantique.fr,sjaud@coop-atlantique.fr,cviaud@coop-atlantique.fr")</f>
        <v>uexpress.saintmaixent.direction@systeme-u.fr,nbrigant@coop-atlantique.fr,sjaud@coop-atlantique.fr,cviaud@coop-atlantique.fr</v>
      </c>
      <c r="L993" t="str">
        <f ca="1">IFERROR(__xludf.DUMMYFUNCTION("""COMPUTED_VALUE"""),"")</f>
        <v/>
      </c>
      <c r="M993" t="str">
        <f ca="1">IFERROR(__xludf.DUMMYFUNCTION("""COMPUTED_VALUE"""),"99.Hors Périmetre")</f>
        <v>99.Hors Périmetre</v>
      </c>
      <c r="N993" t="str">
        <f ca="1">IFERROR(__xludf.DUMMYFUNCTION("""COMPUTED_VALUE"""),"")</f>
        <v/>
      </c>
      <c r="O993" t="str">
        <f ca="1">IFERROR(__xludf.DUMMYFUNCTION("""COMPUTED_VALUE"""),"")</f>
        <v/>
      </c>
      <c r="P993" t="str">
        <f ca="1">IFERROR(__xludf.DUMMYFUNCTION("""COMPUTED_VALUE"""),"")</f>
        <v/>
      </c>
      <c r="Q993" s="5" t="str">
        <f ca="1">IFERROR(__xludf.DUMMYFUNCTION("""COMPUTED_VALUE"""),"")</f>
        <v/>
      </c>
      <c r="R993" s="6" t="str">
        <f ca="1">IFERROR(__xludf.DUMMYFUNCTION("""COMPUTED_VALUE"""),"")</f>
        <v/>
      </c>
      <c r="S993" t="str">
        <f ca="1">IFERROR(__xludf.DUMMYFUNCTION("""COMPUTED_VALUE"""),"")</f>
        <v/>
      </c>
      <c r="T993" t="str">
        <f ca="1">IFERROR(__xludf.DUMMYFUNCTION("""COMPUTED_VALUE"""),"")</f>
        <v/>
      </c>
      <c r="U993" t="str">
        <f ca="1">IFERROR(__xludf.DUMMYFUNCTION("""COMPUTED_VALUE"""),"")</f>
        <v/>
      </c>
      <c r="V993" t="str">
        <f ca="1">IFERROR(__xludf.DUMMYFUNCTION("""COMPUTED_VALUE"""),"")</f>
        <v/>
      </c>
      <c r="W993" t="str">
        <f ca="1">IFERROR(__xludf.DUMMYFUNCTION("""COMPUTED_VALUE"""),"")</f>
        <v/>
      </c>
      <c r="X993" t="str">
        <f ca="1">IFERROR(__xludf.DUMMYFUNCTION("""COMPUTED_VALUE"""),"")</f>
        <v/>
      </c>
      <c r="Y993" t="str">
        <f ca="1">IFERROR(__xludf.DUMMYFUNCTION("""COMPUTED_VALUE"""),"")</f>
        <v/>
      </c>
      <c r="Z993" t="str">
        <f ca="1">IFERROR(__xludf.DUMMYFUNCTION("""COMPUTED_VALUE"""),"")</f>
        <v/>
      </c>
      <c r="AA993" t="str">
        <f ca="1">IFERROR(__xludf.DUMMYFUNCTION("""COMPUTED_VALUE"""),"Pas de commande")</f>
        <v>Pas de commande</v>
      </c>
      <c r="AB993" s="8" t="str">
        <f ca="1">IFERROR(__xludf.DUMMYFUNCTION("""COMPUTED_VALUE"""),"")</f>
        <v/>
      </c>
      <c r="AC993" s="8" t="str">
        <f ca="1">IFERROR(__xludf.DUMMYFUNCTION("""COMPUTED_VALUE"""),"")</f>
        <v/>
      </c>
      <c r="AD993" s="11" t="str">
        <f ca="1">IFERROR(__xludf.DUMMYFUNCTION("""COMPUTED_VALUE"""),"")</f>
        <v/>
      </c>
      <c r="AE993" t="str">
        <f ca="1">IFERROR(__xludf.DUMMYFUNCTION("""COMPUTED_VALUE"""),"")</f>
        <v/>
      </c>
    </row>
    <row r="994" spans="1:31" ht="12.75" x14ac:dyDescent="0.2">
      <c r="A994">
        <f ca="1">IFERROR(__xludf.DUMMYFUNCTION("""COMPUTED_VALUE"""),38191)</f>
        <v>38191</v>
      </c>
      <c r="B994" t="str">
        <f ca="1">IFERROR(__xludf.DUMMYFUNCTION("""COMPUTED_VALUE"""),"ST-MARS-DU-DESERT")</f>
        <v>ST-MARS-DU-DESERT</v>
      </c>
      <c r="C994" t="str">
        <f ca="1">IFERROR(__xludf.DUMMYFUNCTION("""COMPUTED_VALUE"""),"U Express")</f>
        <v>U Express</v>
      </c>
      <c r="D994" t="str">
        <f ca="1">IFERROR(__xludf.DUMMYFUNCTION("""COMPUTED_VALUE"""),"Coop U Enseigne Ouest")</f>
        <v>Coop U Enseigne Ouest</v>
      </c>
      <c r="E994">
        <f ca="1">IFERROR(__xludf.DUMMYFUNCTION("""COMPUTED_VALUE"""),44850)</f>
        <v>44850</v>
      </c>
      <c r="F994" t="str">
        <f ca="1">IFERROR(__xludf.DUMMYFUNCTION("""COMPUTED_VALUE"""),"2 RUE BEAUSOLEIL")</f>
        <v>2 RUE BEAUSOLEIL</v>
      </c>
      <c r="G994" t="str">
        <f ca="1">IFERROR(__xludf.DUMMYFUNCTION("""COMPUTED_VALUE"""),"02.40.77.47.09")</f>
        <v>02.40.77.47.09</v>
      </c>
      <c r="H994" t="str">
        <f ca="1">IFERROR(__xludf.DUMMYFUNCTION("""COMPUTED_VALUE"""),"BESNARD Sébastien")</f>
        <v>BESNARD Sébastien</v>
      </c>
      <c r="I994" t="str">
        <f ca="1">IFERROR(__xludf.DUMMYFUNCTION("""COMPUTED_VALUE"""),"sebastien.besnard@systeme-u.fr")</f>
        <v>sebastien.besnard@systeme-u.fr</v>
      </c>
      <c r="J994" t="str">
        <f ca="1">IFERROR(__xludf.DUMMYFUNCTION("""COMPUTED_VALUE"""),"")</f>
        <v/>
      </c>
      <c r="K994" t="str">
        <f ca="1">IFERROR(__xludf.DUMMYFUNCTION("""COMPUTED_VALUE"""),"")</f>
        <v/>
      </c>
      <c r="L994" t="str">
        <f ca="1">IFERROR(__xludf.DUMMYFUNCTION("""COMPUTED_VALUE"""),"")</f>
        <v/>
      </c>
      <c r="M994" t="str">
        <f ca="1">IFERROR(__xludf.DUMMYFUNCTION("""COMPUTED_VALUE"""),"99.Hors Périmetre")</f>
        <v>99.Hors Périmetre</v>
      </c>
      <c r="N994" t="str">
        <f ca="1">IFERROR(__xludf.DUMMYFUNCTION("""COMPUTED_VALUE"""),"")</f>
        <v/>
      </c>
      <c r="O994" t="str">
        <f ca="1">IFERROR(__xludf.DUMMYFUNCTION("""COMPUTED_VALUE"""),"")</f>
        <v/>
      </c>
      <c r="P994" t="str">
        <f ca="1">IFERROR(__xludf.DUMMYFUNCTION("""COMPUTED_VALUE"""),"")</f>
        <v/>
      </c>
      <c r="Q994" s="5" t="str">
        <f ca="1">IFERROR(__xludf.DUMMYFUNCTION("""COMPUTED_VALUE"""),"")</f>
        <v/>
      </c>
      <c r="R994" s="6" t="str">
        <f ca="1">IFERROR(__xludf.DUMMYFUNCTION("""COMPUTED_VALUE"""),"")</f>
        <v/>
      </c>
      <c r="S994" t="str">
        <f ca="1">IFERROR(__xludf.DUMMYFUNCTION("""COMPUTED_VALUE"""),"")</f>
        <v/>
      </c>
      <c r="T994" t="str">
        <f ca="1">IFERROR(__xludf.DUMMYFUNCTION("""COMPUTED_VALUE"""),"")</f>
        <v/>
      </c>
      <c r="U994" t="str">
        <f ca="1">IFERROR(__xludf.DUMMYFUNCTION("""COMPUTED_VALUE"""),"")</f>
        <v/>
      </c>
      <c r="V994" t="str">
        <f ca="1">IFERROR(__xludf.DUMMYFUNCTION("""COMPUTED_VALUE"""),"")</f>
        <v/>
      </c>
      <c r="W994" t="str">
        <f ca="1">IFERROR(__xludf.DUMMYFUNCTION("""COMPUTED_VALUE"""),"")</f>
        <v/>
      </c>
      <c r="X994" t="str">
        <f ca="1">IFERROR(__xludf.DUMMYFUNCTION("""COMPUTED_VALUE"""),"")</f>
        <v/>
      </c>
      <c r="Y994" t="str">
        <f ca="1">IFERROR(__xludf.DUMMYFUNCTION("""COMPUTED_VALUE"""),"")</f>
        <v/>
      </c>
      <c r="Z994" t="str">
        <f ca="1">IFERROR(__xludf.DUMMYFUNCTION("""COMPUTED_VALUE"""),"")</f>
        <v/>
      </c>
      <c r="AA994" t="str">
        <f ca="1">IFERROR(__xludf.DUMMYFUNCTION("""COMPUTED_VALUE"""),"Pas de commande")</f>
        <v>Pas de commande</v>
      </c>
      <c r="AB994" s="8" t="str">
        <f ca="1">IFERROR(__xludf.DUMMYFUNCTION("""COMPUTED_VALUE"""),"")</f>
        <v/>
      </c>
      <c r="AC994" s="8" t="str">
        <f ca="1">IFERROR(__xludf.DUMMYFUNCTION("""COMPUTED_VALUE"""),"")</f>
        <v/>
      </c>
      <c r="AD994" s="11" t="str">
        <f ca="1">IFERROR(__xludf.DUMMYFUNCTION("""COMPUTED_VALUE"""),"")</f>
        <v/>
      </c>
      <c r="AE994" t="str">
        <f ca="1">IFERROR(__xludf.DUMMYFUNCTION("""COMPUTED_VALUE"""),"")</f>
        <v/>
      </c>
    </row>
    <row r="995" spans="1:31" ht="12.75" x14ac:dyDescent="0.2">
      <c r="A995">
        <f ca="1">IFERROR(__xludf.DUMMYFUNCTION("""COMPUTED_VALUE"""),32097)</f>
        <v>32097</v>
      </c>
      <c r="B995" t="str">
        <f ca="1">IFERROR(__xludf.DUMMYFUNCTION("""COMPUTED_VALUE"""),"ST-MARS-LA -JAILLE")</f>
        <v>ST-MARS-LA -JAILLE</v>
      </c>
      <c r="C995" t="str">
        <f ca="1">IFERROR(__xludf.DUMMYFUNCTION("""COMPUTED_VALUE"""),"Super U")</f>
        <v>Super U</v>
      </c>
      <c r="D995" t="str">
        <f ca="1">IFERROR(__xludf.DUMMYFUNCTION("""COMPUTED_VALUE"""),"Coop U Enseigne Ouest")</f>
        <v>Coop U Enseigne Ouest</v>
      </c>
      <c r="E995">
        <f ca="1">IFERROR(__xludf.DUMMYFUNCTION("""COMPUTED_VALUE"""),44540)</f>
        <v>44540</v>
      </c>
      <c r="F995" t="str">
        <f ca="1">IFERROR(__xludf.DUMMYFUNCTION("""COMPUTED_VALUE"""),"ROUTE DE CHATEAUBRIAND")</f>
        <v>ROUTE DE CHATEAUBRIAND</v>
      </c>
      <c r="G995" t="str">
        <f ca="1">IFERROR(__xludf.DUMMYFUNCTION("""COMPUTED_VALUE"""),"02.40.97.01.42")</f>
        <v>02.40.97.01.42</v>
      </c>
      <c r="H995" t="str">
        <f ca="1">IFERROR(__xludf.DUMMYFUNCTION("""COMPUTED_VALUE"""),"BIDAUD Hervé")</f>
        <v>BIDAUD Hervé</v>
      </c>
      <c r="I995" t="str">
        <f ca="1">IFERROR(__xludf.DUMMYFUNCTION("""COMPUTED_VALUE"""),"herve.bidaud@systeme-u.fr")</f>
        <v>herve.bidaud@systeme-u.fr</v>
      </c>
      <c r="J995" t="str">
        <f ca="1">IFERROR(__xludf.DUMMYFUNCTION("""COMPUTED_VALUE"""),"Vaslin Nathalie")</f>
        <v>Vaslin Nathalie</v>
      </c>
      <c r="K995" t="str">
        <f ca="1">IFERROR(__xludf.DUMMYFUNCTION("""COMPUTED_VALUE"""),"superu.saintmarslajaille@systeme-u.fr")</f>
        <v>superu.saintmarslajaille@systeme-u.fr</v>
      </c>
      <c r="L995" t="str">
        <f ca="1">IFERROR(__xludf.DUMMYFUNCTION("""COMPUTED_VALUE"""),"")</f>
        <v/>
      </c>
      <c r="M995" t="str">
        <f ca="1">IFERROR(__xludf.DUMMYFUNCTION("""COMPUTED_VALUE"""),"99.Hors Périmetre")</f>
        <v>99.Hors Périmetre</v>
      </c>
      <c r="N995" t="str">
        <f ca="1">IFERROR(__xludf.DUMMYFUNCTION("""COMPUTED_VALUE"""),"")</f>
        <v/>
      </c>
      <c r="O995" t="str">
        <f ca="1">IFERROR(__xludf.DUMMYFUNCTION("""COMPUTED_VALUE"""),"")</f>
        <v/>
      </c>
      <c r="P995" t="str">
        <f ca="1">IFERROR(__xludf.DUMMYFUNCTION("""COMPUTED_VALUE"""),"")</f>
        <v/>
      </c>
      <c r="Q995" s="5" t="str">
        <f ca="1">IFERROR(__xludf.DUMMYFUNCTION("""COMPUTED_VALUE"""),"")</f>
        <v/>
      </c>
      <c r="R995" s="6" t="str">
        <f ca="1">IFERROR(__xludf.DUMMYFUNCTION("""COMPUTED_VALUE"""),"")</f>
        <v/>
      </c>
      <c r="S995" t="str">
        <f ca="1">IFERROR(__xludf.DUMMYFUNCTION("""COMPUTED_VALUE"""),"")</f>
        <v/>
      </c>
      <c r="T995" t="str">
        <f ca="1">IFERROR(__xludf.DUMMYFUNCTION("""COMPUTED_VALUE"""),"")</f>
        <v/>
      </c>
      <c r="U995" t="str">
        <f ca="1">IFERROR(__xludf.DUMMYFUNCTION("""COMPUTED_VALUE"""),"")</f>
        <v/>
      </c>
      <c r="V995" t="str">
        <f ca="1">IFERROR(__xludf.DUMMYFUNCTION("""COMPUTED_VALUE"""),"")</f>
        <v/>
      </c>
      <c r="W995" t="str">
        <f ca="1">IFERROR(__xludf.DUMMYFUNCTION("""COMPUTED_VALUE"""),"")</f>
        <v/>
      </c>
      <c r="X995" t="str">
        <f ca="1">IFERROR(__xludf.DUMMYFUNCTION("""COMPUTED_VALUE"""),"")</f>
        <v/>
      </c>
      <c r="Y995" t="str">
        <f ca="1">IFERROR(__xludf.DUMMYFUNCTION("""COMPUTED_VALUE"""),"")</f>
        <v/>
      </c>
      <c r="Z995" t="str">
        <f ca="1">IFERROR(__xludf.DUMMYFUNCTION("""COMPUTED_VALUE"""),"")</f>
        <v/>
      </c>
      <c r="AA995" t="str">
        <f ca="1">IFERROR(__xludf.DUMMYFUNCTION("""COMPUTED_VALUE"""),"Pas de commande")</f>
        <v>Pas de commande</v>
      </c>
      <c r="AB995" s="8" t="str">
        <f ca="1">IFERROR(__xludf.DUMMYFUNCTION("""COMPUTED_VALUE"""),"")</f>
        <v/>
      </c>
      <c r="AC995" s="8" t="str">
        <f ca="1">IFERROR(__xludf.DUMMYFUNCTION("""COMPUTED_VALUE"""),"")</f>
        <v/>
      </c>
      <c r="AD995" s="11" t="str">
        <f ca="1">IFERROR(__xludf.DUMMYFUNCTION("""COMPUTED_VALUE"""),"")</f>
        <v/>
      </c>
      <c r="AE995" t="str">
        <f ca="1">IFERROR(__xludf.DUMMYFUNCTION("""COMPUTED_VALUE"""),"")</f>
        <v/>
      </c>
    </row>
    <row r="996" spans="1:31" ht="12.75" x14ac:dyDescent="0.2">
      <c r="A996">
        <f ca="1">IFERROR(__xludf.DUMMYFUNCTION("""COMPUTED_VALUE"""),32084)</f>
        <v>32084</v>
      </c>
      <c r="B996" t="str">
        <f ca="1">IFERROR(__xludf.DUMMYFUNCTION("""COMPUTED_VALUE"""),"ST-MARTIAL")</f>
        <v>ST-MARTIAL</v>
      </c>
      <c r="C996" t="str">
        <f ca="1">IFERROR(__xludf.DUMMYFUNCTION("""COMPUTED_VALUE"""),"Super U")</f>
        <v>Super U</v>
      </c>
      <c r="D996" t="str">
        <f ca="1">IFERROR(__xludf.DUMMYFUNCTION("""COMPUTED_VALUE"""),"Coop Atlantique")</f>
        <v>Coop Atlantique</v>
      </c>
      <c r="E996">
        <f ca="1">IFERROR(__xludf.DUMMYFUNCTION("""COMPUTED_VALUE"""),24160)</f>
        <v>24160</v>
      </c>
      <c r="F996" t="str">
        <f ca="1">IFERROR(__xludf.DUMMYFUNCTION("""COMPUTED_VALUE"""),"LIEU-DIT LE MAYNE")</f>
        <v>LIEU-DIT LE MAYNE</v>
      </c>
      <c r="G996" t="str">
        <f ca="1">IFERROR(__xludf.DUMMYFUNCTION("""COMPUTED_VALUE"""),"05.53.62.92.75")</f>
        <v>05.53.62.92.75</v>
      </c>
      <c r="H996" t="str">
        <f ca="1">IFERROR(__xludf.DUMMYFUNCTION("""COMPUTED_VALUE"""),"FLAMBARD Hervé")</f>
        <v>FLAMBARD Hervé</v>
      </c>
      <c r="I996" t="str">
        <f ca="1">IFERROR(__xludf.DUMMYFUNCTION("""COMPUTED_VALUE"""),"bertrand.defontaine_coop_su_uex@systeme-u.fr")</f>
        <v>bertrand.defontaine_coop_su_uex@systeme-u.fr</v>
      </c>
      <c r="J996" t="str">
        <f ca="1">IFERROR(__xludf.DUMMYFUNCTION("""COMPUTED_VALUE"""),"Mauricette TOURENNE / Philippe BONNEAU")</f>
        <v>Mauricette TOURENNE / Philippe BONNEAU</v>
      </c>
      <c r="K996" t="str">
        <f ca="1">IFERROR(__xludf.DUMMYFUNCTION("""COMPUTED_VALUE"""),"superu.saintmartialdalbarede.direction@systeme-u.fr,nbrigant@coop-atlantique.fr,sjaud@coop-atlantique.fr")</f>
        <v>superu.saintmartialdalbarede.direction@systeme-u.fr,nbrigant@coop-atlantique.fr,sjaud@coop-atlantique.fr</v>
      </c>
      <c r="L996" t="str">
        <f ca="1">IFERROR(__xludf.DUMMYFUNCTION("""COMPUTED_VALUE"""),"Standard")</f>
        <v>Standard</v>
      </c>
      <c r="M996" t="str">
        <f ca="1">IFERROR(__xludf.DUMMYFUNCTION("""COMPUTED_VALUE"""),"0. Non démarré")</f>
        <v>0. Non démarré</v>
      </c>
      <c r="N996" t="str">
        <f ca="1">IFERROR(__xludf.DUMMYFUNCTION("""COMPUTED_VALUE"""),"")</f>
        <v/>
      </c>
      <c r="O996" t="str">
        <f ca="1">IFERROR(__xludf.DUMMYFUNCTION("""COMPUTED_VALUE"""),"")</f>
        <v/>
      </c>
      <c r="P996" t="str">
        <f ca="1">IFERROR(__xludf.DUMMYFUNCTION("""COMPUTED_VALUE"""),"")</f>
        <v/>
      </c>
      <c r="Q996" s="5" t="str">
        <f ca="1">IFERROR(__xludf.DUMMYFUNCTION("""COMPUTED_VALUE"""),"")</f>
        <v/>
      </c>
      <c r="R996" s="6" t="str">
        <f ca="1">IFERROR(__xludf.DUMMYFUNCTION("""COMPUTED_VALUE"""),"")</f>
        <v/>
      </c>
      <c r="S996" t="str">
        <f ca="1">IFERROR(__xludf.DUMMYFUNCTION("""COMPUTED_VALUE"""),"")</f>
        <v/>
      </c>
      <c r="T996" t="str">
        <f ca="1">IFERROR(__xludf.DUMMYFUNCTION("""COMPUTED_VALUE"""),"")</f>
        <v/>
      </c>
      <c r="U996" t="str">
        <f ca="1">IFERROR(__xludf.DUMMYFUNCTION("""COMPUTED_VALUE"""),"")</f>
        <v/>
      </c>
      <c r="V996" t="str">
        <f ca="1">IFERROR(__xludf.DUMMYFUNCTION("""COMPUTED_VALUE"""),"")</f>
        <v/>
      </c>
      <c r="W996" t="str">
        <f ca="1">IFERROR(__xludf.DUMMYFUNCTION("""COMPUTED_VALUE"""),"R5")</f>
        <v>R5</v>
      </c>
      <c r="X996" t="str">
        <f ca="1">IFERROR(__xludf.DUMMYFUNCTION("""COMPUTED_VALUE"""),"PC mag")</f>
        <v>PC mag</v>
      </c>
      <c r="Y996" t="str">
        <f ca="1">IFERROR(__xludf.DUMMYFUNCTION("""COMPUTED_VALUE"""),"")</f>
        <v/>
      </c>
      <c r="Z996" t="str">
        <f ca="1">IFERROR(__xludf.DUMMYFUNCTION("""COMPUTED_VALUE"""),"")</f>
        <v/>
      </c>
      <c r="AA996" t="str">
        <f ca="1">IFERROR(__xludf.DUMMYFUNCTION("""COMPUTED_VALUE"""),"Pas de commande")</f>
        <v>Pas de commande</v>
      </c>
      <c r="AB996" s="8" t="str">
        <f ca="1">IFERROR(__xludf.DUMMYFUNCTION("""COMPUTED_VALUE"""),"")</f>
        <v/>
      </c>
      <c r="AC996" s="8" t="str">
        <f ca="1">IFERROR(__xludf.DUMMYFUNCTION("""COMPUTED_VALUE"""),"")</f>
        <v/>
      </c>
      <c r="AD996" s="11" t="str">
        <f ca="1">IFERROR(__xludf.DUMMYFUNCTION("""COMPUTED_VALUE"""),"")</f>
        <v/>
      </c>
      <c r="AE996" t="str">
        <f ca="1">IFERROR(__xludf.DUMMYFUNCTION("""COMPUTED_VALUE"""),"")</f>
        <v/>
      </c>
    </row>
    <row r="997" spans="1:31" ht="12.75" x14ac:dyDescent="0.2">
      <c r="A997">
        <f ca="1">IFERROR(__xludf.DUMMYFUNCTION("""COMPUTED_VALUE"""),38088)</f>
        <v>38088</v>
      </c>
      <c r="B997" t="str">
        <f ca="1">IFERROR(__xludf.DUMMYFUNCTION("""COMPUTED_VALUE"""),"ST-MARTIN")</f>
        <v>ST-MARTIN</v>
      </c>
      <c r="C997" t="str">
        <f ca="1">IFERROR(__xludf.DUMMYFUNCTION("""COMPUTED_VALUE"""),"Super U")</f>
        <v>Super U</v>
      </c>
      <c r="D997" t="str">
        <f ca="1">IFERROR(__xludf.DUMMYFUNCTION("""COMPUTED_VALUE"""),"Coop U Enseigne Ouest")</f>
        <v>Coop U Enseigne Ouest</v>
      </c>
      <c r="E997">
        <f ca="1">IFERROR(__xludf.DUMMYFUNCTION("""COMPUTED_VALUE"""),97150)</f>
        <v>97150</v>
      </c>
      <c r="F997" t="str">
        <f ca="1">IFERROR(__xludf.DUMMYFUNCTION("""COMPUTED_VALUE"""),"CENTRE COMMERCIAL HOWELL CENTER")</f>
        <v>CENTRE COMMERCIAL HOWELL CENTER</v>
      </c>
      <c r="G997" t="str">
        <f ca="1">IFERROR(__xludf.DUMMYFUNCTION("""COMPUTED_VALUE"""),"05.90.29.54.32")</f>
        <v>05.90.29.54.32</v>
      </c>
      <c r="H997" t="str">
        <f ca="1">IFERROR(__xludf.DUMMYFUNCTION("""COMPUTED_VALUE"""),"DEGUILLE Jean-Pierre")</f>
        <v>DEGUILLE Jean-Pierre</v>
      </c>
      <c r="I997" t="str">
        <f ca="1">IFERROR(__xludf.DUMMYFUNCTION("""COMPUTED_VALUE"""),"jean-pierre.deguille@systeme-u.fr")</f>
        <v>jean-pierre.deguille@systeme-u.fr</v>
      </c>
      <c r="J997" t="str">
        <f ca="1">IFERROR(__xludf.DUMMYFUNCTION("""COMPUTED_VALUE"""),"M Vuillier Frédéric
M. Loo Philippe (second associé)")</f>
        <v>M Vuillier Frédéric
M. Loo Philippe (second associé)</v>
      </c>
      <c r="K997" t="str">
        <f ca="1">IFERROR(__xludf.DUMMYFUNCTION("""COMPUTED_VALUE"""),"frederic.vuillier@systeme-u.fr, philippe.loo@systeme-u.fr,martine.crevecoeur@systeme-u.fr")</f>
        <v>frederic.vuillier@systeme-u.fr, philippe.loo@systeme-u.fr,martine.crevecoeur@systeme-u.fr</v>
      </c>
      <c r="L997" t="str">
        <f ca="1">IFERROR(__xludf.DUMMYFUNCTION("""COMPUTED_VALUE"""),"")</f>
        <v/>
      </c>
      <c r="M997" t="str">
        <f ca="1">IFERROR(__xludf.DUMMYFUNCTION("""COMPUTED_VALUE"""),"99.Hors Périmetre")</f>
        <v>99.Hors Périmetre</v>
      </c>
      <c r="N997" t="str">
        <f ca="1">IFERROR(__xludf.DUMMYFUNCTION("""COMPUTED_VALUE"""),"")</f>
        <v/>
      </c>
      <c r="O997" t="str">
        <f ca="1">IFERROR(__xludf.DUMMYFUNCTION("""COMPUTED_VALUE"""),"")</f>
        <v/>
      </c>
      <c r="P997" t="str">
        <f ca="1">IFERROR(__xludf.DUMMYFUNCTION("""COMPUTED_VALUE"""),"")</f>
        <v/>
      </c>
      <c r="Q997" s="5" t="str">
        <f ca="1">IFERROR(__xludf.DUMMYFUNCTION("""COMPUTED_VALUE"""),"")</f>
        <v/>
      </c>
      <c r="R997" s="6" t="str">
        <f ca="1">IFERROR(__xludf.DUMMYFUNCTION("""COMPUTED_VALUE"""),"")</f>
        <v/>
      </c>
      <c r="S997" t="str">
        <f ca="1">IFERROR(__xludf.DUMMYFUNCTION("""COMPUTED_VALUE"""),"")</f>
        <v/>
      </c>
      <c r="T997" t="str">
        <f ca="1">IFERROR(__xludf.DUMMYFUNCTION("""COMPUTED_VALUE"""),"")</f>
        <v/>
      </c>
      <c r="U997" t="str">
        <f ca="1">IFERROR(__xludf.DUMMYFUNCTION("""COMPUTED_VALUE"""),"")</f>
        <v/>
      </c>
      <c r="V997" t="str">
        <f ca="1">IFERROR(__xludf.DUMMYFUNCTION("""COMPUTED_VALUE"""),"")</f>
        <v/>
      </c>
      <c r="W997" t="str">
        <f ca="1">IFERROR(__xludf.DUMMYFUNCTION("""COMPUTED_VALUE"""),"")</f>
        <v/>
      </c>
      <c r="X997" t="str">
        <f ca="1">IFERROR(__xludf.DUMMYFUNCTION("""COMPUTED_VALUE"""),"")</f>
        <v/>
      </c>
      <c r="Y997" t="str">
        <f ca="1">IFERROR(__xludf.DUMMYFUNCTION("""COMPUTED_VALUE"""),"")</f>
        <v/>
      </c>
      <c r="Z997" t="str">
        <f ca="1">IFERROR(__xludf.DUMMYFUNCTION("""COMPUTED_VALUE"""),"")</f>
        <v/>
      </c>
      <c r="AA997" t="str">
        <f ca="1">IFERROR(__xludf.DUMMYFUNCTION("""COMPUTED_VALUE"""),"Pas de commande")</f>
        <v>Pas de commande</v>
      </c>
      <c r="AB997" s="8" t="str">
        <f ca="1">IFERROR(__xludf.DUMMYFUNCTION("""COMPUTED_VALUE"""),"")</f>
        <v/>
      </c>
      <c r="AC997" s="8" t="str">
        <f ca="1">IFERROR(__xludf.DUMMYFUNCTION("""COMPUTED_VALUE"""),"")</f>
        <v/>
      </c>
      <c r="AD997" s="11" t="str">
        <f ca="1">IFERROR(__xludf.DUMMYFUNCTION("""COMPUTED_VALUE"""),"")</f>
        <v/>
      </c>
      <c r="AE997" t="str">
        <f ca="1">IFERROR(__xludf.DUMMYFUNCTION("""COMPUTED_VALUE"""),"")</f>
        <v/>
      </c>
    </row>
    <row r="998" spans="1:31" ht="12.75" x14ac:dyDescent="0.2">
      <c r="A998">
        <f ca="1">IFERROR(__xludf.DUMMYFUNCTION("""COMPUTED_VALUE"""),34194)</f>
        <v>34194</v>
      </c>
      <c r="B998" t="str">
        <f ca="1">IFERROR(__xludf.DUMMYFUNCTION("""COMPUTED_VALUE"""),"ST-MAURE-DE-TOURAINE")</f>
        <v>ST-MAURE-DE-TOURAINE</v>
      </c>
      <c r="C998" t="str">
        <f ca="1">IFERROR(__xludf.DUMMYFUNCTION("""COMPUTED_VALUE"""),"Utile")</f>
        <v>Utile</v>
      </c>
      <c r="D998" t="str">
        <f ca="1">IFERROR(__xludf.DUMMYFUNCTION("""COMPUTED_VALUE"""),"Coop Atlantique")</f>
        <v>Coop Atlantique</v>
      </c>
      <c r="E998">
        <f ca="1">IFERROR(__xludf.DUMMYFUNCTION("""COMPUTED_VALUE"""),37800)</f>
        <v>37800</v>
      </c>
      <c r="F998" t="str">
        <f ca="1">IFERROR(__xludf.DUMMYFUNCTION("""COMPUTED_VALUE"""),"ROUTE DE LOCHES")</f>
        <v>ROUTE DE LOCHES</v>
      </c>
      <c r="G998" t="str">
        <f ca="1">IFERROR(__xludf.DUMMYFUNCTION("""COMPUTED_VALUE"""),"02.47.65.43.00")</f>
        <v>02.47.65.43.00</v>
      </c>
      <c r="H998" t="str">
        <f ca="1">IFERROR(__xludf.DUMMYFUNCTION("""COMPUTED_VALUE"""),"FLAMBARD Hervé")</f>
        <v>FLAMBARD Hervé</v>
      </c>
      <c r="I998" t="str">
        <f ca="1">IFERROR(__xludf.DUMMYFUNCTION("""COMPUTED_VALUE"""),"bertrand.defontaine_coop_su_uex@systeme-u.fr")</f>
        <v>bertrand.defontaine_coop_su_uex@systeme-u.fr</v>
      </c>
      <c r="J998" t="str">
        <f ca="1">IFERROR(__xludf.DUMMYFUNCTION("""COMPUTED_VALUE"""),"M. HABAULD")</f>
        <v>M. HABAULD</v>
      </c>
      <c r="K998" t="str">
        <f ca="1">IFERROR(__xludf.DUMMYFUNCTION("""COMPUTED_VALUE"""),"uexpress.saintemauredetouraine.direction@systeme-u.fr,nbrigant@coop-atlantique.fr,sjaud@coop-atlantique.fr")</f>
        <v>uexpress.saintemauredetouraine.direction@systeme-u.fr,nbrigant@coop-atlantique.fr,sjaud@coop-atlantique.fr</v>
      </c>
      <c r="L998" t="str">
        <f ca="1">IFERROR(__xludf.DUMMYFUNCTION("""COMPUTED_VALUE"""),"")</f>
        <v/>
      </c>
      <c r="M998" t="str">
        <f ca="1">IFERROR(__xludf.DUMMYFUNCTION("""COMPUTED_VALUE"""),"99.Hors Périmetre")</f>
        <v>99.Hors Périmetre</v>
      </c>
      <c r="N998" t="str">
        <f ca="1">IFERROR(__xludf.DUMMYFUNCTION("""COMPUTED_VALUE"""),"")</f>
        <v/>
      </c>
      <c r="O998" t="str">
        <f ca="1">IFERROR(__xludf.DUMMYFUNCTION("""COMPUTED_VALUE"""),"")</f>
        <v/>
      </c>
      <c r="P998" t="str">
        <f ca="1">IFERROR(__xludf.DUMMYFUNCTION("""COMPUTED_VALUE"""),"")</f>
        <v/>
      </c>
      <c r="Q998" s="5" t="str">
        <f ca="1">IFERROR(__xludf.DUMMYFUNCTION("""COMPUTED_VALUE"""),"")</f>
        <v/>
      </c>
      <c r="R998" s="6" t="str">
        <f ca="1">IFERROR(__xludf.DUMMYFUNCTION("""COMPUTED_VALUE"""),"")</f>
        <v/>
      </c>
      <c r="S998" t="str">
        <f ca="1">IFERROR(__xludf.DUMMYFUNCTION("""COMPUTED_VALUE"""),"")</f>
        <v/>
      </c>
      <c r="T998" t="str">
        <f ca="1">IFERROR(__xludf.DUMMYFUNCTION("""COMPUTED_VALUE"""),"")</f>
        <v/>
      </c>
      <c r="U998" t="str">
        <f ca="1">IFERROR(__xludf.DUMMYFUNCTION("""COMPUTED_VALUE"""),"")</f>
        <v/>
      </c>
      <c r="V998" t="str">
        <f ca="1">IFERROR(__xludf.DUMMYFUNCTION("""COMPUTED_VALUE"""),"")</f>
        <v/>
      </c>
      <c r="W998" t="str">
        <f ca="1">IFERROR(__xludf.DUMMYFUNCTION("""COMPUTED_VALUE"""),"")</f>
        <v/>
      </c>
      <c r="X998" t="str">
        <f ca="1">IFERROR(__xludf.DUMMYFUNCTION("""COMPUTED_VALUE"""),"")</f>
        <v/>
      </c>
      <c r="Y998" t="str">
        <f ca="1">IFERROR(__xludf.DUMMYFUNCTION("""COMPUTED_VALUE"""),"")</f>
        <v/>
      </c>
      <c r="Z998" t="str">
        <f ca="1">IFERROR(__xludf.DUMMYFUNCTION("""COMPUTED_VALUE"""),"")</f>
        <v/>
      </c>
      <c r="AA998" t="str">
        <f ca="1">IFERROR(__xludf.DUMMYFUNCTION("""COMPUTED_VALUE"""),"Pas de commande")</f>
        <v>Pas de commande</v>
      </c>
      <c r="AB998" s="8" t="str">
        <f ca="1">IFERROR(__xludf.DUMMYFUNCTION("""COMPUTED_VALUE"""),"")</f>
        <v/>
      </c>
      <c r="AC998" s="8" t="str">
        <f ca="1">IFERROR(__xludf.DUMMYFUNCTION("""COMPUTED_VALUE"""),"")</f>
        <v/>
      </c>
      <c r="AD998" s="11" t="str">
        <f ca="1">IFERROR(__xludf.DUMMYFUNCTION("""COMPUTED_VALUE"""),"")</f>
        <v/>
      </c>
      <c r="AE998" t="str">
        <f ca="1">IFERROR(__xludf.DUMMYFUNCTION("""COMPUTED_VALUE"""),"")</f>
        <v/>
      </c>
    </row>
    <row r="999" spans="1:31" ht="12.75" x14ac:dyDescent="0.2">
      <c r="A999">
        <f ca="1">IFERROR(__xludf.DUMMYFUNCTION("""COMPUTED_VALUE"""),35576)</f>
        <v>35576</v>
      </c>
      <c r="B999" t="str">
        <f ca="1">IFERROR(__xludf.DUMMYFUNCTION("""COMPUTED_VALUE"""),"ST-MEEN-LE-GRAND")</f>
        <v>ST-MEEN-LE-GRAND</v>
      </c>
      <c r="C999" t="str">
        <f ca="1">IFERROR(__xludf.DUMMYFUNCTION("""COMPUTED_VALUE"""),"Super U")</f>
        <v>Super U</v>
      </c>
      <c r="D999" t="str">
        <f ca="1">IFERROR(__xludf.DUMMYFUNCTION("""COMPUTED_VALUE"""),"Coop U Enseigne Ouest")</f>
        <v>Coop U Enseigne Ouest</v>
      </c>
      <c r="E999">
        <f ca="1">IFERROR(__xludf.DUMMYFUNCTION("""COMPUTED_VALUE"""),35290)</f>
        <v>35290</v>
      </c>
      <c r="F999" t="str">
        <f ca="1">IFERROR(__xludf.DUMMYFUNCTION("""COMPUTED_VALUE"""),"RUE HENRI LETORT")</f>
        <v>RUE HENRI LETORT</v>
      </c>
      <c r="G999" t="str">
        <f ca="1">IFERROR(__xludf.DUMMYFUNCTION("""COMPUTED_VALUE"""),"02.99.09.57.33")</f>
        <v>02.99.09.57.33</v>
      </c>
      <c r="H999" t="str">
        <f ca="1">IFERROR(__xludf.DUMMYFUNCTION("""COMPUTED_VALUE"""),"ROYER Fabrice")</f>
        <v>ROYER Fabrice</v>
      </c>
      <c r="I999" t="str">
        <f ca="1">IFERROR(__xludf.DUMMYFUNCTION("""COMPUTED_VALUE"""),"fabrice.royer@systeme-u.fr")</f>
        <v>fabrice.royer@systeme-u.fr</v>
      </c>
      <c r="J999" t="str">
        <f ca="1">IFERROR(__xludf.DUMMYFUNCTION("""COMPUTED_VALUE"""),"Cécilie CHEVALIER")</f>
        <v>Cécilie CHEVALIER</v>
      </c>
      <c r="K999" t="str">
        <f ca="1">IFERROR(__xludf.DUMMYFUNCTION("""COMPUTED_VALUE"""),"")</f>
        <v/>
      </c>
      <c r="L999" t="str">
        <f ca="1">IFERROR(__xludf.DUMMYFUNCTION("""COMPUTED_VALUE"""),"")</f>
        <v/>
      </c>
      <c r="M999" t="str">
        <f ca="1">IFERROR(__xludf.DUMMYFUNCTION("""COMPUTED_VALUE"""),"99.Hors Périmetre")</f>
        <v>99.Hors Périmetre</v>
      </c>
      <c r="N999" t="str">
        <f ca="1">IFERROR(__xludf.DUMMYFUNCTION("""COMPUTED_VALUE"""),"")</f>
        <v/>
      </c>
      <c r="O999" t="str">
        <f ca="1">IFERROR(__xludf.DUMMYFUNCTION("""COMPUTED_VALUE"""),"")</f>
        <v/>
      </c>
      <c r="P999" t="str">
        <f ca="1">IFERROR(__xludf.DUMMYFUNCTION("""COMPUTED_VALUE"""),"")</f>
        <v/>
      </c>
      <c r="Q999" s="5" t="str">
        <f ca="1">IFERROR(__xludf.DUMMYFUNCTION("""COMPUTED_VALUE"""),"")</f>
        <v/>
      </c>
      <c r="R999" s="6" t="str">
        <f ca="1">IFERROR(__xludf.DUMMYFUNCTION("""COMPUTED_VALUE"""),"")</f>
        <v/>
      </c>
      <c r="S999" t="str">
        <f ca="1">IFERROR(__xludf.DUMMYFUNCTION("""COMPUTED_VALUE"""),"")</f>
        <v/>
      </c>
      <c r="T999" t="str">
        <f ca="1">IFERROR(__xludf.DUMMYFUNCTION("""COMPUTED_VALUE"""),"")</f>
        <v/>
      </c>
      <c r="U999" t="str">
        <f ca="1">IFERROR(__xludf.DUMMYFUNCTION("""COMPUTED_VALUE"""),"")</f>
        <v/>
      </c>
      <c r="V999" t="str">
        <f ca="1">IFERROR(__xludf.DUMMYFUNCTION("""COMPUTED_VALUE"""),"")</f>
        <v/>
      </c>
      <c r="W999" t="str">
        <f ca="1">IFERROR(__xludf.DUMMYFUNCTION("""COMPUTED_VALUE"""),"")</f>
        <v/>
      </c>
      <c r="X999" t="str">
        <f ca="1">IFERROR(__xludf.DUMMYFUNCTION("""COMPUTED_VALUE"""),"")</f>
        <v/>
      </c>
      <c r="Y999" t="str">
        <f ca="1">IFERROR(__xludf.DUMMYFUNCTION("""COMPUTED_VALUE"""),"")</f>
        <v/>
      </c>
      <c r="Z999" t="str">
        <f ca="1">IFERROR(__xludf.DUMMYFUNCTION("""COMPUTED_VALUE"""),"")</f>
        <v/>
      </c>
      <c r="AA999" t="str">
        <f ca="1">IFERROR(__xludf.DUMMYFUNCTION("""COMPUTED_VALUE"""),"Pas de commande")</f>
        <v>Pas de commande</v>
      </c>
      <c r="AB999" s="8" t="str">
        <f ca="1">IFERROR(__xludf.DUMMYFUNCTION("""COMPUTED_VALUE"""),"")</f>
        <v/>
      </c>
      <c r="AC999" s="8" t="str">
        <f ca="1">IFERROR(__xludf.DUMMYFUNCTION("""COMPUTED_VALUE"""),"")</f>
        <v/>
      </c>
      <c r="AD999" s="11" t="str">
        <f ca="1">IFERROR(__xludf.DUMMYFUNCTION("""COMPUTED_VALUE"""),"")</f>
        <v/>
      </c>
      <c r="AE999" t="str">
        <f ca="1">IFERROR(__xludf.DUMMYFUNCTION("""COMPUTED_VALUE"""),"")</f>
        <v/>
      </c>
    </row>
    <row r="1000" spans="1:31" ht="12.75" x14ac:dyDescent="0.2">
      <c r="A1000">
        <f ca="1">IFERROR(__xludf.DUMMYFUNCTION("""COMPUTED_VALUE"""),30507)</f>
        <v>30507</v>
      </c>
      <c r="B1000" t="str">
        <f ca="1">IFERROR(__xludf.DUMMYFUNCTION("""COMPUTED_VALUE"""),"ST-MICHEL-CHEF-CHEF")</f>
        <v>ST-MICHEL-CHEF-CHEF</v>
      </c>
      <c r="C1000" t="str">
        <f ca="1">IFERROR(__xludf.DUMMYFUNCTION("""COMPUTED_VALUE"""),"Super U")</f>
        <v>Super U</v>
      </c>
      <c r="D1000" t="str">
        <f ca="1">IFERROR(__xludf.DUMMYFUNCTION("""COMPUTED_VALUE"""),"Coop U Enseigne Ouest")</f>
        <v>Coop U Enseigne Ouest</v>
      </c>
      <c r="E1000">
        <f ca="1">IFERROR(__xludf.DUMMYFUNCTION("""COMPUTED_VALUE"""),44730)</f>
        <v>44730</v>
      </c>
      <c r="F1000" t="str">
        <f ca="1">IFERROR(__xludf.DUMMYFUNCTION("""COMPUTED_VALUE"""),"ROUTE DE LA PLAINE")</f>
        <v>ROUTE DE LA PLAINE</v>
      </c>
      <c r="G1000" t="str">
        <f ca="1">IFERROR(__xludf.DUMMYFUNCTION("""COMPUTED_VALUE"""),"02.40.27.94.36")</f>
        <v>02.40.27.94.36</v>
      </c>
      <c r="H1000" t="str">
        <f ca="1">IFERROR(__xludf.DUMMYFUNCTION("""COMPUTED_VALUE"""),"GOBIN Grégory")</f>
        <v>GOBIN Grégory</v>
      </c>
      <c r="I1000" t="str">
        <f ca="1">IFERROR(__xludf.DUMMYFUNCTION("""COMPUTED_VALUE"""),"gregory.gobin@systeme-u.fr")</f>
        <v>gregory.gobin@systeme-u.fr</v>
      </c>
      <c r="J1000" t="str">
        <f ca="1">IFERROR(__xludf.DUMMYFUNCTION("""COMPUTED_VALUE"""),"LOQUET Cyrielle ")</f>
        <v xml:space="preserve">LOQUET Cyrielle </v>
      </c>
      <c r="K1000" t="str">
        <f ca="1">IFERROR(__xludf.DUMMYFUNCTION("""COMPUTED_VALUE"""),"superu.saintmichelchefchef@systeme-u.fr")</f>
        <v>superu.saintmichelchefchef@systeme-u.fr</v>
      </c>
      <c r="L1000" t="str">
        <f ca="1">IFERROR(__xludf.DUMMYFUNCTION("""COMPUTED_VALUE"""),"")</f>
        <v/>
      </c>
      <c r="M1000" t="str">
        <f ca="1">IFERROR(__xludf.DUMMYFUNCTION("""COMPUTED_VALUE"""),"99.Hors Périmetre")</f>
        <v>99.Hors Périmetre</v>
      </c>
      <c r="N1000" t="str">
        <f ca="1">IFERROR(__xludf.DUMMYFUNCTION("""COMPUTED_VALUE"""),"")</f>
        <v/>
      </c>
      <c r="O1000" t="str">
        <f ca="1">IFERROR(__xludf.DUMMYFUNCTION("""COMPUTED_VALUE"""),"")</f>
        <v/>
      </c>
      <c r="P1000" t="str">
        <f ca="1">IFERROR(__xludf.DUMMYFUNCTION("""COMPUTED_VALUE"""),"")</f>
        <v/>
      </c>
      <c r="Q1000" s="5" t="str">
        <f ca="1">IFERROR(__xludf.DUMMYFUNCTION("""COMPUTED_VALUE"""),"")</f>
        <v/>
      </c>
      <c r="R1000" s="6" t="str">
        <f ca="1">IFERROR(__xludf.DUMMYFUNCTION("""COMPUTED_VALUE"""),"")</f>
        <v/>
      </c>
      <c r="S1000" t="str">
        <f ca="1">IFERROR(__xludf.DUMMYFUNCTION("""COMPUTED_VALUE"""),"")</f>
        <v/>
      </c>
      <c r="T1000" t="str">
        <f ca="1">IFERROR(__xludf.DUMMYFUNCTION("""COMPUTED_VALUE"""),"")</f>
        <v/>
      </c>
      <c r="U1000" t="str">
        <f ca="1">IFERROR(__xludf.DUMMYFUNCTION("""COMPUTED_VALUE"""),"")</f>
        <v/>
      </c>
      <c r="V1000" t="str">
        <f ca="1">IFERROR(__xludf.DUMMYFUNCTION("""COMPUTED_VALUE"""),"")</f>
        <v/>
      </c>
      <c r="W1000" t="str">
        <f ca="1">IFERROR(__xludf.DUMMYFUNCTION("""COMPUTED_VALUE"""),"")</f>
        <v/>
      </c>
      <c r="X1000" t="str">
        <f ca="1">IFERROR(__xludf.DUMMYFUNCTION("""COMPUTED_VALUE"""),"")</f>
        <v/>
      </c>
      <c r="Y1000" t="str">
        <f ca="1">IFERROR(__xludf.DUMMYFUNCTION("""COMPUTED_VALUE"""),"")</f>
        <v/>
      </c>
      <c r="Z1000" t="str">
        <f ca="1">IFERROR(__xludf.DUMMYFUNCTION("""COMPUTED_VALUE"""),"")</f>
        <v/>
      </c>
      <c r="AA1000" t="str">
        <f ca="1">IFERROR(__xludf.DUMMYFUNCTION("""COMPUTED_VALUE"""),"Pas de commande")</f>
        <v>Pas de commande</v>
      </c>
      <c r="AB1000" s="8" t="str">
        <f ca="1">IFERROR(__xludf.DUMMYFUNCTION("""COMPUTED_VALUE"""),"")</f>
        <v/>
      </c>
      <c r="AC1000" s="8" t="str">
        <f ca="1">IFERROR(__xludf.DUMMYFUNCTION("""COMPUTED_VALUE"""),"")</f>
        <v/>
      </c>
      <c r="AD1000" s="11" t="str">
        <f ca="1">IFERROR(__xludf.DUMMYFUNCTION("""COMPUTED_VALUE"""),"")</f>
        <v/>
      </c>
      <c r="AE1000" t="str">
        <f ca="1">IFERROR(__xludf.DUMMYFUNCTION("""COMPUTED_VALUE"""),"")</f>
        <v/>
      </c>
    </row>
    <row r="1001" spans="1:31" ht="12.75" x14ac:dyDescent="0.2">
      <c r="A1001">
        <f ca="1">IFERROR(__xludf.DUMMYFUNCTION("""COMPUTED_VALUE"""),38133)</f>
        <v>38133</v>
      </c>
      <c r="B1001" t="str">
        <f ca="1">IFERROR(__xludf.DUMMYFUNCTION("""COMPUTED_VALUE"""),"ST-NAZAIRE")</f>
        <v>ST-NAZAIRE</v>
      </c>
      <c r="C1001" t="str">
        <f ca="1">IFERROR(__xludf.DUMMYFUNCTION("""COMPUTED_VALUE"""),"Super U")</f>
        <v>Super U</v>
      </c>
      <c r="D1001" t="str">
        <f ca="1">IFERROR(__xludf.DUMMYFUNCTION("""COMPUTED_VALUE"""),"Coop U Enseigne Ouest")</f>
        <v>Coop U Enseigne Ouest</v>
      </c>
      <c r="E1001">
        <f ca="1">IFERROR(__xludf.DUMMYFUNCTION("""COMPUTED_VALUE"""),44600)</f>
        <v>44600</v>
      </c>
      <c r="F1001" t="str">
        <f ca="1">IFERROR(__xludf.DUMMYFUNCTION("""COMPUTED_VALUE"""),"54, RUE LÉON BOURGEOIS")</f>
        <v>54, RUE LÉON BOURGEOIS</v>
      </c>
      <c r="G1001" t="str">
        <f ca="1">IFERROR(__xludf.DUMMYFUNCTION("""COMPUTED_VALUE"""),"02.40.22.39.09")</f>
        <v>02.40.22.39.09</v>
      </c>
      <c r="H1001" t="str">
        <f ca="1">IFERROR(__xludf.DUMMYFUNCTION("""COMPUTED_VALUE"""),"CARIOU RPT SARL FICAPDIS Gilbert")</f>
        <v>CARIOU RPT SARL FICAPDIS Gilbert</v>
      </c>
      <c r="I1001" t="str">
        <f ca="1">IFERROR(__xludf.DUMMYFUNCTION("""COMPUTED_VALUE"""),"gilbert.cariou@systeme-u.fr")</f>
        <v>gilbert.cariou@systeme-u.fr</v>
      </c>
      <c r="J1001" t="str">
        <f ca="1">IFERROR(__xludf.DUMMYFUNCTION("""COMPUTED_VALUE"""),"Mme Gache")</f>
        <v>Mme Gache</v>
      </c>
      <c r="K1001" t="str">
        <f ca="1">IFERROR(__xludf.DUMMYFUNCTION("""COMPUTED_VALUE"""),"superu.saintnazaire@systeme-u.fr")</f>
        <v>superu.saintnazaire@systeme-u.fr</v>
      </c>
      <c r="L1001" t="str">
        <f ca="1">IFERROR(__xludf.DUMMYFUNCTION("""COMPUTED_VALUE"""),"")</f>
        <v/>
      </c>
      <c r="M1001" t="str">
        <f ca="1">IFERROR(__xludf.DUMMYFUNCTION("""COMPUTED_VALUE"""),"99.Hors Périmetre")</f>
        <v>99.Hors Périmetre</v>
      </c>
      <c r="N1001" t="str">
        <f ca="1">IFERROR(__xludf.DUMMYFUNCTION("""COMPUTED_VALUE"""),"")</f>
        <v/>
      </c>
      <c r="O1001" t="str">
        <f ca="1">IFERROR(__xludf.DUMMYFUNCTION("""COMPUTED_VALUE"""),"")</f>
        <v/>
      </c>
      <c r="P1001" t="str">
        <f ca="1">IFERROR(__xludf.DUMMYFUNCTION("""COMPUTED_VALUE"""),"")</f>
        <v/>
      </c>
      <c r="Q1001" s="5" t="str">
        <f ca="1">IFERROR(__xludf.DUMMYFUNCTION("""COMPUTED_VALUE"""),"")</f>
        <v/>
      </c>
      <c r="R1001" s="6" t="str">
        <f ca="1">IFERROR(__xludf.DUMMYFUNCTION("""COMPUTED_VALUE"""),"")</f>
        <v/>
      </c>
      <c r="S1001" t="str">
        <f ca="1">IFERROR(__xludf.DUMMYFUNCTION("""COMPUTED_VALUE"""),"")</f>
        <v/>
      </c>
      <c r="T1001" t="str">
        <f ca="1">IFERROR(__xludf.DUMMYFUNCTION("""COMPUTED_VALUE"""),"")</f>
        <v/>
      </c>
      <c r="U1001" t="str">
        <f ca="1">IFERROR(__xludf.DUMMYFUNCTION("""COMPUTED_VALUE"""),"")</f>
        <v/>
      </c>
      <c r="V1001" t="str">
        <f ca="1">IFERROR(__xludf.DUMMYFUNCTION("""COMPUTED_VALUE"""),"")</f>
        <v/>
      </c>
      <c r="W1001" t="str">
        <f ca="1">IFERROR(__xludf.DUMMYFUNCTION("""COMPUTED_VALUE"""),"")</f>
        <v/>
      </c>
      <c r="X1001" t="str">
        <f ca="1">IFERROR(__xludf.DUMMYFUNCTION("""COMPUTED_VALUE"""),"")</f>
        <v/>
      </c>
      <c r="Y1001" t="str">
        <f ca="1">IFERROR(__xludf.DUMMYFUNCTION("""COMPUTED_VALUE"""),"")</f>
        <v/>
      </c>
      <c r="Z1001" t="str">
        <f ca="1">IFERROR(__xludf.DUMMYFUNCTION("""COMPUTED_VALUE"""),"")</f>
        <v/>
      </c>
      <c r="AA1001" t="str">
        <f ca="1">IFERROR(__xludf.DUMMYFUNCTION("""COMPUTED_VALUE"""),"Pas de commande")</f>
        <v>Pas de commande</v>
      </c>
      <c r="AB1001" s="8" t="str">
        <f ca="1">IFERROR(__xludf.DUMMYFUNCTION("""COMPUTED_VALUE"""),"")</f>
        <v/>
      </c>
      <c r="AC1001" s="8" t="str">
        <f ca="1">IFERROR(__xludf.DUMMYFUNCTION("""COMPUTED_VALUE"""),"")</f>
        <v/>
      </c>
      <c r="AD1001" s="11" t="str">
        <f ca="1">IFERROR(__xludf.DUMMYFUNCTION("""COMPUTED_VALUE"""),"")</f>
        <v/>
      </c>
      <c r="AE1001" t="str">
        <f ca="1">IFERROR(__xludf.DUMMYFUNCTION("""COMPUTED_VALUE"""),"")</f>
        <v/>
      </c>
    </row>
    <row r="1002" spans="1:31" ht="12.75" x14ac:dyDescent="0.2">
      <c r="A1002">
        <f ca="1">IFERROR(__xludf.DUMMYFUNCTION("""COMPUTED_VALUE"""),37412)</f>
        <v>37412</v>
      </c>
      <c r="B1002" t="str">
        <f ca="1">IFERROR(__xludf.DUMMYFUNCTION("""COMPUTED_VALUE"""),"BECON-LES-GRANITS")</f>
        <v>BECON-LES-GRANITS</v>
      </c>
      <c r="C1002" t="str">
        <f ca="1">IFERROR(__xludf.DUMMYFUNCTION("""COMPUTED_VALUE"""),"Super U")</f>
        <v>Super U</v>
      </c>
      <c r="D1002" t="str">
        <f ca="1">IFERROR(__xludf.DUMMYFUNCTION("""COMPUTED_VALUE"""),"Coop U Enseigne Ouest")</f>
        <v>Coop U Enseigne Ouest</v>
      </c>
      <c r="E1002">
        <f ca="1">IFERROR(__xludf.DUMMYFUNCTION("""COMPUTED_VALUE"""),49370)</f>
        <v>49370</v>
      </c>
      <c r="F1002" t="str">
        <f ca="1">IFERROR(__xludf.DUMMYFUNCTION("""COMPUTED_VALUE"""),"3, ROUTE DE SAINT CLÉMENT")</f>
        <v>3, ROUTE DE SAINT CLÉMENT</v>
      </c>
      <c r="G1002" t="str">
        <f ca="1">IFERROR(__xludf.DUMMYFUNCTION("""COMPUTED_VALUE"""),"02.41.77.90.06")</f>
        <v>02.41.77.90.06</v>
      </c>
      <c r="H1002" t="str">
        <f ca="1">IFERROR(__xludf.DUMMYFUNCTION("""COMPUTED_VALUE"""),"LEBRUN RPT SARL HUCO Dominique")</f>
        <v>LEBRUN RPT SARL HUCO Dominique</v>
      </c>
      <c r="I1002" t="str">
        <f ca="1">IFERROR(__xludf.DUMMYFUNCTION("""COMPUTED_VALUE"""),"dominique.lebrun@systeme-u.fr")</f>
        <v>dominique.lebrun@systeme-u.fr</v>
      </c>
      <c r="J1002" t="str">
        <f ca="1">IFERROR(__xludf.DUMMYFUNCTION("""COMPUTED_VALUE"""),"Mme Laetita Xavier")</f>
        <v>Mme Laetita Xavier</v>
      </c>
      <c r="K1002" t="str">
        <f ca="1">IFERROR(__xludf.DUMMYFUNCTION("""COMPUTED_VALUE"""),"superu.beconlesgranits@systeme-u.fr")</f>
        <v>superu.beconlesgranits@systeme-u.fr</v>
      </c>
      <c r="L1002" t="str">
        <f ca="1">IFERROR(__xludf.DUMMYFUNCTION("""COMPUTED_VALUE"""),"")</f>
        <v/>
      </c>
      <c r="M1002" t="str">
        <f ca="1">IFERROR(__xludf.DUMMYFUNCTION("""COMPUTED_VALUE"""),"99.Hors Périmetre")</f>
        <v>99.Hors Périmetre</v>
      </c>
      <c r="N1002" t="str">
        <f ca="1">IFERROR(__xludf.DUMMYFUNCTION("""COMPUTED_VALUE"""),"")</f>
        <v/>
      </c>
      <c r="O1002" t="str">
        <f ca="1">IFERROR(__xludf.DUMMYFUNCTION("""COMPUTED_VALUE"""),"")</f>
        <v/>
      </c>
      <c r="P1002" t="str">
        <f ca="1">IFERROR(__xludf.DUMMYFUNCTION("""COMPUTED_VALUE"""),"")</f>
        <v/>
      </c>
      <c r="Q1002" s="5" t="str">
        <f ca="1">IFERROR(__xludf.DUMMYFUNCTION("""COMPUTED_VALUE"""),"")</f>
        <v/>
      </c>
      <c r="R1002" s="6" t="str">
        <f ca="1">IFERROR(__xludf.DUMMYFUNCTION("""COMPUTED_VALUE"""),"")</f>
        <v/>
      </c>
      <c r="S1002" t="str">
        <f ca="1">IFERROR(__xludf.DUMMYFUNCTION("""COMPUTED_VALUE"""),"")</f>
        <v/>
      </c>
      <c r="T1002" t="str">
        <f ca="1">IFERROR(__xludf.DUMMYFUNCTION("""COMPUTED_VALUE"""),"")</f>
        <v/>
      </c>
      <c r="U1002" t="str">
        <f ca="1">IFERROR(__xludf.DUMMYFUNCTION("""COMPUTED_VALUE"""),"")</f>
        <v/>
      </c>
      <c r="V1002" t="str">
        <f ca="1">IFERROR(__xludf.DUMMYFUNCTION("""COMPUTED_VALUE"""),"")</f>
        <v/>
      </c>
      <c r="W1002" t="str">
        <f ca="1">IFERROR(__xludf.DUMMYFUNCTION("""COMPUTED_VALUE"""),"")</f>
        <v/>
      </c>
      <c r="X1002" t="str">
        <f ca="1">IFERROR(__xludf.DUMMYFUNCTION("""COMPUTED_VALUE"""),"")</f>
        <v/>
      </c>
      <c r="Y1002" t="str">
        <f ca="1">IFERROR(__xludf.DUMMYFUNCTION("""COMPUTED_VALUE"""),"")</f>
        <v/>
      </c>
      <c r="Z1002" t="str">
        <f ca="1">IFERROR(__xludf.DUMMYFUNCTION("""COMPUTED_VALUE"""),"")</f>
        <v/>
      </c>
      <c r="AA1002" t="str">
        <f ca="1">IFERROR(__xludf.DUMMYFUNCTION("""COMPUTED_VALUE"""),"Pas de commande")</f>
        <v>Pas de commande</v>
      </c>
      <c r="AB1002" s="8" t="str">
        <f ca="1">IFERROR(__xludf.DUMMYFUNCTION("""COMPUTED_VALUE"""),"")</f>
        <v/>
      </c>
      <c r="AC1002" s="8" t="str">
        <f ca="1">IFERROR(__xludf.DUMMYFUNCTION("""COMPUTED_VALUE"""),"")</f>
        <v/>
      </c>
      <c r="AD1002" s="11" t="str">
        <f ca="1">IFERROR(__xludf.DUMMYFUNCTION("""COMPUTED_VALUE"""),"")</f>
        <v/>
      </c>
      <c r="AE1002" t="str">
        <f ca="1">IFERROR(__xludf.DUMMYFUNCTION("""COMPUTED_VALUE"""),"")</f>
        <v/>
      </c>
    </row>
    <row r="1003" spans="1:31" ht="12.75" x14ac:dyDescent="0.2">
      <c r="A1003">
        <f ca="1">IFERROR(__xludf.DUMMYFUNCTION("""COMPUTED_VALUE"""),32085)</f>
        <v>32085</v>
      </c>
      <c r="B1003" t="str">
        <f ca="1">IFERROR(__xludf.DUMMYFUNCTION("""COMPUTED_VALUE"""),"ST-PALAIS-SUR-MER")</f>
        <v>ST-PALAIS-SUR-MER</v>
      </c>
      <c r="C1003" t="str">
        <f ca="1">IFERROR(__xludf.DUMMYFUNCTION("""COMPUTED_VALUE"""),"Super U")</f>
        <v>Super U</v>
      </c>
      <c r="D1003" t="str">
        <f ca="1">IFERROR(__xludf.DUMMYFUNCTION("""COMPUTED_VALUE"""),"Coop Atlantique")</f>
        <v>Coop Atlantique</v>
      </c>
      <c r="E1003">
        <f ca="1">IFERROR(__xludf.DUMMYFUNCTION("""COMPUTED_VALUE"""),17420)</f>
        <v>17420</v>
      </c>
      <c r="F1003" t="str">
        <f ca="1">IFERROR(__xludf.DUMMYFUNCTION("""COMPUTED_VALUE"""),"AVENUE CHARLES DE GAULLE")</f>
        <v>AVENUE CHARLES DE GAULLE</v>
      </c>
      <c r="G1003" t="str">
        <f ca="1">IFERROR(__xludf.DUMMYFUNCTION("""COMPUTED_VALUE"""),"05.46.23.59.90")</f>
        <v>05.46.23.59.90</v>
      </c>
      <c r="H1003" t="str">
        <f ca="1">IFERROR(__xludf.DUMMYFUNCTION("""COMPUTED_VALUE"""),"FLAMBARD Hervé")</f>
        <v>FLAMBARD Hervé</v>
      </c>
      <c r="I1003" t="str">
        <f ca="1">IFERROR(__xludf.DUMMYFUNCTION("""COMPUTED_VALUE"""),"bertrand.defontaine_coop_su_uex@systeme-u.fr")</f>
        <v>bertrand.defontaine_coop_su_uex@systeme-u.fr</v>
      </c>
      <c r="J1003" t="str">
        <f ca="1">IFERROR(__xludf.DUMMYFUNCTION("""COMPUTED_VALUE"""),"Hélène RIDEAU")</f>
        <v>Hélène RIDEAU</v>
      </c>
      <c r="K1003" t="str">
        <f ca="1">IFERROR(__xludf.DUMMYFUNCTION("""COMPUTED_VALUE"""),"superu.saintpalaissurmer.direction@systeme-u.fr,nbrigant@coop-atlantique.fr,sjaud@coop-atlantique.fr,mmoreau@coop-atlantique.fr")</f>
        <v>superu.saintpalaissurmer.direction@systeme-u.fr,nbrigant@coop-atlantique.fr,sjaud@coop-atlantique.fr,mmoreau@coop-atlantique.fr</v>
      </c>
      <c r="L1003" t="str">
        <f ca="1">IFERROR(__xludf.DUMMYFUNCTION("""COMPUTED_VALUE"""),"Standard")</f>
        <v>Standard</v>
      </c>
      <c r="M1003" t="str">
        <f ca="1">IFERROR(__xludf.DUMMYFUNCTION("""COMPUTED_VALUE"""),"0. Non démarré")</f>
        <v>0. Non démarré</v>
      </c>
      <c r="N1003" t="str">
        <f ca="1">IFERROR(__xludf.DUMMYFUNCTION("""COMPUTED_VALUE"""),"")</f>
        <v/>
      </c>
      <c r="O1003" t="str">
        <f ca="1">IFERROR(__xludf.DUMMYFUNCTION("""COMPUTED_VALUE"""),"")</f>
        <v/>
      </c>
      <c r="P1003" t="str">
        <f ca="1">IFERROR(__xludf.DUMMYFUNCTION("""COMPUTED_VALUE"""),"")</f>
        <v/>
      </c>
      <c r="Q1003" s="5" t="str">
        <f ca="1">IFERROR(__xludf.DUMMYFUNCTION("""COMPUTED_VALUE"""),"")</f>
        <v/>
      </c>
      <c r="R1003" s="6" t="str">
        <f ca="1">IFERROR(__xludf.DUMMYFUNCTION("""COMPUTED_VALUE"""),"")</f>
        <v/>
      </c>
      <c r="S1003" t="str">
        <f ca="1">IFERROR(__xludf.DUMMYFUNCTION("""COMPUTED_VALUE"""),"")</f>
        <v/>
      </c>
      <c r="T1003" t="str">
        <f ca="1">IFERROR(__xludf.DUMMYFUNCTION("""COMPUTED_VALUE"""),"")</f>
        <v/>
      </c>
      <c r="U1003" t="str">
        <f ca="1">IFERROR(__xludf.DUMMYFUNCTION("""COMPUTED_VALUE"""),"")</f>
        <v/>
      </c>
      <c r="V1003" t="str">
        <f ca="1">IFERROR(__xludf.DUMMYFUNCTION("""COMPUTED_VALUE"""),"")</f>
        <v/>
      </c>
      <c r="W1003" t="str">
        <f ca="1">IFERROR(__xludf.DUMMYFUNCTION("""COMPUTED_VALUE"""),"R5")</f>
        <v>R5</v>
      </c>
      <c r="X1003" t="str">
        <f ca="1">IFERROR(__xludf.DUMMYFUNCTION("""COMPUTED_VALUE"""),"PC mag &lt;8Go")</f>
        <v>PC mag &lt;8Go</v>
      </c>
      <c r="Y1003" t="str">
        <f ca="1">IFERROR(__xludf.DUMMYFUNCTION("""COMPUTED_VALUE"""),"")</f>
        <v/>
      </c>
      <c r="Z1003" t="str">
        <f ca="1">IFERROR(__xludf.DUMMYFUNCTION("""COMPUTED_VALUE"""),"")</f>
        <v/>
      </c>
      <c r="AA1003" t="str">
        <f ca="1">IFERROR(__xludf.DUMMYFUNCTION("""COMPUTED_VALUE"""),"Pas de commande")</f>
        <v>Pas de commande</v>
      </c>
      <c r="AB1003" s="8" t="str">
        <f ca="1">IFERROR(__xludf.DUMMYFUNCTION("""COMPUTED_VALUE"""),"")</f>
        <v/>
      </c>
      <c r="AC1003" s="8" t="str">
        <f ca="1">IFERROR(__xludf.DUMMYFUNCTION("""COMPUTED_VALUE"""),"")</f>
        <v/>
      </c>
      <c r="AD1003" s="11" t="str">
        <f ca="1">IFERROR(__xludf.DUMMYFUNCTION("""COMPUTED_VALUE"""),"")</f>
        <v/>
      </c>
      <c r="AE1003" t="str">
        <f ca="1">IFERROR(__xludf.DUMMYFUNCTION("""COMPUTED_VALUE"""),"")</f>
        <v/>
      </c>
    </row>
    <row r="1004" spans="1:31" ht="12.75" x14ac:dyDescent="0.2">
      <c r="A1004">
        <f ca="1">IFERROR(__xludf.DUMMYFUNCTION("""COMPUTED_VALUE"""),99101)</f>
        <v>99101</v>
      </c>
      <c r="B1004" t="str">
        <f ca="1">IFERROR(__xludf.DUMMYFUNCTION("""COMPUTED_VALUE"""),"ST-PAUL-IDR")</f>
        <v>ST-PAUL-IDR</v>
      </c>
      <c r="C1004" t="str">
        <f ca="1">IFERROR(__xludf.DUMMYFUNCTION("""COMPUTED_VALUE"""),"Super U")</f>
        <v>Super U</v>
      </c>
      <c r="D1004" t="str">
        <f ca="1">IFERROR(__xludf.DUMMYFUNCTION("""COMPUTED_VALUE"""),"Coop U Enseigne Sud")</f>
        <v>Coop U Enseigne Sud</v>
      </c>
      <c r="E1004">
        <f ca="1">IFERROR(__xludf.DUMMYFUNCTION("""COMPUTED_VALUE"""),97460)</f>
        <v>97460</v>
      </c>
      <c r="F1004" t="str">
        <f ca="1">IFERROR(__xludf.DUMMYFUNCTION("""COMPUTED_VALUE"""),"109 CHAUSSÉE ROYALE BP 30")</f>
        <v>109 CHAUSSÉE ROYALE BP 30</v>
      </c>
      <c r="G1004" t="str">
        <f ca="1">IFERROR(__xludf.DUMMYFUNCTION("""COMPUTED_VALUE"""),"02.62.45.45.20")</f>
        <v>02.62.45.45.20</v>
      </c>
      <c r="H1004" t="str">
        <f ca="1">IFERROR(__xludf.DUMMYFUNCTION("""COMPUTED_VALUE"""),"LAO OUINE Jean-Pierre")</f>
        <v>LAO OUINE Jean-Pierre</v>
      </c>
      <c r="I1004" t="str">
        <f ca="1">IFERROR(__xludf.DUMMYFUNCTION("""COMPUTED_VALUE"""),"mary-pierre.terree@systeme-u.fr")</f>
        <v>mary-pierre.terree@systeme-u.fr</v>
      </c>
      <c r="J1004" t="str">
        <f ca="1">IFERROR(__xludf.DUMMYFUNCTION("""COMPUTED_VALUE"""),"TELEF Olivier")</f>
        <v>TELEF Olivier</v>
      </c>
      <c r="K1004" t="str">
        <f ca="1">IFERROR(__xludf.DUMMYFUNCTION("""COMPUTED_VALUE"""),"o.telef@slholding.re")</f>
        <v>o.telef@slholding.re</v>
      </c>
      <c r="L1004" t="str">
        <f ca="1">IFERROR(__xludf.DUMMYFUNCTION("""COMPUTED_VALUE"""),"")</f>
        <v/>
      </c>
      <c r="M1004" t="str">
        <f ca="1">IFERROR(__xludf.DUMMYFUNCTION("""COMPUTED_VALUE"""),"99.Hors Périmetre")</f>
        <v>99.Hors Périmetre</v>
      </c>
      <c r="N1004" t="str">
        <f ca="1">IFERROR(__xludf.DUMMYFUNCTION("""COMPUTED_VALUE"""),"")</f>
        <v/>
      </c>
      <c r="O1004" t="str">
        <f ca="1">IFERROR(__xludf.DUMMYFUNCTION("""COMPUTED_VALUE"""),"")</f>
        <v/>
      </c>
      <c r="P1004" t="str">
        <f ca="1">IFERROR(__xludf.DUMMYFUNCTION("""COMPUTED_VALUE"""),"")</f>
        <v/>
      </c>
      <c r="Q1004" s="5" t="str">
        <f ca="1">IFERROR(__xludf.DUMMYFUNCTION("""COMPUTED_VALUE"""),"")</f>
        <v/>
      </c>
      <c r="R1004" s="6" t="str">
        <f ca="1">IFERROR(__xludf.DUMMYFUNCTION("""COMPUTED_VALUE"""),"")</f>
        <v/>
      </c>
      <c r="S1004" t="str">
        <f ca="1">IFERROR(__xludf.DUMMYFUNCTION("""COMPUTED_VALUE"""),"")</f>
        <v/>
      </c>
      <c r="T1004" t="str">
        <f ca="1">IFERROR(__xludf.DUMMYFUNCTION("""COMPUTED_VALUE"""),"")</f>
        <v/>
      </c>
      <c r="U1004" t="str">
        <f ca="1">IFERROR(__xludf.DUMMYFUNCTION("""COMPUTED_VALUE"""),"")</f>
        <v/>
      </c>
      <c r="V1004" t="str">
        <f ca="1">IFERROR(__xludf.DUMMYFUNCTION("""COMPUTED_VALUE"""),"")</f>
        <v/>
      </c>
      <c r="W1004" t="str">
        <f ca="1">IFERROR(__xludf.DUMMYFUNCTION("""COMPUTED_VALUE"""),"")</f>
        <v/>
      </c>
      <c r="X1004" t="str">
        <f ca="1">IFERROR(__xludf.DUMMYFUNCTION("""COMPUTED_VALUE"""),"")</f>
        <v/>
      </c>
      <c r="Y1004" t="str">
        <f ca="1">IFERROR(__xludf.DUMMYFUNCTION("""COMPUTED_VALUE"""),"")</f>
        <v/>
      </c>
      <c r="Z1004" t="str">
        <f ca="1">IFERROR(__xludf.DUMMYFUNCTION("""COMPUTED_VALUE"""),"")</f>
        <v/>
      </c>
      <c r="AA1004" t="str">
        <f ca="1">IFERROR(__xludf.DUMMYFUNCTION("""COMPUTED_VALUE"""),"Pas de commande")</f>
        <v>Pas de commande</v>
      </c>
      <c r="AB1004" s="8" t="str">
        <f ca="1">IFERROR(__xludf.DUMMYFUNCTION("""COMPUTED_VALUE"""),"")</f>
        <v/>
      </c>
      <c r="AC1004" s="8" t="str">
        <f ca="1">IFERROR(__xludf.DUMMYFUNCTION("""COMPUTED_VALUE"""),"")</f>
        <v/>
      </c>
      <c r="AD1004" s="11" t="str">
        <f ca="1">IFERROR(__xludf.DUMMYFUNCTION("""COMPUTED_VALUE"""),"")</f>
        <v/>
      </c>
      <c r="AE1004" t="str">
        <f ca="1">IFERROR(__xludf.DUMMYFUNCTION("""COMPUTED_VALUE"""),"")</f>
        <v/>
      </c>
    </row>
    <row r="1005" spans="1:31" ht="12.75" x14ac:dyDescent="0.2">
      <c r="A1005">
        <f ca="1">IFERROR(__xludf.DUMMYFUNCTION("""COMPUTED_VALUE"""),99205)</f>
        <v>99205</v>
      </c>
      <c r="B1005" t="str">
        <f ca="1">IFERROR(__xludf.DUMMYFUNCTION("""COMPUTED_VALUE"""),"ST-PAUL-IDR")</f>
        <v>ST-PAUL-IDR</v>
      </c>
      <c r="C1005" t="str">
        <f ca="1">IFERROR(__xludf.DUMMYFUNCTION("""COMPUTED_VALUE"""),"Marché U")</f>
        <v>Marché U</v>
      </c>
      <c r="D1005" t="str">
        <f ca="1">IFERROR(__xludf.DUMMYFUNCTION("""COMPUTED_VALUE"""),"Coop U Enseigne Sud")</f>
        <v>Coop U Enseigne Sud</v>
      </c>
      <c r="E1005">
        <f ca="1">IFERROR(__xludf.DUMMYFUNCTION("""COMPUTED_VALUE"""),97460)</f>
        <v>97460</v>
      </c>
      <c r="F1005" t="str">
        <f ca="1">IFERROR(__xludf.DUMMYFUNCTION("""COMPUTED_VALUE"""),"2 RUE PAUL JULIUS BENARD")</f>
        <v>2 RUE PAUL JULIUS BENARD</v>
      </c>
      <c r="G1005" t="str">
        <f ca="1">IFERROR(__xludf.DUMMYFUNCTION("""COMPUTED_VALUE"""),"02.62.22.95.95")</f>
        <v>02.62.22.95.95</v>
      </c>
      <c r="H1005" t="str">
        <f ca="1">IFERROR(__xludf.DUMMYFUNCTION("""COMPUTED_VALUE"""),"LAW THIME Jean")</f>
        <v>LAW THIME Jean</v>
      </c>
      <c r="I1005" t="str">
        <f ca="1">IFERROR(__xludf.DUMMYFUNCTION("""COMPUTED_VALUE"""),"jean.lawthime@systeme-u.fr")</f>
        <v>jean.lawthime@systeme-u.fr</v>
      </c>
      <c r="J1005" t="str">
        <f ca="1">IFERROR(__xludf.DUMMYFUNCTION("""COMPUTED_VALUE"""),"CHANE Patrick")</f>
        <v>CHANE Patrick</v>
      </c>
      <c r="K1005" t="str">
        <f ca="1">IFERROR(__xludf.DUMMYFUNCTION("""COMPUTED_VALUE"""),"")</f>
        <v/>
      </c>
      <c r="L1005" t="str">
        <f ca="1">IFERROR(__xludf.DUMMYFUNCTION("""COMPUTED_VALUE"""),"")</f>
        <v/>
      </c>
      <c r="M1005" t="str">
        <f ca="1">IFERROR(__xludf.DUMMYFUNCTION("""COMPUTED_VALUE"""),"99.Hors Périmetre")</f>
        <v>99.Hors Périmetre</v>
      </c>
      <c r="N1005" t="str">
        <f ca="1">IFERROR(__xludf.DUMMYFUNCTION("""COMPUTED_VALUE"""),"")</f>
        <v/>
      </c>
      <c r="O1005" t="str">
        <f ca="1">IFERROR(__xludf.DUMMYFUNCTION("""COMPUTED_VALUE"""),"")</f>
        <v/>
      </c>
      <c r="P1005" t="str">
        <f ca="1">IFERROR(__xludf.DUMMYFUNCTION("""COMPUTED_VALUE"""),"")</f>
        <v/>
      </c>
      <c r="Q1005" s="5" t="str">
        <f ca="1">IFERROR(__xludf.DUMMYFUNCTION("""COMPUTED_VALUE"""),"")</f>
        <v/>
      </c>
      <c r="R1005" s="6" t="str">
        <f ca="1">IFERROR(__xludf.DUMMYFUNCTION("""COMPUTED_VALUE"""),"")</f>
        <v/>
      </c>
      <c r="S1005" t="str">
        <f ca="1">IFERROR(__xludf.DUMMYFUNCTION("""COMPUTED_VALUE"""),"")</f>
        <v/>
      </c>
      <c r="T1005" t="str">
        <f ca="1">IFERROR(__xludf.DUMMYFUNCTION("""COMPUTED_VALUE"""),"")</f>
        <v/>
      </c>
      <c r="U1005" t="str">
        <f ca="1">IFERROR(__xludf.DUMMYFUNCTION("""COMPUTED_VALUE"""),"")</f>
        <v/>
      </c>
      <c r="V1005" t="str">
        <f ca="1">IFERROR(__xludf.DUMMYFUNCTION("""COMPUTED_VALUE"""),"")</f>
        <v/>
      </c>
      <c r="W1005" t="str">
        <f ca="1">IFERROR(__xludf.DUMMYFUNCTION("""COMPUTED_VALUE"""),"")</f>
        <v/>
      </c>
      <c r="X1005" t="str">
        <f ca="1">IFERROR(__xludf.DUMMYFUNCTION("""COMPUTED_VALUE"""),"")</f>
        <v/>
      </c>
      <c r="Y1005" t="str">
        <f ca="1">IFERROR(__xludf.DUMMYFUNCTION("""COMPUTED_VALUE"""),"")</f>
        <v/>
      </c>
      <c r="Z1005" t="str">
        <f ca="1">IFERROR(__xludf.DUMMYFUNCTION("""COMPUTED_VALUE"""),"")</f>
        <v/>
      </c>
      <c r="AA1005" t="str">
        <f ca="1">IFERROR(__xludf.DUMMYFUNCTION("""COMPUTED_VALUE"""),"Pas de commande")</f>
        <v>Pas de commande</v>
      </c>
      <c r="AB1005" s="8" t="str">
        <f ca="1">IFERROR(__xludf.DUMMYFUNCTION("""COMPUTED_VALUE"""),"")</f>
        <v/>
      </c>
      <c r="AC1005" s="8" t="str">
        <f ca="1">IFERROR(__xludf.DUMMYFUNCTION("""COMPUTED_VALUE"""),"")</f>
        <v/>
      </c>
      <c r="AD1005" s="11" t="str">
        <f ca="1">IFERROR(__xludf.DUMMYFUNCTION("""COMPUTED_VALUE"""),"")</f>
        <v/>
      </c>
      <c r="AE1005" t="str">
        <f ca="1">IFERROR(__xludf.DUMMYFUNCTION("""COMPUTED_VALUE"""),"")</f>
        <v/>
      </c>
    </row>
    <row r="1006" spans="1:31" ht="12.75" x14ac:dyDescent="0.2">
      <c r="A1006">
        <f ca="1">IFERROR(__xludf.DUMMYFUNCTION("""COMPUTED_VALUE"""),30167)</f>
        <v>30167</v>
      </c>
      <c r="B1006" t="str">
        <f ca="1">IFERROR(__xludf.DUMMYFUNCTION("""COMPUTED_VALUE"""),"ST-PERE-EN-RETZ")</f>
        <v>ST-PERE-EN-RETZ</v>
      </c>
      <c r="C1006" t="str">
        <f ca="1">IFERROR(__xludf.DUMMYFUNCTION("""COMPUTED_VALUE"""),"U Express")</f>
        <v>U Express</v>
      </c>
      <c r="D1006" t="str">
        <f ca="1">IFERROR(__xludf.DUMMYFUNCTION("""COMPUTED_VALUE"""),"Coop U Enseigne Ouest")</f>
        <v>Coop U Enseigne Ouest</v>
      </c>
      <c r="E1006">
        <f ca="1">IFERROR(__xludf.DUMMYFUNCTION("""COMPUTED_VALUE"""),44320)</f>
        <v>44320</v>
      </c>
      <c r="F1006" t="str">
        <f ca="1">IFERROR(__xludf.DUMMYFUNCTION("""COMPUTED_VALUE"""),"RUE DU PRIEURÉ")</f>
        <v>RUE DU PRIEURÉ</v>
      </c>
      <c r="G1006" t="str">
        <f ca="1">IFERROR(__xludf.DUMMYFUNCTION("""COMPUTED_VALUE"""),"02.40.21.76.90")</f>
        <v>02.40.21.76.90</v>
      </c>
      <c r="H1006" t="str">
        <f ca="1">IFERROR(__xludf.DUMMYFUNCTION("""COMPUTED_VALUE"""),"BOURE Jérôme")</f>
        <v>BOURE Jérôme</v>
      </c>
      <c r="I1006" t="str">
        <f ca="1">IFERROR(__xludf.DUMMYFUNCTION("""COMPUTED_VALUE"""),"jerome.boure@systeme-u.fr")</f>
        <v>jerome.boure@systeme-u.fr</v>
      </c>
      <c r="J1006" t="str">
        <f ca="1">IFERROR(__xludf.DUMMYFUNCTION("""COMPUTED_VALUE"""),"")</f>
        <v/>
      </c>
      <c r="K1006" t="str">
        <f ca="1">IFERROR(__xludf.DUMMYFUNCTION("""COMPUTED_VALUE"""),"")</f>
        <v/>
      </c>
      <c r="L1006" t="str">
        <f ca="1">IFERROR(__xludf.DUMMYFUNCTION("""COMPUTED_VALUE"""),"")</f>
        <v/>
      </c>
      <c r="M1006" t="str">
        <f ca="1">IFERROR(__xludf.DUMMYFUNCTION("""COMPUTED_VALUE"""),"99.Hors Périmetre")</f>
        <v>99.Hors Périmetre</v>
      </c>
      <c r="N1006" t="str">
        <f ca="1">IFERROR(__xludf.DUMMYFUNCTION("""COMPUTED_VALUE"""),"")</f>
        <v/>
      </c>
      <c r="O1006" t="str">
        <f ca="1">IFERROR(__xludf.DUMMYFUNCTION("""COMPUTED_VALUE"""),"")</f>
        <v/>
      </c>
      <c r="P1006" t="str">
        <f ca="1">IFERROR(__xludf.DUMMYFUNCTION("""COMPUTED_VALUE"""),"")</f>
        <v/>
      </c>
      <c r="Q1006" s="5" t="str">
        <f ca="1">IFERROR(__xludf.DUMMYFUNCTION("""COMPUTED_VALUE"""),"")</f>
        <v/>
      </c>
      <c r="R1006" s="6" t="str">
        <f ca="1">IFERROR(__xludf.DUMMYFUNCTION("""COMPUTED_VALUE"""),"")</f>
        <v/>
      </c>
      <c r="S1006" t="str">
        <f ca="1">IFERROR(__xludf.DUMMYFUNCTION("""COMPUTED_VALUE"""),"")</f>
        <v/>
      </c>
      <c r="T1006" t="str">
        <f ca="1">IFERROR(__xludf.DUMMYFUNCTION("""COMPUTED_VALUE"""),"")</f>
        <v/>
      </c>
      <c r="U1006" t="str">
        <f ca="1">IFERROR(__xludf.DUMMYFUNCTION("""COMPUTED_VALUE"""),"")</f>
        <v/>
      </c>
      <c r="V1006" t="str">
        <f ca="1">IFERROR(__xludf.DUMMYFUNCTION("""COMPUTED_VALUE"""),"")</f>
        <v/>
      </c>
      <c r="W1006" t="str">
        <f ca="1">IFERROR(__xludf.DUMMYFUNCTION("""COMPUTED_VALUE"""),"")</f>
        <v/>
      </c>
      <c r="X1006" t="str">
        <f ca="1">IFERROR(__xludf.DUMMYFUNCTION("""COMPUTED_VALUE"""),"")</f>
        <v/>
      </c>
      <c r="Y1006" t="str">
        <f ca="1">IFERROR(__xludf.DUMMYFUNCTION("""COMPUTED_VALUE"""),"")</f>
        <v/>
      </c>
      <c r="Z1006" t="str">
        <f ca="1">IFERROR(__xludf.DUMMYFUNCTION("""COMPUTED_VALUE"""),"")</f>
        <v/>
      </c>
      <c r="AA1006" t="str">
        <f ca="1">IFERROR(__xludf.DUMMYFUNCTION("""COMPUTED_VALUE"""),"Pas de commande")</f>
        <v>Pas de commande</v>
      </c>
      <c r="AB1006" s="8" t="str">
        <f ca="1">IFERROR(__xludf.DUMMYFUNCTION("""COMPUTED_VALUE"""),"")</f>
        <v/>
      </c>
      <c r="AC1006" s="8" t="str">
        <f ca="1">IFERROR(__xludf.DUMMYFUNCTION("""COMPUTED_VALUE"""),"")</f>
        <v/>
      </c>
      <c r="AD1006" s="11" t="str">
        <f ca="1">IFERROR(__xludf.DUMMYFUNCTION("""COMPUTED_VALUE"""),"")</f>
        <v/>
      </c>
      <c r="AE1006" t="str">
        <f ca="1">IFERROR(__xludf.DUMMYFUNCTION("""COMPUTED_VALUE"""),"")</f>
        <v/>
      </c>
    </row>
    <row r="1007" spans="1:31" ht="12.75" x14ac:dyDescent="0.2">
      <c r="A1007">
        <f ca="1">IFERROR(__xludf.DUMMYFUNCTION("""COMPUTED_VALUE"""),32086)</f>
        <v>32086</v>
      </c>
      <c r="B1007" t="str">
        <f ca="1">IFERROR(__xludf.DUMMYFUNCTION("""COMPUTED_VALUE"""),"ST-PIERRE-OLERON")</f>
        <v>ST-PIERRE-OLERON</v>
      </c>
      <c r="C1007" t="str">
        <f ca="1">IFERROR(__xludf.DUMMYFUNCTION("""COMPUTED_VALUE"""),"Super U")</f>
        <v>Super U</v>
      </c>
      <c r="D1007" t="str">
        <f ca="1">IFERROR(__xludf.DUMMYFUNCTION("""COMPUTED_VALUE"""),"Coop Atlantique")</f>
        <v>Coop Atlantique</v>
      </c>
      <c r="E1007">
        <f ca="1">IFERROR(__xludf.DUMMYFUNCTION("""COMPUTED_VALUE"""),17310)</f>
        <v>17310</v>
      </c>
      <c r="F1007" t="str">
        <f ca="1">IFERROR(__xludf.DUMMYFUNCTION("""COMPUTED_VALUE"""),"20, RUE DE LA CURE")</f>
        <v>20, RUE DE LA CURE</v>
      </c>
      <c r="G1007" t="str">
        <f ca="1">IFERROR(__xludf.DUMMYFUNCTION("""COMPUTED_VALUE"""),"05.46.47.00.47")</f>
        <v>05.46.47.00.47</v>
      </c>
      <c r="H1007" t="str">
        <f ca="1">IFERROR(__xludf.DUMMYFUNCTION("""COMPUTED_VALUE"""),"FLAMBARD Hervé")</f>
        <v>FLAMBARD Hervé</v>
      </c>
      <c r="I1007" t="str">
        <f ca="1">IFERROR(__xludf.DUMMYFUNCTION("""COMPUTED_VALUE"""),"bertrand.defontaine_coop_su_uex@systeme-u.fr")</f>
        <v>bertrand.defontaine_coop_su_uex@systeme-u.fr</v>
      </c>
      <c r="J1007" t="str">
        <f ca="1">IFERROR(__xludf.DUMMYFUNCTION("""COMPUTED_VALUE"""),"Martine FRAIGNE")</f>
        <v>Martine FRAIGNE</v>
      </c>
      <c r="K1007" t="str">
        <f ca="1">IFERROR(__xludf.DUMMYFUNCTION("""COMPUTED_VALUE"""),"superu.saintpierredoleron.direction@systeme-u.fr,nbrigant@coop-atlantique.fr,sjaud@coop-atlantique.fr, cpressac@coop-atlantique.fr")</f>
        <v>superu.saintpierredoleron.direction@systeme-u.fr,nbrigant@coop-atlantique.fr,sjaud@coop-atlantique.fr, cpressac@coop-atlantique.fr</v>
      </c>
      <c r="L1007" t="str">
        <f ca="1">IFERROR(__xludf.DUMMYFUNCTION("""COMPUTED_VALUE"""),"")</f>
        <v/>
      </c>
      <c r="M1007" t="str">
        <f ca="1">IFERROR(__xludf.DUMMYFUNCTION("""COMPUTED_VALUE"""),"99.Hors Périmetre")</f>
        <v>99.Hors Périmetre</v>
      </c>
      <c r="N1007" t="str">
        <f ca="1">IFERROR(__xludf.DUMMYFUNCTION("""COMPUTED_VALUE"""),"")</f>
        <v/>
      </c>
      <c r="O1007" t="str">
        <f ca="1">IFERROR(__xludf.DUMMYFUNCTION("""COMPUTED_VALUE"""),"")</f>
        <v/>
      </c>
      <c r="P1007" t="str">
        <f ca="1">IFERROR(__xludf.DUMMYFUNCTION("""COMPUTED_VALUE"""),"")</f>
        <v/>
      </c>
      <c r="Q1007" s="5" t="str">
        <f ca="1">IFERROR(__xludf.DUMMYFUNCTION("""COMPUTED_VALUE"""),"")</f>
        <v/>
      </c>
      <c r="R1007" s="6" t="str">
        <f ca="1">IFERROR(__xludf.DUMMYFUNCTION("""COMPUTED_VALUE"""),"")</f>
        <v/>
      </c>
      <c r="S1007" t="str">
        <f ca="1">IFERROR(__xludf.DUMMYFUNCTION("""COMPUTED_VALUE"""),"")</f>
        <v/>
      </c>
      <c r="T1007" t="str">
        <f ca="1">IFERROR(__xludf.DUMMYFUNCTION("""COMPUTED_VALUE"""),"")</f>
        <v/>
      </c>
      <c r="U1007" t="str">
        <f ca="1">IFERROR(__xludf.DUMMYFUNCTION("""COMPUTED_VALUE"""),"")</f>
        <v/>
      </c>
      <c r="V1007" t="str">
        <f ca="1">IFERROR(__xludf.DUMMYFUNCTION("""COMPUTED_VALUE"""),"")</f>
        <v/>
      </c>
      <c r="W1007" t="str">
        <f ca="1">IFERROR(__xludf.DUMMYFUNCTION("""COMPUTED_VALUE"""),"")</f>
        <v/>
      </c>
      <c r="X1007" t="str">
        <f ca="1">IFERROR(__xludf.DUMMYFUNCTION("""COMPUTED_VALUE"""),"")</f>
        <v/>
      </c>
      <c r="Y1007" t="str">
        <f ca="1">IFERROR(__xludf.DUMMYFUNCTION("""COMPUTED_VALUE"""),"")</f>
        <v/>
      </c>
      <c r="Z1007" t="str">
        <f ca="1">IFERROR(__xludf.DUMMYFUNCTION("""COMPUTED_VALUE"""),"")</f>
        <v/>
      </c>
      <c r="AA1007" t="str">
        <f ca="1">IFERROR(__xludf.DUMMYFUNCTION("""COMPUTED_VALUE"""),"Pas de commande")</f>
        <v>Pas de commande</v>
      </c>
      <c r="AB1007" s="8" t="str">
        <f ca="1">IFERROR(__xludf.DUMMYFUNCTION("""COMPUTED_VALUE"""),"")</f>
        <v/>
      </c>
      <c r="AC1007" s="8" t="str">
        <f ca="1">IFERROR(__xludf.DUMMYFUNCTION("""COMPUTED_VALUE"""),"")</f>
        <v/>
      </c>
      <c r="AD1007" s="11" t="str">
        <f ca="1">IFERROR(__xludf.DUMMYFUNCTION("""COMPUTED_VALUE"""),"")</f>
        <v/>
      </c>
      <c r="AE1007" t="str">
        <f ca="1">IFERROR(__xludf.DUMMYFUNCTION("""COMPUTED_VALUE"""),"")</f>
        <v/>
      </c>
    </row>
    <row r="1008" spans="1:31" ht="12.75" x14ac:dyDescent="0.2">
      <c r="A1008">
        <f ca="1">IFERROR(__xludf.DUMMYFUNCTION("""COMPUTED_VALUE"""),37633)</f>
        <v>37633</v>
      </c>
      <c r="B1008" t="str">
        <f ca="1">IFERROR(__xludf.DUMMYFUNCTION("""COMPUTED_VALUE"""),"ST-POL-DE-LEON")</f>
        <v>ST-POL-DE-LEON</v>
      </c>
      <c r="C1008" t="str">
        <f ca="1">IFERROR(__xludf.DUMMYFUNCTION("""COMPUTED_VALUE"""),"Super U")</f>
        <v>Super U</v>
      </c>
      <c r="D1008" t="str">
        <f ca="1">IFERROR(__xludf.DUMMYFUNCTION("""COMPUTED_VALUE"""),"Coop U Enseigne Ouest")</f>
        <v>Coop U Enseigne Ouest</v>
      </c>
      <c r="E1008">
        <f ca="1">IFERROR(__xludf.DUMMYFUNCTION("""COMPUTED_VALUE"""),29250)</f>
        <v>29250</v>
      </c>
      <c r="F1008" t="str">
        <f ca="1">IFERROR(__xludf.DUMMYFUNCTION("""COMPUTED_VALUE"""),"PLACE DE L'EVÊCHÉ")</f>
        <v>PLACE DE L'EVÊCHÉ</v>
      </c>
      <c r="G1008" t="str">
        <f ca="1">IFERROR(__xludf.DUMMYFUNCTION("""COMPUTED_VALUE"""),"02.98.69.24.24")</f>
        <v>02.98.69.24.24</v>
      </c>
      <c r="H1008" t="str">
        <f ca="1">IFERROR(__xludf.DUMMYFUNCTION("""COMPUTED_VALUE"""),"LOREY Stéphane")</f>
        <v>LOREY Stéphane</v>
      </c>
      <c r="I1008" t="str">
        <f ca="1">IFERROR(__xludf.DUMMYFUNCTION("""COMPUTED_VALUE"""),"stephane.lorey@systeme-u.fr")</f>
        <v>stephane.lorey@systeme-u.fr</v>
      </c>
      <c r="J1008" t="str">
        <f ca="1">IFERROR(__xludf.DUMMYFUNCTION("""COMPUTED_VALUE"""),"GAUTHIER, Geoffray")</f>
        <v>GAUTHIER, Geoffray</v>
      </c>
      <c r="K1008" t="str">
        <f ca="1">IFERROR(__xludf.DUMMYFUNCTION("""COMPUTED_VALUE"""),"geoffray.gauthier@systeme-u.fr")</f>
        <v>geoffray.gauthier@systeme-u.fr</v>
      </c>
      <c r="L1008" t="str">
        <f ca="1">IFERROR(__xludf.DUMMYFUNCTION("""COMPUTED_VALUE"""),"")</f>
        <v/>
      </c>
      <c r="M1008" t="str">
        <f ca="1">IFERROR(__xludf.DUMMYFUNCTION("""COMPUTED_VALUE"""),"99.Hors Périmetre")</f>
        <v>99.Hors Périmetre</v>
      </c>
      <c r="N1008" t="str">
        <f ca="1">IFERROR(__xludf.DUMMYFUNCTION("""COMPUTED_VALUE"""),"")</f>
        <v/>
      </c>
      <c r="O1008" t="str">
        <f ca="1">IFERROR(__xludf.DUMMYFUNCTION("""COMPUTED_VALUE"""),"")</f>
        <v/>
      </c>
      <c r="P1008" t="str">
        <f ca="1">IFERROR(__xludf.DUMMYFUNCTION("""COMPUTED_VALUE"""),"")</f>
        <v/>
      </c>
      <c r="Q1008" s="5" t="str">
        <f ca="1">IFERROR(__xludf.DUMMYFUNCTION("""COMPUTED_VALUE"""),"")</f>
        <v/>
      </c>
      <c r="R1008" s="6" t="str">
        <f ca="1">IFERROR(__xludf.DUMMYFUNCTION("""COMPUTED_VALUE"""),"")</f>
        <v/>
      </c>
      <c r="S1008" t="str">
        <f ca="1">IFERROR(__xludf.DUMMYFUNCTION("""COMPUTED_VALUE"""),"")</f>
        <v/>
      </c>
      <c r="T1008" t="str">
        <f ca="1">IFERROR(__xludf.DUMMYFUNCTION("""COMPUTED_VALUE"""),"")</f>
        <v/>
      </c>
      <c r="U1008" t="str">
        <f ca="1">IFERROR(__xludf.DUMMYFUNCTION("""COMPUTED_VALUE"""),"")</f>
        <v/>
      </c>
      <c r="V1008" t="str">
        <f ca="1">IFERROR(__xludf.DUMMYFUNCTION("""COMPUTED_VALUE"""),"")</f>
        <v/>
      </c>
      <c r="W1008" t="str">
        <f ca="1">IFERROR(__xludf.DUMMYFUNCTION("""COMPUTED_VALUE"""),"")</f>
        <v/>
      </c>
      <c r="X1008" t="str">
        <f ca="1">IFERROR(__xludf.DUMMYFUNCTION("""COMPUTED_VALUE"""),"")</f>
        <v/>
      </c>
      <c r="Y1008" t="str">
        <f ca="1">IFERROR(__xludf.DUMMYFUNCTION("""COMPUTED_VALUE"""),"")</f>
        <v/>
      </c>
      <c r="Z1008" t="str">
        <f ca="1">IFERROR(__xludf.DUMMYFUNCTION("""COMPUTED_VALUE"""),"")</f>
        <v/>
      </c>
      <c r="AA1008" t="str">
        <f ca="1">IFERROR(__xludf.DUMMYFUNCTION("""COMPUTED_VALUE"""),"Pas de commande")</f>
        <v>Pas de commande</v>
      </c>
      <c r="AB1008" s="8" t="str">
        <f ca="1">IFERROR(__xludf.DUMMYFUNCTION("""COMPUTED_VALUE"""),"")</f>
        <v/>
      </c>
      <c r="AC1008" s="8" t="str">
        <f ca="1">IFERROR(__xludf.DUMMYFUNCTION("""COMPUTED_VALUE"""),"")</f>
        <v/>
      </c>
      <c r="AD1008" s="11" t="str">
        <f ca="1">IFERROR(__xludf.DUMMYFUNCTION("""COMPUTED_VALUE"""),"")</f>
        <v/>
      </c>
      <c r="AE1008" t="str">
        <f ca="1">IFERROR(__xludf.DUMMYFUNCTION("""COMPUTED_VALUE"""),"")</f>
        <v/>
      </c>
    </row>
    <row r="1009" spans="1:31" ht="12.75" x14ac:dyDescent="0.2">
      <c r="A1009">
        <f ca="1">IFERROR(__xludf.DUMMYFUNCTION("""COMPUTED_VALUE"""),38199)</f>
        <v>38199</v>
      </c>
      <c r="B1009" t="str">
        <f ca="1">IFERROR(__xludf.DUMMYFUNCTION("""COMPUTED_VALUE"""),"ST-ROGATIEN")</f>
        <v>ST-ROGATIEN</v>
      </c>
      <c r="C1009" t="str">
        <f ca="1">IFERROR(__xludf.DUMMYFUNCTION("""COMPUTED_VALUE"""),"U Express")</f>
        <v>U Express</v>
      </c>
      <c r="D1009" t="str">
        <f ca="1">IFERROR(__xludf.DUMMYFUNCTION("""COMPUTED_VALUE"""),"Coop U Enseigne Ouest")</f>
        <v>Coop U Enseigne Ouest</v>
      </c>
      <c r="E1009">
        <f ca="1">IFERROR(__xludf.DUMMYFUNCTION("""COMPUTED_VALUE"""),17220)</f>
        <v>17220</v>
      </c>
      <c r="F1009" t="str">
        <f ca="1">IFERROR(__xludf.DUMMYFUNCTION("""COMPUTED_VALUE"""),"1, BIS ROUTE DE LA JARNE")</f>
        <v>1, BIS ROUTE DE LA JARNE</v>
      </c>
      <c r="G1009" t="str">
        <f ca="1">IFERROR(__xludf.DUMMYFUNCTION("""COMPUTED_VALUE"""),"05.46.28.13.50")</f>
        <v>05.46.28.13.50</v>
      </c>
      <c r="H1009" t="str">
        <f ca="1">IFERROR(__xludf.DUMMYFUNCTION("""COMPUTED_VALUE"""),"CORDIER André")</f>
        <v>CORDIER André</v>
      </c>
      <c r="I1009" t="str">
        <f ca="1">IFERROR(__xludf.DUMMYFUNCTION("""COMPUTED_VALUE"""),"andre.cordier@systeme-u.fr")</f>
        <v>andre.cordier@systeme-u.fr</v>
      </c>
      <c r="J1009" t="str">
        <f ca="1">IFERROR(__xludf.DUMMYFUNCTION("""COMPUTED_VALUE"""),"Thomas CHARRET")</f>
        <v>Thomas CHARRET</v>
      </c>
      <c r="K1009" t="str">
        <f ca="1">IFERROR(__xludf.DUMMYFUNCTION("""COMPUTED_VALUE"""),"thomas.charret@systeme-u.fr")</f>
        <v>thomas.charret@systeme-u.fr</v>
      </c>
      <c r="L1009" t="str">
        <f ca="1">IFERROR(__xludf.DUMMYFUNCTION("""COMPUTED_VALUE"""),"")</f>
        <v/>
      </c>
      <c r="M1009" t="str">
        <f ca="1">IFERROR(__xludf.DUMMYFUNCTION("""COMPUTED_VALUE"""),"3. Migration réalisée")</f>
        <v>3. Migration réalisée</v>
      </c>
      <c r="N1009" t="str">
        <f ca="1">IFERROR(__xludf.DUMMYFUNCTION("""COMPUTED_VALUE"""),"")</f>
        <v/>
      </c>
      <c r="O1009" t="str">
        <f ca="1">IFERROR(__xludf.DUMMYFUNCTION("""COMPUTED_VALUE"""),"22/03 CMA Installation plannifée avec mr CHARRET")</f>
        <v>22/03 CMA Installation plannifée avec mr CHARRET</v>
      </c>
      <c r="P1009">
        <f ca="1">IFERROR(__xludf.DUMMYFUNCTION("""COMPUTED_VALUE"""),14)</f>
        <v>14</v>
      </c>
      <c r="Q1009" s="5" t="str">
        <f ca="1">IFERROR(__xludf.DUMMYFUNCTION("""COMPUTED_VALUE"""),"")</f>
        <v/>
      </c>
      <c r="R1009" s="6">
        <f ca="1">IFERROR(__xludf.DUMMYFUNCTION("""COMPUTED_VALUE"""),43560.3958333333)</f>
        <v>43560.395833333299</v>
      </c>
      <c r="S1009" t="str">
        <f ca="1">IFERROR(__xludf.DUMMYFUNCTION("""COMPUTED_VALUE"""),"MEP8522048")</f>
        <v>MEP8522048</v>
      </c>
      <c r="T1009" t="str">
        <f ca="1">IFERROR(__xludf.DUMMYFUNCTION("""COMPUTED_VALUE"""),"MEP8522049")</f>
        <v>MEP8522049</v>
      </c>
      <c r="U1009" t="str">
        <f ca="1">IFERROR(__xludf.DUMMYFUNCTION("""COMPUTED_VALUE"""),"")</f>
        <v/>
      </c>
      <c r="V1009" t="str">
        <f ca="1">IFERROR(__xludf.DUMMYFUNCTION("""COMPUTED_VALUE"""),"10.97.72.237")</f>
        <v>10.97.72.237</v>
      </c>
      <c r="W1009" t="str">
        <f ca="1">IFERROR(__xludf.DUMMYFUNCTION("""COMPUTED_VALUE"""),"R5")</f>
        <v>R5</v>
      </c>
      <c r="X1009" t="str">
        <f ca="1">IFERROR(__xludf.DUMMYFUNCTION("""COMPUTED_VALUE"""),"U StoreBox")</f>
        <v>U StoreBox</v>
      </c>
      <c r="Y1009" t="str">
        <f ca="1">IFERROR(__xludf.DUMMYFUNCTION("""COMPUTED_VALUE"""),"Primo")</f>
        <v>Primo</v>
      </c>
      <c r="Z1009" t="str">
        <f ca="1">IFERROR(__xludf.DUMMYFUNCTION("""COMPUTED_VALUE"""),"")</f>
        <v/>
      </c>
      <c r="AA1009" t="str">
        <f ca="1">IFERROR(__xludf.DUMMYFUNCTION("""COMPUTED_VALUE"""),"Prérequis déposés")</f>
        <v>Prérequis déposés</v>
      </c>
      <c r="AB1009" s="8">
        <f ca="1">IFERROR(__xludf.DUMMYFUNCTION("""COMPUTED_VALUE"""),43589)</f>
        <v>43589</v>
      </c>
      <c r="AC1009" s="8">
        <f ca="1">IFERROR(__xludf.DUMMYFUNCTION("""COMPUTED_VALUE"""),43560)</f>
        <v>43560</v>
      </c>
      <c r="AD1009" s="11">
        <f ca="1">IFERROR(__xludf.DUMMYFUNCTION("""COMPUTED_VALUE"""),43560)</f>
        <v>43560</v>
      </c>
      <c r="AE1009" t="str">
        <f ca="1">IFERROR(__xludf.DUMMYFUNCTION("""COMPUTED_VALUE"""),"")</f>
        <v/>
      </c>
    </row>
    <row r="1010" spans="1:31" ht="12.75" x14ac:dyDescent="0.2">
      <c r="A1010">
        <f ca="1">IFERROR(__xludf.DUMMYFUNCTION("""COMPUTED_VALUE"""),32087)</f>
        <v>32087</v>
      </c>
      <c r="B1010" t="str">
        <f ca="1">IFERROR(__xludf.DUMMYFUNCTION("""COMPUTED_VALUE"""),"ST-SAVINIEN")</f>
        <v>ST-SAVINIEN</v>
      </c>
      <c r="C1010" t="str">
        <f ca="1">IFERROR(__xludf.DUMMYFUNCTION("""COMPUTED_VALUE"""),"Super U")</f>
        <v>Super U</v>
      </c>
      <c r="D1010" t="str">
        <f ca="1">IFERROR(__xludf.DUMMYFUNCTION("""COMPUTED_VALUE"""),"Coop Atlantique")</f>
        <v>Coop Atlantique</v>
      </c>
      <c r="E1010">
        <f ca="1">IFERROR(__xludf.DUMMYFUNCTION("""COMPUTED_VALUE"""),17350)</f>
        <v>17350</v>
      </c>
      <c r="F1010" t="str">
        <f ca="1">IFERROR(__xludf.DUMMYFUNCTION("""COMPUTED_VALUE"""),"2,RUE FOND BOULET")</f>
        <v>2,RUE FOND BOULET</v>
      </c>
      <c r="G1010" t="str">
        <f ca="1">IFERROR(__xludf.DUMMYFUNCTION("""COMPUTED_VALUE"""),"05.46.90.10.54")</f>
        <v>05.46.90.10.54</v>
      </c>
      <c r="H1010" t="str">
        <f ca="1">IFERROR(__xludf.DUMMYFUNCTION("""COMPUTED_VALUE"""),"FLAMBARD Hervé")</f>
        <v>FLAMBARD Hervé</v>
      </c>
      <c r="I1010" t="str">
        <f ca="1">IFERROR(__xludf.DUMMYFUNCTION("""COMPUTED_VALUE"""),"bertrand.defontaine_coop_su_uex@systeme-u.fr")</f>
        <v>bertrand.defontaine_coop_su_uex@systeme-u.fr</v>
      </c>
      <c r="J1010" t="str">
        <f ca="1">IFERROR(__xludf.DUMMYFUNCTION("""COMPUTED_VALUE"""),"Pascal LESAGE")</f>
        <v>Pascal LESAGE</v>
      </c>
      <c r="K1010" t="str">
        <f ca="1">IFERROR(__xludf.DUMMYFUNCTION("""COMPUTED_VALUE"""),"superu.saintsavinien.direction@systeme-u.fr,nbrigant@coop-atlantique.fr,sjaud@coop-atlantique.fr,plesage@coop-atlantique.fr")</f>
        <v>superu.saintsavinien.direction@systeme-u.fr,nbrigant@coop-atlantique.fr,sjaud@coop-atlantique.fr,plesage@coop-atlantique.fr</v>
      </c>
      <c r="L1010" t="str">
        <f ca="1">IFERROR(__xludf.DUMMYFUNCTION("""COMPUTED_VALUE"""),"")</f>
        <v/>
      </c>
      <c r="M1010" t="str">
        <f ca="1">IFERROR(__xludf.DUMMYFUNCTION("""COMPUTED_VALUE"""),"")</f>
        <v/>
      </c>
      <c r="N1010" t="str">
        <f ca="1">IFERROR(__xludf.DUMMYFUNCTION("""COMPUTED_VALUE"""),"")</f>
        <v/>
      </c>
      <c r="O1010" t="str">
        <f ca="1">IFERROR(__xludf.DUMMYFUNCTION("""COMPUTED_VALUE"""),"")</f>
        <v/>
      </c>
      <c r="P1010" t="str">
        <f ca="1">IFERROR(__xludf.DUMMYFUNCTION("""COMPUTED_VALUE"""),"")</f>
        <v/>
      </c>
      <c r="Q1010" s="5" t="str">
        <f ca="1">IFERROR(__xludf.DUMMYFUNCTION("""COMPUTED_VALUE"""),"")</f>
        <v/>
      </c>
      <c r="R1010" s="6" t="str">
        <f ca="1">IFERROR(__xludf.DUMMYFUNCTION("""COMPUTED_VALUE"""),"")</f>
        <v/>
      </c>
      <c r="S1010" t="str">
        <f ca="1">IFERROR(__xludf.DUMMYFUNCTION("""COMPUTED_VALUE"""),"")</f>
        <v/>
      </c>
      <c r="T1010" t="str">
        <f ca="1">IFERROR(__xludf.DUMMYFUNCTION("""COMPUTED_VALUE"""),"")</f>
        <v/>
      </c>
      <c r="U1010" t="str">
        <f ca="1">IFERROR(__xludf.DUMMYFUNCTION("""COMPUTED_VALUE"""),"")</f>
        <v/>
      </c>
      <c r="V1010" t="str">
        <f ca="1">IFERROR(__xludf.DUMMYFUNCTION("""COMPUTED_VALUE"""),"")</f>
        <v/>
      </c>
      <c r="W1010" t="str">
        <f ca="1">IFERROR(__xludf.DUMMYFUNCTION("""COMPUTED_VALUE"""),"R5")</f>
        <v>R5</v>
      </c>
      <c r="X1010" t="str">
        <f ca="1">IFERROR(__xludf.DUMMYFUNCTION("""COMPUTED_VALUE"""),"PC mag")</f>
        <v>PC mag</v>
      </c>
      <c r="Y1010" t="str">
        <f ca="1">IFERROR(__xludf.DUMMYFUNCTION("""COMPUTED_VALUE"""),"")</f>
        <v/>
      </c>
      <c r="Z1010" t="str">
        <f ca="1">IFERROR(__xludf.DUMMYFUNCTION("""COMPUTED_VALUE"""),"")</f>
        <v/>
      </c>
      <c r="AA1010" t="str">
        <f ca="1">IFERROR(__xludf.DUMMYFUNCTION("""COMPUTED_VALUE"""),"Pas de commande")</f>
        <v>Pas de commande</v>
      </c>
      <c r="AB1010" s="8" t="str">
        <f ca="1">IFERROR(__xludf.DUMMYFUNCTION("""COMPUTED_VALUE"""),"")</f>
        <v/>
      </c>
      <c r="AC1010" s="8" t="str">
        <f ca="1">IFERROR(__xludf.DUMMYFUNCTION("""COMPUTED_VALUE"""),"")</f>
        <v/>
      </c>
      <c r="AD1010" s="11" t="str">
        <f ca="1">IFERROR(__xludf.DUMMYFUNCTION("""COMPUTED_VALUE"""),"")</f>
        <v/>
      </c>
      <c r="AE1010" t="str">
        <f ca="1">IFERROR(__xludf.DUMMYFUNCTION("""COMPUTED_VALUE"""),"")</f>
        <v/>
      </c>
    </row>
    <row r="1011" spans="1:31" ht="12.75" x14ac:dyDescent="0.2">
      <c r="A1011">
        <f ca="1">IFERROR(__xludf.DUMMYFUNCTION("""COMPUTED_VALUE"""),32313)</f>
        <v>32313</v>
      </c>
      <c r="B1011" t="str">
        <f ca="1">IFERROR(__xludf.DUMMYFUNCTION("""COMPUTED_VALUE"""),"ST-SEBASTIEN-SUR-LOIRE")</f>
        <v>ST-SEBASTIEN-SUR-LOIRE</v>
      </c>
      <c r="C1011" t="str">
        <f ca="1">IFERROR(__xludf.DUMMYFUNCTION("""COMPUTED_VALUE"""),"Super U")</f>
        <v>Super U</v>
      </c>
      <c r="D1011" t="str">
        <f ca="1">IFERROR(__xludf.DUMMYFUNCTION("""COMPUTED_VALUE"""),"Coop U Enseigne Ouest")</f>
        <v>Coop U Enseigne Ouest</v>
      </c>
      <c r="E1011">
        <f ca="1">IFERROR(__xludf.DUMMYFUNCTION("""COMPUTED_VALUE"""),44230)</f>
        <v>44230</v>
      </c>
      <c r="F1011" t="str">
        <f ca="1">IFERROR(__xludf.DUMMYFUNCTION("""COMPUTED_VALUE"""),"80 BOULEVARD DES PAS ENCHANTÉS")</f>
        <v>80 BOULEVARD DES PAS ENCHANTÉS</v>
      </c>
      <c r="G1011" t="str">
        <f ca="1">IFERROR(__xludf.DUMMYFUNCTION("""COMPUTED_VALUE"""),"02.40.80.55.91")</f>
        <v>02.40.80.55.91</v>
      </c>
      <c r="H1011" t="str">
        <f ca="1">IFERROR(__xludf.DUMMYFUNCTION("""COMPUTED_VALUE"""),"EGONNEAU Franck")</f>
        <v>EGONNEAU Franck</v>
      </c>
      <c r="I1011" t="str">
        <f ca="1">IFERROR(__xludf.DUMMYFUNCTION("""COMPUTED_VALUE"""),"franck.egonneau@systeme-u.fr")</f>
        <v>franck.egonneau@systeme-u.fr</v>
      </c>
      <c r="J1011" t="str">
        <f ca="1">IFERROR(__xludf.DUMMYFUNCTION("""COMPUTED_VALUE"""),"COISCAUD Anabelle")</f>
        <v>COISCAUD Anabelle</v>
      </c>
      <c r="K1011" t="str">
        <f ca="1">IFERROR(__xludf.DUMMYFUNCTION("""COMPUTED_VALUE"""),"superu.saintsebastiensurloire.gescom@systeme-u.fr")</f>
        <v>superu.saintsebastiensurloire.gescom@systeme-u.fr</v>
      </c>
      <c r="L1011" t="str">
        <f ca="1">IFERROR(__xludf.DUMMYFUNCTION("""COMPUTED_VALUE"""),"")</f>
        <v/>
      </c>
      <c r="M1011" t="str">
        <f ca="1">IFERROR(__xludf.DUMMYFUNCTION("""COMPUTED_VALUE"""),"99.Hors Périmetre")</f>
        <v>99.Hors Périmetre</v>
      </c>
      <c r="N1011" t="str">
        <f ca="1">IFERROR(__xludf.DUMMYFUNCTION("""COMPUTED_VALUE"""),"")</f>
        <v/>
      </c>
      <c r="O1011" t="str">
        <f ca="1">IFERROR(__xludf.DUMMYFUNCTION("""COMPUTED_VALUE"""),"")</f>
        <v/>
      </c>
      <c r="P1011" t="str">
        <f ca="1">IFERROR(__xludf.DUMMYFUNCTION("""COMPUTED_VALUE"""),"")</f>
        <v/>
      </c>
      <c r="Q1011" s="5" t="str">
        <f ca="1">IFERROR(__xludf.DUMMYFUNCTION("""COMPUTED_VALUE"""),"")</f>
        <v/>
      </c>
      <c r="R1011" s="6" t="str">
        <f ca="1">IFERROR(__xludf.DUMMYFUNCTION("""COMPUTED_VALUE"""),"")</f>
        <v/>
      </c>
      <c r="S1011" t="str">
        <f ca="1">IFERROR(__xludf.DUMMYFUNCTION("""COMPUTED_VALUE"""),"")</f>
        <v/>
      </c>
      <c r="T1011" t="str">
        <f ca="1">IFERROR(__xludf.DUMMYFUNCTION("""COMPUTED_VALUE"""),"")</f>
        <v/>
      </c>
      <c r="U1011" t="str">
        <f ca="1">IFERROR(__xludf.DUMMYFUNCTION("""COMPUTED_VALUE"""),"")</f>
        <v/>
      </c>
      <c r="V1011" t="str">
        <f ca="1">IFERROR(__xludf.DUMMYFUNCTION("""COMPUTED_VALUE"""),"")</f>
        <v/>
      </c>
      <c r="W1011" t="str">
        <f ca="1">IFERROR(__xludf.DUMMYFUNCTION("""COMPUTED_VALUE"""),"")</f>
        <v/>
      </c>
      <c r="X1011" t="str">
        <f ca="1">IFERROR(__xludf.DUMMYFUNCTION("""COMPUTED_VALUE"""),"")</f>
        <v/>
      </c>
      <c r="Y1011" t="str">
        <f ca="1">IFERROR(__xludf.DUMMYFUNCTION("""COMPUTED_VALUE"""),"")</f>
        <v/>
      </c>
      <c r="Z1011" t="str">
        <f ca="1">IFERROR(__xludf.DUMMYFUNCTION("""COMPUTED_VALUE"""),"")</f>
        <v/>
      </c>
      <c r="AA1011" t="str">
        <f ca="1">IFERROR(__xludf.DUMMYFUNCTION("""COMPUTED_VALUE"""),"Pas de commande")</f>
        <v>Pas de commande</v>
      </c>
      <c r="AB1011" s="8" t="str">
        <f ca="1">IFERROR(__xludf.DUMMYFUNCTION("""COMPUTED_VALUE"""),"")</f>
        <v/>
      </c>
      <c r="AC1011" s="8" t="str">
        <f ca="1">IFERROR(__xludf.DUMMYFUNCTION("""COMPUTED_VALUE"""),"")</f>
        <v/>
      </c>
      <c r="AD1011" s="11" t="str">
        <f ca="1">IFERROR(__xludf.DUMMYFUNCTION("""COMPUTED_VALUE"""),"")</f>
        <v/>
      </c>
      <c r="AE1011" t="str">
        <f ca="1">IFERROR(__xludf.DUMMYFUNCTION("""COMPUTED_VALUE"""),"")</f>
        <v/>
      </c>
    </row>
    <row r="1012" spans="1:31" ht="12.75" x14ac:dyDescent="0.2">
      <c r="A1012">
        <f ca="1">IFERROR(__xludf.DUMMYFUNCTION("""COMPUTED_VALUE"""),30241)</f>
        <v>30241</v>
      </c>
      <c r="B1012" t="str">
        <f ca="1">IFERROR(__xludf.DUMMYFUNCTION("""COMPUTED_VALUE"""),"ST-YRIEX-LA-PERCHE")</f>
        <v>ST-YRIEX-LA-PERCHE</v>
      </c>
      <c r="C1012" t="str">
        <f ca="1">IFERROR(__xludf.DUMMYFUNCTION("""COMPUTED_VALUE"""),"Utile")</f>
        <v>Utile</v>
      </c>
      <c r="D1012" t="str">
        <f ca="1">IFERROR(__xludf.DUMMYFUNCTION("""COMPUTED_VALUE"""),"Coop Atlantique")</f>
        <v>Coop Atlantique</v>
      </c>
      <c r="E1012">
        <f ca="1">IFERROR(__xludf.DUMMYFUNCTION("""COMPUTED_VALUE"""),87500)</f>
        <v>87500</v>
      </c>
      <c r="F1012" t="str">
        <f ca="1">IFERROR(__xludf.DUMMYFUNCTION("""COMPUTED_VALUE"""),"13, AVENUE DE PÉRIGUEUX")</f>
        <v>13, AVENUE DE PÉRIGUEUX</v>
      </c>
      <c r="G1012" t="str">
        <f ca="1">IFERROR(__xludf.DUMMYFUNCTION("""COMPUTED_VALUE"""),"05.55.08.13.50")</f>
        <v>05.55.08.13.50</v>
      </c>
      <c r="H1012" t="str">
        <f ca="1">IFERROR(__xludf.DUMMYFUNCTION("""COMPUTED_VALUE"""),"FLAMBARD Hervé")</f>
        <v>FLAMBARD Hervé</v>
      </c>
      <c r="I1012" t="str">
        <f ca="1">IFERROR(__xludf.DUMMYFUNCTION("""COMPUTED_VALUE"""),"bertrand.defontaine_coop_su_uex@systeme-u.fr")</f>
        <v>bertrand.defontaine_coop_su_uex@systeme-u.fr</v>
      </c>
      <c r="J1012" t="str">
        <f ca="1">IFERROR(__xludf.DUMMYFUNCTION("""COMPUTED_VALUE"""),"Alexandre BUREAU")</f>
        <v>Alexandre BUREAU</v>
      </c>
      <c r="K1012" t="str">
        <f ca="1">IFERROR(__xludf.DUMMYFUNCTION("""COMPUTED_VALUE"""),"uexpress.saintyrieixlaperche.direction@systeme-u.fr, nbrigant@coop-atlantique.fr, sjaud@coop-atlantique.fr, abureau@coop-atlantique.fr                                                                                                                         "&amp;"                                                                                                                 
                                                                                                                                             "&amp;"                                                                                                   
")</f>
        <v xml:space="preserve">uexpress.saintyrieixlaperche.direction@systeme-u.fr, nbrigant@coop-atlantique.fr, sjaud@coop-atlantique.fr, abureau@coop-atlantique.fr                                                                                                                                                                                                                                          
</v>
      </c>
      <c r="L1012" t="str">
        <f ca="1">IFERROR(__xludf.DUMMYFUNCTION("""COMPUTED_VALUE"""),"")</f>
        <v/>
      </c>
      <c r="M1012" t="str">
        <f ca="1">IFERROR(__xludf.DUMMYFUNCTION("""COMPUTED_VALUE"""),"99.Hors Périmetre")</f>
        <v>99.Hors Périmetre</v>
      </c>
      <c r="N1012" t="str">
        <f ca="1">IFERROR(__xludf.DUMMYFUNCTION("""COMPUTED_VALUE"""),"")</f>
        <v/>
      </c>
      <c r="O1012" t="str">
        <f ca="1">IFERROR(__xludf.DUMMYFUNCTION("""COMPUTED_VALUE"""),"")</f>
        <v/>
      </c>
      <c r="P1012" t="str">
        <f ca="1">IFERROR(__xludf.DUMMYFUNCTION("""COMPUTED_VALUE"""),"")</f>
        <v/>
      </c>
      <c r="Q1012" s="5" t="str">
        <f ca="1">IFERROR(__xludf.DUMMYFUNCTION("""COMPUTED_VALUE"""),"")</f>
        <v/>
      </c>
      <c r="R1012" s="6" t="str">
        <f ca="1">IFERROR(__xludf.DUMMYFUNCTION("""COMPUTED_VALUE"""),"")</f>
        <v/>
      </c>
      <c r="S1012" t="str">
        <f ca="1">IFERROR(__xludf.DUMMYFUNCTION("""COMPUTED_VALUE"""),"")</f>
        <v/>
      </c>
      <c r="T1012" t="str">
        <f ca="1">IFERROR(__xludf.DUMMYFUNCTION("""COMPUTED_VALUE"""),"")</f>
        <v/>
      </c>
      <c r="U1012" t="str">
        <f ca="1">IFERROR(__xludf.DUMMYFUNCTION("""COMPUTED_VALUE"""),"")</f>
        <v/>
      </c>
      <c r="V1012" t="str">
        <f ca="1">IFERROR(__xludf.DUMMYFUNCTION("""COMPUTED_VALUE"""),"")</f>
        <v/>
      </c>
      <c r="W1012" t="str">
        <f ca="1">IFERROR(__xludf.DUMMYFUNCTION("""COMPUTED_VALUE"""),"")</f>
        <v/>
      </c>
      <c r="X1012" t="str">
        <f ca="1">IFERROR(__xludf.DUMMYFUNCTION("""COMPUTED_VALUE"""),"")</f>
        <v/>
      </c>
      <c r="Y1012" t="str">
        <f ca="1">IFERROR(__xludf.DUMMYFUNCTION("""COMPUTED_VALUE"""),"")</f>
        <v/>
      </c>
      <c r="Z1012" t="str">
        <f ca="1">IFERROR(__xludf.DUMMYFUNCTION("""COMPUTED_VALUE"""),"")</f>
        <v/>
      </c>
      <c r="AA1012" t="str">
        <f ca="1">IFERROR(__xludf.DUMMYFUNCTION("""COMPUTED_VALUE"""),"Pas de commande")</f>
        <v>Pas de commande</v>
      </c>
      <c r="AB1012" s="8" t="str">
        <f ca="1">IFERROR(__xludf.DUMMYFUNCTION("""COMPUTED_VALUE"""),"")</f>
        <v/>
      </c>
      <c r="AC1012" s="8" t="str">
        <f ca="1">IFERROR(__xludf.DUMMYFUNCTION("""COMPUTED_VALUE"""),"")</f>
        <v/>
      </c>
      <c r="AD1012" s="11" t="str">
        <f ca="1">IFERROR(__xludf.DUMMYFUNCTION("""COMPUTED_VALUE"""),"")</f>
        <v/>
      </c>
      <c r="AE1012" t="str">
        <f ca="1">IFERROR(__xludf.DUMMYFUNCTION("""COMPUTED_VALUE"""),"")</f>
        <v/>
      </c>
    </row>
    <row r="1013" spans="1:31" ht="12.75" x14ac:dyDescent="0.2">
      <c r="A1013">
        <f ca="1">IFERROR(__xludf.DUMMYFUNCTION("""COMPUTED_VALUE"""),34192)</f>
        <v>34192</v>
      </c>
      <c r="B1013" t="str">
        <f ca="1">IFERROR(__xludf.DUMMYFUNCTION("""COMPUTED_VALUE"""),"ST-YRIEX-SUR-CHARENTE")</f>
        <v>ST-YRIEX-SUR-CHARENTE</v>
      </c>
      <c r="C1013" t="str">
        <f ca="1">IFERROR(__xludf.DUMMYFUNCTION("""COMPUTED_VALUE"""),"Super U")</f>
        <v>Super U</v>
      </c>
      <c r="D1013" t="str">
        <f ca="1">IFERROR(__xludf.DUMMYFUNCTION("""COMPUTED_VALUE"""),"Coop Atlantique")</f>
        <v>Coop Atlantique</v>
      </c>
      <c r="E1013">
        <f ca="1">IFERROR(__xludf.DUMMYFUNCTION("""COMPUTED_VALUE"""),16710)</f>
        <v>16710</v>
      </c>
      <c r="F1013" t="str">
        <f ca="1">IFERROR(__xludf.DUMMYFUNCTION("""COMPUTED_VALUE"""),"183, RUE DE ST JEAN D'ANGELY")</f>
        <v>183, RUE DE ST JEAN D'ANGELY</v>
      </c>
      <c r="G1013" t="str">
        <f ca="1">IFERROR(__xludf.DUMMYFUNCTION("""COMPUTED_VALUE"""),"05.45.92.48.87")</f>
        <v>05.45.92.48.87</v>
      </c>
      <c r="H1013" t="str">
        <f ca="1">IFERROR(__xludf.DUMMYFUNCTION("""COMPUTED_VALUE"""),"FLAMBARD Hervé")</f>
        <v>FLAMBARD Hervé</v>
      </c>
      <c r="I1013" t="str">
        <f ca="1">IFERROR(__xludf.DUMMYFUNCTION("""COMPUTED_VALUE"""),"bertrand.defontaine_coop_su_uex@systeme-u.fr")</f>
        <v>bertrand.defontaine_coop_su_uex@systeme-u.fr</v>
      </c>
      <c r="J1013" t="str">
        <f ca="1">IFERROR(__xludf.DUMMYFUNCTION("""COMPUTED_VALUE"""),"BIELSA Laurent")</f>
        <v>BIELSA Laurent</v>
      </c>
      <c r="K1013" t="str">
        <f ca="1">IFERROR(__xludf.DUMMYFUNCTION("""COMPUTED_VALUE"""),"uexpress.saintyrieixsurcharente.direction@systeme-u.fr,nbrigant@coop-atlantique.fr,sjaud@coop-atlantique.fr,lbielsa@coop-atlantique.fr")</f>
        <v>uexpress.saintyrieixsurcharente.direction@systeme-u.fr,nbrigant@coop-atlantique.fr,sjaud@coop-atlantique.fr,lbielsa@coop-atlantique.fr</v>
      </c>
      <c r="L1013" t="str">
        <f ca="1">IFERROR(__xludf.DUMMYFUNCTION("""COMPUTED_VALUE"""),"Standard")</f>
        <v>Standard</v>
      </c>
      <c r="M1013" t="str">
        <f ca="1">IFERROR(__xludf.DUMMYFUNCTION("""COMPUTED_VALUE"""),"0. Non démarré")</f>
        <v>0. Non démarré</v>
      </c>
      <c r="N1013" t="str">
        <f ca="1">IFERROR(__xludf.DUMMYFUNCTION("""COMPUTED_VALUE"""),"")</f>
        <v/>
      </c>
      <c r="O1013" t="str">
        <f ca="1">IFERROR(__xludf.DUMMYFUNCTION("""COMPUTED_VALUE"""),"")</f>
        <v/>
      </c>
      <c r="P1013" t="str">
        <f ca="1">IFERROR(__xludf.DUMMYFUNCTION("""COMPUTED_VALUE"""),"")</f>
        <v/>
      </c>
      <c r="Q1013" s="5" t="str">
        <f ca="1">IFERROR(__xludf.DUMMYFUNCTION("""COMPUTED_VALUE"""),"")</f>
        <v/>
      </c>
      <c r="R1013" s="6" t="str">
        <f ca="1">IFERROR(__xludf.DUMMYFUNCTION("""COMPUTED_VALUE"""),"")</f>
        <v/>
      </c>
      <c r="S1013" t="str">
        <f ca="1">IFERROR(__xludf.DUMMYFUNCTION("""COMPUTED_VALUE"""),"")</f>
        <v/>
      </c>
      <c r="T1013" t="str">
        <f ca="1">IFERROR(__xludf.DUMMYFUNCTION("""COMPUTED_VALUE"""),"")</f>
        <v/>
      </c>
      <c r="U1013" t="str">
        <f ca="1">IFERROR(__xludf.DUMMYFUNCTION("""COMPUTED_VALUE"""),"")</f>
        <v/>
      </c>
      <c r="V1013" t="str">
        <f ca="1">IFERROR(__xludf.DUMMYFUNCTION("""COMPUTED_VALUE"""),"")</f>
        <v/>
      </c>
      <c r="W1013" t="str">
        <f ca="1">IFERROR(__xludf.DUMMYFUNCTION("""COMPUTED_VALUE"""),"R5")</f>
        <v>R5</v>
      </c>
      <c r="X1013" t="str">
        <f ca="1">IFERROR(__xludf.DUMMYFUNCTION("""COMPUTED_VALUE"""),"PC mag")</f>
        <v>PC mag</v>
      </c>
      <c r="Y1013" t="str">
        <f ca="1">IFERROR(__xludf.DUMMYFUNCTION("""COMPUTED_VALUE"""),"")</f>
        <v/>
      </c>
      <c r="Z1013" t="str">
        <f ca="1">IFERROR(__xludf.DUMMYFUNCTION("""COMPUTED_VALUE"""),"")</f>
        <v/>
      </c>
      <c r="AA1013" t="str">
        <f ca="1">IFERROR(__xludf.DUMMYFUNCTION("""COMPUTED_VALUE"""),"Pas de commande")</f>
        <v>Pas de commande</v>
      </c>
      <c r="AB1013" s="8" t="str">
        <f ca="1">IFERROR(__xludf.DUMMYFUNCTION("""COMPUTED_VALUE"""),"")</f>
        <v/>
      </c>
      <c r="AC1013" s="8" t="str">
        <f ca="1">IFERROR(__xludf.DUMMYFUNCTION("""COMPUTED_VALUE"""),"")</f>
        <v/>
      </c>
      <c r="AD1013" s="11" t="str">
        <f ca="1">IFERROR(__xludf.DUMMYFUNCTION("""COMPUTED_VALUE"""),"")</f>
        <v/>
      </c>
      <c r="AE1013" t="str">
        <f ca="1">IFERROR(__xludf.DUMMYFUNCTION("""COMPUTED_VALUE"""),"")</f>
        <v/>
      </c>
    </row>
    <row r="1014" spans="1:31" ht="12.75" x14ac:dyDescent="0.2">
      <c r="A1014">
        <f ca="1">IFERROR(__xludf.DUMMYFUNCTION("""COMPUTED_VALUE"""),95176)</f>
        <v>95176</v>
      </c>
      <c r="B1014" t="str">
        <f ca="1">IFERROR(__xludf.DUMMYFUNCTION("""COMPUTED_VALUE"""),"STE BAZEILLE")</f>
        <v>STE BAZEILLE</v>
      </c>
      <c r="C1014" t="str">
        <f ca="1">IFERROR(__xludf.DUMMYFUNCTION("""COMPUTED_VALUE"""),"Super U")</f>
        <v>Super U</v>
      </c>
      <c r="D1014" t="str">
        <f ca="1">IFERROR(__xludf.DUMMYFUNCTION("""COMPUTED_VALUE"""),"Coop U Enseigne Sud")</f>
        <v>Coop U Enseigne Sud</v>
      </c>
      <c r="E1014">
        <f ca="1">IFERROR(__xludf.DUMMYFUNCTION("""COMPUTED_VALUE"""),47180)</f>
        <v>47180</v>
      </c>
      <c r="F1014" t="str">
        <f ca="1">IFERROR(__xludf.DUMMYFUNCTION("""COMPUTED_VALUE"""),"lieu dit BEYLARD")</f>
        <v>lieu dit BEYLARD</v>
      </c>
      <c r="G1014" t="str">
        <f ca="1">IFERROR(__xludf.DUMMYFUNCTION("""COMPUTED_VALUE"""),"05.53.89.39.50")</f>
        <v>05.53.89.39.50</v>
      </c>
      <c r="H1014" t="str">
        <f ca="1">IFERROR(__xludf.DUMMYFUNCTION("""COMPUTED_VALUE"""),"LECOUTRE Johann")</f>
        <v>LECOUTRE Johann</v>
      </c>
      <c r="I1014" t="str">
        <f ca="1">IFERROR(__xludf.DUMMYFUNCTION("""COMPUTED_VALUE"""),"johann.lecoutre@systeme-u.fr")</f>
        <v>johann.lecoutre@systeme-u.fr</v>
      </c>
      <c r="J1014" t="str">
        <f ca="1">IFERROR(__xludf.DUMMYFUNCTION("""COMPUTED_VALUE"""),"Mathieu Trouvé")</f>
        <v>Mathieu Trouvé</v>
      </c>
      <c r="K1014" t="str">
        <f ca="1">IFERROR(__xludf.DUMMYFUNCTION("""COMPUTED_VALUE"""),"superu.stbazeille.pf@systeme-u.fr")</f>
        <v>superu.stbazeille.pf@systeme-u.fr</v>
      </c>
      <c r="L1014" t="str">
        <f ca="1">IFERROR(__xludf.DUMMYFUNCTION("""COMPUTED_VALUE"""),"")</f>
        <v/>
      </c>
      <c r="M1014" t="str">
        <f ca="1">IFERROR(__xludf.DUMMYFUNCTION("""COMPUTED_VALUE"""),"99.Hors Périmetre")</f>
        <v>99.Hors Périmetre</v>
      </c>
      <c r="N1014" t="str">
        <f ca="1">IFERROR(__xludf.DUMMYFUNCTION("""COMPUTED_VALUE"""),"")</f>
        <v/>
      </c>
      <c r="O1014" t="str">
        <f ca="1">IFERROR(__xludf.DUMMYFUNCTION("""COMPUTED_VALUE"""),"")</f>
        <v/>
      </c>
      <c r="P1014" t="str">
        <f ca="1">IFERROR(__xludf.DUMMYFUNCTION("""COMPUTED_VALUE"""),"")</f>
        <v/>
      </c>
      <c r="Q1014" s="5" t="str">
        <f ca="1">IFERROR(__xludf.DUMMYFUNCTION("""COMPUTED_VALUE"""),"")</f>
        <v/>
      </c>
      <c r="R1014" s="6" t="str">
        <f ca="1">IFERROR(__xludf.DUMMYFUNCTION("""COMPUTED_VALUE"""),"")</f>
        <v/>
      </c>
      <c r="S1014" t="str">
        <f ca="1">IFERROR(__xludf.DUMMYFUNCTION("""COMPUTED_VALUE"""),"")</f>
        <v/>
      </c>
      <c r="T1014" t="str">
        <f ca="1">IFERROR(__xludf.DUMMYFUNCTION("""COMPUTED_VALUE"""),"")</f>
        <v/>
      </c>
      <c r="U1014" t="str">
        <f ca="1">IFERROR(__xludf.DUMMYFUNCTION("""COMPUTED_VALUE"""),"")</f>
        <v/>
      </c>
      <c r="V1014" t="str">
        <f ca="1">IFERROR(__xludf.DUMMYFUNCTION("""COMPUTED_VALUE"""),"")</f>
        <v/>
      </c>
      <c r="W1014" t="str">
        <f ca="1">IFERROR(__xludf.DUMMYFUNCTION("""COMPUTED_VALUE"""),"")</f>
        <v/>
      </c>
      <c r="X1014" t="str">
        <f ca="1">IFERROR(__xludf.DUMMYFUNCTION("""COMPUTED_VALUE"""),"")</f>
        <v/>
      </c>
      <c r="Y1014" t="str">
        <f ca="1">IFERROR(__xludf.DUMMYFUNCTION("""COMPUTED_VALUE"""),"")</f>
        <v/>
      </c>
      <c r="Z1014" t="str">
        <f ca="1">IFERROR(__xludf.DUMMYFUNCTION("""COMPUTED_VALUE"""),"")</f>
        <v/>
      </c>
      <c r="AA1014" t="str">
        <f ca="1">IFERROR(__xludf.DUMMYFUNCTION("""COMPUTED_VALUE"""),"Pas de commande")</f>
        <v>Pas de commande</v>
      </c>
      <c r="AB1014" s="8" t="str">
        <f ca="1">IFERROR(__xludf.DUMMYFUNCTION("""COMPUTED_VALUE"""),"")</f>
        <v/>
      </c>
      <c r="AC1014" s="8" t="str">
        <f ca="1">IFERROR(__xludf.DUMMYFUNCTION("""COMPUTED_VALUE"""),"")</f>
        <v/>
      </c>
      <c r="AD1014" s="11" t="str">
        <f ca="1">IFERROR(__xludf.DUMMYFUNCTION("""COMPUTED_VALUE"""),"")</f>
        <v/>
      </c>
      <c r="AE1014" t="str">
        <f ca="1">IFERROR(__xludf.DUMMYFUNCTION("""COMPUTED_VALUE"""),"")</f>
        <v/>
      </c>
    </row>
    <row r="1015" spans="1:31" ht="12.75" x14ac:dyDescent="0.2">
      <c r="A1015">
        <f ca="1">IFERROR(__xludf.DUMMYFUNCTION("""COMPUTED_VALUE"""),24324)</f>
        <v>24324</v>
      </c>
      <c r="B1015" t="str">
        <f ca="1">IFERROR(__xludf.DUMMYFUNCTION("""COMPUTED_VALUE"""),"STE GENEVIEVE")</f>
        <v>STE GENEVIEVE</v>
      </c>
      <c r="C1015" t="str">
        <f ca="1">IFERROR(__xludf.DUMMYFUNCTION("""COMPUTED_VALUE"""),"Super U")</f>
        <v>Super U</v>
      </c>
      <c r="D1015" t="str">
        <f ca="1">IFERROR(__xludf.DUMMYFUNCTION("""COMPUTED_VALUE"""),"Coop U Enseigne NordOuest")</f>
        <v>Coop U Enseigne NordOuest</v>
      </c>
      <c r="E1015">
        <f ca="1">IFERROR(__xludf.DUMMYFUNCTION("""COMPUTED_VALUE"""),60730)</f>
        <v>60730</v>
      </c>
      <c r="F1015" t="str">
        <f ca="1">IFERROR(__xludf.DUMMYFUNCTION("""COMPUTED_VALUE"""),"118 RD 1001")</f>
        <v>118 RD 1001</v>
      </c>
      <c r="G1015" t="str">
        <f ca="1">IFERROR(__xludf.DUMMYFUNCTION("""COMPUTED_VALUE"""),"03.44.08.16.90")</f>
        <v>03.44.08.16.90</v>
      </c>
      <c r="H1015" t="str">
        <f ca="1">IFERROR(__xludf.DUMMYFUNCTION("""COMPUTED_VALUE"""),"DEMAEGDT Arnaud")</f>
        <v>DEMAEGDT Arnaud</v>
      </c>
      <c r="I1015" t="str">
        <f ca="1">IFERROR(__xludf.DUMMYFUNCTION("""COMPUTED_VALUE"""),"arnaud.demaegdt@systeme-u.fr")</f>
        <v>arnaud.demaegdt@systeme-u.fr</v>
      </c>
      <c r="J1015" t="str">
        <f ca="1">IFERROR(__xludf.DUMMYFUNCTION("""COMPUTED_VALUE"""),"Alexandre de Grandmaison")</f>
        <v>Alexandre de Grandmaison</v>
      </c>
      <c r="K1015" t="str">
        <f ca="1">IFERROR(__xludf.DUMMYFUNCTION("""COMPUTED_VALUE"""),"superu.saintegenevieve.direction@systeme-u.fr")</f>
        <v>superu.saintegenevieve.direction@systeme-u.fr</v>
      </c>
      <c r="L1015" t="str">
        <f ca="1">IFERROR(__xludf.DUMMYFUNCTION("""COMPUTED_VALUE"""),"")</f>
        <v/>
      </c>
      <c r="M1015" t="str">
        <f ca="1">IFERROR(__xludf.DUMMYFUNCTION("""COMPUTED_VALUE"""),"99.Hors Périmetre")</f>
        <v>99.Hors Périmetre</v>
      </c>
      <c r="N1015" t="str">
        <f ca="1">IFERROR(__xludf.DUMMYFUNCTION("""COMPUTED_VALUE"""),"")</f>
        <v/>
      </c>
      <c r="O1015" t="str">
        <f ca="1">IFERROR(__xludf.DUMMYFUNCTION("""COMPUTED_VALUE"""),"")</f>
        <v/>
      </c>
      <c r="P1015" t="str">
        <f ca="1">IFERROR(__xludf.DUMMYFUNCTION("""COMPUTED_VALUE"""),"")</f>
        <v/>
      </c>
      <c r="Q1015" s="5" t="str">
        <f ca="1">IFERROR(__xludf.DUMMYFUNCTION("""COMPUTED_VALUE"""),"")</f>
        <v/>
      </c>
      <c r="R1015" s="6" t="str">
        <f ca="1">IFERROR(__xludf.DUMMYFUNCTION("""COMPUTED_VALUE"""),"")</f>
        <v/>
      </c>
      <c r="S1015" t="str">
        <f ca="1">IFERROR(__xludf.DUMMYFUNCTION("""COMPUTED_VALUE"""),"")</f>
        <v/>
      </c>
      <c r="T1015" t="str">
        <f ca="1">IFERROR(__xludf.DUMMYFUNCTION("""COMPUTED_VALUE"""),"")</f>
        <v/>
      </c>
      <c r="U1015" t="str">
        <f ca="1">IFERROR(__xludf.DUMMYFUNCTION("""COMPUTED_VALUE"""),"")</f>
        <v/>
      </c>
      <c r="V1015" t="str">
        <f ca="1">IFERROR(__xludf.DUMMYFUNCTION("""COMPUTED_VALUE"""),"")</f>
        <v/>
      </c>
      <c r="W1015" t="str">
        <f ca="1">IFERROR(__xludf.DUMMYFUNCTION("""COMPUTED_VALUE"""),"")</f>
        <v/>
      </c>
      <c r="X1015" t="str">
        <f ca="1">IFERROR(__xludf.DUMMYFUNCTION("""COMPUTED_VALUE"""),"")</f>
        <v/>
      </c>
      <c r="Y1015" t="str">
        <f ca="1">IFERROR(__xludf.DUMMYFUNCTION("""COMPUTED_VALUE"""),"")</f>
        <v/>
      </c>
      <c r="Z1015" t="str">
        <f ca="1">IFERROR(__xludf.DUMMYFUNCTION("""COMPUTED_VALUE"""),"")</f>
        <v/>
      </c>
      <c r="AA1015" t="str">
        <f ca="1">IFERROR(__xludf.DUMMYFUNCTION("""COMPUTED_VALUE"""),"Pas de commande")</f>
        <v>Pas de commande</v>
      </c>
      <c r="AB1015" s="8" t="str">
        <f ca="1">IFERROR(__xludf.DUMMYFUNCTION("""COMPUTED_VALUE"""),"")</f>
        <v/>
      </c>
      <c r="AC1015" s="8" t="str">
        <f ca="1">IFERROR(__xludf.DUMMYFUNCTION("""COMPUTED_VALUE"""),"")</f>
        <v/>
      </c>
      <c r="AD1015" s="11" t="str">
        <f ca="1">IFERROR(__xludf.DUMMYFUNCTION("""COMPUTED_VALUE"""),"")</f>
        <v/>
      </c>
      <c r="AE1015" t="str">
        <f ca="1">IFERROR(__xludf.DUMMYFUNCTION("""COMPUTED_VALUE"""),"")</f>
        <v/>
      </c>
    </row>
    <row r="1016" spans="1:31" ht="12.75" x14ac:dyDescent="0.2">
      <c r="A1016">
        <f ca="1">IFERROR(__xludf.DUMMYFUNCTION("""COMPUTED_VALUE"""),60703)</f>
        <v>60703</v>
      </c>
      <c r="B1016" t="str">
        <f ca="1">IFERROR(__xludf.DUMMYFUNCTION("""COMPUTED_VALUE"""),"STE MARIE AUX MINES")</f>
        <v>STE MARIE AUX MINES</v>
      </c>
      <c r="C1016" t="str">
        <f ca="1">IFERROR(__xludf.DUMMYFUNCTION("""COMPUTED_VALUE"""),"Super U")</f>
        <v>Super U</v>
      </c>
      <c r="D1016" t="str">
        <f ca="1">IFERROR(__xludf.DUMMYFUNCTION("""COMPUTED_VALUE"""),"Coop U Enseigne Est")</f>
        <v>Coop U Enseigne Est</v>
      </c>
      <c r="E1016">
        <f ca="1">IFERROR(__xludf.DUMMYFUNCTION("""COMPUTED_VALUE"""),68160)</f>
        <v>68160</v>
      </c>
      <c r="F1016" t="str">
        <f ca="1">IFERROR(__xludf.DUMMYFUNCTION("""COMPUTED_VALUE"""),"31 RUE RÉBER")</f>
        <v>31 RUE RÉBER</v>
      </c>
      <c r="G1016" t="str">
        <f ca="1">IFERROR(__xludf.DUMMYFUNCTION("""COMPUTED_VALUE"""),"03.89.58.36.36")</f>
        <v>03.89.58.36.36</v>
      </c>
      <c r="H1016" t="str">
        <f ca="1">IFERROR(__xludf.DUMMYFUNCTION("""COMPUTED_VALUE"""),"FREY Stéphane")</f>
        <v>FREY Stéphane</v>
      </c>
      <c r="I1016" t="str">
        <f ca="1">IFERROR(__xludf.DUMMYFUNCTION("""COMPUTED_VALUE"""),"stephane.frey@systeme-u.fr")</f>
        <v>stephane.frey@systeme-u.fr</v>
      </c>
      <c r="J1016" t="str">
        <f ca="1">IFERROR(__xludf.DUMMYFUNCTION("""COMPUTED_VALUE"""),"Mme Zimmermann
Valentin (UPLV)
Mme Monce Isabelle (compta)")</f>
        <v>Mme Zimmermann
Valentin (UPLV)
Mme Monce Isabelle (compta)</v>
      </c>
      <c r="K1016" t="str">
        <f ca="1">IFERROR(__xludf.DUMMYFUNCTION("""COMPUTED_VALUE"""),"superu.stemarieauxmines.eldph@systeme-u.fr")</f>
        <v>superu.stemarieauxmines.eldph@systeme-u.fr</v>
      </c>
      <c r="L1016" t="str">
        <f ca="1">IFERROR(__xludf.DUMMYFUNCTION("""COMPUTED_VALUE"""),"")</f>
        <v/>
      </c>
      <c r="M1016" t="str">
        <f ca="1">IFERROR(__xludf.DUMMYFUNCTION("""COMPUTED_VALUE"""),"99.Hors Périmetre")</f>
        <v>99.Hors Périmetre</v>
      </c>
      <c r="N1016" t="str">
        <f ca="1">IFERROR(__xludf.DUMMYFUNCTION("""COMPUTED_VALUE"""),"")</f>
        <v/>
      </c>
      <c r="O1016" t="str">
        <f ca="1">IFERROR(__xludf.DUMMYFUNCTION("""COMPUTED_VALUE"""),"")</f>
        <v/>
      </c>
      <c r="P1016" t="str">
        <f ca="1">IFERROR(__xludf.DUMMYFUNCTION("""COMPUTED_VALUE"""),"")</f>
        <v/>
      </c>
      <c r="Q1016" s="5" t="str">
        <f ca="1">IFERROR(__xludf.DUMMYFUNCTION("""COMPUTED_VALUE"""),"")</f>
        <v/>
      </c>
      <c r="R1016" s="6" t="str">
        <f ca="1">IFERROR(__xludf.DUMMYFUNCTION("""COMPUTED_VALUE"""),"")</f>
        <v/>
      </c>
      <c r="S1016" t="str">
        <f ca="1">IFERROR(__xludf.DUMMYFUNCTION("""COMPUTED_VALUE"""),"")</f>
        <v/>
      </c>
      <c r="T1016" t="str">
        <f ca="1">IFERROR(__xludf.DUMMYFUNCTION("""COMPUTED_VALUE"""),"")</f>
        <v/>
      </c>
      <c r="U1016" t="str">
        <f ca="1">IFERROR(__xludf.DUMMYFUNCTION("""COMPUTED_VALUE"""),"")</f>
        <v/>
      </c>
      <c r="V1016" t="str">
        <f ca="1">IFERROR(__xludf.DUMMYFUNCTION("""COMPUTED_VALUE"""),"")</f>
        <v/>
      </c>
      <c r="W1016" t="str">
        <f ca="1">IFERROR(__xludf.DUMMYFUNCTION("""COMPUTED_VALUE"""),"")</f>
        <v/>
      </c>
      <c r="X1016" t="str">
        <f ca="1">IFERROR(__xludf.DUMMYFUNCTION("""COMPUTED_VALUE"""),"")</f>
        <v/>
      </c>
      <c r="Y1016" t="str">
        <f ca="1">IFERROR(__xludf.DUMMYFUNCTION("""COMPUTED_VALUE"""),"")</f>
        <v/>
      </c>
      <c r="Z1016" t="str">
        <f ca="1">IFERROR(__xludf.DUMMYFUNCTION("""COMPUTED_VALUE"""),"")</f>
        <v/>
      </c>
      <c r="AA1016" t="str">
        <f ca="1">IFERROR(__xludf.DUMMYFUNCTION("""COMPUTED_VALUE"""),"Pas de commande")</f>
        <v>Pas de commande</v>
      </c>
      <c r="AB1016" s="8" t="str">
        <f ca="1">IFERROR(__xludf.DUMMYFUNCTION("""COMPUTED_VALUE"""),"")</f>
        <v/>
      </c>
      <c r="AC1016" s="8" t="str">
        <f ca="1">IFERROR(__xludf.DUMMYFUNCTION("""COMPUTED_VALUE"""),"")</f>
        <v/>
      </c>
      <c r="AD1016" s="11" t="str">
        <f ca="1">IFERROR(__xludf.DUMMYFUNCTION("""COMPUTED_VALUE"""),"")</f>
        <v/>
      </c>
      <c r="AE1016" t="str">
        <f ca="1">IFERROR(__xludf.DUMMYFUNCTION("""COMPUTED_VALUE"""),"")</f>
        <v/>
      </c>
    </row>
    <row r="1017" spans="1:31" ht="12.75" x14ac:dyDescent="0.2">
      <c r="A1017">
        <f ca="1">IFERROR(__xludf.DUMMYFUNCTION("""COMPUTED_VALUE"""),65436)</f>
        <v>65436</v>
      </c>
      <c r="B1017" t="str">
        <f ca="1">IFERROR(__xludf.DUMMYFUNCTION("""COMPUTED_VALUE"""),"STE MENEHOULD")</f>
        <v>STE MENEHOULD</v>
      </c>
      <c r="C1017" t="str">
        <f ca="1">IFERROR(__xludf.DUMMYFUNCTION("""COMPUTED_VALUE"""),"Super U")</f>
        <v>Super U</v>
      </c>
      <c r="D1017" t="str">
        <f ca="1">IFERROR(__xludf.DUMMYFUNCTION("""COMPUTED_VALUE"""),"Coop U Enseigne Est")</f>
        <v>Coop U Enseigne Est</v>
      </c>
      <c r="E1017">
        <f ca="1">IFERROR(__xludf.DUMMYFUNCTION("""COMPUTED_VALUE"""),51800)</f>
        <v>51800</v>
      </c>
      <c r="F1017" t="str">
        <f ca="1">IFERROR(__xludf.DUMMYFUNCTION("""COMPUTED_VALUE"""),"AVENUE DE LA GARE")</f>
        <v>AVENUE DE LA GARE</v>
      </c>
      <c r="G1017" t="str">
        <f ca="1">IFERROR(__xludf.DUMMYFUNCTION("""COMPUTED_VALUE"""),"03.26.60.81.14")</f>
        <v>03.26.60.81.14</v>
      </c>
      <c r="H1017" t="str">
        <f ca="1">IFERROR(__xludf.DUMMYFUNCTION("""COMPUTED_VALUE"""),"BONNIER Cyril")</f>
        <v>BONNIER Cyril</v>
      </c>
      <c r="I1017" t="str">
        <f ca="1">IFERROR(__xludf.DUMMYFUNCTION("""COMPUTED_VALUE"""),"cyril.bonnier@systeme-u.fr")</f>
        <v>cyril.bonnier@systeme-u.fr</v>
      </c>
      <c r="J1017" t="str">
        <f ca="1">IFERROR(__xludf.DUMMYFUNCTION("""COMPUTED_VALUE"""),"")</f>
        <v/>
      </c>
      <c r="K1017" t="str">
        <f ca="1">IFERROR(__xludf.DUMMYFUNCTION("""COMPUTED_VALUE"""),"")</f>
        <v/>
      </c>
      <c r="L1017" t="str">
        <f ca="1">IFERROR(__xludf.DUMMYFUNCTION("""COMPUTED_VALUE"""),"Standard")</f>
        <v>Standard</v>
      </c>
      <c r="M1017" t="str">
        <f ca="1">IFERROR(__xludf.DUMMYFUNCTION("""COMPUTED_VALUE"""),"0. Non démarré")</f>
        <v>0. Non démarré</v>
      </c>
      <c r="N1017" t="str">
        <f ca="1">IFERROR(__xludf.DUMMYFUNCTION("""COMPUTED_VALUE"""),"")</f>
        <v/>
      </c>
      <c r="O1017" t="str">
        <f ca="1">IFERROR(__xludf.DUMMYFUNCTION("""COMPUTED_VALUE"""),"")</f>
        <v/>
      </c>
      <c r="P1017" t="str">
        <f ca="1">IFERROR(__xludf.DUMMYFUNCTION("""COMPUTED_VALUE"""),"")</f>
        <v/>
      </c>
      <c r="Q1017" s="5" t="str">
        <f ca="1">IFERROR(__xludf.DUMMYFUNCTION("""COMPUTED_VALUE"""),"")</f>
        <v/>
      </c>
      <c r="R1017" s="6" t="str">
        <f ca="1">IFERROR(__xludf.DUMMYFUNCTION("""COMPUTED_VALUE"""),"")</f>
        <v/>
      </c>
      <c r="S1017" t="str">
        <f ca="1">IFERROR(__xludf.DUMMYFUNCTION("""COMPUTED_VALUE"""),"")</f>
        <v/>
      </c>
      <c r="T1017" t="str">
        <f ca="1">IFERROR(__xludf.DUMMYFUNCTION("""COMPUTED_VALUE"""),"")</f>
        <v/>
      </c>
      <c r="U1017" t="str">
        <f ca="1">IFERROR(__xludf.DUMMYFUNCTION("""COMPUTED_VALUE"""),"")</f>
        <v/>
      </c>
      <c r="V1017" t="str">
        <f ca="1">IFERROR(__xludf.DUMMYFUNCTION("""COMPUTED_VALUE"""),"")</f>
        <v/>
      </c>
      <c r="W1017" t="str">
        <f ca="1">IFERROR(__xludf.DUMMYFUNCTION("""COMPUTED_VALUE"""),"R5")</f>
        <v>R5</v>
      </c>
      <c r="X1017" t="str">
        <f ca="1">IFERROR(__xludf.DUMMYFUNCTION("""COMPUTED_VALUE"""),"Pricer")</f>
        <v>Pricer</v>
      </c>
      <c r="Y1017" t="str">
        <f ca="1">IFERROR(__xludf.DUMMYFUNCTION("""COMPUTED_VALUE"""),"")</f>
        <v/>
      </c>
      <c r="Z1017" t="str">
        <f ca="1">IFERROR(__xludf.DUMMYFUNCTION("""COMPUTED_VALUE"""),"")</f>
        <v/>
      </c>
      <c r="AA1017" t="str">
        <f ca="1">IFERROR(__xludf.DUMMYFUNCTION("""COMPUTED_VALUE"""),"Pas de commande")</f>
        <v>Pas de commande</v>
      </c>
      <c r="AB1017" s="8" t="str">
        <f ca="1">IFERROR(__xludf.DUMMYFUNCTION("""COMPUTED_VALUE"""),"")</f>
        <v/>
      </c>
      <c r="AC1017" s="8" t="str">
        <f ca="1">IFERROR(__xludf.DUMMYFUNCTION("""COMPUTED_VALUE"""),"")</f>
        <v/>
      </c>
      <c r="AD1017" s="11" t="str">
        <f ca="1">IFERROR(__xludf.DUMMYFUNCTION("""COMPUTED_VALUE"""),"")</f>
        <v/>
      </c>
      <c r="AE1017" t="str">
        <f ca="1">IFERROR(__xludf.DUMMYFUNCTION("""COMPUTED_VALUE"""),"")</f>
        <v/>
      </c>
    </row>
    <row r="1018" spans="1:31" ht="12.75" x14ac:dyDescent="0.2">
      <c r="A1018">
        <f ca="1">IFERROR(__xludf.DUMMYFUNCTION("""COMPUTED_VALUE"""),20140)</f>
        <v>20140</v>
      </c>
      <c r="B1018" t="str">
        <f ca="1">IFERROR(__xludf.DUMMYFUNCTION("""COMPUTED_VALUE"""),"STE MERE EGLISE")</f>
        <v>STE MERE EGLISE</v>
      </c>
      <c r="C1018" t="str">
        <f ca="1">IFERROR(__xludf.DUMMYFUNCTION("""COMPUTED_VALUE"""),"Super U")</f>
        <v>Super U</v>
      </c>
      <c r="D1018" t="str">
        <f ca="1">IFERROR(__xludf.DUMMYFUNCTION("""COMPUTED_VALUE"""),"Coop U Enseigne NordOuest")</f>
        <v>Coop U Enseigne NordOuest</v>
      </c>
      <c r="E1018">
        <f ca="1">IFERROR(__xludf.DUMMYFUNCTION("""COMPUTED_VALUE"""),50480)</f>
        <v>50480</v>
      </c>
      <c r="F1018" t="str">
        <f ca="1">IFERROR(__xludf.DUMMYFUNCTION("""COMPUTED_VALUE"""),"ZA DES CRUTELLES")</f>
        <v>ZA DES CRUTELLES</v>
      </c>
      <c r="G1018" t="str">
        <f ca="1">IFERROR(__xludf.DUMMYFUNCTION("""COMPUTED_VALUE"""),"02.33.41.30.95")</f>
        <v>02.33.41.30.95</v>
      </c>
      <c r="H1018" t="str">
        <f ca="1">IFERROR(__xludf.DUMMYFUNCTION("""COMPUTED_VALUE"""),"CREVEUIL Virginie")</f>
        <v>CREVEUIL Virginie</v>
      </c>
      <c r="I1018" t="str">
        <f ca="1">IFERROR(__xludf.DUMMYFUNCTION("""COMPUTED_VALUE"""),"virginie.creveuil@systeme-u.fr")</f>
        <v>virginie.creveuil@systeme-u.fr</v>
      </c>
      <c r="J1018" t="str">
        <f ca="1">IFERROR(__xludf.DUMMYFUNCTION("""COMPUTED_VALUE"""),"")</f>
        <v/>
      </c>
      <c r="K1018" t="str">
        <f ca="1">IFERROR(__xludf.DUMMYFUNCTION("""COMPUTED_VALUE"""),"")</f>
        <v/>
      </c>
      <c r="L1018" t="str">
        <f ca="1">IFERROR(__xludf.DUMMYFUNCTION("""COMPUTED_VALUE"""),"")</f>
        <v/>
      </c>
      <c r="M1018" t="str">
        <f ca="1">IFERROR(__xludf.DUMMYFUNCTION("""COMPUTED_VALUE"""),"99.Hors Périmetre")</f>
        <v>99.Hors Périmetre</v>
      </c>
      <c r="N1018" t="str">
        <f ca="1">IFERROR(__xludf.DUMMYFUNCTION("""COMPUTED_VALUE"""),"")</f>
        <v/>
      </c>
      <c r="O1018" t="str">
        <f ca="1">IFERROR(__xludf.DUMMYFUNCTION("""COMPUTED_VALUE"""),"")</f>
        <v/>
      </c>
      <c r="P1018" t="str">
        <f ca="1">IFERROR(__xludf.DUMMYFUNCTION("""COMPUTED_VALUE"""),"")</f>
        <v/>
      </c>
      <c r="Q1018" s="5" t="str">
        <f ca="1">IFERROR(__xludf.DUMMYFUNCTION("""COMPUTED_VALUE"""),"")</f>
        <v/>
      </c>
      <c r="R1018" s="6" t="str">
        <f ca="1">IFERROR(__xludf.DUMMYFUNCTION("""COMPUTED_VALUE"""),"")</f>
        <v/>
      </c>
      <c r="S1018" t="str">
        <f ca="1">IFERROR(__xludf.DUMMYFUNCTION("""COMPUTED_VALUE"""),"")</f>
        <v/>
      </c>
      <c r="T1018" t="str">
        <f ca="1">IFERROR(__xludf.DUMMYFUNCTION("""COMPUTED_VALUE"""),"")</f>
        <v/>
      </c>
      <c r="U1018" t="str">
        <f ca="1">IFERROR(__xludf.DUMMYFUNCTION("""COMPUTED_VALUE"""),"")</f>
        <v/>
      </c>
      <c r="V1018" t="str">
        <f ca="1">IFERROR(__xludf.DUMMYFUNCTION("""COMPUTED_VALUE"""),"")</f>
        <v/>
      </c>
      <c r="W1018" t="str">
        <f ca="1">IFERROR(__xludf.DUMMYFUNCTION("""COMPUTED_VALUE"""),"")</f>
        <v/>
      </c>
      <c r="X1018" t="str">
        <f ca="1">IFERROR(__xludf.DUMMYFUNCTION("""COMPUTED_VALUE"""),"")</f>
        <v/>
      </c>
      <c r="Y1018" t="str">
        <f ca="1">IFERROR(__xludf.DUMMYFUNCTION("""COMPUTED_VALUE"""),"")</f>
        <v/>
      </c>
      <c r="Z1018" t="str">
        <f ca="1">IFERROR(__xludf.DUMMYFUNCTION("""COMPUTED_VALUE"""),"")</f>
        <v/>
      </c>
      <c r="AA1018" t="str">
        <f ca="1">IFERROR(__xludf.DUMMYFUNCTION("""COMPUTED_VALUE"""),"Pas de commande")</f>
        <v>Pas de commande</v>
      </c>
      <c r="AB1018" s="8" t="str">
        <f ca="1">IFERROR(__xludf.DUMMYFUNCTION("""COMPUTED_VALUE"""),"")</f>
        <v/>
      </c>
      <c r="AC1018" s="8" t="str">
        <f ca="1">IFERROR(__xludf.DUMMYFUNCTION("""COMPUTED_VALUE"""),"")</f>
        <v/>
      </c>
      <c r="AD1018" s="11" t="str">
        <f ca="1">IFERROR(__xludf.DUMMYFUNCTION("""COMPUTED_VALUE"""),"")</f>
        <v/>
      </c>
      <c r="AE1018" t="str">
        <f ca="1">IFERROR(__xludf.DUMMYFUNCTION("""COMPUTED_VALUE"""),"")</f>
        <v/>
      </c>
    </row>
    <row r="1019" spans="1:31" ht="12.75" x14ac:dyDescent="0.2">
      <c r="A1019">
        <f ca="1">IFERROR(__xludf.DUMMYFUNCTION("""COMPUTED_VALUE"""),38137)</f>
        <v>38137</v>
      </c>
      <c r="B1019" t="str">
        <f ca="1">IFERROR(__xludf.DUMMYFUNCTION("""COMPUTED_VALUE"""),"STE ROSE")</f>
        <v>STE ROSE</v>
      </c>
      <c r="C1019" t="str">
        <f ca="1">IFERROR(__xludf.DUMMYFUNCTION("""COMPUTED_VALUE"""),"Super U")</f>
        <v>Super U</v>
      </c>
      <c r="D1019" t="str">
        <f ca="1">IFERROR(__xludf.DUMMYFUNCTION("""COMPUTED_VALUE"""),"Coop U Enseigne Ouest")</f>
        <v>Coop U Enseigne Ouest</v>
      </c>
      <c r="E1019">
        <f ca="1">IFERROR(__xludf.DUMMYFUNCTION("""COMPUTED_VALUE"""),97115)</f>
        <v>97115</v>
      </c>
      <c r="F1019" t="str">
        <f ca="1">IFERROR(__xludf.DUMMYFUNCTION("""COMPUTED_VALUE"""),"PLESSIS NOGENT")</f>
        <v>PLESSIS NOGENT</v>
      </c>
      <c r="G1019" t="str">
        <f ca="1">IFERROR(__xludf.DUMMYFUNCTION("""COMPUTED_VALUE"""),"05.90.48.44.40")</f>
        <v>05.90.48.44.40</v>
      </c>
      <c r="H1019" t="str">
        <f ca="1">IFERROR(__xludf.DUMMYFUNCTION("""COMPUTED_VALUE"""),"PARFAIT Robert")</f>
        <v>PARFAIT Robert</v>
      </c>
      <c r="I1019" t="str">
        <f ca="1">IFERROR(__xludf.DUMMYFUNCTION("""COMPUTED_VALUE"""),"kevin.parfait@systeme-u.fr")</f>
        <v>kevin.parfait@systeme-u.fr</v>
      </c>
      <c r="J1019" t="str">
        <f ca="1">IFERROR(__xludf.DUMMYFUNCTION("""COMPUTED_VALUE"""),"Christophe MATHIEU (directeur)")</f>
        <v>Christophe MATHIEU (directeur)</v>
      </c>
      <c r="K1019" t="str">
        <f ca="1">IFERROR(__xludf.DUMMYFUNCTION("""COMPUTED_VALUE"""),"christophe.mathieu@uantilles.com, martine.crevecoeur@systeme-u.fr")</f>
        <v>christophe.mathieu@uantilles.com, martine.crevecoeur@systeme-u.fr</v>
      </c>
      <c r="L1019" t="str">
        <f ca="1">IFERROR(__xludf.DUMMYFUNCTION("""COMPUTED_VALUE"""),"")</f>
        <v/>
      </c>
      <c r="M1019" t="str">
        <f ca="1">IFERROR(__xludf.DUMMYFUNCTION("""COMPUTED_VALUE"""),"99.Hors Périmetre")</f>
        <v>99.Hors Périmetre</v>
      </c>
      <c r="N1019" t="str">
        <f ca="1">IFERROR(__xludf.DUMMYFUNCTION("""COMPUTED_VALUE"""),"")</f>
        <v/>
      </c>
      <c r="O1019" t="str">
        <f ca="1">IFERROR(__xludf.DUMMYFUNCTION("""COMPUTED_VALUE"""),"")</f>
        <v/>
      </c>
      <c r="P1019" t="str">
        <f ca="1">IFERROR(__xludf.DUMMYFUNCTION("""COMPUTED_VALUE"""),"")</f>
        <v/>
      </c>
      <c r="Q1019" s="5" t="str">
        <f ca="1">IFERROR(__xludf.DUMMYFUNCTION("""COMPUTED_VALUE"""),"")</f>
        <v/>
      </c>
      <c r="R1019" s="6" t="str">
        <f ca="1">IFERROR(__xludf.DUMMYFUNCTION("""COMPUTED_VALUE"""),"")</f>
        <v/>
      </c>
      <c r="S1019" t="str">
        <f ca="1">IFERROR(__xludf.DUMMYFUNCTION("""COMPUTED_VALUE"""),"")</f>
        <v/>
      </c>
      <c r="T1019" t="str">
        <f ca="1">IFERROR(__xludf.DUMMYFUNCTION("""COMPUTED_VALUE"""),"")</f>
        <v/>
      </c>
      <c r="U1019" t="str">
        <f ca="1">IFERROR(__xludf.DUMMYFUNCTION("""COMPUTED_VALUE"""),"")</f>
        <v/>
      </c>
      <c r="V1019" t="str">
        <f ca="1">IFERROR(__xludf.DUMMYFUNCTION("""COMPUTED_VALUE"""),"")</f>
        <v/>
      </c>
      <c r="W1019" t="str">
        <f ca="1">IFERROR(__xludf.DUMMYFUNCTION("""COMPUTED_VALUE"""),"")</f>
        <v/>
      </c>
      <c r="X1019" t="str">
        <f ca="1">IFERROR(__xludf.DUMMYFUNCTION("""COMPUTED_VALUE"""),"")</f>
        <v/>
      </c>
      <c r="Y1019" t="str">
        <f ca="1">IFERROR(__xludf.DUMMYFUNCTION("""COMPUTED_VALUE"""),"")</f>
        <v/>
      </c>
      <c r="Z1019" t="str">
        <f ca="1">IFERROR(__xludf.DUMMYFUNCTION("""COMPUTED_VALUE"""),"")</f>
        <v/>
      </c>
      <c r="AA1019" t="str">
        <f ca="1">IFERROR(__xludf.DUMMYFUNCTION("""COMPUTED_VALUE"""),"Pas de commande")</f>
        <v>Pas de commande</v>
      </c>
      <c r="AB1019" s="8" t="str">
        <f ca="1">IFERROR(__xludf.DUMMYFUNCTION("""COMPUTED_VALUE"""),"")</f>
        <v/>
      </c>
      <c r="AC1019" s="8" t="str">
        <f ca="1">IFERROR(__xludf.DUMMYFUNCTION("""COMPUTED_VALUE"""),"")</f>
        <v/>
      </c>
      <c r="AD1019" s="11" t="str">
        <f ca="1">IFERROR(__xludf.DUMMYFUNCTION("""COMPUTED_VALUE"""),"")</f>
        <v/>
      </c>
      <c r="AE1019" t="str">
        <f ca="1">IFERROR(__xludf.DUMMYFUNCTION("""COMPUTED_VALUE"""),"")</f>
        <v/>
      </c>
    </row>
    <row r="1020" spans="1:31" ht="12.75" x14ac:dyDescent="0.2">
      <c r="A1020">
        <f ca="1">IFERROR(__xludf.DUMMYFUNCTION("""COMPUTED_VALUE"""),63310)</f>
        <v>63310</v>
      </c>
      <c r="B1020" t="str">
        <f ca="1">IFERROR(__xludf.DUMMYFUNCTION("""COMPUTED_VALUE"""),"STE SUZANNE")</f>
        <v>STE SUZANNE</v>
      </c>
      <c r="C1020" t="str">
        <f ca="1">IFERROR(__xludf.DUMMYFUNCTION("""COMPUTED_VALUE"""),"Super U")</f>
        <v>Super U</v>
      </c>
      <c r="D1020" t="str">
        <f ca="1">IFERROR(__xludf.DUMMYFUNCTION("""COMPUTED_VALUE"""),"Coop U Enseigne Est")</f>
        <v>Coop U Enseigne Est</v>
      </c>
      <c r="E1020">
        <f ca="1">IFERROR(__xludf.DUMMYFUNCTION("""COMPUTED_VALUE"""),25200)</f>
        <v>25200</v>
      </c>
      <c r="F1020" t="str">
        <f ca="1">IFERROR(__xludf.DUMMYFUNCTION("""COMPUTED_VALUE"""),"119 FAUBOURG DE BESANÇON")</f>
        <v>119 FAUBOURG DE BESANÇON</v>
      </c>
      <c r="G1020" t="str">
        <f ca="1">IFERROR(__xludf.DUMMYFUNCTION("""COMPUTED_VALUE"""),"03.81.96.71.78")</f>
        <v>03.81.96.71.78</v>
      </c>
      <c r="H1020" t="str">
        <f ca="1">IFERROR(__xludf.DUMMYFUNCTION("""COMPUTED_VALUE"""),"CAILLOT Xavier")</f>
        <v>CAILLOT Xavier</v>
      </c>
      <c r="I1020" t="str">
        <f ca="1">IFERROR(__xludf.DUMMYFUNCTION("""COMPUTED_VALUE"""),"xavier.caillot@systeme-u.fr")</f>
        <v>xavier.caillot@systeme-u.fr</v>
      </c>
      <c r="J1020" t="str">
        <f ca="1">IFERROR(__xludf.DUMMYFUNCTION("""COMPUTED_VALUE"""),"")</f>
        <v/>
      </c>
      <c r="K1020" t="str">
        <f ca="1">IFERROR(__xludf.DUMMYFUNCTION("""COMPUTED_VALUE"""),"")</f>
        <v/>
      </c>
      <c r="L1020" t="str">
        <f ca="1">IFERROR(__xludf.DUMMYFUNCTION("""COMPUTED_VALUE"""),"")</f>
        <v/>
      </c>
      <c r="M1020" t="str">
        <f ca="1">IFERROR(__xludf.DUMMYFUNCTION("""COMPUTED_VALUE"""),"99.Hors Périmetre")</f>
        <v>99.Hors Périmetre</v>
      </c>
      <c r="N1020" t="str">
        <f ca="1">IFERROR(__xludf.DUMMYFUNCTION("""COMPUTED_VALUE"""),"")</f>
        <v/>
      </c>
      <c r="O1020" t="str">
        <f ca="1">IFERROR(__xludf.DUMMYFUNCTION("""COMPUTED_VALUE"""),"")</f>
        <v/>
      </c>
      <c r="P1020" t="str">
        <f ca="1">IFERROR(__xludf.DUMMYFUNCTION("""COMPUTED_VALUE"""),"")</f>
        <v/>
      </c>
      <c r="Q1020" s="5" t="str">
        <f ca="1">IFERROR(__xludf.DUMMYFUNCTION("""COMPUTED_VALUE"""),"")</f>
        <v/>
      </c>
      <c r="R1020" s="6" t="str">
        <f ca="1">IFERROR(__xludf.DUMMYFUNCTION("""COMPUTED_VALUE"""),"")</f>
        <v/>
      </c>
      <c r="S1020" t="str">
        <f ca="1">IFERROR(__xludf.DUMMYFUNCTION("""COMPUTED_VALUE"""),"")</f>
        <v/>
      </c>
      <c r="T1020" t="str">
        <f ca="1">IFERROR(__xludf.DUMMYFUNCTION("""COMPUTED_VALUE"""),"")</f>
        <v/>
      </c>
      <c r="U1020" t="str">
        <f ca="1">IFERROR(__xludf.DUMMYFUNCTION("""COMPUTED_VALUE"""),"")</f>
        <v/>
      </c>
      <c r="V1020" t="str">
        <f ca="1">IFERROR(__xludf.DUMMYFUNCTION("""COMPUTED_VALUE"""),"")</f>
        <v/>
      </c>
      <c r="W1020" t="str">
        <f ca="1">IFERROR(__xludf.DUMMYFUNCTION("""COMPUTED_VALUE"""),"")</f>
        <v/>
      </c>
      <c r="X1020" t="str">
        <f ca="1">IFERROR(__xludf.DUMMYFUNCTION("""COMPUTED_VALUE"""),"")</f>
        <v/>
      </c>
      <c r="Y1020" t="str">
        <f ca="1">IFERROR(__xludf.DUMMYFUNCTION("""COMPUTED_VALUE"""),"")</f>
        <v/>
      </c>
      <c r="Z1020" t="str">
        <f ca="1">IFERROR(__xludf.DUMMYFUNCTION("""COMPUTED_VALUE"""),"")</f>
        <v/>
      </c>
      <c r="AA1020" t="str">
        <f ca="1">IFERROR(__xludf.DUMMYFUNCTION("""COMPUTED_VALUE"""),"Pas de commande")</f>
        <v>Pas de commande</v>
      </c>
      <c r="AB1020" s="8" t="str">
        <f ca="1">IFERROR(__xludf.DUMMYFUNCTION("""COMPUTED_VALUE"""),"")</f>
        <v/>
      </c>
      <c r="AC1020" s="8" t="str">
        <f ca="1">IFERROR(__xludf.DUMMYFUNCTION("""COMPUTED_VALUE"""),"")</f>
        <v/>
      </c>
      <c r="AD1020" s="11" t="str">
        <f ca="1">IFERROR(__xludf.DUMMYFUNCTION("""COMPUTED_VALUE"""),"")</f>
        <v/>
      </c>
      <c r="AE1020" t="str">
        <f ca="1">IFERROR(__xludf.DUMMYFUNCTION("""COMPUTED_VALUE"""),"")</f>
        <v/>
      </c>
    </row>
    <row r="1021" spans="1:31" ht="12.75" x14ac:dyDescent="0.2">
      <c r="A1021">
        <f ca="1">IFERROR(__xludf.DUMMYFUNCTION("""COMPUTED_VALUE"""),31945)</f>
        <v>31945</v>
      </c>
      <c r="B1021" t="str">
        <f ca="1">IFERROR(__xludf.DUMMYFUNCTION("""COMPUTED_VALUE"""),"STE-JAMME-SUR-SARTHE")</f>
        <v>STE-JAMME-SUR-SARTHE</v>
      </c>
      <c r="C1021" t="str">
        <f ca="1">IFERROR(__xludf.DUMMYFUNCTION("""COMPUTED_VALUE"""),"Super U")</f>
        <v>Super U</v>
      </c>
      <c r="D1021" t="str">
        <f ca="1">IFERROR(__xludf.DUMMYFUNCTION("""COMPUTED_VALUE"""),"Coop U Enseigne Ouest")</f>
        <v>Coop U Enseigne Ouest</v>
      </c>
      <c r="E1021">
        <f ca="1">IFERROR(__xludf.DUMMYFUNCTION("""COMPUTED_VALUE"""),72380)</f>
        <v>72380</v>
      </c>
      <c r="F1021" t="str">
        <f ca="1">IFERROR(__xludf.DUMMYFUNCTION("""COMPUTED_VALUE"""),"ZAC DE LA PRAIRIE DES MOULINS")</f>
        <v>ZAC DE LA PRAIRIE DES MOULINS</v>
      </c>
      <c r="G1021" t="str">
        <f ca="1">IFERROR(__xludf.DUMMYFUNCTION("""COMPUTED_VALUE"""),"02.43.27.60.41")</f>
        <v>02.43.27.60.41</v>
      </c>
      <c r="H1021" t="str">
        <f ca="1">IFERROR(__xludf.DUMMYFUNCTION("""COMPUTED_VALUE"""),"SAMELE RPT HOLDING TS INVEST Thierry")</f>
        <v>SAMELE RPT HOLDING TS INVEST Thierry</v>
      </c>
      <c r="I1021" t="str">
        <f ca="1">IFERROR(__xludf.DUMMYFUNCTION("""COMPUTED_VALUE"""),"thierry.samele@systeme-u.fr")</f>
        <v>thierry.samele@systeme-u.fr</v>
      </c>
      <c r="J1021" t="str">
        <f ca="1">IFERROR(__xludf.DUMMYFUNCTION("""COMPUTED_VALUE"""),"PINEAU Fabien")</f>
        <v>PINEAU Fabien</v>
      </c>
      <c r="K1021" t="str">
        <f ca="1">IFERROR(__xludf.DUMMYFUNCTION("""COMPUTED_VALUE"""),"superu.saintjammesursarthe.direction@systeme-u.fr")</f>
        <v>superu.saintjammesursarthe.direction@systeme-u.fr</v>
      </c>
      <c r="L1021" t="str">
        <f ca="1">IFERROR(__xludf.DUMMYFUNCTION("""COMPUTED_VALUE"""),"")</f>
        <v/>
      </c>
      <c r="M1021" t="str">
        <f ca="1">IFERROR(__xludf.DUMMYFUNCTION("""COMPUTED_VALUE"""),"99.Hors Périmetre")</f>
        <v>99.Hors Périmetre</v>
      </c>
      <c r="N1021" t="str">
        <f ca="1">IFERROR(__xludf.DUMMYFUNCTION("""COMPUTED_VALUE"""),"")</f>
        <v/>
      </c>
      <c r="O1021" t="str">
        <f ca="1">IFERROR(__xludf.DUMMYFUNCTION("""COMPUTED_VALUE"""),"")</f>
        <v/>
      </c>
      <c r="P1021" t="str">
        <f ca="1">IFERROR(__xludf.DUMMYFUNCTION("""COMPUTED_VALUE"""),"")</f>
        <v/>
      </c>
      <c r="Q1021" s="5" t="str">
        <f ca="1">IFERROR(__xludf.DUMMYFUNCTION("""COMPUTED_VALUE"""),"")</f>
        <v/>
      </c>
      <c r="R1021" s="6" t="str">
        <f ca="1">IFERROR(__xludf.DUMMYFUNCTION("""COMPUTED_VALUE"""),"")</f>
        <v/>
      </c>
      <c r="S1021" t="str">
        <f ca="1">IFERROR(__xludf.DUMMYFUNCTION("""COMPUTED_VALUE"""),"")</f>
        <v/>
      </c>
      <c r="T1021" t="str">
        <f ca="1">IFERROR(__xludf.DUMMYFUNCTION("""COMPUTED_VALUE"""),"")</f>
        <v/>
      </c>
      <c r="U1021" t="str">
        <f ca="1">IFERROR(__xludf.DUMMYFUNCTION("""COMPUTED_VALUE"""),"")</f>
        <v/>
      </c>
      <c r="V1021" t="str">
        <f ca="1">IFERROR(__xludf.DUMMYFUNCTION("""COMPUTED_VALUE"""),"")</f>
        <v/>
      </c>
      <c r="W1021" t="str">
        <f ca="1">IFERROR(__xludf.DUMMYFUNCTION("""COMPUTED_VALUE"""),"")</f>
        <v/>
      </c>
      <c r="X1021" t="str">
        <f ca="1">IFERROR(__xludf.DUMMYFUNCTION("""COMPUTED_VALUE"""),"")</f>
        <v/>
      </c>
      <c r="Y1021" t="str">
        <f ca="1">IFERROR(__xludf.DUMMYFUNCTION("""COMPUTED_VALUE"""),"")</f>
        <v/>
      </c>
      <c r="Z1021" t="str">
        <f ca="1">IFERROR(__xludf.DUMMYFUNCTION("""COMPUTED_VALUE"""),"")</f>
        <v/>
      </c>
      <c r="AA1021" t="str">
        <f ca="1">IFERROR(__xludf.DUMMYFUNCTION("""COMPUTED_VALUE"""),"Pas de commande")</f>
        <v>Pas de commande</v>
      </c>
      <c r="AB1021" s="8" t="str">
        <f ca="1">IFERROR(__xludf.DUMMYFUNCTION("""COMPUTED_VALUE"""),"")</f>
        <v/>
      </c>
      <c r="AC1021" s="8" t="str">
        <f ca="1">IFERROR(__xludf.DUMMYFUNCTION("""COMPUTED_VALUE"""),"")</f>
        <v/>
      </c>
      <c r="AD1021" s="11" t="str">
        <f ca="1">IFERROR(__xludf.DUMMYFUNCTION("""COMPUTED_VALUE"""),"")</f>
        <v/>
      </c>
      <c r="AE1021" t="str">
        <f ca="1">IFERROR(__xludf.DUMMYFUNCTION("""COMPUTED_VALUE"""),"")</f>
        <v/>
      </c>
    </row>
    <row r="1022" spans="1:31" ht="12.75" x14ac:dyDescent="0.2">
      <c r="A1022">
        <f ca="1">IFERROR(__xludf.DUMMYFUNCTION("""COMPUTED_VALUE"""),32046)</f>
        <v>32046</v>
      </c>
      <c r="B1022" t="str">
        <f ca="1">IFERROR(__xludf.DUMMYFUNCTION("""COMPUTED_VALUE"""),"STE-LUCE-SUR-LOIRE")</f>
        <v>STE-LUCE-SUR-LOIRE</v>
      </c>
      <c r="C1022" t="str">
        <f ca="1">IFERROR(__xludf.DUMMYFUNCTION("""COMPUTED_VALUE"""),"U Express")</f>
        <v>U Express</v>
      </c>
      <c r="D1022" t="str">
        <f ca="1">IFERROR(__xludf.DUMMYFUNCTION("""COMPUTED_VALUE"""),"Coop U Enseigne Ouest")</f>
        <v>Coop U Enseigne Ouest</v>
      </c>
      <c r="E1022">
        <f ca="1">IFERROR(__xludf.DUMMYFUNCTION("""COMPUTED_VALUE"""),44980)</f>
        <v>44980</v>
      </c>
      <c r="F1022" t="str">
        <f ca="1">IFERROR(__xludf.DUMMYFUNCTION("""COMPUTED_VALUE"""),"PLACE DU GÉNÉRAL DE GAULLE")</f>
        <v>PLACE DU GÉNÉRAL DE GAULLE</v>
      </c>
      <c r="G1022" t="str">
        <f ca="1">IFERROR(__xludf.DUMMYFUNCTION("""COMPUTED_VALUE"""),"02.51.79.77.77")</f>
        <v>02.51.79.77.77</v>
      </c>
      <c r="H1022" t="str">
        <f ca="1">IFERROR(__xludf.DUMMYFUNCTION("""COMPUTED_VALUE"""),"JEANNIERE Christian")</f>
        <v>JEANNIERE Christian</v>
      </c>
      <c r="I1022" t="str">
        <f ca="1">IFERROR(__xludf.DUMMYFUNCTION("""COMPUTED_VALUE"""),"christian.jeanniere@systeme-u.fr")</f>
        <v>christian.jeanniere@systeme-u.fr</v>
      </c>
      <c r="J1022" t="str">
        <f ca="1">IFERROR(__xludf.DUMMYFUNCTION("""COMPUTED_VALUE"""),"")</f>
        <v/>
      </c>
      <c r="K1022" t="str">
        <f ca="1">IFERROR(__xludf.DUMMYFUNCTION("""COMPUTED_VALUE"""),"")</f>
        <v/>
      </c>
      <c r="L1022" t="str">
        <f ca="1">IFERROR(__xludf.DUMMYFUNCTION("""COMPUTED_VALUE"""),"")</f>
        <v/>
      </c>
      <c r="M1022" t="str">
        <f ca="1">IFERROR(__xludf.DUMMYFUNCTION("""COMPUTED_VALUE"""),"99.Hors Périmetre")</f>
        <v>99.Hors Périmetre</v>
      </c>
      <c r="N1022" t="str">
        <f ca="1">IFERROR(__xludf.DUMMYFUNCTION("""COMPUTED_VALUE"""),"")</f>
        <v/>
      </c>
      <c r="O1022" t="str">
        <f ca="1">IFERROR(__xludf.DUMMYFUNCTION("""COMPUTED_VALUE"""),"")</f>
        <v/>
      </c>
      <c r="P1022" t="str">
        <f ca="1">IFERROR(__xludf.DUMMYFUNCTION("""COMPUTED_VALUE"""),"")</f>
        <v/>
      </c>
      <c r="Q1022" s="5" t="str">
        <f ca="1">IFERROR(__xludf.DUMMYFUNCTION("""COMPUTED_VALUE"""),"")</f>
        <v/>
      </c>
      <c r="R1022" s="6" t="str">
        <f ca="1">IFERROR(__xludf.DUMMYFUNCTION("""COMPUTED_VALUE"""),"")</f>
        <v/>
      </c>
      <c r="S1022" t="str">
        <f ca="1">IFERROR(__xludf.DUMMYFUNCTION("""COMPUTED_VALUE"""),"")</f>
        <v/>
      </c>
      <c r="T1022" t="str">
        <f ca="1">IFERROR(__xludf.DUMMYFUNCTION("""COMPUTED_VALUE"""),"")</f>
        <v/>
      </c>
      <c r="U1022" t="str">
        <f ca="1">IFERROR(__xludf.DUMMYFUNCTION("""COMPUTED_VALUE"""),"")</f>
        <v/>
      </c>
      <c r="V1022" t="str">
        <f ca="1">IFERROR(__xludf.DUMMYFUNCTION("""COMPUTED_VALUE"""),"")</f>
        <v/>
      </c>
      <c r="W1022" t="str">
        <f ca="1">IFERROR(__xludf.DUMMYFUNCTION("""COMPUTED_VALUE"""),"")</f>
        <v/>
      </c>
      <c r="X1022" t="str">
        <f ca="1">IFERROR(__xludf.DUMMYFUNCTION("""COMPUTED_VALUE"""),"")</f>
        <v/>
      </c>
      <c r="Y1022" t="str">
        <f ca="1">IFERROR(__xludf.DUMMYFUNCTION("""COMPUTED_VALUE"""),"")</f>
        <v/>
      </c>
      <c r="Z1022" t="str">
        <f ca="1">IFERROR(__xludf.DUMMYFUNCTION("""COMPUTED_VALUE"""),"")</f>
        <v/>
      </c>
      <c r="AA1022" t="str">
        <f ca="1">IFERROR(__xludf.DUMMYFUNCTION("""COMPUTED_VALUE"""),"Pas de commande")</f>
        <v>Pas de commande</v>
      </c>
      <c r="AB1022" s="8" t="str">
        <f ca="1">IFERROR(__xludf.DUMMYFUNCTION("""COMPUTED_VALUE"""),"")</f>
        <v/>
      </c>
      <c r="AC1022" s="8" t="str">
        <f ca="1">IFERROR(__xludf.DUMMYFUNCTION("""COMPUTED_VALUE"""),"")</f>
        <v/>
      </c>
      <c r="AD1022" s="11" t="str">
        <f ca="1">IFERROR(__xludf.DUMMYFUNCTION("""COMPUTED_VALUE"""),"")</f>
        <v/>
      </c>
      <c r="AE1022" t="str">
        <f ca="1">IFERROR(__xludf.DUMMYFUNCTION("""COMPUTED_VALUE"""),"")</f>
        <v/>
      </c>
    </row>
    <row r="1023" spans="1:31" ht="12.75" x14ac:dyDescent="0.2">
      <c r="A1023">
        <f ca="1">IFERROR(__xludf.DUMMYFUNCTION("""COMPUTED_VALUE"""),99209)</f>
        <v>99209</v>
      </c>
      <c r="B1023" t="str">
        <f ca="1">IFERROR(__xludf.DUMMYFUNCTION("""COMPUTED_VALUE"""),"STE-MARIE-IDR")</f>
        <v>STE-MARIE-IDR</v>
      </c>
      <c r="C1023" t="str">
        <f ca="1">IFERROR(__xludf.DUMMYFUNCTION("""COMPUTED_VALUE"""),"U Express")</f>
        <v>U Express</v>
      </c>
      <c r="D1023" t="str">
        <f ca="1">IFERROR(__xludf.DUMMYFUNCTION("""COMPUTED_VALUE"""),"Coop U Enseigne Sud")</f>
        <v>Coop U Enseigne Sud</v>
      </c>
      <c r="E1023">
        <f ca="1">IFERROR(__xludf.DUMMYFUNCTION("""COMPUTED_VALUE"""),97438)</f>
        <v>97438</v>
      </c>
      <c r="F1023" t="str">
        <f ca="1">IFERROR(__xludf.DUMMYFUNCTION("""COMPUTED_VALUE"""),"112 RUE ROGER PAYET")</f>
        <v>112 RUE ROGER PAYET</v>
      </c>
      <c r="G1023" t="str">
        <f ca="1">IFERROR(__xludf.DUMMYFUNCTION("""COMPUTED_VALUE"""),"02.62.53.55.73")</f>
        <v>02.62.53.55.73</v>
      </c>
      <c r="H1023" t="str">
        <f ca="1">IFERROR(__xludf.DUMMYFUNCTION("""COMPUTED_VALUE"""),"KWONG CHEONG Valerie")</f>
        <v>KWONG CHEONG Valerie</v>
      </c>
      <c r="I1023" t="str">
        <f ca="1">IFERROR(__xludf.DUMMYFUNCTION("""COMPUTED_VALUE"""),"valerie.law-yen@systeme-u.fr")</f>
        <v>valerie.law-yen@systeme-u.fr</v>
      </c>
      <c r="J1023" t="str">
        <f ca="1">IFERROR(__xludf.DUMMYFUNCTION("""COMPUTED_VALUE"""),"LAW YEN Laurent")</f>
        <v>LAW YEN Laurent</v>
      </c>
      <c r="K1023" t="str">
        <f ca="1">IFERROR(__xludf.DUMMYFUNCTION("""COMPUTED_VALUE"""),"laurent.lawyen@gmail.com")</f>
        <v>laurent.lawyen@gmail.com</v>
      </c>
      <c r="L1023" t="str">
        <f ca="1">IFERROR(__xludf.DUMMYFUNCTION("""COMPUTED_VALUE"""),"")</f>
        <v/>
      </c>
      <c r="M1023" t="str">
        <f ca="1">IFERROR(__xludf.DUMMYFUNCTION("""COMPUTED_VALUE"""),"99.Hors Périmetre")</f>
        <v>99.Hors Périmetre</v>
      </c>
      <c r="N1023" t="str">
        <f ca="1">IFERROR(__xludf.DUMMYFUNCTION("""COMPUTED_VALUE"""),"")</f>
        <v/>
      </c>
      <c r="O1023" t="str">
        <f ca="1">IFERROR(__xludf.DUMMYFUNCTION("""COMPUTED_VALUE"""),"")</f>
        <v/>
      </c>
      <c r="P1023" t="str">
        <f ca="1">IFERROR(__xludf.DUMMYFUNCTION("""COMPUTED_VALUE"""),"")</f>
        <v/>
      </c>
      <c r="Q1023" s="5" t="str">
        <f ca="1">IFERROR(__xludf.DUMMYFUNCTION("""COMPUTED_VALUE"""),"")</f>
        <v/>
      </c>
      <c r="R1023" s="6" t="str">
        <f ca="1">IFERROR(__xludf.DUMMYFUNCTION("""COMPUTED_VALUE"""),"")</f>
        <v/>
      </c>
      <c r="S1023" t="str">
        <f ca="1">IFERROR(__xludf.DUMMYFUNCTION("""COMPUTED_VALUE"""),"")</f>
        <v/>
      </c>
      <c r="T1023" t="str">
        <f ca="1">IFERROR(__xludf.DUMMYFUNCTION("""COMPUTED_VALUE"""),"")</f>
        <v/>
      </c>
      <c r="U1023" t="str">
        <f ca="1">IFERROR(__xludf.DUMMYFUNCTION("""COMPUTED_VALUE"""),"")</f>
        <v/>
      </c>
      <c r="V1023" t="str">
        <f ca="1">IFERROR(__xludf.DUMMYFUNCTION("""COMPUTED_VALUE"""),"")</f>
        <v/>
      </c>
      <c r="W1023" t="str">
        <f ca="1">IFERROR(__xludf.DUMMYFUNCTION("""COMPUTED_VALUE"""),"")</f>
        <v/>
      </c>
      <c r="X1023" t="str">
        <f ca="1">IFERROR(__xludf.DUMMYFUNCTION("""COMPUTED_VALUE"""),"")</f>
        <v/>
      </c>
      <c r="Y1023" t="str">
        <f ca="1">IFERROR(__xludf.DUMMYFUNCTION("""COMPUTED_VALUE"""),"")</f>
        <v/>
      </c>
      <c r="Z1023" t="str">
        <f ca="1">IFERROR(__xludf.DUMMYFUNCTION("""COMPUTED_VALUE"""),"")</f>
        <v/>
      </c>
      <c r="AA1023" t="str">
        <f ca="1">IFERROR(__xludf.DUMMYFUNCTION("""COMPUTED_VALUE"""),"Pas de commande")</f>
        <v>Pas de commande</v>
      </c>
      <c r="AB1023" s="8" t="str">
        <f ca="1">IFERROR(__xludf.DUMMYFUNCTION("""COMPUTED_VALUE"""),"")</f>
        <v/>
      </c>
      <c r="AC1023" s="8" t="str">
        <f ca="1">IFERROR(__xludf.DUMMYFUNCTION("""COMPUTED_VALUE"""),"")</f>
        <v/>
      </c>
      <c r="AD1023" s="11" t="str">
        <f ca="1">IFERROR(__xludf.DUMMYFUNCTION("""COMPUTED_VALUE"""),"")</f>
        <v/>
      </c>
      <c r="AE1023" t="str">
        <f ca="1">IFERROR(__xludf.DUMMYFUNCTION("""COMPUTED_VALUE"""),"")</f>
        <v/>
      </c>
    </row>
    <row r="1024" spans="1:31" ht="12.75" x14ac:dyDescent="0.2">
      <c r="A1024">
        <f ca="1">IFERROR(__xludf.DUMMYFUNCTION("""COMPUTED_VALUE"""),33085)</f>
        <v>33085</v>
      </c>
      <c r="B1024" t="str">
        <f ca="1">IFERROR(__xludf.DUMMYFUNCTION("""COMPUTED_VALUE"""),"STE-PAZANNE")</f>
        <v>STE-PAZANNE</v>
      </c>
      <c r="C1024" t="str">
        <f ca="1">IFERROR(__xludf.DUMMYFUNCTION("""COMPUTED_VALUE"""),"Super U")</f>
        <v>Super U</v>
      </c>
      <c r="D1024" t="str">
        <f ca="1">IFERROR(__xludf.DUMMYFUNCTION("""COMPUTED_VALUE"""),"Coop U Enseigne Ouest")</f>
        <v>Coop U Enseigne Ouest</v>
      </c>
      <c r="E1024">
        <f ca="1">IFERROR(__xludf.DUMMYFUNCTION("""COMPUTED_VALUE"""),44680)</f>
        <v>44680</v>
      </c>
      <c r="F1024" t="str">
        <f ca="1">IFERROR(__xludf.DUMMYFUNCTION("""COMPUTED_VALUE"""),"RUE DES CHARMES")</f>
        <v>RUE DES CHARMES</v>
      </c>
      <c r="G1024" t="str">
        <f ca="1">IFERROR(__xludf.DUMMYFUNCTION("""COMPUTED_VALUE"""),"02.40.02.45.22")</f>
        <v>02.40.02.45.22</v>
      </c>
      <c r="H1024" t="str">
        <f ca="1">IFERROR(__xludf.DUMMYFUNCTION("""COMPUTED_VALUE"""),"GANDRIEAU RPT SARL PROGAN DIS David")</f>
        <v>GANDRIEAU RPT SARL PROGAN DIS David</v>
      </c>
      <c r="I1024" t="str">
        <f ca="1">IFERROR(__xludf.DUMMYFUNCTION("""COMPUTED_VALUE"""),"david.gandrieau@systeme-u.fr")</f>
        <v>david.gandrieau@systeme-u.fr</v>
      </c>
      <c r="J1024" t="str">
        <f ca="1">IFERROR(__xludf.DUMMYFUNCTION("""COMPUTED_VALUE"""),"GANDRIEAU Anita")</f>
        <v>GANDRIEAU Anita</v>
      </c>
      <c r="K1024" t="str">
        <f ca="1">IFERROR(__xludf.DUMMYFUNCTION("""COMPUTED_VALUE"""),"anita.gandrieau@systeme-u.fr")</f>
        <v>anita.gandrieau@systeme-u.fr</v>
      </c>
      <c r="L1024" t="str">
        <f ca="1">IFERROR(__xludf.DUMMYFUNCTION("""COMPUTED_VALUE"""),"")</f>
        <v/>
      </c>
      <c r="M1024" t="str">
        <f ca="1">IFERROR(__xludf.DUMMYFUNCTION("""COMPUTED_VALUE"""),"99.Hors Périmetre")</f>
        <v>99.Hors Périmetre</v>
      </c>
      <c r="N1024" t="str">
        <f ca="1">IFERROR(__xludf.DUMMYFUNCTION("""COMPUTED_VALUE"""),"")</f>
        <v/>
      </c>
      <c r="O1024" t="str">
        <f ca="1">IFERROR(__xludf.DUMMYFUNCTION("""COMPUTED_VALUE"""),"")</f>
        <v/>
      </c>
      <c r="P1024" t="str">
        <f ca="1">IFERROR(__xludf.DUMMYFUNCTION("""COMPUTED_VALUE"""),"")</f>
        <v/>
      </c>
      <c r="Q1024" s="5" t="str">
        <f ca="1">IFERROR(__xludf.DUMMYFUNCTION("""COMPUTED_VALUE"""),"")</f>
        <v/>
      </c>
      <c r="R1024" s="6" t="str">
        <f ca="1">IFERROR(__xludf.DUMMYFUNCTION("""COMPUTED_VALUE"""),"")</f>
        <v/>
      </c>
      <c r="S1024" t="str">
        <f ca="1">IFERROR(__xludf.DUMMYFUNCTION("""COMPUTED_VALUE"""),"")</f>
        <v/>
      </c>
      <c r="T1024" t="str">
        <f ca="1">IFERROR(__xludf.DUMMYFUNCTION("""COMPUTED_VALUE"""),"")</f>
        <v/>
      </c>
      <c r="U1024" t="str">
        <f ca="1">IFERROR(__xludf.DUMMYFUNCTION("""COMPUTED_VALUE"""),"")</f>
        <v/>
      </c>
      <c r="V1024" t="str">
        <f ca="1">IFERROR(__xludf.DUMMYFUNCTION("""COMPUTED_VALUE"""),"")</f>
        <v/>
      </c>
      <c r="W1024" t="str">
        <f ca="1">IFERROR(__xludf.DUMMYFUNCTION("""COMPUTED_VALUE"""),"")</f>
        <v/>
      </c>
      <c r="X1024" t="str">
        <f ca="1">IFERROR(__xludf.DUMMYFUNCTION("""COMPUTED_VALUE"""),"")</f>
        <v/>
      </c>
      <c r="Y1024" t="str">
        <f ca="1">IFERROR(__xludf.DUMMYFUNCTION("""COMPUTED_VALUE"""),"")</f>
        <v/>
      </c>
      <c r="Z1024" t="str">
        <f ca="1">IFERROR(__xludf.DUMMYFUNCTION("""COMPUTED_VALUE"""),"")</f>
        <v/>
      </c>
      <c r="AA1024" t="str">
        <f ca="1">IFERROR(__xludf.DUMMYFUNCTION("""COMPUTED_VALUE"""),"Pas de commande")</f>
        <v>Pas de commande</v>
      </c>
      <c r="AB1024" s="8" t="str">
        <f ca="1">IFERROR(__xludf.DUMMYFUNCTION("""COMPUTED_VALUE"""),"")</f>
        <v/>
      </c>
      <c r="AC1024" s="8" t="str">
        <f ca="1">IFERROR(__xludf.DUMMYFUNCTION("""COMPUTED_VALUE"""),"")</f>
        <v/>
      </c>
      <c r="AD1024" s="11" t="str">
        <f ca="1">IFERROR(__xludf.DUMMYFUNCTION("""COMPUTED_VALUE"""),"")</f>
        <v/>
      </c>
      <c r="AE1024" t="str">
        <f ca="1">IFERROR(__xludf.DUMMYFUNCTION("""COMPUTED_VALUE"""),"")</f>
        <v/>
      </c>
    </row>
    <row r="1025" spans="1:31" ht="12.75" x14ac:dyDescent="0.2">
      <c r="A1025">
        <f ca="1">IFERROR(__xludf.DUMMYFUNCTION("""COMPUTED_VALUE"""),60043)</f>
        <v>60043</v>
      </c>
      <c r="B1025" t="str">
        <f ca="1">IFERROR(__xludf.DUMMYFUNCTION("""COMPUTED_VALUE"""),"STRASBOURG BOUCHERS")</f>
        <v>STRASBOURG BOUCHERS</v>
      </c>
      <c r="C1025" t="str">
        <f ca="1">IFERROR(__xludf.DUMMYFUNCTION("""COMPUTED_VALUE"""),"U Express")</f>
        <v>U Express</v>
      </c>
      <c r="D1025" t="str">
        <f ca="1">IFERROR(__xludf.DUMMYFUNCTION("""COMPUTED_VALUE"""),"Coop U Enseigne Est")</f>
        <v>Coop U Enseigne Est</v>
      </c>
      <c r="E1025">
        <f ca="1">IFERROR(__xludf.DUMMYFUNCTION("""COMPUTED_VALUE"""),67000)</f>
        <v>67000</v>
      </c>
      <c r="F1025" t="str">
        <f ca="1">IFERROR(__xludf.DUMMYFUNCTION("""COMPUTED_VALUE"""),"4 RUE DES BOUCHERS")</f>
        <v>4 RUE DES BOUCHERS</v>
      </c>
      <c r="G1025" t="str">
        <f ca="1">IFERROR(__xludf.DUMMYFUNCTION("""COMPUTED_VALUE"""),"03.88.36.16.02")</f>
        <v>03.88.36.16.02</v>
      </c>
      <c r="H1025" t="str">
        <f ca="1">IFERROR(__xludf.DUMMYFUNCTION("""COMPUTED_VALUE"""),"GROSS Eugène")</f>
        <v>GROSS Eugène</v>
      </c>
      <c r="I1025" t="str">
        <f ca="1">IFERROR(__xludf.DUMMYFUNCTION("""COMPUTED_VALUE"""),"eugene.gross@systeme-u.fr")</f>
        <v>eugene.gross@systeme-u.fr</v>
      </c>
      <c r="J1025" t="str">
        <f ca="1">IFERROR(__xludf.DUMMYFUNCTION("""COMPUTED_VALUE"""),"Mme GROSS")</f>
        <v>Mme GROSS</v>
      </c>
      <c r="K1025" t="str">
        <f ca="1">IFERROR(__xludf.DUMMYFUNCTION("""COMPUTED_VALUE"""),"anne.gross@systeme-u.fr")</f>
        <v>anne.gross@systeme-u.fr</v>
      </c>
      <c r="L1025" t="str">
        <f ca="1">IFERROR(__xludf.DUMMYFUNCTION("""COMPUTED_VALUE"""),"")</f>
        <v/>
      </c>
      <c r="M1025" t="str">
        <f ca="1">IFERROR(__xludf.DUMMYFUNCTION("""COMPUTED_VALUE"""),"99.Hors Périmetre")</f>
        <v>99.Hors Périmetre</v>
      </c>
      <c r="N1025" t="str">
        <f ca="1">IFERROR(__xludf.DUMMYFUNCTION("""COMPUTED_VALUE"""),"")</f>
        <v/>
      </c>
      <c r="O1025" t="str">
        <f ca="1">IFERROR(__xludf.DUMMYFUNCTION("""COMPUTED_VALUE"""),"")</f>
        <v/>
      </c>
      <c r="P1025" t="str">
        <f ca="1">IFERROR(__xludf.DUMMYFUNCTION("""COMPUTED_VALUE"""),"")</f>
        <v/>
      </c>
      <c r="Q1025" s="5" t="str">
        <f ca="1">IFERROR(__xludf.DUMMYFUNCTION("""COMPUTED_VALUE"""),"")</f>
        <v/>
      </c>
      <c r="R1025" s="6" t="str">
        <f ca="1">IFERROR(__xludf.DUMMYFUNCTION("""COMPUTED_VALUE"""),"")</f>
        <v/>
      </c>
      <c r="S1025" t="str">
        <f ca="1">IFERROR(__xludf.DUMMYFUNCTION("""COMPUTED_VALUE"""),"")</f>
        <v/>
      </c>
      <c r="T1025" t="str">
        <f ca="1">IFERROR(__xludf.DUMMYFUNCTION("""COMPUTED_VALUE"""),"")</f>
        <v/>
      </c>
      <c r="U1025" t="str">
        <f ca="1">IFERROR(__xludf.DUMMYFUNCTION("""COMPUTED_VALUE"""),"")</f>
        <v/>
      </c>
      <c r="V1025" t="str">
        <f ca="1">IFERROR(__xludf.DUMMYFUNCTION("""COMPUTED_VALUE"""),"")</f>
        <v/>
      </c>
      <c r="W1025" t="str">
        <f ca="1">IFERROR(__xludf.DUMMYFUNCTION("""COMPUTED_VALUE"""),"")</f>
        <v/>
      </c>
      <c r="X1025" t="str">
        <f ca="1">IFERROR(__xludf.DUMMYFUNCTION("""COMPUTED_VALUE"""),"")</f>
        <v/>
      </c>
      <c r="Y1025" t="str">
        <f ca="1">IFERROR(__xludf.DUMMYFUNCTION("""COMPUTED_VALUE"""),"")</f>
        <v/>
      </c>
      <c r="Z1025" t="str">
        <f ca="1">IFERROR(__xludf.DUMMYFUNCTION("""COMPUTED_VALUE"""),"")</f>
        <v/>
      </c>
      <c r="AA1025" t="str">
        <f ca="1">IFERROR(__xludf.DUMMYFUNCTION("""COMPUTED_VALUE"""),"Pas de commande")</f>
        <v>Pas de commande</v>
      </c>
      <c r="AB1025" s="8" t="str">
        <f ca="1">IFERROR(__xludf.DUMMYFUNCTION("""COMPUTED_VALUE"""),"")</f>
        <v/>
      </c>
      <c r="AC1025" s="8" t="str">
        <f ca="1">IFERROR(__xludf.DUMMYFUNCTION("""COMPUTED_VALUE"""),"")</f>
        <v/>
      </c>
      <c r="AD1025" s="11" t="str">
        <f ca="1">IFERROR(__xludf.DUMMYFUNCTION("""COMPUTED_VALUE"""),"")</f>
        <v/>
      </c>
      <c r="AE1025" t="str">
        <f ca="1">IFERROR(__xludf.DUMMYFUNCTION("""COMPUTED_VALUE"""),"")</f>
        <v/>
      </c>
    </row>
    <row r="1026" spans="1:31" ht="12.75" x14ac:dyDescent="0.2">
      <c r="A1026">
        <f ca="1">IFERROR(__xludf.DUMMYFUNCTION("""COMPUTED_VALUE"""),68531)</f>
        <v>68531</v>
      </c>
      <c r="B1026" t="str">
        <f ca="1">IFERROR(__xludf.DUMMYFUNCTION("""COMPUTED_VALUE"""),"STRASBOURG GRAND RUE")</f>
        <v>STRASBOURG GRAND RUE</v>
      </c>
      <c r="C1026" t="str">
        <f ca="1">IFERROR(__xludf.DUMMYFUNCTION("""COMPUTED_VALUE"""),"U Express")</f>
        <v>U Express</v>
      </c>
      <c r="D1026" t="str">
        <f ca="1">IFERROR(__xludf.DUMMYFUNCTION("""COMPUTED_VALUE"""),"Coop U Enseigne Est")</f>
        <v>Coop U Enseigne Est</v>
      </c>
      <c r="E1026">
        <f ca="1">IFERROR(__xludf.DUMMYFUNCTION("""COMPUTED_VALUE"""),67000)</f>
        <v>67000</v>
      </c>
      <c r="F1026" t="str">
        <f ca="1">IFERROR(__xludf.DUMMYFUNCTION("""COMPUTED_VALUE"""),"5 GRAND RUE")</f>
        <v>5 GRAND RUE</v>
      </c>
      <c r="G1026" t="str">
        <f ca="1">IFERROR(__xludf.DUMMYFUNCTION("""COMPUTED_VALUE"""),"03.88.75.63.11")</f>
        <v>03.88.75.63.11</v>
      </c>
      <c r="H1026" t="str">
        <f ca="1">IFERROR(__xludf.DUMMYFUNCTION("""COMPUTED_VALUE"""),"ALLARD David")</f>
        <v>ALLARD David</v>
      </c>
      <c r="I1026" t="str">
        <f ca="1">IFERROR(__xludf.DUMMYFUNCTION("""COMPUTED_VALUE"""),"david.allard@systeme-u.fr")</f>
        <v>david.allard@systeme-u.fr</v>
      </c>
      <c r="J1026" t="str">
        <f ca="1">IFERROR(__xludf.DUMMYFUNCTION("""COMPUTED_VALUE"""),"Mme ALLARD")</f>
        <v>Mme ALLARD</v>
      </c>
      <c r="K1026" t="str">
        <f ca="1">IFERROR(__xludf.DUMMYFUNCTION("""COMPUTED_VALUE"""),"jennifer.allard@systeme-u.fr")</f>
        <v>jennifer.allard@systeme-u.fr</v>
      </c>
      <c r="L1026" t="str">
        <f ca="1">IFERROR(__xludf.DUMMYFUNCTION("""COMPUTED_VALUE"""),"")</f>
        <v/>
      </c>
      <c r="M1026" t="str">
        <f ca="1">IFERROR(__xludf.DUMMYFUNCTION("""COMPUTED_VALUE"""),"99.Hors Périmetre")</f>
        <v>99.Hors Périmetre</v>
      </c>
      <c r="N1026" t="str">
        <f ca="1">IFERROR(__xludf.DUMMYFUNCTION("""COMPUTED_VALUE"""),"")</f>
        <v/>
      </c>
      <c r="O1026" t="str">
        <f ca="1">IFERROR(__xludf.DUMMYFUNCTION("""COMPUTED_VALUE"""),"")</f>
        <v/>
      </c>
      <c r="P1026" t="str">
        <f ca="1">IFERROR(__xludf.DUMMYFUNCTION("""COMPUTED_VALUE"""),"")</f>
        <v/>
      </c>
      <c r="Q1026" s="5" t="str">
        <f ca="1">IFERROR(__xludf.DUMMYFUNCTION("""COMPUTED_VALUE"""),"")</f>
        <v/>
      </c>
      <c r="R1026" s="6" t="str">
        <f ca="1">IFERROR(__xludf.DUMMYFUNCTION("""COMPUTED_VALUE"""),"")</f>
        <v/>
      </c>
      <c r="S1026" t="str">
        <f ca="1">IFERROR(__xludf.DUMMYFUNCTION("""COMPUTED_VALUE"""),"")</f>
        <v/>
      </c>
      <c r="T1026" t="str">
        <f ca="1">IFERROR(__xludf.DUMMYFUNCTION("""COMPUTED_VALUE"""),"")</f>
        <v/>
      </c>
      <c r="U1026" t="str">
        <f ca="1">IFERROR(__xludf.DUMMYFUNCTION("""COMPUTED_VALUE"""),"")</f>
        <v/>
      </c>
      <c r="V1026" t="str">
        <f ca="1">IFERROR(__xludf.DUMMYFUNCTION("""COMPUTED_VALUE"""),"")</f>
        <v/>
      </c>
      <c r="W1026" t="str">
        <f ca="1">IFERROR(__xludf.DUMMYFUNCTION("""COMPUTED_VALUE"""),"")</f>
        <v/>
      </c>
      <c r="X1026" t="str">
        <f ca="1">IFERROR(__xludf.DUMMYFUNCTION("""COMPUTED_VALUE"""),"")</f>
        <v/>
      </c>
      <c r="Y1026" t="str">
        <f ca="1">IFERROR(__xludf.DUMMYFUNCTION("""COMPUTED_VALUE"""),"")</f>
        <v/>
      </c>
      <c r="Z1026" t="str">
        <f ca="1">IFERROR(__xludf.DUMMYFUNCTION("""COMPUTED_VALUE"""),"")</f>
        <v/>
      </c>
      <c r="AA1026" t="str">
        <f ca="1">IFERROR(__xludf.DUMMYFUNCTION("""COMPUTED_VALUE"""),"Pas de commande")</f>
        <v>Pas de commande</v>
      </c>
      <c r="AB1026" s="8" t="str">
        <f ca="1">IFERROR(__xludf.DUMMYFUNCTION("""COMPUTED_VALUE"""),"")</f>
        <v/>
      </c>
      <c r="AC1026" s="8" t="str">
        <f ca="1">IFERROR(__xludf.DUMMYFUNCTION("""COMPUTED_VALUE"""),"")</f>
        <v/>
      </c>
      <c r="AD1026" s="11" t="str">
        <f ca="1">IFERROR(__xludf.DUMMYFUNCTION("""COMPUTED_VALUE"""),"")</f>
        <v/>
      </c>
      <c r="AE1026" t="str">
        <f ca="1">IFERROR(__xludf.DUMMYFUNCTION("""COMPUTED_VALUE"""),"")</f>
        <v/>
      </c>
    </row>
    <row r="1027" spans="1:31" ht="12.75" x14ac:dyDescent="0.2">
      <c r="A1027">
        <f ca="1">IFERROR(__xludf.DUMMYFUNCTION("""COMPUTED_VALUE"""),60702)</f>
        <v>60702</v>
      </c>
      <c r="B1027" t="str">
        <f ca="1">IFERROR(__xludf.DUMMYFUNCTION("""COMPUTED_VALUE"""),"STRASBOURG ROBERTSAU")</f>
        <v>STRASBOURG ROBERTSAU</v>
      </c>
      <c r="C1027" t="str">
        <f ca="1">IFERROR(__xludf.DUMMYFUNCTION("""COMPUTED_VALUE"""),"U Express")</f>
        <v>U Express</v>
      </c>
      <c r="D1027" t="str">
        <f ca="1">IFERROR(__xludf.DUMMYFUNCTION("""COMPUTED_VALUE"""),"Coop U Enseigne Est")</f>
        <v>Coop U Enseigne Est</v>
      </c>
      <c r="E1027">
        <f ca="1">IFERROR(__xludf.DUMMYFUNCTION("""COMPUTED_VALUE"""),67000)</f>
        <v>67000</v>
      </c>
      <c r="F1027" t="str">
        <f ca="1">IFERROR(__xludf.DUMMYFUNCTION("""COMPUTED_VALUE"""),"67 RUE BOECKLIN")</f>
        <v>67 RUE BOECKLIN</v>
      </c>
      <c r="G1027" t="str">
        <f ca="1">IFERROR(__xludf.DUMMYFUNCTION("""COMPUTED_VALUE"""),"03.88.31.97.40")</f>
        <v>03.88.31.97.40</v>
      </c>
      <c r="H1027" t="str">
        <f ca="1">IFERROR(__xludf.DUMMYFUNCTION("""COMPUTED_VALUE"""),"KLEIN Angélique")</f>
        <v>KLEIN Angélique</v>
      </c>
      <c r="I1027" t="str">
        <f ca="1">IFERROR(__xludf.DUMMYFUNCTION("""COMPUTED_VALUE"""),"angelique.klein@systeme-u.fr")</f>
        <v>angelique.klein@systeme-u.fr</v>
      </c>
      <c r="J1027" t="str">
        <f ca="1">IFERROR(__xludf.DUMMYFUNCTION("""COMPUTED_VALUE"""),"")</f>
        <v/>
      </c>
      <c r="K1027" t="str">
        <f ca="1">IFERROR(__xludf.DUMMYFUNCTION("""COMPUTED_VALUE"""),"")</f>
        <v/>
      </c>
      <c r="L1027" t="str">
        <f ca="1">IFERROR(__xludf.DUMMYFUNCTION("""COMPUTED_VALUE"""),"")</f>
        <v/>
      </c>
      <c r="M1027" t="str">
        <f ca="1">IFERROR(__xludf.DUMMYFUNCTION("""COMPUTED_VALUE"""),"99.Hors Périmetre")</f>
        <v>99.Hors Périmetre</v>
      </c>
      <c r="N1027" t="str">
        <f ca="1">IFERROR(__xludf.DUMMYFUNCTION("""COMPUTED_VALUE"""),"")</f>
        <v/>
      </c>
      <c r="O1027" t="str">
        <f ca="1">IFERROR(__xludf.DUMMYFUNCTION("""COMPUTED_VALUE"""),"")</f>
        <v/>
      </c>
      <c r="P1027" t="str">
        <f ca="1">IFERROR(__xludf.DUMMYFUNCTION("""COMPUTED_VALUE"""),"")</f>
        <v/>
      </c>
      <c r="Q1027" s="5" t="str">
        <f ca="1">IFERROR(__xludf.DUMMYFUNCTION("""COMPUTED_VALUE"""),"")</f>
        <v/>
      </c>
      <c r="R1027" s="6" t="str">
        <f ca="1">IFERROR(__xludf.DUMMYFUNCTION("""COMPUTED_VALUE"""),"")</f>
        <v/>
      </c>
      <c r="S1027" t="str">
        <f ca="1">IFERROR(__xludf.DUMMYFUNCTION("""COMPUTED_VALUE"""),"")</f>
        <v/>
      </c>
      <c r="T1027" t="str">
        <f ca="1">IFERROR(__xludf.DUMMYFUNCTION("""COMPUTED_VALUE"""),"")</f>
        <v/>
      </c>
      <c r="U1027" t="str">
        <f ca="1">IFERROR(__xludf.DUMMYFUNCTION("""COMPUTED_VALUE"""),"")</f>
        <v/>
      </c>
      <c r="V1027" t="str">
        <f ca="1">IFERROR(__xludf.DUMMYFUNCTION("""COMPUTED_VALUE"""),"")</f>
        <v/>
      </c>
      <c r="W1027" t="str">
        <f ca="1">IFERROR(__xludf.DUMMYFUNCTION("""COMPUTED_VALUE"""),"")</f>
        <v/>
      </c>
      <c r="X1027" t="str">
        <f ca="1">IFERROR(__xludf.DUMMYFUNCTION("""COMPUTED_VALUE"""),"")</f>
        <v/>
      </c>
      <c r="Y1027" t="str">
        <f ca="1">IFERROR(__xludf.DUMMYFUNCTION("""COMPUTED_VALUE"""),"")</f>
        <v/>
      </c>
      <c r="Z1027" t="str">
        <f ca="1">IFERROR(__xludf.DUMMYFUNCTION("""COMPUTED_VALUE"""),"")</f>
        <v/>
      </c>
      <c r="AA1027" t="str">
        <f ca="1">IFERROR(__xludf.DUMMYFUNCTION("""COMPUTED_VALUE"""),"Pas de commande")</f>
        <v>Pas de commande</v>
      </c>
      <c r="AB1027" s="8" t="str">
        <f ca="1">IFERROR(__xludf.DUMMYFUNCTION("""COMPUTED_VALUE"""),"")</f>
        <v/>
      </c>
      <c r="AC1027" s="8" t="str">
        <f ca="1">IFERROR(__xludf.DUMMYFUNCTION("""COMPUTED_VALUE"""),"")</f>
        <v/>
      </c>
      <c r="AD1027" s="11" t="str">
        <f ca="1">IFERROR(__xludf.DUMMYFUNCTION("""COMPUTED_VALUE"""),"")</f>
        <v/>
      </c>
      <c r="AE1027" t="str">
        <f ca="1">IFERROR(__xludf.DUMMYFUNCTION("""COMPUTED_VALUE"""),"")</f>
        <v/>
      </c>
    </row>
    <row r="1028" spans="1:31" ht="12.75" x14ac:dyDescent="0.2">
      <c r="A1028">
        <f ca="1">IFERROR(__xludf.DUMMYFUNCTION("""COMPUTED_VALUE"""),60019)</f>
        <v>60019</v>
      </c>
      <c r="B1028" t="str">
        <f ca="1">IFERROR(__xludf.DUMMYFUNCTION("""COMPUTED_VALUE"""),"STRASBOURG STOCKFELD")</f>
        <v>STRASBOURG STOCKFELD</v>
      </c>
      <c r="C1028" t="str">
        <f ca="1">IFERROR(__xludf.DUMMYFUNCTION("""COMPUTED_VALUE"""),"U Express")</f>
        <v>U Express</v>
      </c>
      <c r="D1028" t="str">
        <f ca="1">IFERROR(__xludf.DUMMYFUNCTION("""COMPUTED_VALUE"""),"Coop U Enseigne Est")</f>
        <v>Coop U Enseigne Est</v>
      </c>
      <c r="E1028">
        <f ca="1">IFERROR(__xludf.DUMMYFUNCTION("""COMPUTED_VALUE"""),67100)</f>
        <v>67100</v>
      </c>
      <c r="F1028" t="str">
        <f ca="1">IFERROR(__xludf.DUMMYFUNCTION("""COMPUTED_VALUE"""),"84 RUE DES JÉSUITES")</f>
        <v>84 RUE DES JÉSUITES</v>
      </c>
      <c r="G1028" t="str">
        <f ca="1">IFERROR(__xludf.DUMMYFUNCTION("""COMPUTED_VALUE"""),"03.90.40.09.56")</f>
        <v>03.90.40.09.56</v>
      </c>
      <c r="H1028" t="str">
        <f ca="1">IFERROR(__xludf.DUMMYFUNCTION("""COMPUTED_VALUE"""),"HIRSCHNER RPT SAS PAUJEMA Richard")</f>
        <v>HIRSCHNER RPT SAS PAUJEMA Richard</v>
      </c>
      <c r="I1028" t="str">
        <f ca="1">IFERROR(__xludf.DUMMYFUNCTION("""COMPUTED_VALUE"""),"richard.hirschner@systeme-u.fr")</f>
        <v>richard.hirschner@systeme-u.fr</v>
      </c>
      <c r="J1028" t="str">
        <f ca="1">IFERROR(__xludf.DUMMYFUNCTION("""COMPUTED_VALUE"""),"")</f>
        <v/>
      </c>
      <c r="K1028" t="str">
        <f ca="1">IFERROR(__xludf.DUMMYFUNCTION("""COMPUTED_VALUE"""),"")</f>
        <v/>
      </c>
      <c r="L1028" t="str">
        <f ca="1">IFERROR(__xludf.DUMMYFUNCTION("""COMPUTED_VALUE"""),"")</f>
        <v/>
      </c>
      <c r="M1028" t="str">
        <f ca="1">IFERROR(__xludf.DUMMYFUNCTION("""COMPUTED_VALUE"""),"99.Hors Périmetre")</f>
        <v>99.Hors Périmetre</v>
      </c>
      <c r="N1028" t="str">
        <f ca="1">IFERROR(__xludf.DUMMYFUNCTION("""COMPUTED_VALUE"""),"")</f>
        <v/>
      </c>
      <c r="O1028" t="str">
        <f ca="1">IFERROR(__xludf.DUMMYFUNCTION("""COMPUTED_VALUE"""),"")</f>
        <v/>
      </c>
      <c r="P1028" t="str">
        <f ca="1">IFERROR(__xludf.DUMMYFUNCTION("""COMPUTED_VALUE"""),"")</f>
        <v/>
      </c>
      <c r="Q1028" s="5" t="str">
        <f ca="1">IFERROR(__xludf.DUMMYFUNCTION("""COMPUTED_VALUE"""),"")</f>
        <v/>
      </c>
      <c r="R1028" s="6" t="str">
        <f ca="1">IFERROR(__xludf.DUMMYFUNCTION("""COMPUTED_VALUE"""),"")</f>
        <v/>
      </c>
      <c r="S1028" t="str">
        <f ca="1">IFERROR(__xludf.DUMMYFUNCTION("""COMPUTED_VALUE"""),"")</f>
        <v/>
      </c>
      <c r="T1028" t="str">
        <f ca="1">IFERROR(__xludf.DUMMYFUNCTION("""COMPUTED_VALUE"""),"")</f>
        <v/>
      </c>
      <c r="U1028" t="str">
        <f ca="1">IFERROR(__xludf.DUMMYFUNCTION("""COMPUTED_VALUE"""),"")</f>
        <v/>
      </c>
      <c r="V1028" t="str">
        <f ca="1">IFERROR(__xludf.DUMMYFUNCTION("""COMPUTED_VALUE"""),"")</f>
        <v/>
      </c>
      <c r="W1028" t="str">
        <f ca="1">IFERROR(__xludf.DUMMYFUNCTION("""COMPUTED_VALUE"""),"")</f>
        <v/>
      </c>
      <c r="X1028" t="str">
        <f ca="1">IFERROR(__xludf.DUMMYFUNCTION("""COMPUTED_VALUE"""),"")</f>
        <v/>
      </c>
      <c r="Y1028" t="str">
        <f ca="1">IFERROR(__xludf.DUMMYFUNCTION("""COMPUTED_VALUE"""),"")</f>
        <v/>
      </c>
      <c r="Z1028" t="str">
        <f ca="1">IFERROR(__xludf.DUMMYFUNCTION("""COMPUTED_VALUE"""),"")</f>
        <v/>
      </c>
      <c r="AA1028" t="str">
        <f ca="1">IFERROR(__xludf.DUMMYFUNCTION("""COMPUTED_VALUE"""),"Pas de commande")</f>
        <v>Pas de commande</v>
      </c>
      <c r="AB1028" s="8" t="str">
        <f ca="1">IFERROR(__xludf.DUMMYFUNCTION("""COMPUTED_VALUE"""),"")</f>
        <v/>
      </c>
      <c r="AC1028" s="8" t="str">
        <f ca="1">IFERROR(__xludf.DUMMYFUNCTION("""COMPUTED_VALUE"""),"")</f>
        <v/>
      </c>
      <c r="AD1028" s="11" t="str">
        <f ca="1">IFERROR(__xludf.DUMMYFUNCTION("""COMPUTED_VALUE"""),"")</f>
        <v/>
      </c>
      <c r="AE1028" t="str">
        <f ca="1">IFERROR(__xludf.DUMMYFUNCTION("""COMPUTED_VALUE"""),"")</f>
        <v/>
      </c>
    </row>
    <row r="1029" spans="1:31" ht="12.75" x14ac:dyDescent="0.2">
      <c r="A1029">
        <f ca="1">IFERROR(__xludf.DUMMYFUNCTION("""COMPUTED_VALUE"""),60072)</f>
        <v>60072</v>
      </c>
      <c r="B1029" t="str">
        <f ca="1">IFERROR(__xludf.DUMMYFUNCTION("""COMPUTED_VALUE"""),"STRASBOURG YSER")</f>
        <v>STRASBOURG YSER</v>
      </c>
      <c r="C1029" t="str">
        <f ca="1">IFERROR(__xludf.DUMMYFUNCTION("""COMPUTED_VALUE"""),"U Express")</f>
        <v>U Express</v>
      </c>
      <c r="D1029" t="str">
        <f ca="1">IFERROR(__xludf.DUMMYFUNCTION("""COMPUTED_VALUE"""),"Coop U Enseigne Est")</f>
        <v>Coop U Enseigne Est</v>
      </c>
      <c r="E1029">
        <f ca="1">IFERROR(__xludf.DUMMYFUNCTION("""COMPUTED_VALUE"""),67000)</f>
        <v>67000</v>
      </c>
      <c r="F1029" t="str">
        <f ca="1">IFERROR(__xludf.DUMMYFUNCTION("""COMPUTED_VALUE"""),"51 rue de l'Yser")</f>
        <v>51 rue de l'Yser</v>
      </c>
      <c r="G1029" t="str">
        <f ca="1">IFERROR(__xludf.DUMMYFUNCTION("""COMPUTED_VALUE"""),"03.88.45.30.90")</f>
        <v>03.88.45.30.90</v>
      </c>
      <c r="H1029" t="str">
        <f ca="1">IFERROR(__xludf.DUMMYFUNCTION("""COMPUTED_VALUE"""),"KLEIN-THOMAS Chantal")</f>
        <v>KLEIN-THOMAS Chantal</v>
      </c>
      <c r="I1029" t="str">
        <f ca="1">IFERROR(__xludf.DUMMYFUNCTION("""COMPUTED_VALUE"""),"chantal.klein-thomas@systeme-u.fr")</f>
        <v>chantal.klein-thomas@systeme-u.fr</v>
      </c>
      <c r="J1029" t="str">
        <f ca="1">IFERROR(__xludf.DUMMYFUNCTION("""COMPUTED_VALUE"""),"")</f>
        <v/>
      </c>
      <c r="K1029" t="str">
        <f ca="1">IFERROR(__xludf.DUMMYFUNCTION("""COMPUTED_VALUE"""),"")</f>
        <v/>
      </c>
      <c r="L1029" t="str">
        <f ca="1">IFERROR(__xludf.DUMMYFUNCTION("""COMPUTED_VALUE"""),"")</f>
        <v/>
      </c>
      <c r="M1029" t="str">
        <f ca="1">IFERROR(__xludf.DUMMYFUNCTION("""COMPUTED_VALUE"""),"99.Hors Périmetre")</f>
        <v>99.Hors Périmetre</v>
      </c>
      <c r="N1029" t="str">
        <f ca="1">IFERROR(__xludf.DUMMYFUNCTION("""COMPUTED_VALUE"""),"")</f>
        <v/>
      </c>
      <c r="O1029" t="str">
        <f ca="1">IFERROR(__xludf.DUMMYFUNCTION("""COMPUTED_VALUE"""),"")</f>
        <v/>
      </c>
      <c r="P1029" t="str">
        <f ca="1">IFERROR(__xludf.DUMMYFUNCTION("""COMPUTED_VALUE"""),"")</f>
        <v/>
      </c>
      <c r="Q1029" s="5" t="str">
        <f ca="1">IFERROR(__xludf.DUMMYFUNCTION("""COMPUTED_VALUE"""),"")</f>
        <v/>
      </c>
      <c r="R1029" s="6" t="str">
        <f ca="1">IFERROR(__xludf.DUMMYFUNCTION("""COMPUTED_VALUE"""),"")</f>
        <v/>
      </c>
      <c r="S1029" t="str">
        <f ca="1">IFERROR(__xludf.DUMMYFUNCTION("""COMPUTED_VALUE"""),"")</f>
        <v/>
      </c>
      <c r="T1029" t="str">
        <f ca="1">IFERROR(__xludf.DUMMYFUNCTION("""COMPUTED_VALUE"""),"")</f>
        <v/>
      </c>
      <c r="U1029" t="str">
        <f ca="1">IFERROR(__xludf.DUMMYFUNCTION("""COMPUTED_VALUE"""),"")</f>
        <v/>
      </c>
      <c r="V1029" t="str">
        <f ca="1">IFERROR(__xludf.DUMMYFUNCTION("""COMPUTED_VALUE"""),"")</f>
        <v/>
      </c>
      <c r="W1029" t="str">
        <f ca="1">IFERROR(__xludf.DUMMYFUNCTION("""COMPUTED_VALUE"""),"")</f>
        <v/>
      </c>
      <c r="X1029" t="str">
        <f ca="1">IFERROR(__xludf.DUMMYFUNCTION("""COMPUTED_VALUE"""),"")</f>
        <v/>
      </c>
      <c r="Y1029" t="str">
        <f ca="1">IFERROR(__xludf.DUMMYFUNCTION("""COMPUTED_VALUE"""),"")</f>
        <v/>
      </c>
      <c r="Z1029" t="str">
        <f ca="1">IFERROR(__xludf.DUMMYFUNCTION("""COMPUTED_VALUE"""),"")</f>
        <v/>
      </c>
      <c r="AA1029" t="str">
        <f ca="1">IFERROR(__xludf.DUMMYFUNCTION("""COMPUTED_VALUE"""),"Pas de commande")</f>
        <v>Pas de commande</v>
      </c>
      <c r="AB1029" s="8" t="str">
        <f ca="1">IFERROR(__xludf.DUMMYFUNCTION("""COMPUTED_VALUE"""),"")</f>
        <v/>
      </c>
      <c r="AC1029" s="8" t="str">
        <f ca="1">IFERROR(__xludf.DUMMYFUNCTION("""COMPUTED_VALUE"""),"")</f>
        <v/>
      </c>
      <c r="AD1029" s="11" t="str">
        <f ca="1">IFERROR(__xludf.DUMMYFUNCTION("""COMPUTED_VALUE"""),"")</f>
        <v/>
      </c>
      <c r="AE1029" t="str">
        <f ca="1">IFERROR(__xludf.DUMMYFUNCTION("""COMPUTED_VALUE"""),"")</f>
        <v/>
      </c>
    </row>
    <row r="1030" spans="1:31" ht="12.75" x14ac:dyDescent="0.2">
      <c r="A1030">
        <f ca="1">IFERROR(__xludf.DUMMYFUNCTION("""COMPUTED_VALUE"""),60029)</f>
        <v>60029</v>
      </c>
      <c r="B1030" t="str">
        <f ca="1">IFERROR(__xludf.DUMMYFUNCTION("""COMPUTED_VALUE"""),"SUNDHOUSE")</f>
        <v>SUNDHOUSE</v>
      </c>
      <c r="C1030" t="str">
        <f ca="1">IFERROR(__xludf.DUMMYFUNCTION("""COMPUTED_VALUE"""),"U Express")</f>
        <v>U Express</v>
      </c>
      <c r="D1030" t="str">
        <f ca="1">IFERROR(__xludf.DUMMYFUNCTION("""COMPUTED_VALUE"""),"Coop U Enseigne Est")</f>
        <v>Coop U Enseigne Est</v>
      </c>
      <c r="E1030">
        <f ca="1">IFERROR(__xludf.DUMMYFUNCTION("""COMPUTED_VALUE"""),67920)</f>
        <v>67920</v>
      </c>
      <c r="F1030" t="str">
        <f ca="1">IFERROR(__xludf.DUMMYFUNCTION("""COMPUTED_VALUE"""),"2 Rue de Wittisheim")</f>
        <v>2 Rue de Wittisheim</v>
      </c>
      <c r="G1030" t="str">
        <f ca="1">IFERROR(__xludf.DUMMYFUNCTION("""COMPUTED_VALUE"""),"03.88.85.88.91")</f>
        <v>03.88.85.88.91</v>
      </c>
      <c r="H1030" t="str">
        <f ca="1">IFERROR(__xludf.DUMMYFUNCTION("""COMPUTED_VALUE"""),"BACQUET Vincent")</f>
        <v>BACQUET Vincent</v>
      </c>
      <c r="I1030" t="str">
        <f ca="1">IFERROR(__xludf.DUMMYFUNCTION("""COMPUTED_VALUE"""),"vincent.bacquet@systeme-u.fr")</f>
        <v>vincent.bacquet@systeme-u.fr</v>
      </c>
      <c r="J1030" t="str">
        <f ca="1">IFERROR(__xludf.DUMMYFUNCTION("""COMPUTED_VALUE"""),"")</f>
        <v/>
      </c>
      <c r="K1030" t="str">
        <f ca="1">IFERROR(__xludf.DUMMYFUNCTION("""COMPUTED_VALUE"""),"")</f>
        <v/>
      </c>
      <c r="L1030" t="str">
        <f ca="1">IFERROR(__xludf.DUMMYFUNCTION("""COMPUTED_VALUE"""),"")</f>
        <v/>
      </c>
      <c r="M1030" t="str">
        <f ca="1">IFERROR(__xludf.DUMMYFUNCTION("""COMPUTED_VALUE"""),"99.Hors Périmetre")</f>
        <v>99.Hors Périmetre</v>
      </c>
      <c r="N1030" t="str">
        <f ca="1">IFERROR(__xludf.DUMMYFUNCTION("""COMPUTED_VALUE"""),"")</f>
        <v/>
      </c>
      <c r="O1030" t="str">
        <f ca="1">IFERROR(__xludf.DUMMYFUNCTION("""COMPUTED_VALUE"""),"")</f>
        <v/>
      </c>
      <c r="P1030" t="str">
        <f ca="1">IFERROR(__xludf.DUMMYFUNCTION("""COMPUTED_VALUE"""),"")</f>
        <v/>
      </c>
      <c r="Q1030" s="5" t="str">
        <f ca="1">IFERROR(__xludf.DUMMYFUNCTION("""COMPUTED_VALUE"""),"")</f>
        <v/>
      </c>
      <c r="R1030" s="6" t="str">
        <f ca="1">IFERROR(__xludf.DUMMYFUNCTION("""COMPUTED_VALUE"""),"")</f>
        <v/>
      </c>
      <c r="S1030" t="str">
        <f ca="1">IFERROR(__xludf.DUMMYFUNCTION("""COMPUTED_VALUE"""),"")</f>
        <v/>
      </c>
      <c r="T1030" t="str">
        <f ca="1">IFERROR(__xludf.DUMMYFUNCTION("""COMPUTED_VALUE"""),"")</f>
        <v/>
      </c>
      <c r="U1030" t="str">
        <f ca="1">IFERROR(__xludf.DUMMYFUNCTION("""COMPUTED_VALUE"""),"")</f>
        <v/>
      </c>
      <c r="V1030" t="str">
        <f ca="1">IFERROR(__xludf.DUMMYFUNCTION("""COMPUTED_VALUE"""),"")</f>
        <v/>
      </c>
      <c r="W1030" t="str">
        <f ca="1">IFERROR(__xludf.DUMMYFUNCTION("""COMPUTED_VALUE"""),"")</f>
        <v/>
      </c>
      <c r="X1030" t="str">
        <f ca="1">IFERROR(__xludf.DUMMYFUNCTION("""COMPUTED_VALUE"""),"")</f>
        <v/>
      </c>
      <c r="Y1030" t="str">
        <f ca="1">IFERROR(__xludf.DUMMYFUNCTION("""COMPUTED_VALUE"""),"")</f>
        <v/>
      </c>
      <c r="Z1030" t="str">
        <f ca="1">IFERROR(__xludf.DUMMYFUNCTION("""COMPUTED_VALUE"""),"")</f>
        <v/>
      </c>
      <c r="AA1030" t="str">
        <f ca="1">IFERROR(__xludf.DUMMYFUNCTION("""COMPUTED_VALUE"""),"Pas de commande")</f>
        <v>Pas de commande</v>
      </c>
      <c r="AB1030" s="8" t="str">
        <f ca="1">IFERROR(__xludf.DUMMYFUNCTION("""COMPUTED_VALUE"""),"")</f>
        <v/>
      </c>
      <c r="AC1030" s="8" t="str">
        <f ca="1">IFERROR(__xludf.DUMMYFUNCTION("""COMPUTED_VALUE"""),"")</f>
        <v/>
      </c>
      <c r="AD1030" s="11" t="str">
        <f ca="1">IFERROR(__xludf.DUMMYFUNCTION("""COMPUTED_VALUE"""),"")</f>
        <v/>
      </c>
      <c r="AE1030" t="str">
        <f ca="1">IFERROR(__xludf.DUMMYFUNCTION("""COMPUTED_VALUE"""),"")</f>
        <v/>
      </c>
    </row>
    <row r="1031" spans="1:31" ht="12.75" x14ac:dyDescent="0.2">
      <c r="A1031">
        <f ca="1">IFERROR(__xludf.DUMMYFUNCTION("""COMPUTED_VALUE"""),23492)</f>
        <v>23492</v>
      </c>
      <c r="B1031" t="str">
        <f ca="1">IFERROR(__xludf.DUMMYFUNCTION("""COMPUTED_VALUE"""),"SURESNES")</f>
        <v>SURESNES</v>
      </c>
      <c r="C1031" t="str">
        <f ca="1">IFERROR(__xludf.DUMMYFUNCTION("""COMPUTED_VALUE"""),"U Express")</f>
        <v>U Express</v>
      </c>
      <c r="D1031" t="str">
        <f ca="1">IFERROR(__xludf.DUMMYFUNCTION("""COMPUTED_VALUE"""),"Coop U Enseigne NordOuest")</f>
        <v>Coop U Enseigne NordOuest</v>
      </c>
      <c r="E1031">
        <f ca="1">IFERROR(__xludf.DUMMYFUNCTION("""COMPUTED_VALUE"""),92150)</f>
        <v>92150</v>
      </c>
      <c r="F1031" t="str">
        <f ca="1">IFERROR(__xludf.DUMMYFUNCTION("""COMPUTED_VALUE"""),"85 RUE CARNOT")</f>
        <v>85 RUE CARNOT</v>
      </c>
      <c r="G1031" t="str">
        <f ca="1">IFERROR(__xludf.DUMMYFUNCTION("""COMPUTED_VALUE"""),"01.47.28.06.51")</f>
        <v>01.47.28.06.51</v>
      </c>
      <c r="H1031" t="str">
        <f ca="1">IFERROR(__xludf.DUMMYFUNCTION("""COMPUTED_VALUE"""),"BECQ DE FOUQUIÈRES Arthur")</f>
        <v>BECQ DE FOUQUIÈRES Arthur</v>
      </c>
      <c r="I1031" t="str">
        <f ca="1">IFERROR(__xludf.DUMMYFUNCTION("""COMPUTED_VALUE"""),"arthur.defouquieres@systeme-u.fr")</f>
        <v>arthur.defouquieres@systeme-u.fr</v>
      </c>
      <c r="J1031" t="str">
        <f ca="1">IFERROR(__xludf.DUMMYFUNCTION("""COMPUTED_VALUE"""),"DAMHET Thomas
M. Belacel")</f>
        <v>DAMHET Thomas
M. Belacel</v>
      </c>
      <c r="K1031" t="str">
        <f ca="1">IFERROR(__xludf.DUMMYFUNCTION("""COMPUTED_VALUE"""),"tdamhet@gmail.com,zbelacel.su@gmail.com")</f>
        <v>tdamhet@gmail.com,zbelacel.su@gmail.com</v>
      </c>
      <c r="L1031" t="str">
        <f ca="1">IFERROR(__xludf.DUMMYFUNCTION("""COMPUTED_VALUE"""),"")</f>
        <v/>
      </c>
      <c r="M1031" t="str">
        <f ca="1">IFERROR(__xludf.DUMMYFUNCTION("""COMPUTED_VALUE"""),"99.Hors Périmetre")</f>
        <v>99.Hors Périmetre</v>
      </c>
      <c r="N1031" t="str">
        <f ca="1">IFERROR(__xludf.DUMMYFUNCTION("""COMPUTED_VALUE"""),"")</f>
        <v/>
      </c>
      <c r="O1031" t="str">
        <f ca="1">IFERROR(__xludf.DUMMYFUNCTION("""COMPUTED_VALUE"""),"")</f>
        <v/>
      </c>
      <c r="P1031" t="str">
        <f ca="1">IFERROR(__xludf.DUMMYFUNCTION("""COMPUTED_VALUE"""),"")</f>
        <v/>
      </c>
      <c r="Q1031" s="5" t="str">
        <f ca="1">IFERROR(__xludf.DUMMYFUNCTION("""COMPUTED_VALUE"""),"")</f>
        <v/>
      </c>
      <c r="R1031" s="6" t="str">
        <f ca="1">IFERROR(__xludf.DUMMYFUNCTION("""COMPUTED_VALUE"""),"")</f>
        <v/>
      </c>
      <c r="S1031" t="str">
        <f ca="1">IFERROR(__xludf.DUMMYFUNCTION("""COMPUTED_VALUE"""),"")</f>
        <v/>
      </c>
      <c r="T1031" t="str">
        <f ca="1">IFERROR(__xludf.DUMMYFUNCTION("""COMPUTED_VALUE"""),"")</f>
        <v/>
      </c>
      <c r="U1031" t="str">
        <f ca="1">IFERROR(__xludf.DUMMYFUNCTION("""COMPUTED_VALUE"""),"")</f>
        <v/>
      </c>
      <c r="V1031" t="str">
        <f ca="1">IFERROR(__xludf.DUMMYFUNCTION("""COMPUTED_VALUE"""),"")</f>
        <v/>
      </c>
      <c r="W1031" t="str">
        <f ca="1">IFERROR(__xludf.DUMMYFUNCTION("""COMPUTED_VALUE"""),"")</f>
        <v/>
      </c>
      <c r="X1031" t="str">
        <f ca="1">IFERROR(__xludf.DUMMYFUNCTION("""COMPUTED_VALUE"""),"")</f>
        <v/>
      </c>
      <c r="Y1031" t="str">
        <f ca="1">IFERROR(__xludf.DUMMYFUNCTION("""COMPUTED_VALUE"""),"")</f>
        <v/>
      </c>
      <c r="Z1031" t="str">
        <f ca="1">IFERROR(__xludf.DUMMYFUNCTION("""COMPUTED_VALUE"""),"")</f>
        <v/>
      </c>
      <c r="AA1031" t="str">
        <f ca="1">IFERROR(__xludf.DUMMYFUNCTION("""COMPUTED_VALUE"""),"Pas de commande")</f>
        <v>Pas de commande</v>
      </c>
      <c r="AB1031" s="8" t="str">
        <f ca="1">IFERROR(__xludf.DUMMYFUNCTION("""COMPUTED_VALUE"""),"")</f>
        <v/>
      </c>
      <c r="AC1031" s="8" t="str">
        <f ca="1">IFERROR(__xludf.DUMMYFUNCTION("""COMPUTED_VALUE"""),"")</f>
        <v/>
      </c>
      <c r="AD1031" s="11" t="str">
        <f ca="1">IFERROR(__xludf.DUMMYFUNCTION("""COMPUTED_VALUE"""),"")</f>
        <v/>
      </c>
      <c r="AE1031" t="str">
        <f ca="1">IFERROR(__xludf.DUMMYFUNCTION("""COMPUTED_VALUE"""),"")</f>
        <v/>
      </c>
    </row>
    <row r="1032" spans="1:31" ht="12.75" x14ac:dyDescent="0.2">
      <c r="A1032">
        <f ca="1">IFERROR(__xludf.DUMMYFUNCTION("""COMPUTED_VALUE"""),34196)</f>
        <v>34196</v>
      </c>
      <c r="B1032" t="str">
        <f ca="1">IFERROR(__xludf.DUMMYFUNCTION("""COMPUTED_VALUE"""),"SURGÈRES")</f>
        <v>SURGÈRES</v>
      </c>
      <c r="C1032" t="str">
        <f ca="1">IFERROR(__xludf.DUMMYFUNCTION("""COMPUTED_VALUE"""),"U Express")</f>
        <v>U Express</v>
      </c>
      <c r="D1032" t="str">
        <f ca="1">IFERROR(__xludf.DUMMYFUNCTION("""COMPUTED_VALUE"""),"Coop Atlantique")</f>
        <v>Coop Atlantique</v>
      </c>
      <c r="E1032">
        <f ca="1">IFERROR(__xludf.DUMMYFUNCTION("""COMPUTED_VALUE"""),17700)</f>
        <v>17700</v>
      </c>
      <c r="F1032" t="str">
        <f ca="1">IFERROR(__xludf.DUMMYFUNCTION("""COMPUTED_VALUE"""),"13 RUE AVENUE ST PIERRE")</f>
        <v>13 RUE AVENUE ST PIERRE</v>
      </c>
      <c r="G1032" t="str">
        <f ca="1">IFERROR(__xludf.DUMMYFUNCTION("""COMPUTED_VALUE"""),"05.46.07.02.37")</f>
        <v>05.46.07.02.37</v>
      </c>
      <c r="H1032" t="str">
        <f ca="1">IFERROR(__xludf.DUMMYFUNCTION("""COMPUTED_VALUE"""),"FLAMBARD Hervé")</f>
        <v>FLAMBARD Hervé</v>
      </c>
      <c r="I1032" t="str">
        <f ca="1">IFERROR(__xludf.DUMMYFUNCTION("""COMPUTED_VALUE"""),"bertrand.defontaine_coop_su_uex@systeme-u.fr")</f>
        <v>bertrand.defontaine_coop_su_uex@systeme-u.fr</v>
      </c>
      <c r="J1032" t="str">
        <f ca="1">IFERROR(__xludf.DUMMYFUNCTION("""COMPUTED_VALUE"""),"Mathieu Brunet")</f>
        <v>Mathieu Brunet</v>
      </c>
      <c r="K1032" t="str">
        <f ca="1">IFERROR(__xludf.DUMMYFUNCTION("""COMPUTED_VALUE"""),"nbrigant@coop-atlantique.fr,sjaud@coop-atlantique.fr,uexpress.surgeres.direction@systeme-u.fr,mbrunet@coop-atlantique.fr")</f>
        <v>nbrigant@coop-atlantique.fr,sjaud@coop-atlantique.fr,uexpress.surgeres.direction@systeme-u.fr,mbrunet@coop-atlantique.fr</v>
      </c>
      <c r="L1032" t="str">
        <f ca="1">IFERROR(__xludf.DUMMYFUNCTION("""COMPUTED_VALUE"""),"")</f>
        <v/>
      </c>
      <c r="M1032" t="str">
        <f ca="1">IFERROR(__xludf.DUMMYFUNCTION("""COMPUTED_VALUE"""),"99.Hors Périmetre")</f>
        <v>99.Hors Périmetre</v>
      </c>
      <c r="N1032" t="str">
        <f ca="1">IFERROR(__xludf.DUMMYFUNCTION("""COMPUTED_VALUE"""),"")</f>
        <v/>
      </c>
      <c r="O1032" t="str">
        <f ca="1">IFERROR(__xludf.DUMMYFUNCTION("""COMPUTED_VALUE"""),"")</f>
        <v/>
      </c>
      <c r="P1032" t="str">
        <f ca="1">IFERROR(__xludf.DUMMYFUNCTION("""COMPUTED_VALUE"""),"")</f>
        <v/>
      </c>
      <c r="Q1032" s="5" t="str">
        <f ca="1">IFERROR(__xludf.DUMMYFUNCTION("""COMPUTED_VALUE"""),"")</f>
        <v/>
      </c>
      <c r="R1032" s="6" t="str">
        <f ca="1">IFERROR(__xludf.DUMMYFUNCTION("""COMPUTED_VALUE"""),"")</f>
        <v/>
      </c>
      <c r="S1032" t="str">
        <f ca="1">IFERROR(__xludf.DUMMYFUNCTION("""COMPUTED_VALUE"""),"")</f>
        <v/>
      </c>
      <c r="T1032" t="str">
        <f ca="1">IFERROR(__xludf.DUMMYFUNCTION("""COMPUTED_VALUE"""),"")</f>
        <v/>
      </c>
      <c r="U1032" t="str">
        <f ca="1">IFERROR(__xludf.DUMMYFUNCTION("""COMPUTED_VALUE"""),"")</f>
        <v/>
      </c>
      <c r="V1032" t="str">
        <f ca="1">IFERROR(__xludf.DUMMYFUNCTION("""COMPUTED_VALUE"""),"")</f>
        <v/>
      </c>
      <c r="W1032" t="str">
        <f ca="1">IFERROR(__xludf.DUMMYFUNCTION("""COMPUTED_VALUE"""),"")</f>
        <v/>
      </c>
      <c r="X1032" t="str">
        <f ca="1">IFERROR(__xludf.DUMMYFUNCTION("""COMPUTED_VALUE"""),"")</f>
        <v/>
      </c>
      <c r="Y1032" t="str">
        <f ca="1">IFERROR(__xludf.DUMMYFUNCTION("""COMPUTED_VALUE"""),"")</f>
        <v/>
      </c>
      <c r="Z1032" t="str">
        <f ca="1">IFERROR(__xludf.DUMMYFUNCTION("""COMPUTED_VALUE"""),"")</f>
        <v/>
      </c>
      <c r="AA1032" t="str">
        <f ca="1">IFERROR(__xludf.DUMMYFUNCTION("""COMPUTED_VALUE"""),"Pas de commande")</f>
        <v>Pas de commande</v>
      </c>
      <c r="AB1032" s="8" t="str">
        <f ca="1">IFERROR(__xludf.DUMMYFUNCTION("""COMPUTED_VALUE"""),"")</f>
        <v/>
      </c>
      <c r="AC1032" s="8" t="str">
        <f ca="1">IFERROR(__xludf.DUMMYFUNCTION("""COMPUTED_VALUE"""),"")</f>
        <v/>
      </c>
      <c r="AD1032" s="11" t="str">
        <f ca="1">IFERROR(__xludf.DUMMYFUNCTION("""COMPUTED_VALUE"""),"")</f>
        <v/>
      </c>
      <c r="AE1032" t="str">
        <f ca="1">IFERROR(__xludf.DUMMYFUNCTION("""COMPUTED_VALUE"""),"")</f>
        <v/>
      </c>
    </row>
    <row r="1033" spans="1:31" ht="12.75" x14ac:dyDescent="0.2">
      <c r="A1033">
        <f ca="1">IFERROR(__xludf.DUMMYFUNCTION("""COMPUTED_VALUE"""),66179)</f>
        <v>66179</v>
      </c>
      <c r="B1033" t="str">
        <f ca="1">IFERROR(__xludf.DUMMYFUNCTION("""COMPUTED_VALUE"""),"SURY LE COMTAL")</f>
        <v>SURY LE COMTAL</v>
      </c>
      <c r="C1033" t="str">
        <f ca="1">IFERROR(__xludf.DUMMYFUNCTION("""COMPUTED_VALUE"""),"Super U")</f>
        <v>Super U</v>
      </c>
      <c r="D1033" t="str">
        <f ca="1">IFERROR(__xludf.DUMMYFUNCTION("""COMPUTED_VALUE"""),"Coop U Enseigne Est")</f>
        <v>Coop U Enseigne Est</v>
      </c>
      <c r="E1033">
        <f ca="1">IFERROR(__xludf.DUMMYFUNCTION("""COMPUTED_VALUE"""),42450)</f>
        <v>42450</v>
      </c>
      <c r="F1033" t="str">
        <f ca="1">IFERROR(__xludf.DUMMYFUNCTION("""COMPUTED_VALUE"""),"rue du 11 Novembre")</f>
        <v>rue du 11 Novembre</v>
      </c>
      <c r="G1033" t="str">
        <f ca="1">IFERROR(__xludf.DUMMYFUNCTION("""COMPUTED_VALUE"""),"04.77.30.01.73")</f>
        <v>04.77.30.01.73</v>
      </c>
      <c r="H1033" t="str">
        <f ca="1">IFERROR(__xludf.DUMMYFUNCTION("""COMPUTED_VALUE"""),"SOUFFLEUX Pascal")</f>
        <v>SOUFFLEUX Pascal</v>
      </c>
      <c r="I1033" t="str">
        <f ca="1">IFERROR(__xludf.DUMMYFUNCTION("""COMPUTED_VALUE"""),"pascal.souffleux@systeme-u.fr")</f>
        <v>pascal.souffleux@systeme-u.fr</v>
      </c>
      <c r="J1033" t="str">
        <f ca="1">IFERROR(__xludf.DUMMYFUNCTION("""COMPUTED_VALUE"""),"GOUDET Aymeric")</f>
        <v>GOUDET Aymeric</v>
      </c>
      <c r="K1033" t="str">
        <f ca="1">IFERROR(__xludf.DUMMYFUNCTION("""COMPUTED_VALUE"""),"superu.surylecomtal.direction@systeme-u.fr")</f>
        <v>superu.surylecomtal.direction@systeme-u.fr</v>
      </c>
      <c r="L1033" t="str">
        <f ca="1">IFERROR(__xludf.DUMMYFUNCTION("""COMPUTED_VALUE"""),"")</f>
        <v/>
      </c>
      <c r="M1033" t="str">
        <f ca="1">IFERROR(__xludf.DUMMYFUNCTION("""COMPUTED_VALUE"""),"99.Hors Périmetre")</f>
        <v>99.Hors Périmetre</v>
      </c>
      <c r="N1033" t="str">
        <f ca="1">IFERROR(__xludf.DUMMYFUNCTION("""COMPUTED_VALUE"""),"")</f>
        <v/>
      </c>
      <c r="O1033" t="str">
        <f ca="1">IFERROR(__xludf.DUMMYFUNCTION("""COMPUTED_VALUE"""),"")</f>
        <v/>
      </c>
      <c r="P1033" t="str">
        <f ca="1">IFERROR(__xludf.DUMMYFUNCTION("""COMPUTED_VALUE"""),"")</f>
        <v/>
      </c>
      <c r="Q1033" s="5" t="str">
        <f ca="1">IFERROR(__xludf.DUMMYFUNCTION("""COMPUTED_VALUE"""),"")</f>
        <v/>
      </c>
      <c r="R1033" s="6" t="str">
        <f ca="1">IFERROR(__xludf.DUMMYFUNCTION("""COMPUTED_VALUE"""),"")</f>
        <v/>
      </c>
      <c r="S1033" t="str">
        <f ca="1">IFERROR(__xludf.DUMMYFUNCTION("""COMPUTED_VALUE"""),"")</f>
        <v/>
      </c>
      <c r="T1033" t="str">
        <f ca="1">IFERROR(__xludf.DUMMYFUNCTION("""COMPUTED_VALUE"""),"")</f>
        <v/>
      </c>
      <c r="U1033" t="str">
        <f ca="1">IFERROR(__xludf.DUMMYFUNCTION("""COMPUTED_VALUE"""),"")</f>
        <v/>
      </c>
      <c r="V1033" t="str">
        <f ca="1">IFERROR(__xludf.DUMMYFUNCTION("""COMPUTED_VALUE"""),"")</f>
        <v/>
      </c>
      <c r="W1033" t="str">
        <f ca="1">IFERROR(__xludf.DUMMYFUNCTION("""COMPUTED_VALUE"""),"")</f>
        <v/>
      </c>
      <c r="X1033" t="str">
        <f ca="1">IFERROR(__xludf.DUMMYFUNCTION("""COMPUTED_VALUE"""),"")</f>
        <v/>
      </c>
      <c r="Y1033" t="str">
        <f ca="1">IFERROR(__xludf.DUMMYFUNCTION("""COMPUTED_VALUE"""),"")</f>
        <v/>
      </c>
      <c r="Z1033" t="str">
        <f ca="1">IFERROR(__xludf.DUMMYFUNCTION("""COMPUTED_VALUE"""),"")</f>
        <v/>
      </c>
      <c r="AA1033" t="str">
        <f ca="1">IFERROR(__xludf.DUMMYFUNCTION("""COMPUTED_VALUE"""),"Pas de commande")</f>
        <v>Pas de commande</v>
      </c>
      <c r="AB1033" s="8" t="str">
        <f ca="1">IFERROR(__xludf.DUMMYFUNCTION("""COMPUTED_VALUE"""),"")</f>
        <v/>
      </c>
      <c r="AC1033" s="8" t="str">
        <f ca="1">IFERROR(__xludf.DUMMYFUNCTION("""COMPUTED_VALUE"""),"")</f>
        <v/>
      </c>
      <c r="AD1033" s="11" t="str">
        <f ca="1">IFERROR(__xludf.DUMMYFUNCTION("""COMPUTED_VALUE"""),"")</f>
        <v/>
      </c>
      <c r="AE1033" t="str">
        <f ca="1">IFERROR(__xludf.DUMMYFUNCTION("""COMPUTED_VALUE"""),"")</f>
        <v/>
      </c>
    </row>
    <row r="1034" spans="1:31" ht="12.75" x14ac:dyDescent="0.2">
      <c r="A1034">
        <f ca="1">IFERROR(__xludf.DUMMYFUNCTION("""COMPUTED_VALUE"""),65460)</f>
        <v>65460</v>
      </c>
      <c r="B1034" t="str">
        <f ca="1">IFERROR(__xludf.DUMMYFUNCTION("""COMPUTED_VALUE"""),"TALANGE")</f>
        <v>TALANGE</v>
      </c>
      <c r="C1034" t="str">
        <f ca="1">IFERROR(__xludf.DUMMYFUNCTION("""COMPUTED_VALUE"""),"Super U")</f>
        <v>Super U</v>
      </c>
      <c r="D1034" t="str">
        <f ca="1">IFERROR(__xludf.DUMMYFUNCTION("""COMPUTED_VALUE"""),"Coop U Enseigne Est")</f>
        <v>Coop U Enseigne Est</v>
      </c>
      <c r="E1034">
        <f ca="1">IFERROR(__xludf.DUMMYFUNCTION("""COMPUTED_VALUE"""),57525)</f>
        <v>57525</v>
      </c>
      <c r="F1034" t="str">
        <f ca="1">IFERROR(__xludf.DUMMYFUNCTION("""COMPUTED_VALUE"""),"Zone commerciale du Triangle")</f>
        <v>Zone commerciale du Triangle</v>
      </c>
      <c r="G1034" t="str">
        <f ca="1">IFERROR(__xludf.DUMMYFUNCTION("""COMPUTED_VALUE"""),"03.87.70.24.10")</f>
        <v>03.87.70.24.10</v>
      </c>
      <c r="H1034" t="str">
        <f ca="1">IFERROR(__xludf.DUMMYFUNCTION("""COMPUTED_VALUE"""),"RICATEAU Frédéric")</f>
        <v>RICATEAU Frédéric</v>
      </c>
      <c r="I1034" t="str">
        <f ca="1">IFERROR(__xludf.DUMMYFUNCTION("""COMPUTED_VALUE"""),"frederic.ricateau@systeme-u.fr")</f>
        <v>frederic.ricateau@systeme-u.fr</v>
      </c>
      <c r="J1034" t="str">
        <f ca="1">IFERROR(__xludf.DUMMYFUNCTION("""COMPUTED_VALUE"""),"Mme Véronique Faivre")</f>
        <v>Mme Véronique Faivre</v>
      </c>
      <c r="K1034" t="str">
        <f ca="1">IFERROR(__xludf.DUMMYFUNCTION("""COMPUTED_VALUE"""),"superu.talange.accueil@systeme-u.fr")</f>
        <v>superu.talange.accueil@systeme-u.fr</v>
      </c>
      <c r="L1034" t="str">
        <f ca="1">IFERROR(__xludf.DUMMYFUNCTION("""COMPUTED_VALUE"""),"")</f>
        <v/>
      </c>
      <c r="M1034" t="str">
        <f ca="1">IFERROR(__xludf.DUMMYFUNCTION("""COMPUTED_VALUE"""),"99.Hors Périmetre")</f>
        <v>99.Hors Périmetre</v>
      </c>
      <c r="N1034" t="str">
        <f ca="1">IFERROR(__xludf.DUMMYFUNCTION("""COMPUTED_VALUE"""),"")</f>
        <v/>
      </c>
      <c r="O1034" t="str">
        <f ca="1">IFERROR(__xludf.DUMMYFUNCTION("""COMPUTED_VALUE"""),"")</f>
        <v/>
      </c>
      <c r="P1034" t="str">
        <f ca="1">IFERROR(__xludf.DUMMYFUNCTION("""COMPUTED_VALUE"""),"")</f>
        <v/>
      </c>
      <c r="Q1034" s="5" t="str">
        <f ca="1">IFERROR(__xludf.DUMMYFUNCTION("""COMPUTED_VALUE"""),"")</f>
        <v/>
      </c>
      <c r="R1034" s="6" t="str">
        <f ca="1">IFERROR(__xludf.DUMMYFUNCTION("""COMPUTED_VALUE"""),"")</f>
        <v/>
      </c>
      <c r="S1034" t="str">
        <f ca="1">IFERROR(__xludf.DUMMYFUNCTION("""COMPUTED_VALUE"""),"")</f>
        <v/>
      </c>
      <c r="T1034" t="str">
        <f ca="1">IFERROR(__xludf.DUMMYFUNCTION("""COMPUTED_VALUE"""),"")</f>
        <v/>
      </c>
      <c r="U1034" t="str">
        <f ca="1">IFERROR(__xludf.DUMMYFUNCTION("""COMPUTED_VALUE"""),"")</f>
        <v/>
      </c>
      <c r="V1034" t="str">
        <f ca="1">IFERROR(__xludf.DUMMYFUNCTION("""COMPUTED_VALUE"""),"")</f>
        <v/>
      </c>
      <c r="W1034" t="str">
        <f ca="1">IFERROR(__xludf.DUMMYFUNCTION("""COMPUTED_VALUE"""),"")</f>
        <v/>
      </c>
      <c r="X1034" t="str">
        <f ca="1">IFERROR(__xludf.DUMMYFUNCTION("""COMPUTED_VALUE"""),"")</f>
        <v/>
      </c>
      <c r="Y1034" t="str">
        <f ca="1">IFERROR(__xludf.DUMMYFUNCTION("""COMPUTED_VALUE"""),"")</f>
        <v/>
      </c>
      <c r="Z1034" t="str">
        <f ca="1">IFERROR(__xludf.DUMMYFUNCTION("""COMPUTED_VALUE"""),"")</f>
        <v/>
      </c>
      <c r="AA1034" t="str">
        <f ca="1">IFERROR(__xludf.DUMMYFUNCTION("""COMPUTED_VALUE"""),"Pas de commande")</f>
        <v>Pas de commande</v>
      </c>
      <c r="AB1034" s="8" t="str">
        <f ca="1">IFERROR(__xludf.DUMMYFUNCTION("""COMPUTED_VALUE"""),"")</f>
        <v/>
      </c>
      <c r="AC1034" s="8" t="str">
        <f ca="1">IFERROR(__xludf.DUMMYFUNCTION("""COMPUTED_VALUE"""),"")</f>
        <v/>
      </c>
      <c r="AD1034" s="11" t="str">
        <f ca="1">IFERROR(__xludf.DUMMYFUNCTION("""COMPUTED_VALUE"""),"")</f>
        <v/>
      </c>
      <c r="AE1034" t="str">
        <f ca="1">IFERROR(__xludf.DUMMYFUNCTION("""COMPUTED_VALUE"""),"")</f>
        <v/>
      </c>
    </row>
    <row r="1035" spans="1:31" ht="12.75" x14ac:dyDescent="0.2">
      <c r="A1035">
        <f ca="1">IFERROR(__xludf.DUMMYFUNCTION("""COMPUTED_VALUE"""),62050)</f>
        <v>62050</v>
      </c>
      <c r="B1035" t="str">
        <f ca="1">IFERROR(__xludf.DUMMYFUNCTION("""COMPUTED_VALUE"""),"TALANT ARANDES")</f>
        <v>TALANT ARANDES</v>
      </c>
      <c r="C1035" t="str">
        <f ca="1">IFERROR(__xludf.DUMMYFUNCTION("""COMPUTED_VALUE"""),"Super U")</f>
        <v>Super U</v>
      </c>
      <c r="D1035" t="str">
        <f ca="1">IFERROR(__xludf.DUMMYFUNCTION("""COMPUTED_VALUE"""),"Coop U Enseigne Est")</f>
        <v>Coop U Enseigne Est</v>
      </c>
      <c r="E1035">
        <f ca="1">IFERROR(__xludf.DUMMYFUNCTION("""COMPUTED_VALUE"""),21240)</f>
        <v>21240</v>
      </c>
      <c r="F1035" t="str">
        <f ca="1">IFERROR(__xludf.DUMMYFUNCTION("""COMPUTED_VALUE"""),"33 RUE DES ARANDES")</f>
        <v>33 RUE DES ARANDES</v>
      </c>
      <c r="G1035" t="str">
        <f ca="1">IFERROR(__xludf.DUMMYFUNCTION("""COMPUTED_VALUE"""),"03.80.58.57.00")</f>
        <v>03.80.58.57.00</v>
      </c>
      <c r="H1035" t="str">
        <f ca="1">IFERROR(__xludf.DUMMYFUNCTION("""COMPUTED_VALUE"""),"ALVES Pierre")</f>
        <v>ALVES Pierre</v>
      </c>
      <c r="I1035" t="str">
        <f ca="1">IFERROR(__xludf.DUMMYFUNCTION("""COMPUTED_VALUE"""),"christel.alves@systeme-u.fr")</f>
        <v>christel.alves@systeme-u.fr</v>
      </c>
      <c r="J1035" t="str">
        <f ca="1">IFERROR(__xludf.DUMMYFUNCTION("""COMPUTED_VALUE"""),"Mr Mercier")</f>
        <v>Mr Mercier</v>
      </c>
      <c r="K1035" t="str">
        <f ca="1">IFERROR(__xludf.DUMMYFUNCTION("""COMPUTED_VALUE"""),"superu.talant.direction@systeme-u.fr")</f>
        <v>superu.talant.direction@systeme-u.fr</v>
      </c>
      <c r="L1035" t="str">
        <f ca="1">IFERROR(__xludf.DUMMYFUNCTION("""COMPUTED_VALUE"""),"")</f>
        <v/>
      </c>
      <c r="M1035" t="str">
        <f ca="1">IFERROR(__xludf.DUMMYFUNCTION("""COMPUTED_VALUE"""),"99.Hors Périmetre")</f>
        <v>99.Hors Périmetre</v>
      </c>
      <c r="N1035" t="str">
        <f ca="1">IFERROR(__xludf.DUMMYFUNCTION("""COMPUTED_VALUE"""),"")</f>
        <v/>
      </c>
      <c r="O1035" t="str">
        <f ca="1">IFERROR(__xludf.DUMMYFUNCTION("""COMPUTED_VALUE"""),"")</f>
        <v/>
      </c>
      <c r="P1035" t="str">
        <f ca="1">IFERROR(__xludf.DUMMYFUNCTION("""COMPUTED_VALUE"""),"")</f>
        <v/>
      </c>
      <c r="Q1035" s="5" t="str">
        <f ca="1">IFERROR(__xludf.DUMMYFUNCTION("""COMPUTED_VALUE"""),"")</f>
        <v/>
      </c>
      <c r="R1035" s="6" t="str">
        <f ca="1">IFERROR(__xludf.DUMMYFUNCTION("""COMPUTED_VALUE"""),"")</f>
        <v/>
      </c>
      <c r="S1035" t="str">
        <f ca="1">IFERROR(__xludf.DUMMYFUNCTION("""COMPUTED_VALUE"""),"")</f>
        <v/>
      </c>
      <c r="T1035" t="str">
        <f ca="1">IFERROR(__xludf.DUMMYFUNCTION("""COMPUTED_VALUE"""),"")</f>
        <v/>
      </c>
      <c r="U1035" t="str">
        <f ca="1">IFERROR(__xludf.DUMMYFUNCTION("""COMPUTED_VALUE"""),"")</f>
        <v/>
      </c>
      <c r="V1035" t="str">
        <f ca="1">IFERROR(__xludf.DUMMYFUNCTION("""COMPUTED_VALUE"""),"")</f>
        <v/>
      </c>
      <c r="W1035" t="str">
        <f ca="1">IFERROR(__xludf.DUMMYFUNCTION("""COMPUTED_VALUE"""),"")</f>
        <v/>
      </c>
      <c r="X1035" t="str">
        <f ca="1">IFERROR(__xludf.DUMMYFUNCTION("""COMPUTED_VALUE"""),"")</f>
        <v/>
      </c>
      <c r="Y1035" t="str">
        <f ca="1">IFERROR(__xludf.DUMMYFUNCTION("""COMPUTED_VALUE"""),"")</f>
        <v/>
      </c>
      <c r="Z1035" t="str">
        <f ca="1">IFERROR(__xludf.DUMMYFUNCTION("""COMPUTED_VALUE"""),"")</f>
        <v/>
      </c>
      <c r="AA1035" t="str">
        <f ca="1">IFERROR(__xludf.DUMMYFUNCTION("""COMPUTED_VALUE"""),"Pas de commande")</f>
        <v>Pas de commande</v>
      </c>
      <c r="AB1035" s="8" t="str">
        <f ca="1">IFERROR(__xludf.DUMMYFUNCTION("""COMPUTED_VALUE"""),"")</f>
        <v/>
      </c>
      <c r="AC1035" s="8" t="str">
        <f ca="1">IFERROR(__xludf.DUMMYFUNCTION("""COMPUTED_VALUE"""),"")</f>
        <v/>
      </c>
      <c r="AD1035" s="11" t="str">
        <f ca="1">IFERROR(__xludf.DUMMYFUNCTION("""COMPUTED_VALUE"""),"")</f>
        <v/>
      </c>
      <c r="AE1035" t="str">
        <f ca="1">IFERROR(__xludf.DUMMYFUNCTION("""COMPUTED_VALUE"""),"")</f>
        <v/>
      </c>
    </row>
    <row r="1036" spans="1:31" ht="12.75" x14ac:dyDescent="0.2">
      <c r="A1036">
        <f ca="1">IFERROR(__xludf.DUMMYFUNCTION("""COMPUTED_VALUE"""),32968)</f>
        <v>32968</v>
      </c>
      <c r="B1036" t="str">
        <f ca="1">IFERROR(__xludf.DUMMYFUNCTION("""COMPUTED_VALUE"""),"TALMONT-ST-HILAIRE")</f>
        <v>TALMONT-ST-HILAIRE</v>
      </c>
      <c r="C1036" t="str">
        <f ca="1">IFERROR(__xludf.DUMMYFUNCTION("""COMPUTED_VALUE"""),"Super U")</f>
        <v>Super U</v>
      </c>
      <c r="D1036" t="str">
        <f ca="1">IFERROR(__xludf.DUMMYFUNCTION("""COMPUTED_VALUE"""),"Coop U Enseigne Ouest")</f>
        <v>Coop U Enseigne Ouest</v>
      </c>
      <c r="E1036">
        <f ca="1">IFERROR(__xludf.DUMMYFUNCTION("""COMPUTED_VALUE"""),85440)</f>
        <v>85440</v>
      </c>
      <c r="F1036" t="str">
        <f ca="1">IFERROR(__xludf.DUMMYFUNCTION("""COMPUTED_VALUE"""),"86, AVENUE DES SABLES")</f>
        <v>86, AVENUE DES SABLES</v>
      </c>
      <c r="G1036" t="str">
        <f ca="1">IFERROR(__xludf.DUMMYFUNCTION("""COMPUTED_VALUE"""),"02.51.20.79.79")</f>
        <v>02.51.20.79.79</v>
      </c>
      <c r="H1036" t="str">
        <f ca="1">IFERROR(__xludf.DUMMYFUNCTION("""COMPUTED_VALUE"""),"Mr Gandrieau")</f>
        <v>Mr Gandrieau</v>
      </c>
      <c r="I1036" t="str">
        <f ca="1">IFERROR(__xludf.DUMMYFUNCTION("""COMPUTED_VALUE"""),"david.gandrieau@systeme-u.fr")</f>
        <v>david.gandrieau@systeme-u.fr</v>
      </c>
      <c r="J1036" t="str">
        <f ca="1">IFERROR(__xludf.DUMMYFUNCTION("""COMPUTED_VALUE"""),"")</f>
        <v/>
      </c>
      <c r="K1036" t="str">
        <f ca="1">IFERROR(__xludf.DUMMYFUNCTION("""COMPUTED_VALUE"""),"")</f>
        <v/>
      </c>
      <c r="L1036" t="str">
        <f ca="1">IFERROR(__xludf.DUMMYFUNCTION("""COMPUTED_VALUE"""),"")</f>
        <v/>
      </c>
      <c r="M1036" t="str">
        <f ca="1">IFERROR(__xludf.DUMMYFUNCTION("""COMPUTED_VALUE"""),"99.Hors Périmetre")</f>
        <v>99.Hors Périmetre</v>
      </c>
      <c r="N1036" t="str">
        <f ca="1">IFERROR(__xludf.DUMMYFUNCTION("""COMPUTED_VALUE"""),"")</f>
        <v/>
      </c>
      <c r="O1036" t="str">
        <f ca="1">IFERROR(__xludf.DUMMYFUNCTION("""COMPUTED_VALUE"""),"")</f>
        <v/>
      </c>
      <c r="P1036" t="str">
        <f ca="1">IFERROR(__xludf.DUMMYFUNCTION("""COMPUTED_VALUE"""),"")</f>
        <v/>
      </c>
      <c r="Q1036" s="5" t="str">
        <f ca="1">IFERROR(__xludf.DUMMYFUNCTION("""COMPUTED_VALUE"""),"")</f>
        <v/>
      </c>
      <c r="R1036" s="6" t="str">
        <f ca="1">IFERROR(__xludf.DUMMYFUNCTION("""COMPUTED_VALUE"""),"")</f>
        <v/>
      </c>
      <c r="S1036" t="str">
        <f ca="1">IFERROR(__xludf.DUMMYFUNCTION("""COMPUTED_VALUE"""),"")</f>
        <v/>
      </c>
      <c r="T1036" t="str">
        <f ca="1">IFERROR(__xludf.DUMMYFUNCTION("""COMPUTED_VALUE"""),"")</f>
        <v/>
      </c>
      <c r="U1036" t="str">
        <f ca="1">IFERROR(__xludf.DUMMYFUNCTION("""COMPUTED_VALUE"""),"")</f>
        <v/>
      </c>
      <c r="V1036" t="str">
        <f ca="1">IFERROR(__xludf.DUMMYFUNCTION("""COMPUTED_VALUE"""),"")</f>
        <v/>
      </c>
      <c r="W1036" t="str">
        <f ca="1">IFERROR(__xludf.DUMMYFUNCTION("""COMPUTED_VALUE"""),"")</f>
        <v/>
      </c>
      <c r="X1036" t="str">
        <f ca="1">IFERROR(__xludf.DUMMYFUNCTION("""COMPUTED_VALUE"""),"")</f>
        <v/>
      </c>
      <c r="Y1036" t="str">
        <f ca="1">IFERROR(__xludf.DUMMYFUNCTION("""COMPUTED_VALUE"""),"")</f>
        <v/>
      </c>
      <c r="Z1036" t="str">
        <f ca="1">IFERROR(__xludf.DUMMYFUNCTION("""COMPUTED_VALUE"""),"")</f>
        <v/>
      </c>
      <c r="AA1036" t="str">
        <f ca="1">IFERROR(__xludf.DUMMYFUNCTION("""COMPUTED_VALUE"""),"Pas de commande")</f>
        <v>Pas de commande</v>
      </c>
      <c r="AB1036" s="8" t="str">
        <f ca="1">IFERROR(__xludf.DUMMYFUNCTION("""COMPUTED_VALUE"""),"")</f>
        <v/>
      </c>
      <c r="AC1036" s="8" t="str">
        <f ca="1">IFERROR(__xludf.DUMMYFUNCTION("""COMPUTED_VALUE"""),"")</f>
        <v/>
      </c>
      <c r="AD1036" s="11" t="str">
        <f ca="1">IFERROR(__xludf.DUMMYFUNCTION("""COMPUTED_VALUE"""),"")</f>
        <v/>
      </c>
      <c r="AE1036" t="str">
        <f ca="1">IFERROR(__xludf.DUMMYFUNCTION("""COMPUTED_VALUE"""),"")</f>
        <v/>
      </c>
    </row>
    <row r="1037" spans="1:31" ht="12.75" x14ac:dyDescent="0.2">
      <c r="A1037">
        <f ca="1">IFERROR(__xludf.DUMMYFUNCTION("""COMPUTED_VALUE"""),99206)</f>
        <v>99206</v>
      </c>
      <c r="B1037" t="str">
        <f ca="1">IFERROR(__xludf.DUMMYFUNCTION("""COMPUTED_VALUE"""),"TAMPON-IDR")</f>
        <v>TAMPON-IDR</v>
      </c>
      <c r="C1037" t="str">
        <f ca="1">IFERROR(__xludf.DUMMYFUNCTION("""COMPUTED_VALUE"""),"Marché U")</f>
        <v>Marché U</v>
      </c>
      <c r="D1037" t="str">
        <f ca="1">IFERROR(__xludf.DUMMYFUNCTION("""COMPUTED_VALUE"""),"Coop U Enseigne Sud")</f>
        <v>Coop U Enseigne Sud</v>
      </c>
      <c r="E1037">
        <f ca="1">IFERROR(__xludf.DUMMYFUNCTION("""COMPUTED_VALUE"""),97430)</f>
        <v>97430</v>
      </c>
      <c r="F1037" t="str">
        <f ca="1">IFERROR(__xludf.DUMMYFUNCTION("""COMPUTED_VALUE"""),"129 RUE MARTINEL LASSAYS BP283")</f>
        <v>129 RUE MARTINEL LASSAYS BP283</v>
      </c>
      <c r="G1037" t="str">
        <f ca="1">IFERROR(__xludf.DUMMYFUNCTION("""COMPUTED_VALUE"""),"02.62.27.00.50")</f>
        <v>02.62.27.00.50</v>
      </c>
      <c r="H1037" t="str">
        <f ca="1">IFERROR(__xludf.DUMMYFUNCTION("""COMPUTED_VALUE"""),"THIEN-KIN-SIEN Jean-Marc")</f>
        <v>THIEN-KIN-SIEN Jean-Marc</v>
      </c>
      <c r="I1037" t="str">
        <f ca="1">IFERROR(__xludf.DUMMYFUNCTION("""COMPUTED_VALUE"""),"jean-marc.thien-kin-sien@systeme-u.fr")</f>
        <v>jean-marc.thien-kin-sien@systeme-u.fr</v>
      </c>
      <c r="J1037" t="str">
        <f ca="1">IFERROR(__xludf.DUMMYFUNCTION("""COMPUTED_VALUE"""),"")</f>
        <v/>
      </c>
      <c r="K1037" t="str">
        <f ca="1">IFERROR(__xludf.DUMMYFUNCTION("""COMPUTED_VALUE"""),"")</f>
        <v/>
      </c>
      <c r="L1037" t="str">
        <f ca="1">IFERROR(__xludf.DUMMYFUNCTION("""COMPUTED_VALUE"""),"")</f>
        <v/>
      </c>
      <c r="M1037" t="str">
        <f ca="1">IFERROR(__xludf.DUMMYFUNCTION("""COMPUTED_VALUE"""),"99.Hors Périmetre")</f>
        <v>99.Hors Périmetre</v>
      </c>
      <c r="N1037" t="str">
        <f ca="1">IFERROR(__xludf.DUMMYFUNCTION("""COMPUTED_VALUE"""),"")</f>
        <v/>
      </c>
      <c r="O1037" t="str">
        <f ca="1">IFERROR(__xludf.DUMMYFUNCTION("""COMPUTED_VALUE"""),"")</f>
        <v/>
      </c>
      <c r="P1037" t="str">
        <f ca="1">IFERROR(__xludf.DUMMYFUNCTION("""COMPUTED_VALUE"""),"")</f>
        <v/>
      </c>
      <c r="Q1037" s="5" t="str">
        <f ca="1">IFERROR(__xludf.DUMMYFUNCTION("""COMPUTED_VALUE"""),"")</f>
        <v/>
      </c>
      <c r="R1037" s="6" t="str">
        <f ca="1">IFERROR(__xludf.DUMMYFUNCTION("""COMPUTED_VALUE"""),"")</f>
        <v/>
      </c>
      <c r="S1037" t="str">
        <f ca="1">IFERROR(__xludf.DUMMYFUNCTION("""COMPUTED_VALUE"""),"")</f>
        <v/>
      </c>
      <c r="T1037" t="str">
        <f ca="1">IFERROR(__xludf.DUMMYFUNCTION("""COMPUTED_VALUE"""),"")</f>
        <v/>
      </c>
      <c r="U1037" t="str">
        <f ca="1">IFERROR(__xludf.DUMMYFUNCTION("""COMPUTED_VALUE"""),"")</f>
        <v/>
      </c>
      <c r="V1037" t="str">
        <f ca="1">IFERROR(__xludf.DUMMYFUNCTION("""COMPUTED_VALUE"""),"")</f>
        <v/>
      </c>
      <c r="W1037" t="str">
        <f ca="1">IFERROR(__xludf.DUMMYFUNCTION("""COMPUTED_VALUE"""),"")</f>
        <v/>
      </c>
      <c r="X1037" t="str">
        <f ca="1">IFERROR(__xludf.DUMMYFUNCTION("""COMPUTED_VALUE"""),"")</f>
        <v/>
      </c>
      <c r="Y1037" t="str">
        <f ca="1">IFERROR(__xludf.DUMMYFUNCTION("""COMPUTED_VALUE"""),"")</f>
        <v/>
      </c>
      <c r="Z1037" t="str">
        <f ca="1">IFERROR(__xludf.DUMMYFUNCTION("""COMPUTED_VALUE"""),"")</f>
        <v/>
      </c>
      <c r="AA1037" t="str">
        <f ca="1">IFERROR(__xludf.DUMMYFUNCTION("""COMPUTED_VALUE"""),"Pas de commande")</f>
        <v>Pas de commande</v>
      </c>
      <c r="AB1037" s="8" t="str">
        <f ca="1">IFERROR(__xludf.DUMMYFUNCTION("""COMPUTED_VALUE"""),"")</f>
        <v/>
      </c>
      <c r="AC1037" s="8" t="str">
        <f ca="1">IFERROR(__xludf.DUMMYFUNCTION("""COMPUTED_VALUE"""),"")</f>
        <v/>
      </c>
      <c r="AD1037" s="11" t="str">
        <f ca="1">IFERROR(__xludf.DUMMYFUNCTION("""COMPUTED_VALUE"""),"")</f>
        <v/>
      </c>
      <c r="AE1037" t="str">
        <f ca="1">IFERROR(__xludf.DUMMYFUNCTION("""COMPUTED_VALUE"""),"")</f>
        <v/>
      </c>
    </row>
    <row r="1038" spans="1:31" ht="12.75" x14ac:dyDescent="0.2">
      <c r="A1038">
        <f ca="1">IFERROR(__xludf.DUMMYFUNCTION("""COMPUTED_VALUE"""),66130)</f>
        <v>66130</v>
      </c>
      <c r="B1038" t="str">
        <f ca="1">IFERROR(__xludf.DUMMYFUNCTION("""COMPUTED_VALUE"""),"TANINGES")</f>
        <v>TANINGES</v>
      </c>
      <c r="C1038" t="str">
        <f ca="1">IFERROR(__xludf.DUMMYFUNCTION("""COMPUTED_VALUE"""),"Super U")</f>
        <v>Super U</v>
      </c>
      <c r="D1038" t="str">
        <f ca="1">IFERROR(__xludf.DUMMYFUNCTION("""COMPUTED_VALUE"""),"Coop U Enseigne Est")</f>
        <v>Coop U Enseigne Est</v>
      </c>
      <c r="E1038">
        <f ca="1">IFERROR(__xludf.DUMMYFUNCTION("""COMPUTED_VALUE"""),74440)</f>
        <v>74440</v>
      </c>
      <c r="F1038" t="str">
        <f ca="1">IFERROR(__xludf.DUMMYFUNCTION("""COMPUTED_VALUE"""),"182 Route d'Annemasse")</f>
        <v>182 Route d'Annemasse</v>
      </c>
      <c r="G1038" t="str">
        <f ca="1">IFERROR(__xludf.DUMMYFUNCTION("""COMPUTED_VALUE"""),"04.50.34.88.08")</f>
        <v>04.50.34.88.08</v>
      </c>
      <c r="H1038" t="str">
        <f ca="1">IFERROR(__xludf.DUMMYFUNCTION("""COMPUTED_VALUE"""),"RIAUTE Anthony")</f>
        <v>RIAUTE Anthony</v>
      </c>
      <c r="I1038" t="str">
        <f ca="1">IFERROR(__xludf.DUMMYFUNCTION("""COMPUTED_VALUE"""),"anthony.riaute@systeme-u.fr")</f>
        <v>anthony.riaute@systeme-u.fr</v>
      </c>
      <c r="J1038" t="str">
        <f ca="1">IFERROR(__xludf.DUMMYFUNCTION("""COMPUTED_VALUE"""),"M. ODET ")</f>
        <v xml:space="preserve">M. ODET </v>
      </c>
      <c r="K1038" t="str">
        <f ca="1">IFERROR(__xludf.DUMMYFUNCTION("""COMPUTED_VALUE"""),"superu.taninges.directeur@systeme-u.fr")</f>
        <v>superu.taninges.directeur@systeme-u.fr</v>
      </c>
      <c r="L1038" t="str">
        <f ca="1">IFERROR(__xludf.DUMMYFUNCTION("""COMPUTED_VALUE"""),"")</f>
        <v/>
      </c>
      <c r="M1038" t="str">
        <f ca="1">IFERROR(__xludf.DUMMYFUNCTION("""COMPUTED_VALUE"""),"99.Hors Périmetre")</f>
        <v>99.Hors Périmetre</v>
      </c>
      <c r="N1038" t="str">
        <f ca="1">IFERROR(__xludf.DUMMYFUNCTION("""COMPUTED_VALUE"""),"")</f>
        <v/>
      </c>
      <c r="O1038" t="str">
        <f ca="1">IFERROR(__xludf.DUMMYFUNCTION("""COMPUTED_VALUE"""),"")</f>
        <v/>
      </c>
      <c r="P1038" t="str">
        <f ca="1">IFERROR(__xludf.DUMMYFUNCTION("""COMPUTED_VALUE"""),"")</f>
        <v/>
      </c>
      <c r="Q1038" s="5" t="str">
        <f ca="1">IFERROR(__xludf.DUMMYFUNCTION("""COMPUTED_VALUE"""),"")</f>
        <v/>
      </c>
      <c r="R1038" s="6" t="str">
        <f ca="1">IFERROR(__xludf.DUMMYFUNCTION("""COMPUTED_VALUE"""),"")</f>
        <v/>
      </c>
      <c r="S1038" t="str">
        <f ca="1">IFERROR(__xludf.DUMMYFUNCTION("""COMPUTED_VALUE"""),"")</f>
        <v/>
      </c>
      <c r="T1038" t="str">
        <f ca="1">IFERROR(__xludf.DUMMYFUNCTION("""COMPUTED_VALUE"""),"")</f>
        <v/>
      </c>
      <c r="U1038" t="str">
        <f ca="1">IFERROR(__xludf.DUMMYFUNCTION("""COMPUTED_VALUE"""),"")</f>
        <v/>
      </c>
      <c r="V1038" t="str">
        <f ca="1">IFERROR(__xludf.DUMMYFUNCTION("""COMPUTED_VALUE"""),"")</f>
        <v/>
      </c>
      <c r="W1038" t="str">
        <f ca="1">IFERROR(__xludf.DUMMYFUNCTION("""COMPUTED_VALUE"""),"")</f>
        <v/>
      </c>
      <c r="X1038" t="str">
        <f ca="1">IFERROR(__xludf.DUMMYFUNCTION("""COMPUTED_VALUE"""),"")</f>
        <v/>
      </c>
      <c r="Y1038" t="str">
        <f ca="1">IFERROR(__xludf.DUMMYFUNCTION("""COMPUTED_VALUE"""),"")</f>
        <v/>
      </c>
      <c r="Z1038" t="str">
        <f ca="1">IFERROR(__xludf.DUMMYFUNCTION("""COMPUTED_VALUE"""),"")</f>
        <v/>
      </c>
      <c r="AA1038" t="str">
        <f ca="1">IFERROR(__xludf.DUMMYFUNCTION("""COMPUTED_VALUE"""),"Pas de commande")</f>
        <v>Pas de commande</v>
      </c>
      <c r="AB1038" s="8" t="str">
        <f ca="1">IFERROR(__xludf.DUMMYFUNCTION("""COMPUTED_VALUE"""),"")</f>
        <v/>
      </c>
      <c r="AC1038" s="8" t="str">
        <f ca="1">IFERROR(__xludf.DUMMYFUNCTION("""COMPUTED_VALUE"""),"")</f>
        <v/>
      </c>
      <c r="AD1038" s="11" t="str">
        <f ca="1">IFERROR(__xludf.DUMMYFUNCTION("""COMPUTED_VALUE"""),"")</f>
        <v/>
      </c>
      <c r="AE1038" t="str">
        <f ca="1">IFERROR(__xludf.DUMMYFUNCTION("""COMPUTED_VALUE"""),"")</f>
        <v/>
      </c>
    </row>
    <row r="1039" spans="1:31" ht="12.75" x14ac:dyDescent="0.2">
      <c r="A1039">
        <f ca="1">IFERROR(__xludf.DUMMYFUNCTION("""COMPUTED_VALUE"""),62103)</f>
        <v>62103</v>
      </c>
      <c r="B1039" t="str">
        <f ca="1">IFERROR(__xludf.DUMMYFUNCTION("""COMPUTED_VALUE"""),"TANNAY")</f>
        <v>TANNAY</v>
      </c>
      <c r="C1039" t="str">
        <f ca="1">IFERROR(__xludf.DUMMYFUNCTION("""COMPUTED_VALUE"""),"U Express")</f>
        <v>U Express</v>
      </c>
      <c r="D1039" t="str">
        <f ca="1">IFERROR(__xludf.DUMMYFUNCTION("""COMPUTED_VALUE"""),"Coop U Enseigne Est")</f>
        <v>Coop U Enseigne Est</v>
      </c>
      <c r="E1039">
        <f ca="1">IFERROR(__xludf.DUMMYFUNCTION("""COMPUTED_VALUE"""),58190)</f>
        <v>58190</v>
      </c>
      <c r="F1039" t="str">
        <f ca="1">IFERROR(__xludf.DUMMYFUNCTION("""COMPUTED_VALUE"""),"Rue de la Fringale")</f>
        <v>Rue de la Fringale</v>
      </c>
      <c r="G1039" t="str">
        <f ca="1">IFERROR(__xludf.DUMMYFUNCTION("""COMPUTED_VALUE"""),"03.86.29.30.65")</f>
        <v>03.86.29.30.65</v>
      </c>
      <c r="H1039" t="str">
        <f ca="1">IFERROR(__xludf.DUMMYFUNCTION("""COMPUTED_VALUE"""),"NEUVILLE Geoffroy")</f>
        <v>NEUVILLE Geoffroy</v>
      </c>
      <c r="I1039" t="str">
        <f ca="1">IFERROR(__xludf.DUMMYFUNCTION("""COMPUTED_VALUE"""),"johan.chapelais@systeme-u.fr")</f>
        <v>johan.chapelais@systeme-u.fr</v>
      </c>
      <c r="J1039" t="str">
        <f ca="1">IFERROR(__xludf.DUMMYFUNCTION("""COMPUTED_VALUE"""),"")</f>
        <v/>
      </c>
      <c r="K1039" t="str">
        <f ca="1">IFERROR(__xludf.DUMMYFUNCTION("""COMPUTED_VALUE"""),"")</f>
        <v/>
      </c>
      <c r="L1039" t="str">
        <f ca="1">IFERROR(__xludf.DUMMYFUNCTION("""COMPUTED_VALUE"""),"")</f>
        <v/>
      </c>
      <c r="M1039" t="str">
        <f ca="1">IFERROR(__xludf.DUMMYFUNCTION("""COMPUTED_VALUE"""),"99.Hors Périmetre")</f>
        <v>99.Hors Périmetre</v>
      </c>
      <c r="N1039" t="str">
        <f ca="1">IFERROR(__xludf.DUMMYFUNCTION("""COMPUTED_VALUE"""),"")</f>
        <v/>
      </c>
      <c r="O1039" t="str">
        <f ca="1">IFERROR(__xludf.DUMMYFUNCTION("""COMPUTED_VALUE"""),"")</f>
        <v/>
      </c>
      <c r="P1039" t="str">
        <f ca="1">IFERROR(__xludf.DUMMYFUNCTION("""COMPUTED_VALUE"""),"")</f>
        <v/>
      </c>
      <c r="Q1039" s="5" t="str">
        <f ca="1">IFERROR(__xludf.DUMMYFUNCTION("""COMPUTED_VALUE"""),"")</f>
        <v/>
      </c>
      <c r="R1039" s="6" t="str">
        <f ca="1">IFERROR(__xludf.DUMMYFUNCTION("""COMPUTED_VALUE"""),"")</f>
        <v/>
      </c>
      <c r="S1039" t="str">
        <f ca="1">IFERROR(__xludf.DUMMYFUNCTION("""COMPUTED_VALUE"""),"")</f>
        <v/>
      </c>
      <c r="T1039" t="str">
        <f ca="1">IFERROR(__xludf.DUMMYFUNCTION("""COMPUTED_VALUE"""),"")</f>
        <v/>
      </c>
      <c r="U1039" t="str">
        <f ca="1">IFERROR(__xludf.DUMMYFUNCTION("""COMPUTED_VALUE"""),"")</f>
        <v/>
      </c>
      <c r="V1039" t="str">
        <f ca="1">IFERROR(__xludf.DUMMYFUNCTION("""COMPUTED_VALUE"""),"")</f>
        <v/>
      </c>
      <c r="W1039" t="str">
        <f ca="1">IFERROR(__xludf.DUMMYFUNCTION("""COMPUTED_VALUE"""),"")</f>
        <v/>
      </c>
      <c r="X1039" t="str">
        <f ca="1">IFERROR(__xludf.DUMMYFUNCTION("""COMPUTED_VALUE"""),"")</f>
        <v/>
      </c>
      <c r="Y1039" t="str">
        <f ca="1">IFERROR(__xludf.DUMMYFUNCTION("""COMPUTED_VALUE"""),"")</f>
        <v/>
      </c>
      <c r="Z1039" t="str">
        <f ca="1">IFERROR(__xludf.DUMMYFUNCTION("""COMPUTED_VALUE"""),"")</f>
        <v/>
      </c>
      <c r="AA1039" t="str">
        <f ca="1">IFERROR(__xludf.DUMMYFUNCTION("""COMPUTED_VALUE"""),"Pas de commande")</f>
        <v>Pas de commande</v>
      </c>
      <c r="AB1039" s="8" t="str">
        <f ca="1">IFERROR(__xludf.DUMMYFUNCTION("""COMPUTED_VALUE"""),"")</f>
        <v/>
      </c>
      <c r="AC1039" s="8" t="str">
        <f ca="1">IFERROR(__xludf.DUMMYFUNCTION("""COMPUTED_VALUE"""),"")</f>
        <v/>
      </c>
      <c r="AD1039" s="11" t="str">
        <f ca="1">IFERROR(__xludf.DUMMYFUNCTION("""COMPUTED_VALUE"""),"")</f>
        <v/>
      </c>
      <c r="AE1039" t="str">
        <f ca="1">IFERROR(__xludf.DUMMYFUNCTION("""COMPUTED_VALUE"""),"")</f>
        <v/>
      </c>
    </row>
    <row r="1040" spans="1:31" ht="12.75" x14ac:dyDescent="0.2">
      <c r="A1040">
        <f ca="1">IFERROR(__xludf.DUMMYFUNCTION("""COMPUTED_VALUE"""),90241)</f>
        <v>90241</v>
      </c>
      <c r="B1040" t="str">
        <f ca="1">IFERROR(__xludf.DUMMYFUNCTION("""COMPUTED_VALUE"""),"TARASCON S/ARIEGE")</f>
        <v>TARASCON S/ARIEGE</v>
      </c>
      <c r="C1040" t="str">
        <f ca="1">IFERROR(__xludf.DUMMYFUNCTION("""COMPUTED_VALUE"""),"Super U")</f>
        <v>Super U</v>
      </c>
      <c r="D1040" t="str">
        <f ca="1">IFERROR(__xludf.DUMMYFUNCTION("""COMPUTED_VALUE"""),"Coop U Enseigne Sud")</f>
        <v>Coop U Enseigne Sud</v>
      </c>
      <c r="E1040">
        <f ca="1">IFERROR(__xludf.DUMMYFUNCTION("""COMPUTED_VALUE"""),9400)</f>
        <v>9400</v>
      </c>
      <c r="F1040" t="str">
        <f ca="1">IFERROR(__xludf.DUMMYFUNCTION("""COMPUTED_VALUE"""),"ROUTE DE QUIE")</f>
        <v>ROUTE DE QUIE</v>
      </c>
      <c r="G1040" t="str">
        <f ca="1">IFERROR(__xludf.DUMMYFUNCTION("""COMPUTED_VALUE"""),"05.61.05.07.90")</f>
        <v>05.61.05.07.90</v>
      </c>
      <c r="H1040" t="str">
        <f ca="1">IFERROR(__xludf.DUMMYFUNCTION("""COMPUTED_VALUE"""),"LEON David et Laure")</f>
        <v>LEON David et Laure</v>
      </c>
      <c r="I1040" t="str">
        <f ca="1">IFERROR(__xludf.DUMMYFUNCTION("""COMPUTED_VALUE"""),"david.leon@systeme-u.fr")</f>
        <v>david.leon@systeme-u.fr</v>
      </c>
      <c r="J1040" t="str">
        <f ca="1">IFERROR(__xludf.DUMMYFUNCTION("""COMPUTED_VALUE"""),"LEON Laure")</f>
        <v>LEON Laure</v>
      </c>
      <c r="K1040" t="str">
        <f ca="1">IFERROR(__xludf.DUMMYFUNCTION("""COMPUTED_VALUE"""),"laure.leon@systeme-u.fr")</f>
        <v>laure.leon@systeme-u.fr</v>
      </c>
      <c r="L1040" t="str">
        <f ca="1">IFERROR(__xludf.DUMMYFUNCTION("""COMPUTED_VALUE"""),"")</f>
        <v/>
      </c>
      <c r="M1040" t="str">
        <f ca="1">IFERROR(__xludf.DUMMYFUNCTION("""COMPUTED_VALUE"""),"99.Hors Périmetre")</f>
        <v>99.Hors Périmetre</v>
      </c>
      <c r="N1040" t="str">
        <f ca="1">IFERROR(__xludf.DUMMYFUNCTION("""COMPUTED_VALUE"""),"")</f>
        <v/>
      </c>
      <c r="O1040" t="str">
        <f ca="1">IFERROR(__xludf.DUMMYFUNCTION("""COMPUTED_VALUE"""),"")</f>
        <v/>
      </c>
      <c r="P1040" t="str">
        <f ca="1">IFERROR(__xludf.DUMMYFUNCTION("""COMPUTED_VALUE"""),"")</f>
        <v/>
      </c>
      <c r="Q1040" s="5" t="str">
        <f ca="1">IFERROR(__xludf.DUMMYFUNCTION("""COMPUTED_VALUE"""),"")</f>
        <v/>
      </c>
      <c r="R1040" s="6" t="str">
        <f ca="1">IFERROR(__xludf.DUMMYFUNCTION("""COMPUTED_VALUE"""),"")</f>
        <v/>
      </c>
      <c r="S1040" t="str">
        <f ca="1">IFERROR(__xludf.DUMMYFUNCTION("""COMPUTED_VALUE"""),"")</f>
        <v/>
      </c>
      <c r="T1040" t="str">
        <f ca="1">IFERROR(__xludf.DUMMYFUNCTION("""COMPUTED_VALUE"""),"")</f>
        <v/>
      </c>
      <c r="U1040" t="str">
        <f ca="1">IFERROR(__xludf.DUMMYFUNCTION("""COMPUTED_VALUE"""),"")</f>
        <v/>
      </c>
      <c r="V1040" t="str">
        <f ca="1">IFERROR(__xludf.DUMMYFUNCTION("""COMPUTED_VALUE"""),"")</f>
        <v/>
      </c>
      <c r="W1040" t="str">
        <f ca="1">IFERROR(__xludf.DUMMYFUNCTION("""COMPUTED_VALUE"""),"")</f>
        <v/>
      </c>
      <c r="X1040" t="str">
        <f ca="1">IFERROR(__xludf.DUMMYFUNCTION("""COMPUTED_VALUE"""),"")</f>
        <v/>
      </c>
      <c r="Y1040" t="str">
        <f ca="1">IFERROR(__xludf.DUMMYFUNCTION("""COMPUTED_VALUE"""),"")</f>
        <v/>
      </c>
      <c r="Z1040" t="str">
        <f ca="1">IFERROR(__xludf.DUMMYFUNCTION("""COMPUTED_VALUE"""),"")</f>
        <v/>
      </c>
      <c r="AA1040" t="str">
        <f ca="1">IFERROR(__xludf.DUMMYFUNCTION("""COMPUTED_VALUE"""),"Pas de commande")</f>
        <v>Pas de commande</v>
      </c>
      <c r="AB1040" s="8" t="str">
        <f ca="1">IFERROR(__xludf.DUMMYFUNCTION("""COMPUTED_VALUE"""),"")</f>
        <v/>
      </c>
      <c r="AC1040" s="8" t="str">
        <f ca="1">IFERROR(__xludf.DUMMYFUNCTION("""COMPUTED_VALUE"""),"")</f>
        <v/>
      </c>
      <c r="AD1040" s="11" t="str">
        <f ca="1">IFERROR(__xludf.DUMMYFUNCTION("""COMPUTED_VALUE"""),"")</f>
        <v/>
      </c>
      <c r="AE1040" t="str">
        <f ca="1">IFERROR(__xludf.DUMMYFUNCTION("""COMPUTED_VALUE"""),"")</f>
        <v/>
      </c>
    </row>
    <row r="1041" spans="1:31" ht="12.75" x14ac:dyDescent="0.2">
      <c r="A1041">
        <f ca="1">IFERROR(__xludf.DUMMYFUNCTION("""COMPUTED_VALUE"""),90474)</f>
        <v>90474</v>
      </c>
      <c r="B1041" t="str">
        <f ca="1">IFERROR(__xludf.DUMMYFUNCTION("""COMPUTED_VALUE"""),"TARASCON")</f>
        <v>TARASCON</v>
      </c>
      <c r="C1041" t="str">
        <f ca="1">IFERROR(__xludf.DUMMYFUNCTION("""COMPUTED_VALUE"""),"U Express")</f>
        <v>U Express</v>
      </c>
      <c r="D1041" t="str">
        <f ca="1">IFERROR(__xludf.DUMMYFUNCTION("""COMPUTED_VALUE"""),"Coop MISTRAL")</f>
        <v>Coop MISTRAL</v>
      </c>
      <c r="E1041">
        <f ca="1">IFERROR(__xludf.DUMMYFUNCTION("""COMPUTED_VALUE"""),13150)</f>
        <v>13150</v>
      </c>
      <c r="F1041" t="str">
        <f ca="1">IFERROR(__xludf.DUMMYFUNCTION("""COMPUTED_VALUE"""),"4 ET 4 BIS BD VICTOR HUGO")</f>
        <v>4 ET 4 BIS BD VICTOR HUGO</v>
      </c>
      <c r="G1041" t="str">
        <f ca="1">IFERROR(__xludf.DUMMYFUNCTION("""COMPUTED_VALUE"""),"04.90.91.04.66")</f>
        <v>04.90.91.04.66</v>
      </c>
      <c r="H1041" t="str">
        <f ca="1">IFERROR(__xludf.DUMMYFUNCTION("""COMPUTED_VALUE"""),"DELATTRE Benoit")</f>
        <v>DELATTRE Benoit</v>
      </c>
      <c r="I1041" t="str">
        <f ca="1">IFERROR(__xludf.DUMMYFUNCTION("""COMPUTED_VALUE"""),"uexpress.tarascon@mistral-u.fr")</f>
        <v>uexpress.tarascon@mistral-u.fr</v>
      </c>
      <c r="J1041" t="str">
        <f ca="1">IFERROR(__xludf.DUMMYFUNCTION("""COMPUTED_VALUE"""),"Millet Thomas ")</f>
        <v xml:space="preserve">Millet Thomas </v>
      </c>
      <c r="K1041" t="str">
        <f ca="1">IFERROR(__xludf.DUMMYFUNCTION("""COMPUTED_VALUE"""),"delphine.damian@lemistral.fr,helene.mina@lemistral.fr,uexpress.tarascon.direction@mistral-u.fr")</f>
        <v>delphine.damian@lemistral.fr,helene.mina@lemistral.fr,uexpress.tarascon.direction@mistral-u.fr</v>
      </c>
      <c r="L1041" t="str">
        <f ca="1">IFERROR(__xludf.DUMMYFUNCTION("""COMPUTED_VALUE"""),"")</f>
        <v/>
      </c>
      <c r="M1041" t="str">
        <f ca="1">IFERROR(__xludf.DUMMYFUNCTION("""COMPUTED_VALUE"""),"99.Hors Périmetre")</f>
        <v>99.Hors Périmetre</v>
      </c>
      <c r="N1041" t="str">
        <f ca="1">IFERROR(__xludf.DUMMYFUNCTION("""COMPUTED_VALUE"""),"")</f>
        <v/>
      </c>
      <c r="O1041" t="str">
        <f ca="1">IFERROR(__xludf.DUMMYFUNCTION("""COMPUTED_VALUE"""),"")</f>
        <v/>
      </c>
      <c r="P1041" t="str">
        <f ca="1">IFERROR(__xludf.DUMMYFUNCTION("""COMPUTED_VALUE"""),"")</f>
        <v/>
      </c>
      <c r="Q1041" s="5" t="str">
        <f ca="1">IFERROR(__xludf.DUMMYFUNCTION("""COMPUTED_VALUE"""),"")</f>
        <v/>
      </c>
      <c r="R1041" s="6" t="str">
        <f ca="1">IFERROR(__xludf.DUMMYFUNCTION("""COMPUTED_VALUE"""),"")</f>
        <v/>
      </c>
      <c r="S1041" t="str">
        <f ca="1">IFERROR(__xludf.DUMMYFUNCTION("""COMPUTED_VALUE"""),"")</f>
        <v/>
      </c>
      <c r="T1041" t="str">
        <f ca="1">IFERROR(__xludf.DUMMYFUNCTION("""COMPUTED_VALUE"""),"")</f>
        <v/>
      </c>
      <c r="U1041" t="str">
        <f ca="1">IFERROR(__xludf.DUMMYFUNCTION("""COMPUTED_VALUE"""),"")</f>
        <v/>
      </c>
      <c r="V1041" t="str">
        <f ca="1">IFERROR(__xludf.DUMMYFUNCTION("""COMPUTED_VALUE"""),"")</f>
        <v/>
      </c>
      <c r="W1041" t="str">
        <f ca="1">IFERROR(__xludf.DUMMYFUNCTION("""COMPUTED_VALUE"""),"")</f>
        <v/>
      </c>
      <c r="X1041" t="str">
        <f ca="1">IFERROR(__xludf.DUMMYFUNCTION("""COMPUTED_VALUE"""),"")</f>
        <v/>
      </c>
      <c r="Y1041" t="str">
        <f ca="1">IFERROR(__xludf.DUMMYFUNCTION("""COMPUTED_VALUE"""),"")</f>
        <v/>
      </c>
      <c r="Z1041" t="str">
        <f ca="1">IFERROR(__xludf.DUMMYFUNCTION("""COMPUTED_VALUE"""),"")</f>
        <v/>
      </c>
      <c r="AA1041" t="str">
        <f ca="1">IFERROR(__xludf.DUMMYFUNCTION("""COMPUTED_VALUE"""),"Pas de commande")</f>
        <v>Pas de commande</v>
      </c>
      <c r="AB1041" s="8" t="str">
        <f ca="1">IFERROR(__xludf.DUMMYFUNCTION("""COMPUTED_VALUE"""),"")</f>
        <v/>
      </c>
      <c r="AC1041" s="8" t="str">
        <f ca="1">IFERROR(__xludf.DUMMYFUNCTION("""COMPUTED_VALUE"""),"")</f>
        <v/>
      </c>
      <c r="AD1041" s="11" t="str">
        <f ca="1">IFERROR(__xludf.DUMMYFUNCTION("""COMPUTED_VALUE"""),"")</f>
        <v/>
      </c>
      <c r="AE1041" t="str">
        <f ca="1">IFERROR(__xludf.DUMMYFUNCTION("""COMPUTED_VALUE"""),"")</f>
        <v/>
      </c>
    </row>
    <row r="1042" spans="1:31" ht="12.75" x14ac:dyDescent="0.2">
      <c r="A1042">
        <f ca="1">IFERROR(__xludf.DUMMYFUNCTION("""COMPUTED_VALUE"""),62010)</f>
        <v>62010</v>
      </c>
      <c r="B1042" t="str">
        <f ca="1">IFERROR(__xludf.DUMMYFUNCTION("""COMPUTED_VALUE"""),"TAVAUX")</f>
        <v>TAVAUX</v>
      </c>
      <c r="C1042" t="str">
        <f ca="1">IFERROR(__xludf.DUMMYFUNCTION("""COMPUTED_VALUE"""),"Super U")</f>
        <v>Super U</v>
      </c>
      <c r="D1042" t="str">
        <f ca="1">IFERROR(__xludf.DUMMYFUNCTION("""COMPUTED_VALUE"""),"Coop U Enseigne Est")</f>
        <v>Coop U Enseigne Est</v>
      </c>
      <c r="E1042">
        <f ca="1">IFERROR(__xludf.DUMMYFUNCTION("""COMPUTED_VALUE"""),39500)</f>
        <v>39500</v>
      </c>
      <c r="F1042" t="str">
        <f ca="1">IFERROR(__xludf.DUMMYFUNCTION("""COMPUTED_VALUE"""),"Route Nationale 73")</f>
        <v>Route Nationale 73</v>
      </c>
      <c r="G1042" t="str">
        <f ca="1">IFERROR(__xludf.DUMMYFUNCTION("""COMPUTED_VALUE"""),"03.84.81.95.87")</f>
        <v>03.84.81.95.87</v>
      </c>
      <c r="H1042" t="str">
        <f ca="1">IFERROR(__xludf.DUMMYFUNCTION("""COMPUTED_VALUE"""),"GREA Laurent")</f>
        <v>GREA Laurent</v>
      </c>
      <c r="I1042" t="str">
        <f ca="1">IFERROR(__xludf.DUMMYFUNCTION("""COMPUTED_VALUE"""),"laurent.grea@systeme-u.fr")</f>
        <v>laurent.grea@systeme-u.fr</v>
      </c>
      <c r="J1042" t="str">
        <f ca="1">IFERROR(__xludf.DUMMYFUNCTION("""COMPUTED_VALUE"""),"Mr Genoudet (directeur - UPLV)
")</f>
        <v xml:space="preserve">Mr Genoudet (directeur - UPLV)
</v>
      </c>
      <c r="K1042" t="str">
        <f ca="1">IFERROR(__xludf.DUMMYFUNCTION("""COMPUTED_VALUE"""),"superu.tavaux.direction@systeme-u.fr")</f>
        <v>superu.tavaux.direction@systeme-u.fr</v>
      </c>
      <c r="L1042" t="str">
        <f ca="1">IFERROR(__xludf.DUMMYFUNCTION("""COMPUTED_VALUE"""),"")</f>
        <v/>
      </c>
      <c r="M1042" t="str">
        <f ca="1">IFERROR(__xludf.DUMMYFUNCTION("""COMPUTED_VALUE"""),"99.Hors Périmetre")</f>
        <v>99.Hors Périmetre</v>
      </c>
      <c r="N1042" t="str">
        <f ca="1">IFERROR(__xludf.DUMMYFUNCTION("""COMPUTED_VALUE"""),"")</f>
        <v/>
      </c>
      <c r="O1042" t="str">
        <f ca="1">IFERROR(__xludf.DUMMYFUNCTION("""COMPUTED_VALUE"""),"")</f>
        <v/>
      </c>
      <c r="P1042" t="str">
        <f ca="1">IFERROR(__xludf.DUMMYFUNCTION("""COMPUTED_VALUE"""),"")</f>
        <v/>
      </c>
      <c r="Q1042" s="5" t="str">
        <f ca="1">IFERROR(__xludf.DUMMYFUNCTION("""COMPUTED_VALUE"""),"")</f>
        <v/>
      </c>
      <c r="R1042" s="6" t="str">
        <f ca="1">IFERROR(__xludf.DUMMYFUNCTION("""COMPUTED_VALUE"""),"")</f>
        <v/>
      </c>
      <c r="S1042" t="str">
        <f ca="1">IFERROR(__xludf.DUMMYFUNCTION("""COMPUTED_VALUE"""),"")</f>
        <v/>
      </c>
      <c r="T1042" t="str">
        <f ca="1">IFERROR(__xludf.DUMMYFUNCTION("""COMPUTED_VALUE"""),"")</f>
        <v/>
      </c>
      <c r="U1042" t="str">
        <f ca="1">IFERROR(__xludf.DUMMYFUNCTION("""COMPUTED_VALUE"""),"")</f>
        <v/>
      </c>
      <c r="V1042" t="str">
        <f ca="1">IFERROR(__xludf.DUMMYFUNCTION("""COMPUTED_VALUE"""),"")</f>
        <v/>
      </c>
      <c r="W1042" t="str">
        <f ca="1">IFERROR(__xludf.DUMMYFUNCTION("""COMPUTED_VALUE"""),"")</f>
        <v/>
      </c>
      <c r="X1042" t="str">
        <f ca="1">IFERROR(__xludf.DUMMYFUNCTION("""COMPUTED_VALUE"""),"")</f>
        <v/>
      </c>
      <c r="Y1042" t="str">
        <f ca="1">IFERROR(__xludf.DUMMYFUNCTION("""COMPUTED_VALUE"""),"")</f>
        <v/>
      </c>
      <c r="Z1042" t="str">
        <f ca="1">IFERROR(__xludf.DUMMYFUNCTION("""COMPUTED_VALUE"""),"")</f>
        <v/>
      </c>
      <c r="AA1042" t="str">
        <f ca="1">IFERROR(__xludf.DUMMYFUNCTION("""COMPUTED_VALUE"""),"Pas de commande")</f>
        <v>Pas de commande</v>
      </c>
      <c r="AB1042" s="8" t="str">
        <f ca="1">IFERROR(__xludf.DUMMYFUNCTION("""COMPUTED_VALUE"""),"")</f>
        <v/>
      </c>
      <c r="AC1042" s="8" t="str">
        <f ca="1">IFERROR(__xludf.DUMMYFUNCTION("""COMPUTED_VALUE"""),"")</f>
        <v/>
      </c>
      <c r="AD1042" s="11" t="str">
        <f ca="1">IFERROR(__xludf.DUMMYFUNCTION("""COMPUTED_VALUE"""),"")</f>
        <v/>
      </c>
      <c r="AE1042" t="str">
        <f ca="1">IFERROR(__xludf.DUMMYFUNCTION("""COMPUTED_VALUE"""),"")</f>
        <v/>
      </c>
    </row>
    <row r="1043" spans="1:31" ht="12.75" x14ac:dyDescent="0.2">
      <c r="A1043">
        <f ca="1">IFERROR(__xludf.DUMMYFUNCTION("""COMPUTED_VALUE"""),91170)</f>
        <v>91170</v>
      </c>
      <c r="B1043" t="str">
        <f ca="1">IFERROR(__xludf.DUMMYFUNCTION("""COMPUTED_VALUE"""),"TENCIN")</f>
        <v>TENCIN</v>
      </c>
      <c r="C1043" t="str">
        <f ca="1">IFERROR(__xludf.DUMMYFUNCTION("""COMPUTED_VALUE"""),"U Express")</f>
        <v>U Express</v>
      </c>
      <c r="D1043" t="str">
        <f ca="1">IFERROR(__xludf.DUMMYFUNCTION("""COMPUTED_VALUE"""),"Coop MISTRAL")</f>
        <v>Coop MISTRAL</v>
      </c>
      <c r="E1043">
        <f ca="1">IFERROR(__xludf.DUMMYFUNCTION("""COMPUTED_VALUE"""),38570)</f>
        <v>38570</v>
      </c>
      <c r="F1043" t="str">
        <f ca="1">IFERROR(__xludf.DUMMYFUNCTION("""COMPUTED_VALUE"""),"AVENUE DU GRESIVAUDAN")</f>
        <v>AVENUE DU GRESIVAUDAN</v>
      </c>
      <c r="G1043" t="str">
        <f ca="1">IFERROR(__xludf.DUMMYFUNCTION("""COMPUTED_VALUE"""),"04.76.45.47.22")</f>
        <v>04.76.45.47.22</v>
      </c>
      <c r="H1043" t="str">
        <f ca="1">IFERROR(__xludf.DUMMYFUNCTION("""COMPUTED_VALUE"""),"MOULIN Jean-Marc")</f>
        <v>MOULIN Jean-Marc</v>
      </c>
      <c r="I1043" t="str">
        <f ca="1">IFERROR(__xludf.DUMMYFUNCTION("""COMPUTED_VALUE"""),"uexpress.tencin@mistral-u.fr")</f>
        <v>uexpress.tencin@mistral-u.fr</v>
      </c>
      <c r="J1043" t="str">
        <f ca="1">IFERROR(__xludf.DUMMYFUNCTION("""COMPUTED_VALUE"""),"")</f>
        <v/>
      </c>
      <c r="K1043" t="str">
        <f ca="1">IFERROR(__xludf.DUMMYFUNCTION("""COMPUTED_VALUE"""),"delphine.damian@lemistral.fr,helene.mina@lemistral.fr")</f>
        <v>delphine.damian@lemistral.fr,helene.mina@lemistral.fr</v>
      </c>
      <c r="L1043" t="str">
        <f ca="1">IFERROR(__xludf.DUMMYFUNCTION("""COMPUTED_VALUE"""),"")</f>
        <v/>
      </c>
      <c r="M1043" t="str">
        <f ca="1">IFERROR(__xludf.DUMMYFUNCTION("""COMPUTED_VALUE"""),"99.Hors Périmetre")</f>
        <v>99.Hors Périmetre</v>
      </c>
      <c r="N1043" t="str">
        <f ca="1">IFERROR(__xludf.DUMMYFUNCTION("""COMPUTED_VALUE"""),"")</f>
        <v/>
      </c>
      <c r="O1043" t="str">
        <f ca="1">IFERROR(__xludf.DUMMYFUNCTION("""COMPUTED_VALUE"""),"")</f>
        <v/>
      </c>
      <c r="P1043" t="str">
        <f ca="1">IFERROR(__xludf.DUMMYFUNCTION("""COMPUTED_VALUE"""),"")</f>
        <v/>
      </c>
      <c r="Q1043" s="5" t="str">
        <f ca="1">IFERROR(__xludf.DUMMYFUNCTION("""COMPUTED_VALUE"""),"")</f>
        <v/>
      </c>
      <c r="R1043" s="6" t="str">
        <f ca="1">IFERROR(__xludf.DUMMYFUNCTION("""COMPUTED_VALUE"""),"")</f>
        <v/>
      </c>
      <c r="S1043" t="str">
        <f ca="1">IFERROR(__xludf.DUMMYFUNCTION("""COMPUTED_VALUE"""),"")</f>
        <v/>
      </c>
      <c r="T1043" t="str">
        <f ca="1">IFERROR(__xludf.DUMMYFUNCTION("""COMPUTED_VALUE"""),"")</f>
        <v/>
      </c>
      <c r="U1043" t="str">
        <f ca="1">IFERROR(__xludf.DUMMYFUNCTION("""COMPUTED_VALUE"""),"")</f>
        <v/>
      </c>
      <c r="V1043" t="str">
        <f ca="1">IFERROR(__xludf.DUMMYFUNCTION("""COMPUTED_VALUE"""),"")</f>
        <v/>
      </c>
      <c r="W1043" t="str">
        <f ca="1">IFERROR(__xludf.DUMMYFUNCTION("""COMPUTED_VALUE"""),"")</f>
        <v/>
      </c>
      <c r="X1043" t="str">
        <f ca="1">IFERROR(__xludf.DUMMYFUNCTION("""COMPUTED_VALUE"""),"")</f>
        <v/>
      </c>
      <c r="Y1043" t="str">
        <f ca="1">IFERROR(__xludf.DUMMYFUNCTION("""COMPUTED_VALUE"""),"")</f>
        <v/>
      </c>
      <c r="Z1043" t="str">
        <f ca="1">IFERROR(__xludf.DUMMYFUNCTION("""COMPUTED_VALUE"""),"")</f>
        <v/>
      </c>
      <c r="AA1043" t="str">
        <f ca="1">IFERROR(__xludf.DUMMYFUNCTION("""COMPUTED_VALUE"""),"Pas de commande")</f>
        <v>Pas de commande</v>
      </c>
      <c r="AB1043" s="8" t="str">
        <f ca="1">IFERROR(__xludf.DUMMYFUNCTION("""COMPUTED_VALUE"""),"")</f>
        <v/>
      </c>
      <c r="AC1043" s="8" t="str">
        <f ca="1">IFERROR(__xludf.DUMMYFUNCTION("""COMPUTED_VALUE"""),"")</f>
        <v/>
      </c>
      <c r="AD1043" s="11" t="str">
        <f ca="1">IFERROR(__xludf.DUMMYFUNCTION("""COMPUTED_VALUE"""),"")</f>
        <v/>
      </c>
      <c r="AE1043" t="str">
        <f ca="1">IFERROR(__xludf.DUMMYFUNCTION("""COMPUTED_VALUE"""),"")</f>
        <v/>
      </c>
    </row>
    <row r="1044" spans="1:31" ht="12.75" x14ac:dyDescent="0.2">
      <c r="A1044">
        <f ca="1">IFERROR(__xludf.DUMMYFUNCTION("""COMPUTED_VALUE"""),25975)</f>
        <v>25975</v>
      </c>
      <c r="B1044" t="str">
        <f ca="1">IFERROR(__xludf.DUMMYFUNCTION("""COMPUTED_VALUE"""),"TERDEGHEM")</f>
        <v>TERDEGHEM</v>
      </c>
      <c r="C1044" t="str">
        <f ca="1">IFERROR(__xludf.DUMMYFUNCTION("""COMPUTED_VALUE"""),"Super U")</f>
        <v>Super U</v>
      </c>
      <c r="D1044" t="str">
        <f ca="1">IFERROR(__xludf.DUMMYFUNCTION("""COMPUTED_VALUE"""),"Coop U Enseigne NordOuest")</f>
        <v>Coop U Enseigne NordOuest</v>
      </c>
      <c r="E1044">
        <f ca="1">IFERROR(__xludf.DUMMYFUNCTION("""COMPUTED_VALUE"""),59114)</f>
        <v>59114</v>
      </c>
      <c r="F1044" t="str">
        <f ca="1">IFERROR(__xludf.DUMMYFUNCTION("""COMPUTED_VALUE"""),"ROUTE D'HAZEBROUCK")</f>
        <v>ROUTE D'HAZEBROUCK</v>
      </c>
      <c r="G1044" t="str">
        <f ca="1">IFERROR(__xludf.DUMMYFUNCTION("""COMPUTED_VALUE"""),"03.28.42.97.80")</f>
        <v>03.28.42.97.80</v>
      </c>
      <c r="H1044" t="str">
        <f ca="1">IFERROR(__xludf.DUMMYFUNCTION("""COMPUTED_VALUE"""),"WILLEPOTTE Marius-Christophe")</f>
        <v>WILLEPOTTE Marius-Christophe</v>
      </c>
      <c r="I1044" t="str">
        <f ca="1">IFERROR(__xludf.DUMMYFUNCTION("""COMPUTED_VALUE"""),"marius.willepotte@systeme-u.fr")</f>
        <v>marius.willepotte@systeme-u.fr</v>
      </c>
      <c r="J1044" t="str">
        <f ca="1">IFERROR(__xludf.DUMMYFUNCTION("""COMPUTED_VALUE"""),"COTTIGNY PAULINE")</f>
        <v>COTTIGNY PAULINE</v>
      </c>
      <c r="K1044" t="str">
        <f ca="1">IFERROR(__xludf.DUMMYFUNCTION("""COMPUTED_VALUE"""),"superu.terdeghem@systeme-u.fr")</f>
        <v>superu.terdeghem@systeme-u.fr</v>
      </c>
      <c r="L1044" t="str">
        <f ca="1">IFERROR(__xludf.DUMMYFUNCTION("""COMPUTED_VALUE"""),"")</f>
        <v/>
      </c>
      <c r="M1044" t="str">
        <f ca="1">IFERROR(__xludf.DUMMYFUNCTION("""COMPUTED_VALUE"""),"99.Hors Périmetre")</f>
        <v>99.Hors Périmetre</v>
      </c>
      <c r="N1044" t="str">
        <f ca="1">IFERROR(__xludf.DUMMYFUNCTION("""COMPUTED_VALUE"""),"")</f>
        <v/>
      </c>
      <c r="O1044" t="str">
        <f ca="1">IFERROR(__xludf.DUMMYFUNCTION("""COMPUTED_VALUE"""),"")</f>
        <v/>
      </c>
      <c r="P1044" t="str">
        <f ca="1">IFERROR(__xludf.DUMMYFUNCTION("""COMPUTED_VALUE"""),"")</f>
        <v/>
      </c>
      <c r="Q1044" s="5" t="str">
        <f ca="1">IFERROR(__xludf.DUMMYFUNCTION("""COMPUTED_VALUE"""),"")</f>
        <v/>
      </c>
      <c r="R1044" s="6" t="str">
        <f ca="1">IFERROR(__xludf.DUMMYFUNCTION("""COMPUTED_VALUE"""),"")</f>
        <v/>
      </c>
      <c r="S1044" t="str">
        <f ca="1">IFERROR(__xludf.DUMMYFUNCTION("""COMPUTED_VALUE"""),"")</f>
        <v/>
      </c>
      <c r="T1044" t="str">
        <f ca="1">IFERROR(__xludf.DUMMYFUNCTION("""COMPUTED_VALUE"""),"")</f>
        <v/>
      </c>
      <c r="U1044" t="str">
        <f ca="1">IFERROR(__xludf.DUMMYFUNCTION("""COMPUTED_VALUE"""),"")</f>
        <v/>
      </c>
      <c r="V1044" t="str">
        <f ca="1">IFERROR(__xludf.DUMMYFUNCTION("""COMPUTED_VALUE"""),"")</f>
        <v/>
      </c>
      <c r="W1044" t="str">
        <f ca="1">IFERROR(__xludf.DUMMYFUNCTION("""COMPUTED_VALUE"""),"")</f>
        <v/>
      </c>
      <c r="X1044" t="str">
        <f ca="1">IFERROR(__xludf.DUMMYFUNCTION("""COMPUTED_VALUE"""),"")</f>
        <v/>
      </c>
      <c r="Y1044" t="str">
        <f ca="1">IFERROR(__xludf.DUMMYFUNCTION("""COMPUTED_VALUE"""),"")</f>
        <v/>
      </c>
      <c r="Z1044" t="str">
        <f ca="1">IFERROR(__xludf.DUMMYFUNCTION("""COMPUTED_VALUE"""),"")</f>
        <v/>
      </c>
      <c r="AA1044" t="str">
        <f ca="1">IFERROR(__xludf.DUMMYFUNCTION("""COMPUTED_VALUE"""),"Pas de commande")</f>
        <v>Pas de commande</v>
      </c>
      <c r="AB1044" s="8" t="str">
        <f ca="1">IFERROR(__xludf.DUMMYFUNCTION("""COMPUTED_VALUE"""),"")</f>
        <v/>
      </c>
      <c r="AC1044" s="8" t="str">
        <f ca="1">IFERROR(__xludf.DUMMYFUNCTION("""COMPUTED_VALUE"""),"")</f>
        <v/>
      </c>
      <c r="AD1044" s="11" t="str">
        <f ca="1">IFERROR(__xludf.DUMMYFUNCTION("""COMPUTED_VALUE"""),"")</f>
        <v/>
      </c>
      <c r="AE1044" t="str">
        <f ca="1">IFERROR(__xludf.DUMMYFUNCTION("""COMPUTED_VALUE"""),"")</f>
        <v/>
      </c>
    </row>
    <row r="1045" spans="1:31" ht="12.75" x14ac:dyDescent="0.2">
      <c r="A1045">
        <f ca="1">IFERROR(__xludf.DUMMYFUNCTION("""COMPUTED_VALUE"""),90175)</f>
        <v>90175</v>
      </c>
      <c r="B1045" t="str">
        <f ca="1">IFERROR(__xludf.DUMMYFUNCTION("""COMPUTED_VALUE"""),"THEZAN LES BEZIERS")</f>
        <v>THEZAN LES BEZIERS</v>
      </c>
      <c r="C1045" t="str">
        <f ca="1">IFERROR(__xludf.DUMMYFUNCTION("""COMPUTED_VALUE"""),"Super U")</f>
        <v>Super U</v>
      </c>
      <c r="D1045" t="str">
        <f ca="1">IFERROR(__xludf.DUMMYFUNCTION("""COMPUTED_VALUE"""),"Coop U Enseigne Sud")</f>
        <v>Coop U Enseigne Sud</v>
      </c>
      <c r="E1045">
        <f ca="1">IFERROR(__xludf.DUMMYFUNCTION("""COMPUTED_VALUE"""),34490)</f>
        <v>34490</v>
      </c>
      <c r="F1045" t="str">
        <f ca="1">IFERROR(__xludf.DUMMYFUNCTION("""COMPUTED_VALUE"""),"ZAE LES MASSELETTES")</f>
        <v>ZAE LES MASSELETTES</v>
      </c>
      <c r="G1045" t="str">
        <f ca="1">IFERROR(__xludf.DUMMYFUNCTION("""COMPUTED_VALUE"""),"04.67.37.88.32")</f>
        <v>04.67.37.88.32</v>
      </c>
      <c r="H1045" t="str">
        <f ca="1">IFERROR(__xludf.DUMMYFUNCTION("""COMPUTED_VALUE"""),"ET JEAN-PIERRE BARTHEZ ANNIE MONLLOR")</f>
        <v>ET JEAN-PIERRE BARTHEZ ANNIE MONLLOR</v>
      </c>
      <c r="I1045" t="str">
        <f ca="1">IFERROR(__xludf.DUMMYFUNCTION("""COMPUTED_VALUE"""),"annie.monllor@systeme-u.fr")</f>
        <v>annie.monllor@systeme-u.fr</v>
      </c>
      <c r="J1045" t="str">
        <f ca="1">IFERROR(__xludf.DUMMYFUNCTION("""COMPUTED_VALUE"""),"")</f>
        <v/>
      </c>
      <c r="K1045" t="str">
        <f ca="1">IFERROR(__xludf.DUMMYFUNCTION("""COMPUTED_VALUE"""),"")</f>
        <v/>
      </c>
      <c r="L1045" t="str">
        <f ca="1">IFERROR(__xludf.DUMMYFUNCTION("""COMPUTED_VALUE"""),"")</f>
        <v/>
      </c>
      <c r="M1045" t="str">
        <f ca="1">IFERROR(__xludf.DUMMYFUNCTION("""COMPUTED_VALUE"""),"99.Hors Périmetre")</f>
        <v>99.Hors Périmetre</v>
      </c>
      <c r="N1045" t="str">
        <f ca="1">IFERROR(__xludf.DUMMYFUNCTION("""COMPUTED_VALUE"""),"")</f>
        <v/>
      </c>
      <c r="O1045" t="str">
        <f ca="1">IFERROR(__xludf.DUMMYFUNCTION("""COMPUTED_VALUE"""),"")</f>
        <v/>
      </c>
      <c r="P1045" t="str">
        <f ca="1">IFERROR(__xludf.DUMMYFUNCTION("""COMPUTED_VALUE"""),"")</f>
        <v/>
      </c>
      <c r="Q1045" s="5" t="str">
        <f ca="1">IFERROR(__xludf.DUMMYFUNCTION("""COMPUTED_VALUE"""),"")</f>
        <v/>
      </c>
      <c r="R1045" s="6" t="str">
        <f ca="1">IFERROR(__xludf.DUMMYFUNCTION("""COMPUTED_VALUE"""),"")</f>
        <v/>
      </c>
      <c r="S1045" t="str">
        <f ca="1">IFERROR(__xludf.DUMMYFUNCTION("""COMPUTED_VALUE"""),"")</f>
        <v/>
      </c>
      <c r="T1045" t="str">
        <f ca="1">IFERROR(__xludf.DUMMYFUNCTION("""COMPUTED_VALUE"""),"")</f>
        <v/>
      </c>
      <c r="U1045" t="str">
        <f ca="1">IFERROR(__xludf.DUMMYFUNCTION("""COMPUTED_VALUE"""),"")</f>
        <v/>
      </c>
      <c r="V1045" t="str">
        <f ca="1">IFERROR(__xludf.DUMMYFUNCTION("""COMPUTED_VALUE"""),"")</f>
        <v/>
      </c>
      <c r="W1045" t="str">
        <f ca="1">IFERROR(__xludf.DUMMYFUNCTION("""COMPUTED_VALUE"""),"")</f>
        <v/>
      </c>
      <c r="X1045" t="str">
        <f ca="1">IFERROR(__xludf.DUMMYFUNCTION("""COMPUTED_VALUE"""),"")</f>
        <v/>
      </c>
      <c r="Y1045" t="str">
        <f ca="1">IFERROR(__xludf.DUMMYFUNCTION("""COMPUTED_VALUE"""),"")</f>
        <v/>
      </c>
      <c r="Z1045" t="str">
        <f ca="1">IFERROR(__xludf.DUMMYFUNCTION("""COMPUTED_VALUE"""),"")</f>
        <v/>
      </c>
      <c r="AA1045" t="str">
        <f ca="1">IFERROR(__xludf.DUMMYFUNCTION("""COMPUTED_VALUE"""),"Pas de commande")</f>
        <v>Pas de commande</v>
      </c>
      <c r="AB1045" s="8" t="str">
        <f ca="1">IFERROR(__xludf.DUMMYFUNCTION("""COMPUTED_VALUE"""),"")</f>
        <v/>
      </c>
      <c r="AC1045" s="8" t="str">
        <f ca="1">IFERROR(__xludf.DUMMYFUNCTION("""COMPUTED_VALUE"""),"")</f>
        <v/>
      </c>
      <c r="AD1045" s="11" t="str">
        <f ca="1">IFERROR(__xludf.DUMMYFUNCTION("""COMPUTED_VALUE"""),"")</f>
        <v/>
      </c>
      <c r="AE1045" t="str">
        <f ca="1">IFERROR(__xludf.DUMMYFUNCTION("""COMPUTED_VALUE"""),"")</f>
        <v/>
      </c>
    </row>
    <row r="1046" spans="1:31" ht="12.75" x14ac:dyDescent="0.2">
      <c r="A1046">
        <f ca="1">IFERROR(__xludf.DUMMYFUNCTION("""COMPUTED_VALUE"""),63002)</f>
        <v>63002</v>
      </c>
      <c r="B1046" t="str">
        <f ca="1">IFERROR(__xludf.DUMMYFUNCTION("""COMPUTED_VALUE"""),"THISE")</f>
        <v>THISE</v>
      </c>
      <c r="C1046" t="str">
        <f ca="1">IFERROR(__xludf.DUMMYFUNCTION("""COMPUTED_VALUE"""),"Utile")</f>
        <v>Utile</v>
      </c>
      <c r="D1046" t="str">
        <f ca="1">IFERROR(__xludf.DUMMYFUNCTION("""COMPUTED_VALUE"""),"Coop U Enseigne Est")</f>
        <v>Coop U Enseigne Est</v>
      </c>
      <c r="E1046">
        <f ca="1">IFERROR(__xludf.DUMMYFUNCTION("""COMPUTED_VALUE"""),25220)</f>
        <v>25220</v>
      </c>
      <c r="F1046" t="str">
        <f ca="1">IFERROR(__xludf.DUMMYFUNCTION("""COMPUTED_VALUE"""),"2 RUE DU RONDEY")</f>
        <v>2 RUE DU RONDEY</v>
      </c>
      <c r="G1046" t="str">
        <f ca="1">IFERROR(__xludf.DUMMYFUNCTION("""COMPUTED_VALUE"""),"03.81.61.03.80")</f>
        <v>03.81.61.03.80</v>
      </c>
      <c r="H1046" t="str">
        <f ca="1">IFERROR(__xludf.DUMMYFUNCTION("""COMPUTED_VALUE"""),"NEUVILLE Geoffroy")</f>
        <v>NEUVILLE Geoffroy</v>
      </c>
      <c r="I1046" t="str">
        <f ca="1">IFERROR(__xludf.DUMMYFUNCTION("""COMPUTED_VALUE"""),"geoffroy.neuville@systeme-u.fr")</f>
        <v>geoffroy.neuville@systeme-u.fr</v>
      </c>
      <c r="J1046" t="str">
        <f ca="1">IFERROR(__xludf.DUMMYFUNCTION("""COMPUTED_VALUE"""),"")</f>
        <v/>
      </c>
      <c r="K1046" t="str">
        <f ca="1">IFERROR(__xludf.DUMMYFUNCTION("""COMPUTED_VALUE"""),"")</f>
        <v/>
      </c>
      <c r="L1046" t="str">
        <f ca="1">IFERROR(__xludf.DUMMYFUNCTION("""COMPUTED_VALUE"""),"")</f>
        <v/>
      </c>
      <c r="M1046" t="str">
        <f ca="1">IFERROR(__xludf.DUMMYFUNCTION("""COMPUTED_VALUE"""),"99.Hors Périmetre")</f>
        <v>99.Hors Périmetre</v>
      </c>
      <c r="N1046" t="str">
        <f ca="1">IFERROR(__xludf.DUMMYFUNCTION("""COMPUTED_VALUE"""),"")</f>
        <v/>
      </c>
      <c r="O1046" t="str">
        <f ca="1">IFERROR(__xludf.DUMMYFUNCTION("""COMPUTED_VALUE"""),"")</f>
        <v/>
      </c>
      <c r="P1046" t="str">
        <f ca="1">IFERROR(__xludf.DUMMYFUNCTION("""COMPUTED_VALUE"""),"")</f>
        <v/>
      </c>
      <c r="Q1046" s="5" t="str">
        <f ca="1">IFERROR(__xludf.DUMMYFUNCTION("""COMPUTED_VALUE"""),"")</f>
        <v/>
      </c>
      <c r="R1046" s="6" t="str">
        <f ca="1">IFERROR(__xludf.DUMMYFUNCTION("""COMPUTED_VALUE"""),"")</f>
        <v/>
      </c>
      <c r="S1046" t="str">
        <f ca="1">IFERROR(__xludf.DUMMYFUNCTION("""COMPUTED_VALUE"""),"")</f>
        <v/>
      </c>
      <c r="T1046" t="str">
        <f ca="1">IFERROR(__xludf.DUMMYFUNCTION("""COMPUTED_VALUE"""),"")</f>
        <v/>
      </c>
      <c r="U1046" t="str">
        <f ca="1">IFERROR(__xludf.DUMMYFUNCTION("""COMPUTED_VALUE"""),"")</f>
        <v/>
      </c>
      <c r="V1046" t="str">
        <f ca="1">IFERROR(__xludf.DUMMYFUNCTION("""COMPUTED_VALUE"""),"")</f>
        <v/>
      </c>
      <c r="W1046" t="str">
        <f ca="1">IFERROR(__xludf.DUMMYFUNCTION("""COMPUTED_VALUE"""),"")</f>
        <v/>
      </c>
      <c r="X1046" t="str">
        <f ca="1">IFERROR(__xludf.DUMMYFUNCTION("""COMPUTED_VALUE"""),"")</f>
        <v/>
      </c>
      <c r="Y1046" t="str">
        <f ca="1">IFERROR(__xludf.DUMMYFUNCTION("""COMPUTED_VALUE"""),"")</f>
        <v/>
      </c>
      <c r="Z1046" t="str">
        <f ca="1">IFERROR(__xludf.DUMMYFUNCTION("""COMPUTED_VALUE"""),"")</f>
        <v/>
      </c>
      <c r="AA1046" t="str">
        <f ca="1">IFERROR(__xludf.DUMMYFUNCTION("""COMPUTED_VALUE"""),"Pas de commande")</f>
        <v>Pas de commande</v>
      </c>
      <c r="AB1046" s="8" t="str">
        <f ca="1">IFERROR(__xludf.DUMMYFUNCTION("""COMPUTED_VALUE"""),"")</f>
        <v/>
      </c>
      <c r="AC1046" s="8" t="str">
        <f ca="1">IFERROR(__xludf.DUMMYFUNCTION("""COMPUTED_VALUE"""),"")</f>
        <v/>
      </c>
      <c r="AD1046" s="11" t="str">
        <f ca="1">IFERROR(__xludf.DUMMYFUNCTION("""COMPUTED_VALUE"""),"")</f>
        <v/>
      </c>
      <c r="AE1046" t="str">
        <f ca="1">IFERROR(__xludf.DUMMYFUNCTION("""COMPUTED_VALUE"""),"")</f>
        <v/>
      </c>
    </row>
    <row r="1047" spans="1:31" ht="12.75" x14ac:dyDescent="0.2">
      <c r="A1047">
        <f ca="1">IFERROR(__xludf.DUMMYFUNCTION("""COMPUTED_VALUE"""),36106)</f>
        <v>36106</v>
      </c>
      <c r="B1047" t="str">
        <f ca="1">IFERROR(__xludf.DUMMYFUNCTION("""COMPUTED_VALUE"""),"THOUARCE")</f>
        <v>THOUARCE</v>
      </c>
      <c r="C1047" t="str">
        <f ca="1">IFERROR(__xludf.DUMMYFUNCTION("""COMPUTED_VALUE"""),"Super U")</f>
        <v>Super U</v>
      </c>
      <c r="D1047" t="str">
        <f ca="1">IFERROR(__xludf.DUMMYFUNCTION("""COMPUTED_VALUE"""),"Coop U Enseigne Ouest")</f>
        <v>Coop U Enseigne Ouest</v>
      </c>
      <c r="E1047">
        <f ca="1">IFERROR(__xludf.DUMMYFUNCTION("""COMPUTED_VALUE"""),49380)</f>
        <v>49380</v>
      </c>
      <c r="F1047" t="str">
        <f ca="1">IFERROR(__xludf.DUMMYFUNCTION("""COMPUTED_VALUE"""),"2, BOULEVARDD DE LA RÉPUBLIQUE")</f>
        <v>2, BOULEVARDD DE LA RÉPUBLIQUE</v>
      </c>
      <c r="G1047" t="str">
        <f ca="1">IFERROR(__xludf.DUMMYFUNCTION("""COMPUTED_VALUE"""),"02.41.54.15.17")</f>
        <v>02.41.54.15.17</v>
      </c>
      <c r="H1047" t="str">
        <f ca="1">IFERROR(__xludf.DUMMYFUNCTION("""COMPUTED_VALUE"""),"MENARD RPT SARL BREHMEN Sébastien")</f>
        <v>MENARD RPT SARL BREHMEN Sébastien</v>
      </c>
      <c r="I1047" t="str">
        <f ca="1">IFERROR(__xludf.DUMMYFUNCTION("""COMPUTED_VALUE"""),"sebastien.menard@systeme-u.fr")</f>
        <v>sebastien.menard@systeme-u.fr</v>
      </c>
      <c r="J1047" t="str">
        <f ca="1">IFERROR(__xludf.DUMMYFUNCTION("""COMPUTED_VALUE"""),"Mme Vallant")</f>
        <v>Mme Vallant</v>
      </c>
      <c r="K1047" t="str">
        <f ca="1">IFERROR(__xludf.DUMMYFUNCTION("""COMPUTED_VALUE"""),"superu.thouarce@systeme-u.fr")</f>
        <v>superu.thouarce@systeme-u.fr</v>
      </c>
      <c r="L1047" t="str">
        <f ca="1">IFERROR(__xludf.DUMMYFUNCTION("""COMPUTED_VALUE"""),"")</f>
        <v/>
      </c>
      <c r="M1047" t="str">
        <f ca="1">IFERROR(__xludf.DUMMYFUNCTION("""COMPUTED_VALUE"""),"99.Hors Périmetre")</f>
        <v>99.Hors Périmetre</v>
      </c>
      <c r="N1047" t="str">
        <f ca="1">IFERROR(__xludf.DUMMYFUNCTION("""COMPUTED_VALUE"""),"")</f>
        <v/>
      </c>
      <c r="O1047" t="str">
        <f ca="1">IFERROR(__xludf.DUMMYFUNCTION("""COMPUTED_VALUE"""),"")</f>
        <v/>
      </c>
      <c r="P1047" t="str">
        <f ca="1">IFERROR(__xludf.DUMMYFUNCTION("""COMPUTED_VALUE"""),"")</f>
        <v/>
      </c>
      <c r="Q1047" s="5" t="str">
        <f ca="1">IFERROR(__xludf.DUMMYFUNCTION("""COMPUTED_VALUE"""),"")</f>
        <v/>
      </c>
      <c r="R1047" s="6" t="str">
        <f ca="1">IFERROR(__xludf.DUMMYFUNCTION("""COMPUTED_VALUE"""),"")</f>
        <v/>
      </c>
      <c r="S1047" t="str">
        <f ca="1">IFERROR(__xludf.DUMMYFUNCTION("""COMPUTED_VALUE"""),"")</f>
        <v/>
      </c>
      <c r="T1047" t="str">
        <f ca="1">IFERROR(__xludf.DUMMYFUNCTION("""COMPUTED_VALUE"""),"")</f>
        <v/>
      </c>
      <c r="U1047" t="str">
        <f ca="1">IFERROR(__xludf.DUMMYFUNCTION("""COMPUTED_VALUE"""),"")</f>
        <v/>
      </c>
      <c r="V1047" t="str">
        <f ca="1">IFERROR(__xludf.DUMMYFUNCTION("""COMPUTED_VALUE"""),"")</f>
        <v/>
      </c>
      <c r="W1047" t="str">
        <f ca="1">IFERROR(__xludf.DUMMYFUNCTION("""COMPUTED_VALUE"""),"")</f>
        <v/>
      </c>
      <c r="X1047" t="str">
        <f ca="1">IFERROR(__xludf.DUMMYFUNCTION("""COMPUTED_VALUE"""),"")</f>
        <v/>
      </c>
      <c r="Y1047" t="str">
        <f ca="1">IFERROR(__xludf.DUMMYFUNCTION("""COMPUTED_VALUE"""),"")</f>
        <v/>
      </c>
      <c r="Z1047" t="str">
        <f ca="1">IFERROR(__xludf.DUMMYFUNCTION("""COMPUTED_VALUE"""),"")</f>
        <v/>
      </c>
      <c r="AA1047" t="str">
        <f ca="1">IFERROR(__xludf.DUMMYFUNCTION("""COMPUTED_VALUE"""),"Pas de commande")</f>
        <v>Pas de commande</v>
      </c>
      <c r="AB1047" s="8" t="str">
        <f ca="1">IFERROR(__xludf.DUMMYFUNCTION("""COMPUTED_VALUE"""),"")</f>
        <v/>
      </c>
      <c r="AC1047" s="8" t="str">
        <f ca="1">IFERROR(__xludf.DUMMYFUNCTION("""COMPUTED_VALUE"""),"")</f>
        <v/>
      </c>
      <c r="AD1047" s="11" t="str">
        <f ca="1">IFERROR(__xludf.DUMMYFUNCTION("""COMPUTED_VALUE"""),"")</f>
        <v/>
      </c>
      <c r="AE1047" t="str">
        <f ca="1">IFERROR(__xludf.DUMMYFUNCTION("""COMPUTED_VALUE"""),"")</f>
        <v/>
      </c>
    </row>
    <row r="1048" spans="1:31" ht="12.75" x14ac:dyDescent="0.2">
      <c r="A1048">
        <f ca="1">IFERROR(__xludf.DUMMYFUNCTION("""COMPUTED_VALUE"""),32356)</f>
        <v>32356</v>
      </c>
      <c r="B1048" t="str">
        <f ca="1">IFERROR(__xludf.DUMMYFUNCTION("""COMPUTED_VALUE"""),"THOUARE-SUR-LOIRE")</f>
        <v>THOUARE-SUR-LOIRE</v>
      </c>
      <c r="C1048" t="str">
        <f ca="1">IFERROR(__xludf.DUMMYFUNCTION("""COMPUTED_VALUE"""),"Super U")</f>
        <v>Super U</v>
      </c>
      <c r="D1048" t="str">
        <f ca="1">IFERROR(__xludf.DUMMYFUNCTION("""COMPUTED_VALUE"""),"Coop U Enseigne Ouest")</f>
        <v>Coop U Enseigne Ouest</v>
      </c>
      <c r="E1048">
        <f ca="1">IFERROR(__xludf.DUMMYFUNCTION("""COMPUTED_VALUE"""),44470)</f>
        <v>44470</v>
      </c>
      <c r="F1048" t="str">
        <f ca="1">IFERROR(__xludf.DUMMYFUNCTION("""COMPUTED_VALUE"""),"ROUTE DE LA MALNOUE")</f>
        <v>ROUTE DE LA MALNOUE</v>
      </c>
      <c r="G1048" t="str">
        <f ca="1">IFERROR(__xludf.DUMMYFUNCTION("""COMPUTED_VALUE"""),"02.40.68.09.41")</f>
        <v>02.40.68.09.41</v>
      </c>
      <c r="H1048" t="str">
        <f ca="1">IFERROR(__xludf.DUMMYFUNCTION("""COMPUTED_VALUE"""),"BOURE RPT SARL JERDIS Jérôme")</f>
        <v>BOURE RPT SARL JERDIS Jérôme</v>
      </c>
      <c r="I1048" t="str">
        <f ca="1">IFERROR(__xludf.DUMMYFUNCTION("""COMPUTED_VALUE"""),"jerome.boure@systeme-u.fr")</f>
        <v>jerome.boure@systeme-u.fr</v>
      </c>
      <c r="J1048" t="str">
        <f ca="1">IFERROR(__xludf.DUMMYFUNCTION("""COMPUTED_VALUE"""),"Legueenec Valerie")</f>
        <v>Legueenec Valerie</v>
      </c>
      <c r="K1048" t="str">
        <f ca="1">IFERROR(__xludf.DUMMYFUNCTION("""COMPUTED_VALUE"""),"superu.thouaresurloire.informatique@systeme-u.fr")</f>
        <v>superu.thouaresurloire.informatique@systeme-u.fr</v>
      </c>
      <c r="L1048" t="str">
        <f ca="1">IFERROR(__xludf.DUMMYFUNCTION("""COMPUTED_VALUE"""),"")</f>
        <v/>
      </c>
      <c r="M1048" t="str">
        <f ca="1">IFERROR(__xludf.DUMMYFUNCTION("""COMPUTED_VALUE"""),"99.Hors Périmetre")</f>
        <v>99.Hors Périmetre</v>
      </c>
      <c r="N1048" t="str">
        <f ca="1">IFERROR(__xludf.DUMMYFUNCTION("""COMPUTED_VALUE"""),"")</f>
        <v/>
      </c>
      <c r="O1048" t="str">
        <f ca="1">IFERROR(__xludf.DUMMYFUNCTION("""COMPUTED_VALUE"""),"")</f>
        <v/>
      </c>
      <c r="P1048" t="str">
        <f ca="1">IFERROR(__xludf.DUMMYFUNCTION("""COMPUTED_VALUE"""),"")</f>
        <v/>
      </c>
      <c r="Q1048" s="5" t="str">
        <f ca="1">IFERROR(__xludf.DUMMYFUNCTION("""COMPUTED_VALUE"""),"")</f>
        <v/>
      </c>
      <c r="R1048" s="6" t="str">
        <f ca="1">IFERROR(__xludf.DUMMYFUNCTION("""COMPUTED_VALUE"""),"")</f>
        <v/>
      </c>
      <c r="S1048" t="str">
        <f ca="1">IFERROR(__xludf.DUMMYFUNCTION("""COMPUTED_VALUE"""),"")</f>
        <v/>
      </c>
      <c r="T1048" t="str">
        <f ca="1">IFERROR(__xludf.DUMMYFUNCTION("""COMPUTED_VALUE"""),"")</f>
        <v/>
      </c>
      <c r="U1048" t="str">
        <f ca="1">IFERROR(__xludf.DUMMYFUNCTION("""COMPUTED_VALUE"""),"")</f>
        <v/>
      </c>
      <c r="V1048" t="str">
        <f ca="1">IFERROR(__xludf.DUMMYFUNCTION("""COMPUTED_VALUE"""),"")</f>
        <v/>
      </c>
      <c r="W1048" t="str">
        <f ca="1">IFERROR(__xludf.DUMMYFUNCTION("""COMPUTED_VALUE"""),"")</f>
        <v/>
      </c>
      <c r="X1048" t="str">
        <f ca="1">IFERROR(__xludf.DUMMYFUNCTION("""COMPUTED_VALUE"""),"")</f>
        <v/>
      </c>
      <c r="Y1048" t="str">
        <f ca="1">IFERROR(__xludf.DUMMYFUNCTION("""COMPUTED_VALUE"""),"")</f>
        <v/>
      </c>
      <c r="Z1048" t="str">
        <f ca="1">IFERROR(__xludf.DUMMYFUNCTION("""COMPUTED_VALUE"""),"")</f>
        <v/>
      </c>
      <c r="AA1048" t="str">
        <f ca="1">IFERROR(__xludf.DUMMYFUNCTION("""COMPUTED_VALUE"""),"Pas de commande")</f>
        <v>Pas de commande</v>
      </c>
      <c r="AB1048" s="8" t="str">
        <f ca="1">IFERROR(__xludf.DUMMYFUNCTION("""COMPUTED_VALUE"""),"")</f>
        <v/>
      </c>
      <c r="AC1048" s="8" t="str">
        <f ca="1">IFERROR(__xludf.DUMMYFUNCTION("""COMPUTED_VALUE"""),"")</f>
        <v/>
      </c>
      <c r="AD1048" s="11" t="str">
        <f ca="1">IFERROR(__xludf.DUMMYFUNCTION("""COMPUTED_VALUE"""),"")</f>
        <v/>
      </c>
      <c r="AE1048" t="str">
        <f ca="1">IFERROR(__xludf.DUMMYFUNCTION("""COMPUTED_VALUE"""),"")</f>
        <v/>
      </c>
    </row>
    <row r="1049" spans="1:31" ht="12.75" x14ac:dyDescent="0.2">
      <c r="A1049">
        <f ca="1">IFERROR(__xludf.DUMMYFUNCTION("""COMPUTED_VALUE"""),34223)</f>
        <v>34223</v>
      </c>
      <c r="B1049" t="str">
        <f ca="1">IFERROR(__xludf.DUMMYFUNCTION("""COMPUTED_VALUE"""),"THOUARS")</f>
        <v>THOUARS</v>
      </c>
      <c r="C1049" t="str">
        <f ca="1">IFERROR(__xludf.DUMMYFUNCTION("""COMPUTED_VALUE"""),"Utile")</f>
        <v>Utile</v>
      </c>
      <c r="D1049" t="str">
        <f ca="1">IFERROR(__xludf.DUMMYFUNCTION("""COMPUTED_VALUE"""),"Coop Atlantique")</f>
        <v>Coop Atlantique</v>
      </c>
      <c r="E1049">
        <f ca="1">IFERROR(__xludf.DUMMYFUNCTION("""COMPUTED_VALUE"""),79100)</f>
        <v>79100</v>
      </c>
      <c r="F1049" t="str">
        <f ca="1">IFERROR(__xludf.DUMMYFUNCTION("""COMPUTED_VALUE"""),"21, BD PIERRE CURIE")</f>
        <v>21, BD PIERRE CURIE</v>
      </c>
      <c r="G1049" t="str">
        <f ca="1">IFERROR(__xludf.DUMMYFUNCTION("""COMPUTED_VALUE"""),"05.49.66.26.89")</f>
        <v>05.49.66.26.89</v>
      </c>
      <c r="H1049" t="str">
        <f ca="1">IFERROR(__xludf.DUMMYFUNCTION("""COMPUTED_VALUE"""),"FLAMBARD Hervé")</f>
        <v>FLAMBARD Hervé</v>
      </c>
      <c r="I1049" t="str">
        <f ca="1">IFERROR(__xludf.DUMMYFUNCTION("""COMPUTED_VALUE"""),"bertrand.defontaine_coop_su_uex@systeme-u.fr")</f>
        <v>bertrand.defontaine_coop_su_uex@systeme-u.fr</v>
      </c>
      <c r="J1049" t="str">
        <f ca="1">IFERROR(__xludf.DUMMYFUNCTION("""COMPUTED_VALUE"""),"Malika COUTET")</f>
        <v>Malika COUTET</v>
      </c>
      <c r="K1049" t="str">
        <f ca="1">IFERROR(__xludf.DUMMYFUNCTION("""COMPUTED_VALUE"""),"uexpress.thouars.direction@systeme-u.fr,nbrigant@coop-atlantique.fr,sjaud@coop-atlantique.fr")</f>
        <v>uexpress.thouars.direction@systeme-u.fr,nbrigant@coop-atlantique.fr,sjaud@coop-atlantique.fr</v>
      </c>
      <c r="L1049" t="str">
        <f ca="1">IFERROR(__xludf.DUMMYFUNCTION("""COMPUTED_VALUE"""),"")</f>
        <v/>
      </c>
      <c r="M1049" t="str">
        <f ca="1">IFERROR(__xludf.DUMMYFUNCTION("""COMPUTED_VALUE"""),"99.Hors Périmetre")</f>
        <v>99.Hors Périmetre</v>
      </c>
      <c r="N1049" t="str">
        <f ca="1">IFERROR(__xludf.DUMMYFUNCTION("""COMPUTED_VALUE"""),"")</f>
        <v/>
      </c>
      <c r="O1049" t="str">
        <f ca="1">IFERROR(__xludf.DUMMYFUNCTION("""COMPUTED_VALUE"""),"")</f>
        <v/>
      </c>
      <c r="P1049" t="str">
        <f ca="1">IFERROR(__xludf.DUMMYFUNCTION("""COMPUTED_VALUE"""),"")</f>
        <v/>
      </c>
      <c r="Q1049" s="5" t="str">
        <f ca="1">IFERROR(__xludf.DUMMYFUNCTION("""COMPUTED_VALUE"""),"")</f>
        <v/>
      </c>
      <c r="R1049" s="6" t="str">
        <f ca="1">IFERROR(__xludf.DUMMYFUNCTION("""COMPUTED_VALUE"""),"")</f>
        <v/>
      </c>
      <c r="S1049" t="str">
        <f ca="1">IFERROR(__xludf.DUMMYFUNCTION("""COMPUTED_VALUE"""),"")</f>
        <v/>
      </c>
      <c r="T1049" t="str">
        <f ca="1">IFERROR(__xludf.DUMMYFUNCTION("""COMPUTED_VALUE"""),"")</f>
        <v/>
      </c>
      <c r="U1049" t="str">
        <f ca="1">IFERROR(__xludf.DUMMYFUNCTION("""COMPUTED_VALUE"""),"")</f>
        <v/>
      </c>
      <c r="V1049" t="str">
        <f ca="1">IFERROR(__xludf.DUMMYFUNCTION("""COMPUTED_VALUE"""),"")</f>
        <v/>
      </c>
      <c r="W1049" t="str">
        <f ca="1">IFERROR(__xludf.DUMMYFUNCTION("""COMPUTED_VALUE"""),"R5")</f>
        <v>R5</v>
      </c>
      <c r="X1049" t="str">
        <f ca="1">IFERROR(__xludf.DUMMYFUNCTION("""COMPUTED_VALUE"""),"PC mag &lt;8Go")</f>
        <v>PC mag &lt;8Go</v>
      </c>
      <c r="Y1049" t="str">
        <f ca="1">IFERROR(__xludf.DUMMYFUNCTION("""COMPUTED_VALUE"""),"")</f>
        <v/>
      </c>
      <c r="Z1049" t="str">
        <f ca="1">IFERROR(__xludf.DUMMYFUNCTION("""COMPUTED_VALUE"""),"")</f>
        <v/>
      </c>
      <c r="AA1049" t="str">
        <f ca="1">IFERROR(__xludf.DUMMYFUNCTION("""COMPUTED_VALUE"""),"Pas de commande")</f>
        <v>Pas de commande</v>
      </c>
      <c r="AB1049" s="8" t="str">
        <f ca="1">IFERROR(__xludf.DUMMYFUNCTION("""COMPUTED_VALUE"""),"")</f>
        <v/>
      </c>
      <c r="AC1049" s="8" t="str">
        <f ca="1">IFERROR(__xludf.DUMMYFUNCTION("""COMPUTED_VALUE"""),"")</f>
        <v/>
      </c>
      <c r="AD1049" s="11" t="str">
        <f ca="1">IFERROR(__xludf.DUMMYFUNCTION("""COMPUTED_VALUE"""),"")</f>
        <v/>
      </c>
      <c r="AE1049" t="str">
        <f ca="1">IFERROR(__xludf.DUMMYFUNCTION("""COMPUTED_VALUE"""),"Coop Atlantique")</f>
        <v>Coop Atlantique</v>
      </c>
    </row>
    <row r="1050" spans="1:31" ht="12.75" x14ac:dyDescent="0.2">
      <c r="A1050">
        <f ca="1">IFERROR(__xludf.DUMMYFUNCTION("""COMPUTED_VALUE"""),39741)</f>
        <v>39741</v>
      </c>
      <c r="B1050" t="str">
        <f ca="1">IFERROR(__xludf.DUMMYFUNCTION("""COMPUTED_VALUE"""),"THOUARS")</f>
        <v>THOUARS</v>
      </c>
      <c r="C1050" t="str">
        <f ca="1">IFERROR(__xludf.DUMMYFUNCTION("""COMPUTED_VALUE"""),"Super U")</f>
        <v>Super U</v>
      </c>
      <c r="D1050" t="str">
        <f ca="1">IFERROR(__xludf.DUMMYFUNCTION("""COMPUTED_VALUE"""),"Coop U Enseigne Ouest")</f>
        <v>Coop U Enseigne Ouest</v>
      </c>
      <c r="E1050">
        <f ca="1">IFERROR(__xludf.DUMMYFUNCTION("""COMPUTED_VALUE"""),79100)</f>
        <v>79100</v>
      </c>
      <c r="F1050" t="str">
        <f ca="1">IFERROR(__xludf.DUMMYFUNCTION("""COMPUTED_VALUE"""),"2, BOULEVARD DE DIEPHOLZ")</f>
        <v>2, BOULEVARD DE DIEPHOLZ</v>
      </c>
      <c r="G1050" t="str">
        <f ca="1">IFERROR(__xludf.DUMMYFUNCTION("""COMPUTED_VALUE"""),"05.49.66.30.34")</f>
        <v>05.49.66.30.34</v>
      </c>
      <c r="H1050" t="str">
        <f ca="1">IFERROR(__xludf.DUMMYFUNCTION("""COMPUTED_VALUE"""),"BARRIET RPT SARL BARGE Jacky")</f>
        <v>BARRIET RPT SARL BARGE Jacky</v>
      </c>
      <c r="I1050" t="str">
        <f ca="1">IFERROR(__xludf.DUMMYFUNCTION("""COMPUTED_VALUE"""),"jacky.barriet@systeme-u.fr")</f>
        <v>jacky.barriet@systeme-u.fr</v>
      </c>
      <c r="J1050" t="str">
        <f ca="1">IFERROR(__xludf.DUMMYFUNCTION("""COMPUTED_VALUE"""),"DURAND FREDERIC")</f>
        <v>DURAND FREDERIC</v>
      </c>
      <c r="K1050" t="str">
        <f ca="1">IFERROR(__xludf.DUMMYFUNCTION("""COMPUTED_VALUE"""),"superu.thouars@systeme-u.fr")</f>
        <v>superu.thouars@systeme-u.fr</v>
      </c>
      <c r="L1050" t="str">
        <f ca="1">IFERROR(__xludf.DUMMYFUNCTION("""COMPUTED_VALUE"""),"Standard")</f>
        <v>Standard</v>
      </c>
      <c r="M1050" t="str">
        <f ca="1">IFERROR(__xludf.DUMMYFUNCTION("""COMPUTED_VALUE"""),"0. Non démarré")</f>
        <v>0. Non démarré</v>
      </c>
      <c r="N1050" t="str">
        <f ca="1">IFERROR(__xludf.DUMMYFUNCTION("""COMPUTED_VALUE"""),"")</f>
        <v/>
      </c>
      <c r="O1050" t="str">
        <f ca="1">IFERROR(__xludf.DUMMYFUNCTION("""COMPUTED_VALUE"""),"")</f>
        <v/>
      </c>
      <c r="P1050" t="str">
        <f ca="1">IFERROR(__xludf.DUMMYFUNCTION("""COMPUTED_VALUE"""),"")</f>
        <v/>
      </c>
      <c r="Q1050" s="5" t="str">
        <f ca="1">IFERROR(__xludf.DUMMYFUNCTION("""COMPUTED_VALUE"""),"")</f>
        <v/>
      </c>
      <c r="R1050" s="6" t="str">
        <f ca="1">IFERROR(__xludf.DUMMYFUNCTION("""COMPUTED_VALUE"""),"")</f>
        <v/>
      </c>
      <c r="S1050" t="str">
        <f ca="1">IFERROR(__xludf.DUMMYFUNCTION("""COMPUTED_VALUE"""),"")</f>
        <v/>
      </c>
      <c r="T1050" t="str">
        <f ca="1">IFERROR(__xludf.DUMMYFUNCTION("""COMPUTED_VALUE"""),"")</f>
        <v/>
      </c>
      <c r="U1050" t="str">
        <f ca="1">IFERROR(__xludf.DUMMYFUNCTION("""COMPUTED_VALUE"""),"")</f>
        <v/>
      </c>
      <c r="V1050" t="str">
        <f ca="1">IFERROR(__xludf.DUMMYFUNCTION("""COMPUTED_VALUE"""),"")</f>
        <v/>
      </c>
      <c r="W1050" t="str">
        <f ca="1">IFERROR(__xludf.DUMMYFUNCTION("""COMPUTED_VALUE"""),"")</f>
        <v/>
      </c>
      <c r="X1050" t="str">
        <f ca="1">IFERROR(__xludf.DUMMYFUNCTION("""COMPUTED_VALUE"""),"")</f>
        <v/>
      </c>
      <c r="Y1050" t="str">
        <f ca="1">IFERROR(__xludf.DUMMYFUNCTION("""COMPUTED_VALUE"""),"")</f>
        <v/>
      </c>
      <c r="Z1050" t="str">
        <f ca="1">IFERROR(__xludf.DUMMYFUNCTION("""COMPUTED_VALUE"""),"")</f>
        <v/>
      </c>
      <c r="AA1050" t="str">
        <f ca="1">IFERROR(__xludf.DUMMYFUNCTION("""COMPUTED_VALUE"""),"Pas de commande")</f>
        <v>Pas de commande</v>
      </c>
      <c r="AB1050" s="8" t="str">
        <f ca="1">IFERROR(__xludf.DUMMYFUNCTION("""COMPUTED_VALUE"""),"")</f>
        <v/>
      </c>
      <c r="AC1050" s="8" t="str">
        <f ca="1">IFERROR(__xludf.DUMMYFUNCTION("""COMPUTED_VALUE"""),"")</f>
        <v/>
      </c>
      <c r="AD1050" s="11" t="str">
        <f ca="1">IFERROR(__xludf.DUMMYFUNCTION("""COMPUTED_VALUE"""),"")</f>
        <v/>
      </c>
      <c r="AE1050" t="str">
        <f ca="1">IFERROR(__xludf.DUMMYFUNCTION("""COMPUTED_VALUE"""),"")</f>
        <v/>
      </c>
    </row>
    <row r="1051" spans="1:31" ht="12.75" x14ac:dyDescent="0.2">
      <c r="A1051">
        <f ca="1">IFERROR(__xludf.DUMMYFUNCTION("""COMPUTED_VALUE"""),26092)</f>
        <v>26092</v>
      </c>
      <c r="B1051" t="str">
        <f ca="1">IFERROR(__xludf.DUMMYFUNCTION("""COMPUTED_VALUE"""),"THOUROTTE")</f>
        <v>THOUROTTE</v>
      </c>
      <c r="C1051" t="str">
        <f ca="1">IFERROR(__xludf.DUMMYFUNCTION("""COMPUTED_VALUE"""),"Super U")</f>
        <v>Super U</v>
      </c>
      <c r="D1051" t="str">
        <f ca="1">IFERROR(__xludf.DUMMYFUNCTION("""COMPUTED_VALUE"""),"Coop U Enseigne NordOuest")</f>
        <v>Coop U Enseigne NordOuest</v>
      </c>
      <c r="E1051">
        <f ca="1">IFERROR(__xludf.DUMMYFUNCTION("""COMPUTED_VALUE"""),60150)</f>
        <v>60150</v>
      </c>
      <c r="F1051" t="str">
        <f ca="1">IFERROR(__xludf.DUMMYFUNCTION("""COMPUTED_VALUE"""),"AVENUE DE RIMBACH")</f>
        <v>AVENUE DE RIMBACH</v>
      </c>
      <c r="G1051" t="str">
        <f ca="1">IFERROR(__xludf.DUMMYFUNCTION("""COMPUTED_VALUE"""),"03.44.30.44.80")</f>
        <v>03.44.30.44.80</v>
      </c>
      <c r="H1051" t="str">
        <f ca="1">IFERROR(__xludf.DUMMYFUNCTION("""COMPUTED_VALUE"""),"BLAISE David")</f>
        <v>BLAISE David</v>
      </c>
      <c r="I1051" t="str">
        <f ca="1">IFERROR(__xludf.DUMMYFUNCTION("""COMPUTED_VALUE"""),"david.blaise@systeme-u.fr")</f>
        <v>david.blaise@systeme-u.fr</v>
      </c>
      <c r="J1051" t="str">
        <f ca="1">IFERROR(__xludf.DUMMYFUNCTION("""COMPUTED_VALUE"""),"")</f>
        <v/>
      </c>
      <c r="K1051" t="str">
        <f ca="1">IFERROR(__xludf.DUMMYFUNCTION("""COMPUTED_VALUE"""),"")</f>
        <v/>
      </c>
      <c r="L1051" t="str">
        <f ca="1">IFERROR(__xludf.DUMMYFUNCTION("""COMPUTED_VALUE"""),"")</f>
        <v/>
      </c>
      <c r="M1051" t="str">
        <f ca="1">IFERROR(__xludf.DUMMYFUNCTION("""COMPUTED_VALUE"""),"99.Hors Périmetre")</f>
        <v>99.Hors Périmetre</v>
      </c>
      <c r="N1051" t="str">
        <f ca="1">IFERROR(__xludf.DUMMYFUNCTION("""COMPUTED_VALUE"""),"")</f>
        <v/>
      </c>
      <c r="O1051" t="str">
        <f ca="1">IFERROR(__xludf.DUMMYFUNCTION("""COMPUTED_VALUE"""),"")</f>
        <v/>
      </c>
      <c r="P1051" t="str">
        <f ca="1">IFERROR(__xludf.DUMMYFUNCTION("""COMPUTED_VALUE"""),"")</f>
        <v/>
      </c>
      <c r="Q1051" s="5" t="str">
        <f ca="1">IFERROR(__xludf.DUMMYFUNCTION("""COMPUTED_VALUE"""),"")</f>
        <v/>
      </c>
      <c r="R1051" s="6" t="str">
        <f ca="1">IFERROR(__xludf.DUMMYFUNCTION("""COMPUTED_VALUE"""),"")</f>
        <v/>
      </c>
      <c r="S1051" t="str">
        <f ca="1">IFERROR(__xludf.DUMMYFUNCTION("""COMPUTED_VALUE"""),"")</f>
        <v/>
      </c>
      <c r="T1051" t="str">
        <f ca="1">IFERROR(__xludf.DUMMYFUNCTION("""COMPUTED_VALUE"""),"")</f>
        <v/>
      </c>
      <c r="U1051" t="str">
        <f ca="1">IFERROR(__xludf.DUMMYFUNCTION("""COMPUTED_VALUE"""),"")</f>
        <v/>
      </c>
      <c r="V1051" t="str">
        <f ca="1">IFERROR(__xludf.DUMMYFUNCTION("""COMPUTED_VALUE"""),"")</f>
        <v/>
      </c>
      <c r="W1051" t="str">
        <f ca="1">IFERROR(__xludf.DUMMYFUNCTION("""COMPUTED_VALUE"""),"")</f>
        <v/>
      </c>
      <c r="X1051" t="str">
        <f ca="1">IFERROR(__xludf.DUMMYFUNCTION("""COMPUTED_VALUE"""),"")</f>
        <v/>
      </c>
      <c r="Y1051" t="str">
        <f ca="1">IFERROR(__xludf.DUMMYFUNCTION("""COMPUTED_VALUE"""),"")</f>
        <v/>
      </c>
      <c r="Z1051" t="str">
        <f ca="1">IFERROR(__xludf.DUMMYFUNCTION("""COMPUTED_VALUE"""),"")</f>
        <v/>
      </c>
      <c r="AA1051" t="str">
        <f ca="1">IFERROR(__xludf.DUMMYFUNCTION("""COMPUTED_VALUE"""),"Pas de commande")</f>
        <v>Pas de commande</v>
      </c>
      <c r="AB1051" s="8" t="str">
        <f ca="1">IFERROR(__xludf.DUMMYFUNCTION("""COMPUTED_VALUE"""),"")</f>
        <v/>
      </c>
      <c r="AC1051" s="8" t="str">
        <f ca="1">IFERROR(__xludf.DUMMYFUNCTION("""COMPUTED_VALUE"""),"")</f>
        <v/>
      </c>
      <c r="AD1051" s="11" t="str">
        <f ca="1">IFERROR(__xludf.DUMMYFUNCTION("""COMPUTED_VALUE"""),"")</f>
        <v/>
      </c>
      <c r="AE1051" t="str">
        <f ca="1">IFERROR(__xludf.DUMMYFUNCTION("""COMPUTED_VALUE"""),"")</f>
        <v/>
      </c>
    </row>
    <row r="1052" spans="1:31" ht="12.75" x14ac:dyDescent="0.2">
      <c r="A1052">
        <f ca="1">IFERROR(__xludf.DUMMYFUNCTION("""COMPUTED_VALUE"""),38230)</f>
        <v>38230</v>
      </c>
      <c r="B1052" t="str">
        <f ca="1">IFERROR(__xludf.DUMMYFUNCTION("""COMPUTED_VALUE"""),"TIERCE")</f>
        <v>TIERCE</v>
      </c>
      <c r="C1052" t="str">
        <f ca="1">IFERROR(__xludf.DUMMYFUNCTION("""COMPUTED_VALUE"""),"Super U")</f>
        <v>Super U</v>
      </c>
      <c r="D1052" t="str">
        <f ca="1">IFERROR(__xludf.DUMMYFUNCTION("""COMPUTED_VALUE"""),"Coop U Enseigne Ouest")</f>
        <v>Coop U Enseigne Ouest</v>
      </c>
      <c r="E1052">
        <f ca="1">IFERROR(__xludf.DUMMYFUNCTION("""COMPUTED_VALUE"""),49125)</f>
        <v>49125</v>
      </c>
      <c r="F1052" t="str">
        <f ca="1">IFERROR(__xludf.DUMMYFUNCTION("""COMPUTED_VALUE"""),"6 PLACE DE COUBERTIN")</f>
        <v>6 PLACE DE COUBERTIN</v>
      </c>
      <c r="G1052" t="str">
        <f ca="1">IFERROR(__xludf.DUMMYFUNCTION("""COMPUTED_VALUE"""),"02.41.42.60.63")</f>
        <v>02.41.42.60.63</v>
      </c>
      <c r="H1052" t="str">
        <f ca="1">IFERROR(__xludf.DUMMYFUNCTION("""COMPUTED_VALUE"""),"DOUILLARD RPT SARL SAMAMO Delphine")</f>
        <v>DOUILLARD RPT SARL SAMAMO Delphine</v>
      </c>
      <c r="I1052" t="str">
        <f ca="1">IFERROR(__xludf.DUMMYFUNCTION("""COMPUTED_VALUE"""),"delphine.douillard@systeme-u.fr")</f>
        <v>delphine.douillard@systeme-u.fr</v>
      </c>
      <c r="J1052" t="str">
        <f ca="1">IFERROR(__xludf.DUMMYFUNCTION("""COMPUTED_VALUE"""),"")</f>
        <v/>
      </c>
      <c r="K1052" t="str">
        <f ca="1">IFERROR(__xludf.DUMMYFUNCTION("""COMPUTED_VALUE"""),"superu.tierce.gescom@systeme-u.fr")</f>
        <v>superu.tierce.gescom@systeme-u.fr</v>
      </c>
      <c r="L1052" t="str">
        <f ca="1">IFERROR(__xludf.DUMMYFUNCTION("""COMPUTED_VALUE"""),"")</f>
        <v/>
      </c>
      <c r="M1052" t="str">
        <f ca="1">IFERROR(__xludf.DUMMYFUNCTION("""COMPUTED_VALUE"""),"99.Hors Périmetre")</f>
        <v>99.Hors Périmetre</v>
      </c>
      <c r="N1052" t="str">
        <f ca="1">IFERROR(__xludf.DUMMYFUNCTION("""COMPUTED_VALUE"""),"")</f>
        <v/>
      </c>
      <c r="O1052" t="str">
        <f ca="1">IFERROR(__xludf.DUMMYFUNCTION("""COMPUTED_VALUE"""),"")</f>
        <v/>
      </c>
      <c r="P1052" t="str">
        <f ca="1">IFERROR(__xludf.DUMMYFUNCTION("""COMPUTED_VALUE"""),"")</f>
        <v/>
      </c>
      <c r="Q1052" s="5" t="str">
        <f ca="1">IFERROR(__xludf.DUMMYFUNCTION("""COMPUTED_VALUE"""),"")</f>
        <v/>
      </c>
      <c r="R1052" s="6" t="str">
        <f ca="1">IFERROR(__xludf.DUMMYFUNCTION("""COMPUTED_VALUE"""),"")</f>
        <v/>
      </c>
      <c r="S1052" t="str">
        <f ca="1">IFERROR(__xludf.DUMMYFUNCTION("""COMPUTED_VALUE"""),"")</f>
        <v/>
      </c>
      <c r="T1052" t="str">
        <f ca="1">IFERROR(__xludf.DUMMYFUNCTION("""COMPUTED_VALUE"""),"")</f>
        <v/>
      </c>
      <c r="U1052" t="str">
        <f ca="1">IFERROR(__xludf.DUMMYFUNCTION("""COMPUTED_VALUE"""),"")</f>
        <v/>
      </c>
      <c r="V1052" t="str">
        <f ca="1">IFERROR(__xludf.DUMMYFUNCTION("""COMPUTED_VALUE"""),"")</f>
        <v/>
      </c>
      <c r="W1052" t="str">
        <f ca="1">IFERROR(__xludf.DUMMYFUNCTION("""COMPUTED_VALUE"""),"")</f>
        <v/>
      </c>
      <c r="X1052" t="str">
        <f ca="1">IFERROR(__xludf.DUMMYFUNCTION("""COMPUTED_VALUE"""),"")</f>
        <v/>
      </c>
      <c r="Y1052" t="str">
        <f ca="1">IFERROR(__xludf.DUMMYFUNCTION("""COMPUTED_VALUE"""),"")</f>
        <v/>
      </c>
      <c r="Z1052" t="str">
        <f ca="1">IFERROR(__xludf.DUMMYFUNCTION("""COMPUTED_VALUE"""),"")</f>
        <v/>
      </c>
      <c r="AA1052" t="str">
        <f ca="1">IFERROR(__xludf.DUMMYFUNCTION("""COMPUTED_VALUE"""),"Pas de commande")</f>
        <v>Pas de commande</v>
      </c>
      <c r="AB1052" s="8" t="str">
        <f ca="1">IFERROR(__xludf.DUMMYFUNCTION("""COMPUTED_VALUE"""),"")</f>
        <v/>
      </c>
      <c r="AC1052" s="8" t="str">
        <f ca="1">IFERROR(__xludf.DUMMYFUNCTION("""COMPUTED_VALUE"""),"")</f>
        <v/>
      </c>
      <c r="AD1052" s="11" t="str">
        <f ca="1">IFERROR(__xludf.DUMMYFUNCTION("""COMPUTED_VALUE"""),"")</f>
        <v/>
      </c>
      <c r="AE1052" t="str">
        <f ca="1">IFERROR(__xludf.DUMMYFUNCTION("""COMPUTED_VALUE"""),"")</f>
        <v/>
      </c>
    </row>
    <row r="1053" spans="1:31" ht="12.75" x14ac:dyDescent="0.2">
      <c r="A1053">
        <f ca="1">IFERROR(__xludf.DUMMYFUNCTION("""COMPUTED_VALUE"""),35088)</f>
        <v>35088</v>
      </c>
      <c r="B1053" t="str">
        <f ca="1">IFERROR(__xludf.DUMMYFUNCTION("""COMPUTED_VALUE"""),"TINTENIAC")</f>
        <v>TINTENIAC</v>
      </c>
      <c r="C1053" t="str">
        <f ca="1">IFERROR(__xludf.DUMMYFUNCTION("""COMPUTED_VALUE"""),"Super U")</f>
        <v>Super U</v>
      </c>
      <c r="D1053" t="str">
        <f ca="1">IFERROR(__xludf.DUMMYFUNCTION("""COMPUTED_VALUE"""),"Coop U Enseigne Ouest")</f>
        <v>Coop U Enseigne Ouest</v>
      </c>
      <c r="E1053">
        <f ca="1">IFERROR(__xludf.DUMMYFUNCTION("""COMPUTED_VALUE"""),35190)</f>
        <v>35190</v>
      </c>
      <c r="F1053" t="str">
        <f ca="1">IFERROR(__xludf.DUMMYFUNCTION("""COMPUTED_VALUE"""),"RUE DU PAPEGAULT")</f>
        <v>RUE DU PAPEGAULT</v>
      </c>
      <c r="G1053" t="str">
        <f ca="1">IFERROR(__xludf.DUMMYFUNCTION("""COMPUTED_VALUE"""),"02.99.68.09.22")</f>
        <v>02.99.68.09.22</v>
      </c>
      <c r="H1053" t="str">
        <f ca="1">IFERROR(__xludf.DUMMYFUNCTION("""COMPUTED_VALUE"""),"PETITPAS RPT GROUPE PETITPAS Marine")</f>
        <v>PETITPAS RPT GROUPE PETITPAS Marine</v>
      </c>
      <c r="I1053" t="str">
        <f ca="1">IFERROR(__xludf.DUMMYFUNCTION("""COMPUTED_VALUE"""),"marine.petitpas@systeme-u.fr")</f>
        <v>marine.petitpas@systeme-u.fr</v>
      </c>
      <c r="J1053" t="str">
        <f ca="1">IFERROR(__xludf.DUMMYFUNCTION("""COMPUTED_VALUE"""),"Gallerand Mickael
Maryse (UPLV)")</f>
        <v>Gallerand Mickael
Maryse (UPLV)</v>
      </c>
      <c r="K1053" t="str">
        <f ca="1">IFERROR(__xludf.DUMMYFUNCTION("""COMPUTED_VALUE"""),"superu.tinteniac@systeme-u.fr, superu.tinteniac.gescom@systeme-u.fr")</f>
        <v>superu.tinteniac@systeme-u.fr, superu.tinteniac.gescom@systeme-u.fr</v>
      </c>
      <c r="L1053" t="str">
        <f ca="1">IFERROR(__xludf.DUMMYFUNCTION("""COMPUTED_VALUE"""),"")</f>
        <v/>
      </c>
      <c r="M1053" t="str">
        <f ca="1">IFERROR(__xludf.DUMMYFUNCTION("""COMPUTED_VALUE"""),"99.Hors Périmetre")</f>
        <v>99.Hors Périmetre</v>
      </c>
      <c r="N1053" t="str">
        <f ca="1">IFERROR(__xludf.DUMMYFUNCTION("""COMPUTED_VALUE"""),"")</f>
        <v/>
      </c>
      <c r="O1053" t="str">
        <f ca="1">IFERROR(__xludf.DUMMYFUNCTION("""COMPUTED_VALUE"""),"")</f>
        <v/>
      </c>
      <c r="P1053" t="str">
        <f ca="1">IFERROR(__xludf.DUMMYFUNCTION("""COMPUTED_VALUE"""),"")</f>
        <v/>
      </c>
      <c r="Q1053" s="5" t="str">
        <f ca="1">IFERROR(__xludf.DUMMYFUNCTION("""COMPUTED_VALUE"""),"")</f>
        <v/>
      </c>
      <c r="R1053" s="6" t="str">
        <f ca="1">IFERROR(__xludf.DUMMYFUNCTION("""COMPUTED_VALUE"""),"")</f>
        <v/>
      </c>
      <c r="S1053" t="str">
        <f ca="1">IFERROR(__xludf.DUMMYFUNCTION("""COMPUTED_VALUE"""),"")</f>
        <v/>
      </c>
      <c r="T1053" t="str">
        <f ca="1">IFERROR(__xludf.DUMMYFUNCTION("""COMPUTED_VALUE"""),"")</f>
        <v/>
      </c>
      <c r="U1053" t="str">
        <f ca="1">IFERROR(__xludf.DUMMYFUNCTION("""COMPUTED_VALUE"""),"")</f>
        <v/>
      </c>
      <c r="V1053" t="str">
        <f ca="1">IFERROR(__xludf.DUMMYFUNCTION("""COMPUTED_VALUE"""),"")</f>
        <v/>
      </c>
      <c r="W1053" t="str">
        <f ca="1">IFERROR(__xludf.DUMMYFUNCTION("""COMPUTED_VALUE"""),"")</f>
        <v/>
      </c>
      <c r="X1053" t="str">
        <f ca="1">IFERROR(__xludf.DUMMYFUNCTION("""COMPUTED_VALUE"""),"")</f>
        <v/>
      </c>
      <c r="Y1053" t="str">
        <f ca="1">IFERROR(__xludf.DUMMYFUNCTION("""COMPUTED_VALUE"""),"")</f>
        <v/>
      </c>
      <c r="Z1053" t="str">
        <f ca="1">IFERROR(__xludf.DUMMYFUNCTION("""COMPUTED_VALUE"""),"")</f>
        <v/>
      </c>
      <c r="AA1053" t="str">
        <f ca="1">IFERROR(__xludf.DUMMYFUNCTION("""COMPUTED_VALUE"""),"Pas de commande")</f>
        <v>Pas de commande</v>
      </c>
      <c r="AB1053" s="8" t="str">
        <f ca="1">IFERROR(__xludf.DUMMYFUNCTION("""COMPUTED_VALUE"""),"")</f>
        <v/>
      </c>
      <c r="AC1053" s="8" t="str">
        <f ca="1">IFERROR(__xludf.DUMMYFUNCTION("""COMPUTED_VALUE"""),"")</f>
        <v/>
      </c>
      <c r="AD1053" s="11" t="str">
        <f ca="1">IFERROR(__xludf.DUMMYFUNCTION("""COMPUTED_VALUE"""),"")</f>
        <v/>
      </c>
      <c r="AE1053" t="str">
        <f ca="1">IFERROR(__xludf.DUMMYFUNCTION("""COMPUTED_VALUE"""),"")</f>
        <v/>
      </c>
    </row>
    <row r="1054" spans="1:31" ht="12.75" x14ac:dyDescent="0.2">
      <c r="A1054">
        <f ca="1">IFERROR(__xludf.DUMMYFUNCTION("""COMPUTED_VALUE"""),35592)</f>
        <v>35592</v>
      </c>
      <c r="B1054" t="str">
        <f ca="1">IFERROR(__xludf.DUMMYFUNCTION("""COMPUTED_VALUE"""),"TONNAY-CHARENTE")</f>
        <v>TONNAY-CHARENTE</v>
      </c>
      <c r="C1054" t="str">
        <f ca="1">IFERROR(__xludf.DUMMYFUNCTION("""COMPUTED_VALUE"""),"Super U")</f>
        <v>Super U</v>
      </c>
      <c r="D1054" t="str">
        <f ca="1">IFERROR(__xludf.DUMMYFUNCTION("""COMPUTED_VALUE"""),"Coop U Enseigne Ouest")</f>
        <v>Coop U Enseigne Ouest</v>
      </c>
      <c r="E1054">
        <f ca="1">IFERROR(__xludf.DUMMYFUNCTION("""COMPUTED_VALUE"""),17430)</f>
        <v>17430</v>
      </c>
      <c r="F1054" t="str">
        <f ca="1">IFERROR(__xludf.DUMMYFUNCTION("""COMPUTED_VALUE"""),"ZAC DE LA VARENNE N 137")</f>
        <v>ZAC DE LA VARENNE N 137</v>
      </c>
      <c r="G1054" t="str">
        <f ca="1">IFERROR(__xludf.DUMMYFUNCTION("""COMPUTED_VALUE"""),"05.46.88.01.57")</f>
        <v>05.46.88.01.57</v>
      </c>
      <c r="H1054" t="str">
        <f ca="1">IFERROR(__xludf.DUMMYFUNCTION("""COMPUTED_VALUE"""),"LEQUIPPE Nicolas")</f>
        <v>LEQUIPPE Nicolas</v>
      </c>
      <c r="I1054" t="str">
        <f ca="1">IFERROR(__xludf.DUMMYFUNCTION("""COMPUTED_VALUE"""),"nicolas.lequippe@systeme-u.fr")</f>
        <v>nicolas.lequippe@systeme-u.fr</v>
      </c>
      <c r="J1054" t="str">
        <f ca="1">IFERROR(__xludf.DUMMYFUNCTION("""COMPUTED_VALUE"""),"Mme Beaujean")</f>
        <v>Mme Beaujean</v>
      </c>
      <c r="K1054" t="str">
        <f ca="1">IFERROR(__xludf.DUMMYFUNCTION("""COMPUTED_VALUE"""),"superu.tonnaysurcharente.caisse@systeme-u.fr,nicolas.lequippe@systeme-u.fr")</f>
        <v>superu.tonnaysurcharente.caisse@systeme-u.fr,nicolas.lequippe@systeme-u.fr</v>
      </c>
      <c r="L1054" t="str">
        <f ca="1">IFERROR(__xludf.DUMMYFUNCTION("""COMPUTED_VALUE"""),"")</f>
        <v/>
      </c>
      <c r="M1054" t="str">
        <f ca="1">IFERROR(__xludf.DUMMYFUNCTION("""COMPUTED_VALUE"""),"99.Hors Périmetre")</f>
        <v>99.Hors Périmetre</v>
      </c>
      <c r="N1054" t="str">
        <f ca="1">IFERROR(__xludf.DUMMYFUNCTION("""COMPUTED_VALUE"""),"")</f>
        <v/>
      </c>
      <c r="O1054" t="str">
        <f ca="1">IFERROR(__xludf.DUMMYFUNCTION("""COMPUTED_VALUE"""),"")</f>
        <v/>
      </c>
      <c r="P1054" t="str">
        <f ca="1">IFERROR(__xludf.DUMMYFUNCTION("""COMPUTED_VALUE"""),"")</f>
        <v/>
      </c>
      <c r="Q1054" s="5" t="str">
        <f ca="1">IFERROR(__xludf.DUMMYFUNCTION("""COMPUTED_VALUE"""),"")</f>
        <v/>
      </c>
      <c r="R1054" s="6" t="str">
        <f ca="1">IFERROR(__xludf.DUMMYFUNCTION("""COMPUTED_VALUE"""),"")</f>
        <v/>
      </c>
      <c r="S1054" t="str">
        <f ca="1">IFERROR(__xludf.DUMMYFUNCTION("""COMPUTED_VALUE"""),"")</f>
        <v/>
      </c>
      <c r="T1054" t="str">
        <f ca="1">IFERROR(__xludf.DUMMYFUNCTION("""COMPUTED_VALUE"""),"")</f>
        <v/>
      </c>
      <c r="U1054" t="str">
        <f ca="1">IFERROR(__xludf.DUMMYFUNCTION("""COMPUTED_VALUE"""),"")</f>
        <v/>
      </c>
      <c r="V1054" t="str">
        <f ca="1">IFERROR(__xludf.DUMMYFUNCTION("""COMPUTED_VALUE"""),"")</f>
        <v/>
      </c>
      <c r="W1054" t="str">
        <f ca="1">IFERROR(__xludf.DUMMYFUNCTION("""COMPUTED_VALUE"""),"")</f>
        <v/>
      </c>
      <c r="X1054" t="str">
        <f ca="1">IFERROR(__xludf.DUMMYFUNCTION("""COMPUTED_VALUE"""),"")</f>
        <v/>
      </c>
      <c r="Y1054" t="str">
        <f ca="1">IFERROR(__xludf.DUMMYFUNCTION("""COMPUTED_VALUE"""),"")</f>
        <v/>
      </c>
      <c r="Z1054" t="str">
        <f ca="1">IFERROR(__xludf.DUMMYFUNCTION("""COMPUTED_VALUE"""),"")</f>
        <v/>
      </c>
      <c r="AA1054" t="str">
        <f ca="1">IFERROR(__xludf.DUMMYFUNCTION("""COMPUTED_VALUE"""),"Pas de commande")</f>
        <v>Pas de commande</v>
      </c>
      <c r="AB1054" s="8" t="str">
        <f ca="1">IFERROR(__xludf.DUMMYFUNCTION("""COMPUTED_VALUE"""),"")</f>
        <v/>
      </c>
      <c r="AC1054" s="8" t="str">
        <f ca="1">IFERROR(__xludf.DUMMYFUNCTION("""COMPUTED_VALUE"""),"")</f>
        <v/>
      </c>
      <c r="AD1054" s="11" t="str">
        <f ca="1">IFERROR(__xludf.DUMMYFUNCTION("""COMPUTED_VALUE"""),"")</f>
        <v/>
      </c>
      <c r="AE1054" t="str">
        <f ca="1">IFERROR(__xludf.DUMMYFUNCTION("""COMPUTED_VALUE"""),"")</f>
        <v/>
      </c>
    </row>
    <row r="1055" spans="1:31" ht="12.75" x14ac:dyDescent="0.2">
      <c r="A1055">
        <f ca="1">IFERROR(__xludf.DUMMYFUNCTION("""COMPUTED_VALUE"""),38264)</f>
        <v>38264</v>
      </c>
      <c r="B1055" t="str">
        <f ca="1">IFERROR(__xludf.DUMMYFUNCTION("""COMPUTED_VALUE"""),"TOURS GARE")</f>
        <v>TOURS GARE</v>
      </c>
      <c r="C1055" t="str">
        <f ca="1">IFERROR(__xludf.DUMMYFUNCTION("""COMPUTED_VALUE"""),"U Express")</f>
        <v>U Express</v>
      </c>
      <c r="D1055" t="str">
        <f ca="1">IFERROR(__xludf.DUMMYFUNCTION("""COMPUTED_VALUE"""),"Coop U Enseigne Ouest")</f>
        <v>Coop U Enseigne Ouest</v>
      </c>
      <c r="E1055">
        <f ca="1">IFERROR(__xludf.DUMMYFUNCTION("""COMPUTED_VALUE"""),37000)</f>
        <v>37000</v>
      </c>
      <c r="F1055" t="str">
        <f ca="1">IFERROR(__xludf.DUMMYFUNCTION("""COMPUTED_VALUE"""),"4 RUE MARCEL TRIBUT")</f>
        <v>4 RUE MARCEL TRIBUT</v>
      </c>
      <c r="G1055" t="str">
        <f ca="1">IFERROR(__xludf.DUMMYFUNCTION("""COMPUTED_VALUE"""),"02.47.70.50.50")</f>
        <v>02.47.70.50.50</v>
      </c>
      <c r="H1055" t="str">
        <f ca="1">IFERROR(__xludf.DUMMYFUNCTION("""COMPUTED_VALUE"""),"GALLI Fabien")</f>
        <v>GALLI Fabien</v>
      </c>
      <c r="I1055" t="str">
        <f ca="1">IFERROR(__xludf.DUMMYFUNCTION("""COMPUTED_VALUE"""),"fabien.galli@systeme-u.fr")</f>
        <v>fabien.galli@systeme-u.fr</v>
      </c>
      <c r="J1055" t="str">
        <f ca="1">IFERROR(__xludf.DUMMYFUNCTION("""COMPUTED_VALUE"""),"")</f>
        <v/>
      </c>
      <c r="K1055" t="str">
        <f ca="1">IFERROR(__xludf.DUMMYFUNCTION("""COMPUTED_VALUE"""),"")</f>
        <v/>
      </c>
      <c r="L1055" t="str">
        <f ca="1">IFERROR(__xludf.DUMMYFUNCTION("""COMPUTED_VALUE"""),"")</f>
        <v/>
      </c>
      <c r="M1055" t="str">
        <f ca="1">IFERROR(__xludf.DUMMYFUNCTION("""COMPUTED_VALUE"""),"99.Hors Périmetre")</f>
        <v>99.Hors Périmetre</v>
      </c>
      <c r="N1055" t="str">
        <f ca="1">IFERROR(__xludf.DUMMYFUNCTION("""COMPUTED_VALUE"""),"")</f>
        <v/>
      </c>
      <c r="O1055" t="str">
        <f ca="1">IFERROR(__xludf.DUMMYFUNCTION("""COMPUTED_VALUE"""),"")</f>
        <v/>
      </c>
      <c r="P1055" t="str">
        <f ca="1">IFERROR(__xludf.DUMMYFUNCTION("""COMPUTED_VALUE"""),"")</f>
        <v/>
      </c>
      <c r="Q1055" s="5" t="str">
        <f ca="1">IFERROR(__xludf.DUMMYFUNCTION("""COMPUTED_VALUE"""),"")</f>
        <v/>
      </c>
      <c r="R1055" s="6" t="str">
        <f ca="1">IFERROR(__xludf.DUMMYFUNCTION("""COMPUTED_VALUE"""),"")</f>
        <v/>
      </c>
      <c r="S1055" t="str">
        <f ca="1">IFERROR(__xludf.DUMMYFUNCTION("""COMPUTED_VALUE"""),"")</f>
        <v/>
      </c>
      <c r="T1055" t="str">
        <f ca="1">IFERROR(__xludf.DUMMYFUNCTION("""COMPUTED_VALUE"""),"")</f>
        <v/>
      </c>
      <c r="U1055" t="str">
        <f ca="1">IFERROR(__xludf.DUMMYFUNCTION("""COMPUTED_VALUE"""),"")</f>
        <v/>
      </c>
      <c r="V1055" t="str">
        <f ca="1">IFERROR(__xludf.DUMMYFUNCTION("""COMPUTED_VALUE"""),"")</f>
        <v/>
      </c>
      <c r="W1055" t="str">
        <f ca="1">IFERROR(__xludf.DUMMYFUNCTION("""COMPUTED_VALUE"""),"")</f>
        <v/>
      </c>
      <c r="X1055" t="str">
        <f ca="1">IFERROR(__xludf.DUMMYFUNCTION("""COMPUTED_VALUE"""),"")</f>
        <v/>
      </c>
      <c r="Y1055" t="str">
        <f ca="1">IFERROR(__xludf.DUMMYFUNCTION("""COMPUTED_VALUE"""),"")</f>
        <v/>
      </c>
      <c r="Z1055" t="str">
        <f ca="1">IFERROR(__xludf.DUMMYFUNCTION("""COMPUTED_VALUE"""),"")</f>
        <v/>
      </c>
      <c r="AA1055" t="str">
        <f ca="1">IFERROR(__xludf.DUMMYFUNCTION("""COMPUTED_VALUE"""),"Pas de commande")</f>
        <v>Pas de commande</v>
      </c>
      <c r="AB1055" s="8" t="str">
        <f ca="1">IFERROR(__xludf.DUMMYFUNCTION("""COMPUTED_VALUE"""),"")</f>
        <v/>
      </c>
      <c r="AC1055" s="8" t="str">
        <f ca="1">IFERROR(__xludf.DUMMYFUNCTION("""COMPUTED_VALUE"""),"")</f>
        <v/>
      </c>
      <c r="AD1055" s="11" t="str">
        <f ca="1">IFERROR(__xludf.DUMMYFUNCTION("""COMPUTED_VALUE"""),"")</f>
        <v/>
      </c>
      <c r="AE1055" t="str">
        <f ca="1">IFERROR(__xludf.DUMMYFUNCTION("""COMPUTED_VALUE"""),"")</f>
        <v/>
      </c>
    </row>
    <row r="1056" spans="1:31" ht="12.75" x14ac:dyDescent="0.2">
      <c r="A1056">
        <f ca="1">IFERROR(__xludf.DUMMYFUNCTION("""COMPUTED_VALUE"""),33328)</f>
        <v>33328</v>
      </c>
      <c r="B1056" t="str">
        <f ca="1">IFERROR(__xludf.DUMMYFUNCTION("""COMPUTED_VALUE"""),"TOURS JEMMAPES")</f>
        <v>TOURS JEMMAPES</v>
      </c>
      <c r="C1056" t="str">
        <f ca="1">IFERROR(__xludf.DUMMYFUNCTION("""COMPUTED_VALUE"""),"U Express")</f>
        <v>U Express</v>
      </c>
      <c r="D1056" t="str">
        <f ca="1">IFERROR(__xludf.DUMMYFUNCTION("""COMPUTED_VALUE"""),"Coop U Enseigne Ouest")</f>
        <v>Coop U Enseigne Ouest</v>
      </c>
      <c r="E1056">
        <f ca="1">IFERROR(__xludf.DUMMYFUNCTION("""COMPUTED_VALUE"""),37100)</f>
        <v>37100</v>
      </c>
      <c r="F1056" t="str">
        <f ca="1">IFERROR(__xludf.DUMMYFUNCTION("""COMPUTED_VALUE"""),"35, RUE DE JEMMAPES")</f>
        <v>35, RUE DE JEMMAPES</v>
      </c>
      <c r="G1056" t="str">
        <f ca="1">IFERROR(__xludf.DUMMYFUNCTION("""COMPUTED_VALUE"""),"02.47.85.40.00")</f>
        <v>02.47.85.40.00</v>
      </c>
      <c r="H1056" t="str">
        <f ca="1">IFERROR(__xludf.DUMMYFUNCTION("""COMPUTED_VALUE"""),"BELLARD RPT SARL ATLANTICOS Sylvie")</f>
        <v>BELLARD RPT SARL ATLANTICOS Sylvie</v>
      </c>
      <c r="I1056" t="str">
        <f ca="1">IFERROR(__xludf.DUMMYFUNCTION("""COMPUTED_VALUE"""),"sylvie.bellard@systeme-u.fr")</f>
        <v>sylvie.bellard@systeme-u.fr</v>
      </c>
      <c r="J1056" t="str">
        <f ca="1">IFERROR(__xludf.DUMMYFUNCTION("""COMPUTED_VALUE"""),"")</f>
        <v/>
      </c>
      <c r="K1056" t="str">
        <f ca="1">IFERROR(__xludf.DUMMYFUNCTION("""COMPUTED_VALUE"""),"")</f>
        <v/>
      </c>
      <c r="L1056" t="str">
        <f ca="1">IFERROR(__xludf.DUMMYFUNCTION("""COMPUTED_VALUE"""),"")</f>
        <v/>
      </c>
      <c r="M1056" t="str">
        <f ca="1">IFERROR(__xludf.DUMMYFUNCTION("""COMPUTED_VALUE"""),"99.Hors Périmetre")</f>
        <v>99.Hors Périmetre</v>
      </c>
      <c r="N1056" t="str">
        <f ca="1">IFERROR(__xludf.DUMMYFUNCTION("""COMPUTED_VALUE"""),"")</f>
        <v/>
      </c>
      <c r="O1056" t="str">
        <f ca="1">IFERROR(__xludf.DUMMYFUNCTION("""COMPUTED_VALUE"""),"")</f>
        <v/>
      </c>
      <c r="P1056" t="str">
        <f ca="1">IFERROR(__xludf.DUMMYFUNCTION("""COMPUTED_VALUE"""),"")</f>
        <v/>
      </c>
      <c r="Q1056" s="5" t="str">
        <f ca="1">IFERROR(__xludf.DUMMYFUNCTION("""COMPUTED_VALUE"""),"")</f>
        <v/>
      </c>
      <c r="R1056" s="6" t="str">
        <f ca="1">IFERROR(__xludf.DUMMYFUNCTION("""COMPUTED_VALUE"""),"")</f>
        <v/>
      </c>
      <c r="S1056" t="str">
        <f ca="1">IFERROR(__xludf.DUMMYFUNCTION("""COMPUTED_VALUE"""),"")</f>
        <v/>
      </c>
      <c r="T1056" t="str">
        <f ca="1">IFERROR(__xludf.DUMMYFUNCTION("""COMPUTED_VALUE"""),"")</f>
        <v/>
      </c>
      <c r="U1056" t="str">
        <f ca="1">IFERROR(__xludf.DUMMYFUNCTION("""COMPUTED_VALUE"""),"")</f>
        <v/>
      </c>
      <c r="V1056" t="str">
        <f ca="1">IFERROR(__xludf.DUMMYFUNCTION("""COMPUTED_VALUE"""),"")</f>
        <v/>
      </c>
      <c r="W1056" t="str">
        <f ca="1">IFERROR(__xludf.DUMMYFUNCTION("""COMPUTED_VALUE"""),"")</f>
        <v/>
      </c>
      <c r="X1056" t="str">
        <f ca="1">IFERROR(__xludf.DUMMYFUNCTION("""COMPUTED_VALUE"""),"")</f>
        <v/>
      </c>
      <c r="Y1056" t="str">
        <f ca="1">IFERROR(__xludf.DUMMYFUNCTION("""COMPUTED_VALUE"""),"")</f>
        <v/>
      </c>
      <c r="Z1056" t="str">
        <f ca="1">IFERROR(__xludf.DUMMYFUNCTION("""COMPUTED_VALUE"""),"")</f>
        <v/>
      </c>
      <c r="AA1056" t="str">
        <f ca="1">IFERROR(__xludf.DUMMYFUNCTION("""COMPUTED_VALUE"""),"Pas de commande")</f>
        <v>Pas de commande</v>
      </c>
      <c r="AB1056" s="8" t="str">
        <f ca="1">IFERROR(__xludf.DUMMYFUNCTION("""COMPUTED_VALUE"""),"")</f>
        <v/>
      </c>
      <c r="AC1056" s="8" t="str">
        <f ca="1">IFERROR(__xludf.DUMMYFUNCTION("""COMPUTED_VALUE"""),"")</f>
        <v/>
      </c>
      <c r="AD1056" s="11" t="str">
        <f ca="1">IFERROR(__xludf.DUMMYFUNCTION("""COMPUTED_VALUE"""),"")</f>
        <v/>
      </c>
      <c r="AE1056" t="str">
        <f ca="1">IFERROR(__xludf.DUMMYFUNCTION("""COMPUTED_VALUE"""),"")</f>
        <v/>
      </c>
    </row>
    <row r="1057" spans="1:31" ht="12.75" x14ac:dyDescent="0.2">
      <c r="A1057">
        <f ca="1">IFERROR(__xludf.DUMMYFUNCTION("""COMPUTED_VALUE"""),90401)</f>
        <v>90401</v>
      </c>
      <c r="B1057" t="str">
        <f ca="1">IFERROR(__xludf.DUMMYFUNCTION("""COMPUTED_VALUE"""),"TREBES")</f>
        <v>TREBES</v>
      </c>
      <c r="C1057" t="str">
        <f ca="1">IFERROR(__xludf.DUMMYFUNCTION("""COMPUTED_VALUE"""),"Super U")</f>
        <v>Super U</v>
      </c>
      <c r="D1057" t="str">
        <f ca="1">IFERROR(__xludf.DUMMYFUNCTION("""COMPUTED_VALUE"""),"Coop U Enseigne Sud")</f>
        <v>Coop U Enseigne Sud</v>
      </c>
      <c r="E1057">
        <f ca="1">IFERROR(__xludf.DUMMYFUNCTION("""COMPUTED_VALUE"""),11800)</f>
        <v>11800</v>
      </c>
      <c r="F1057" t="str">
        <f ca="1">IFERROR(__xludf.DUMMYFUNCTION("""COMPUTED_VALUE"""),"RN 113")</f>
        <v>RN 113</v>
      </c>
      <c r="G1057" t="str">
        <f ca="1">IFERROR(__xludf.DUMMYFUNCTION("""COMPUTED_VALUE"""),"04.68.78.76.31")</f>
        <v>04.68.78.76.31</v>
      </c>
      <c r="H1057" t="str">
        <f ca="1">IFERROR(__xludf.DUMMYFUNCTION("""COMPUTED_VALUE"""),"ROUSSILLE Thomas")</f>
        <v>ROUSSILLE Thomas</v>
      </c>
      <c r="I1057" t="str">
        <f ca="1">IFERROR(__xludf.DUMMYFUNCTION("""COMPUTED_VALUE"""),"eric.delajonquiere@systeme-u.fr")</f>
        <v>eric.delajonquiere@systeme-u.fr</v>
      </c>
      <c r="J1057" t="str">
        <f ca="1">IFERROR(__xludf.DUMMYFUNCTION("""COMPUTED_VALUE"""),"Martine PRUNET")</f>
        <v>Martine PRUNET</v>
      </c>
      <c r="K1057" t="str">
        <f ca="1">IFERROR(__xludf.DUMMYFUNCTION("""COMPUTED_VALUE"""),"superu.trebes.compta@systeme-u.fr")</f>
        <v>superu.trebes.compta@systeme-u.fr</v>
      </c>
      <c r="L1057" t="str">
        <f ca="1">IFERROR(__xludf.DUMMYFUNCTION("""COMPUTED_VALUE"""),"")</f>
        <v/>
      </c>
      <c r="M1057" t="str">
        <f ca="1">IFERROR(__xludf.DUMMYFUNCTION("""COMPUTED_VALUE"""),"")</f>
        <v/>
      </c>
      <c r="N1057" t="str">
        <f ca="1">IFERROR(__xludf.DUMMYFUNCTION("""COMPUTED_VALUE"""),"")</f>
        <v/>
      </c>
      <c r="O1057" t="str">
        <f ca="1">IFERROR(__xludf.DUMMYFUNCTION("""COMPUTED_VALUE"""),"Attention ne pas contacter ce magasin ( PDV attentat)")</f>
        <v>Attention ne pas contacter ce magasin ( PDV attentat)</v>
      </c>
      <c r="P1057" t="str">
        <f ca="1">IFERROR(__xludf.DUMMYFUNCTION("""COMPUTED_VALUE"""),"")</f>
        <v/>
      </c>
      <c r="Q1057" s="5" t="str">
        <f ca="1">IFERROR(__xludf.DUMMYFUNCTION("""COMPUTED_VALUE"""),"")</f>
        <v/>
      </c>
      <c r="R1057" s="6" t="str">
        <f ca="1">IFERROR(__xludf.DUMMYFUNCTION("""COMPUTED_VALUE"""),"")</f>
        <v/>
      </c>
      <c r="S1057" t="str">
        <f ca="1">IFERROR(__xludf.DUMMYFUNCTION("""COMPUTED_VALUE"""),"")</f>
        <v/>
      </c>
      <c r="T1057" t="str">
        <f ca="1">IFERROR(__xludf.DUMMYFUNCTION("""COMPUTED_VALUE"""),"")</f>
        <v/>
      </c>
      <c r="U1057" t="str">
        <f ca="1">IFERROR(__xludf.DUMMYFUNCTION("""COMPUTED_VALUE"""),"")</f>
        <v/>
      </c>
      <c r="V1057" t="str">
        <f ca="1">IFERROR(__xludf.DUMMYFUNCTION("""COMPUTED_VALUE"""),"")</f>
        <v/>
      </c>
      <c r="W1057" t="str">
        <f ca="1">IFERROR(__xludf.DUMMYFUNCTION("""COMPUTED_VALUE"""),"R3")</f>
        <v>R3</v>
      </c>
      <c r="X1057" t="str">
        <f ca="1">IFERROR(__xludf.DUMMYFUNCTION("""COMPUTED_VALUE"""),"Toshiba")</f>
        <v>Toshiba</v>
      </c>
      <c r="Y1057" t="str">
        <f ca="1">IFERROR(__xludf.DUMMYFUNCTION("""COMPUTED_VALUE"""),"")</f>
        <v/>
      </c>
      <c r="Z1057" t="str">
        <f ca="1">IFERROR(__xludf.DUMMYFUNCTION("""COMPUTED_VALUE"""),"")</f>
        <v/>
      </c>
      <c r="AA1057" t="str">
        <f ca="1">IFERROR(__xludf.DUMMYFUNCTION("""COMPUTED_VALUE"""),"Pas de commande")</f>
        <v>Pas de commande</v>
      </c>
      <c r="AB1057" s="8" t="str">
        <f ca="1">IFERROR(__xludf.DUMMYFUNCTION("""COMPUTED_VALUE"""),"")</f>
        <v/>
      </c>
      <c r="AC1057" s="8" t="str">
        <f ca="1">IFERROR(__xludf.DUMMYFUNCTION("""COMPUTED_VALUE"""),"")</f>
        <v/>
      </c>
      <c r="AD1057" s="11" t="str">
        <f ca="1">IFERROR(__xludf.DUMMYFUNCTION("""COMPUTED_VALUE"""),"")</f>
        <v/>
      </c>
      <c r="AE1057" t="str">
        <f ca="1">IFERROR(__xludf.DUMMYFUNCTION("""COMPUTED_VALUE"""),"")</f>
        <v/>
      </c>
    </row>
    <row r="1058" spans="1:31" ht="12.75" x14ac:dyDescent="0.2">
      <c r="A1058">
        <f ca="1">IFERROR(__xludf.DUMMYFUNCTION("""COMPUTED_VALUE"""),31910)</f>
        <v>31910</v>
      </c>
      <c r="B1058" t="str">
        <f ca="1">IFERROR(__xludf.DUMMYFUNCTION("""COMPUTED_VALUE"""),"TREGASTEL")</f>
        <v>TREGASTEL</v>
      </c>
      <c r="C1058" t="str">
        <f ca="1">IFERROR(__xludf.DUMMYFUNCTION("""COMPUTED_VALUE"""),"Super U")</f>
        <v>Super U</v>
      </c>
      <c r="D1058" t="str">
        <f ca="1">IFERROR(__xludf.DUMMYFUNCTION("""COMPUTED_VALUE"""),"Coop U Enseigne Ouest")</f>
        <v>Coop U Enseigne Ouest</v>
      </c>
      <c r="E1058">
        <f ca="1">IFERROR(__xludf.DUMMYFUNCTION("""COMPUTED_VALUE"""),22730)</f>
        <v>22730</v>
      </c>
      <c r="F1058" t="str">
        <f ca="1">IFERROR(__xludf.DUMMYFUNCTION("""COMPUTED_VALUE"""),"RUE POUL PALUD")</f>
        <v>RUE POUL PALUD</v>
      </c>
      <c r="G1058" t="str">
        <f ca="1">IFERROR(__xludf.DUMMYFUNCTION("""COMPUTED_VALUE"""),"02.96.23.48.40")</f>
        <v>02.96.23.48.40</v>
      </c>
      <c r="H1058" t="str">
        <f ca="1">IFERROR(__xludf.DUMMYFUNCTION("""COMPUTED_VALUE"""),"COLLET RPT SARL WAR RAOK Gilles")</f>
        <v>COLLET RPT SARL WAR RAOK Gilles</v>
      </c>
      <c r="I1058" t="str">
        <f ca="1">IFERROR(__xludf.DUMMYFUNCTION("""COMPUTED_VALUE"""),"gilles.collet@systeme-u.fr")</f>
        <v>gilles.collet@systeme-u.fr</v>
      </c>
      <c r="J1058" t="str">
        <f ca="1">IFERROR(__xludf.DUMMYFUNCTION("""COMPUTED_VALUE"""),"Lepeintre Nicolas")</f>
        <v>Lepeintre Nicolas</v>
      </c>
      <c r="K1058" t="str">
        <f ca="1">IFERROR(__xludf.DUMMYFUNCTION("""COMPUTED_VALUE"""),"superu.tregastel.direction@systeme-u.fr")</f>
        <v>superu.tregastel.direction@systeme-u.fr</v>
      </c>
      <c r="L1058" t="str">
        <f ca="1">IFERROR(__xludf.DUMMYFUNCTION("""COMPUTED_VALUE"""),"")</f>
        <v/>
      </c>
      <c r="M1058" t="str">
        <f ca="1">IFERROR(__xludf.DUMMYFUNCTION("""COMPUTED_VALUE"""),"99.Hors Périmetre")</f>
        <v>99.Hors Périmetre</v>
      </c>
      <c r="N1058" t="str">
        <f ca="1">IFERROR(__xludf.DUMMYFUNCTION("""COMPUTED_VALUE"""),"")</f>
        <v/>
      </c>
      <c r="O1058" t="str">
        <f ca="1">IFERROR(__xludf.DUMMYFUNCTION("""COMPUTED_VALUE"""),"")</f>
        <v/>
      </c>
      <c r="P1058" t="str">
        <f ca="1">IFERROR(__xludf.DUMMYFUNCTION("""COMPUTED_VALUE"""),"")</f>
        <v/>
      </c>
      <c r="Q1058" s="5" t="str">
        <f ca="1">IFERROR(__xludf.DUMMYFUNCTION("""COMPUTED_VALUE"""),"")</f>
        <v/>
      </c>
      <c r="R1058" s="6" t="str">
        <f ca="1">IFERROR(__xludf.DUMMYFUNCTION("""COMPUTED_VALUE"""),"")</f>
        <v/>
      </c>
      <c r="S1058" t="str">
        <f ca="1">IFERROR(__xludf.DUMMYFUNCTION("""COMPUTED_VALUE"""),"")</f>
        <v/>
      </c>
      <c r="T1058" t="str">
        <f ca="1">IFERROR(__xludf.DUMMYFUNCTION("""COMPUTED_VALUE"""),"")</f>
        <v/>
      </c>
      <c r="U1058" t="str">
        <f ca="1">IFERROR(__xludf.DUMMYFUNCTION("""COMPUTED_VALUE"""),"")</f>
        <v/>
      </c>
      <c r="V1058" t="str">
        <f ca="1">IFERROR(__xludf.DUMMYFUNCTION("""COMPUTED_VALUE"""),"")</f>
        <v/>
      </c>
      <c r="W1058" t="str">
        <f ca="1">IFERROR(__xludf.DUMMYFUNCTION("""COMPUTED_VALUE"""),"")</f>
        <v/>
      </c>
      <c r="X1058" t="str">
        <f ca="1">IFERROR(__xludf.DUMMYFUNCTION("""COMPUTED_VALUE"""),"")</f>
        <v/>
      </c>
      <c r="Y1058" t="str">
        <f ca="1">IFERROR(__xludf.DUMMYFUNCTION("""COMPUTED_VALUE"""),"")</f>
        <v/>
      </c>
      <c r="Z1058" t="str">
        <f ca="1">IFERROR(__xludf.DUMMYFUNCTION("""COMPUTED_VALUE"""),"")</f>
        <v/>
      </c>
      <c r="AA1058" t="str">
        <f ca="1">IFERROR(__xludf.DUMMYFUNCTION("""COMPUTED_VALUE"""),"Pas de commande")</f>
        <v>Pas de commande</v>
      </c>
      <c r="AB1058" s="8" t="str">
        <f ca="1">IFERROR(__xludf.DUMMYFUNCTION("""COMPUTED_VALUE"""),"")</f>
        <v/>
      </c>
      <c r="AC1058" s="8" t="str">
        <f ca="1">IFERROR(__xludf.DUMMYFUNCTION("""COMPUTED_VALUE"""),"")</f>
        <v/>
      </c>
      <c r="AD1058" s="11" t="str">
        <f ca="1">IFERROR(__xludf.DUMMYFUNCTION("""COMPUTED_VALUE"""),"")</f>
        <v/>
      </c>
      <c r="AE1058" t="str">
        <f ca="1">IFERROR(__xludf.DUMMYFUNCTION("""COMPUTED_VALUE"""),"")</f>
        <v/>
      </c>
    </row>
    <row r="1059" spans="1:31" ht="12.75" x14ac:dyDescent="0.2">
      <c r="A1059">
        <f ca="1">IFERROR(__xludf.DUMMYFUNCTION("""COMPUTED_VALUE"""),34588)</f>
        <v>34588</v>
      </c>
      <c r="B1059" t="str">
        <f ca="1">IFERROR(__xludf.DUMMYFUNCTION("""COMPUTED_VALUE"""),"TREGUIER")</f>
        <v>TREGUIER</v>
      </c>
      <c r="C1059" t="str">
        <f ca="1">IFERROR(__xludf.DUMMYFUNCTION("""COMPUTED_VALUE"""),"Super U")</f>
        <v>Super U</v>
      </c>
      <c r="D1059" t="str">
        <f ca="1">IFERROR(__xludf.DUMMYFUNCTION("""COMPUTED_VALUE"""),"Coop U Enseigne Ouest")</f>
        <v>Coop U Enseigne Ouest</v>
      </c>
      <c r="E1059">
        <f ca="1">IFERROR(__xludf.DUMMYFUNCTION("""COMPUTED_VALUE"""),22220)</f>
        <v>22220</v>
      </c>
      <c r="F1059" t="str">
        <f ca="1">IFERROR(__xludf.DUMMYFUNCTION("""COMPUTED_VALUE"""),"4 BOULEVARD JEAN GHEHENNO")</f>
        <v>4 BOULEVARD JEAN GHEHENNO</v>
      </c>
      <c r="G1059" t="str">
        <f ca="1">IFERROR(__xludf.DUMMYFUNCTION("""COMPUTED_VALUE"""),"02.96.92.13.14")</f>
        <v>02.96.92.13.14</v>
      </c>
      <c r="H1059" t="str">
        <f ca="1">IFERROR(__xludf.DUMMYFUNCTION("""COMPUTED_VALUE"""),"BOIVIN Franck")</f>
        <v>BOIVIN Franck</v>
      </c>
      <c r="I1059" t="str">
        <f ca="1">IFERROR(__xludf.DUMMYFUNCTION("""COMPUTED_VALUE"""),"franck.boivin@systeme-u.fr")</f>
        <v>franck.boivin@systeme-u.fr</v>
      </c>
      <c r="J1059" t="str">
        <f ca="1">IFERROR(__xludf.DUMMYFUNCTION("""COMPUTED_VALUE"""),"Mme Coiteroc; Mme Flory")</f>
        <v>Mme Coiteroc; Mme Flory</v>
      </c>
      <c r="K1059" t="str">
        <f ca="1">IFERROR(__xludf.DUMMYFUNCTION("""COMPUTED_VALUE"""),"superu.treguier.direction@systeme-u.fr")</f>
        <v>superu.treguier.direction@systeme-u.fr</v>
      </c>
      <c r="L1059" t="str">
        <f ca="1">IFERROR(__xludf.DUMMYFUNCTION("""COMPUTED_VALUE"""),"")</f>
        <v/>
      </c>
      <c r="M1059" t="str">
        <f ca="1">IFERROR(__xludf.DUMMYFUNCTION("""COMPUTED_VALUE"""),"99.Hors Périmetre")</f>
        <v>99.Hors Périmetre</v>
      </c>
      <c r="N1059" t="str">
        <f ca="1">IFERROR(__xludf.DUMMYFUNCTION("""COMPUTED_VALUE"""),"")</f>
        <v/>
      </c>
      <c r="O1059" t="str">
        <f ca="1">IFERROR(__xludf.DUMMYFUNCTION("""COMPUTED_VALUE"""),"")</f>
        <v/>
      </c>
      <c r="P1059" t="str">
        <f ca="1">IFERROR(__xludf.DUMMYFUNCTION("""COMPUTED_VALUE"""),"")</f>
        <v/>
      </c>
      <c r="Q1059" s="5" t="str">
        <f ca="1">IFERROR(__xludf.DUMMYFUNCTION("""COMPUTED_VALUE"""),"")</f>
        <v/>
      </c>
      <c r="R1059" s="6" t="str">
        <f ca="1">IFERROR(__xludf.DUMMYFUNCTION("""COMPUTED_VALUE"""),"")</f>
        <v/>
      </c>
      <c r="S1059" t="str">
        <f ca="1">IFERROR(__xludf.DUMMYFUNCTION("""COMPUTED_VALUE"""),"")</f>
        <v/>
      </c>
      <c r="T1059" t="str">
        <f ca="1">IFERROR(__xludf.DUMMYFUNCTION("""COMPUTED_VALUE"""),"")</f>
        <v/>
      </c>
      <c r="U1059" t="str">
        <f ca="1">IFERROR(__xludf.DUMMYFUNCTION("""COMPUTED_VALUE"""),"")</f>
        <v/>
      </c>
      <c r="V1059" t="str">
        <f ca="1">IFERROR(__xludf.DUMMYFUNCTION("""COMPUTED_VALUE"""),"")</f>
        <v/>
      </c>
      <c r="W1059" t="str">
        <f ca="1">IFERROR(__xludf.DUMMYFUNCTION("""COMPUTED_VALUE"""),"")</f>
        <v/>
      </c>
      <c r="X1059" t="str">
        <f ca="1">IFERROR(__xludf.DUMMYFUNCTION("""COMPUTED_VALUE"""),"")</f>
        <v/>
      </c>
      <c r="Y1059" t="str">
        <f ca="1">IFERROR(__xludf.DUMMYFUNCTION("""COMPUTED_VALUE"""),"")</f>
        <v/>
      </c>
      <c r="Z1059" t="str">
        <f ca="1">IFERROR(__xludf.DUMMYFUNCTION("""COMPUTED_VALUE"""),"")</f>
        <v/>
      </c>
      <c r="AA1059" t="str">
        <f ca="1">IFERROR(__xludf.DUMMYFUNCTION("""COMPUTED_VALUE"""),"Pas de commande")</f>
        <v>Pas de commande</v>
      </c>
      <c r="AB1059" s="8" t="str">
        <f ca="1">IFERROR(__xludf.DUMMYFUNCTION("""COMPUTED_VALUE"""),"")</f>
        <v/>
      </c>
      <c r="AC1059" s="8" t="str">
        <f ca="1">IFERROR(__xludf.DUMMYFUNCTION("""COMPUTED_VALUE"""),"")</f>
        <v/>
      </c>
      <c r="AD1059" s="11" t="str">
        <f ca="1">IFERROR(__xludf.DUMMYFUNCTION("""COMPUTED_VALUE"""),"")</f>
        <v/>
      </c>
      <c r="AE1059" t="str">
        <f ca="1">IFERROR(__xludf.DUMMYFUNCTION("""COMPUTED_VALUE"""),"")</f>
        <v/>
      </c>
    </row>
    <row r="1060" spans="1:31" ht="12.75" x14ac:dyDescent="0.2">
      <c r="A1060">
        <f ca="1">IFERROR(__xludf.DUMMYFUNCTION("""COMPUTED_VALUE"""),39482)</f>
        <v>39482</v>
      </c>
      <c r="B1060" t="str">
        <f ca="1">IFERROR(__xludf.DUMMYFUNCTION("""COMPUTED_VALUE"""),"TREILLIERES")</f>
        <v>TREILLIERES</v>
      </c>
      <c r="C1060" t="str">
        <f ca="1">IFERROR(__xludf.DUMMYFUNCTION("""COMPUTED_VALUE"""),"Super U")</f>
        <v>Super U</v>
      </c>
      <c r="D1060" t="str">
        <f ca="1">IFERROR(__xludf.DUMMYFUNCTION("""COMPUTED_VALUE"""),"Coop U Enseigne Ouest")</f>
        <v>Coop U Enseigne Ouest</v>
      </c>
      <c r="E1060">
        <f ca="1">IFERROR(__xludf.DUMMYFUNCTION("""COMPUTED_VALUE"""),44119)</f>
        <v>44119</v>
      </c>
      <c r="F1060" t="str">
        <f ca="1">IFERROR(__xludf.DUMMYFUNCTION("""COMPUTED_VALUE"""),"LA BELLE ETOILE")</f>
        <v>LA BELLE ETOILE</v>
      </c>
      <c r="G1060" t="str">
        <f ca="1">IFERROR(__xludf.DUMMYFUNCTION("""COMPUTED_VALUE"""),"02.40.94.58.57")</f>
        <v>02.40.94.58.57</v>
      </c>
      <c r="H1060" t="str">
        <f ca="1">IFERROR(__xludf.DUMMYFUNCTION("""COMPUTED_VALUE"""),"PRODHOMME RPT SOFIGI Gilles")</f>
        <v>PRODHOMME RPT SOFIGI Gilles</v>
      </c>
      <c r="I1060" t="str">
        <f ca="1">IFERROR(__xludf.DUMMYFUNCTION("""COMPUTED_VALUE"""),"gilles.prodhomme@systeme-u.fr")</f>
        <v>gilles.prodhomme@systeme-u.fr</v>
      </c>
      <c r="J1060" t="str">
        <f ca="1">IFERROR(__xludf.DUMMYFUNCTION("""COMPUTED_VALUE"""),"PRODHOMME Sandrine")</f>
        <v>PRODHOMME Sandrine</v>
      </c>
      <c r="K1060" t="str">
        <f ca="1">IFERROR(__xludf.DUMMYFUNCTION("""COMPUTED_VALUE"""),"sandrine.prodhomme@systeme-u.fr")</f>
        <v>sandrine.prodhomme@systeme-u.fr</v>
      </c>
      <c r="L1060" t="str">
        <f ca="1">IFERROR(__xludf.DUMMYFUNCTION("""COMPUTED_VALUE"""),"")</f>
        <v/>
      </c>
      <c r="M1060" t="str">
        <f ca="1">IFERROR(__xludf.DUMMYFUNCTION("""COMPUTED_VALUE"""),"99.Hors Périmetre")</f>
        <v>99.Hors Périmetre</v>
      </c>
      <c r="N1060" t="str">
        <f ca="1">IFERROR(__xludf.DUMMYFUNCTION("""COMPUTED_VALUE"""),"")</f>
        <v/>
      </c>
      <c r="O1060" t="str">
        <f ca="1">IFERROR(__xludf.DUMMYFUNCTION("""COMPUTED_VALUE"""),"")</f>
        <v/>
      </c>
      <c r="P1060" t="str">
        <f ca="1">IFERROR(__xludf.DUMMYFUNCTION("""COMPUTED_VALUE"""),"")</f>
        <v/>
      </c>
      <c r="Q1060" s="5" t="str">
        <f ca="1">IFERROR(__xludf.DUMMYFUNCTION("""COMPUTED_VALUE"""),"")</f>
        <v/>
      </c>
      <c r="R1060" s="6" t="str">
        <f ca="1">IFERROR(__xludf.DUMMYFUNCTION("""COMPUTED_VALUE"""),"")</f>
        <v/>
      </c>
      <c r="S1060" t="str">
        <f ca="1">IFERROR(__xludf.DUMMYFUNCTION("""COMPUTED_VALUE"""),"")</f>
        <v/>
      </c>
      <c r="T1060" t="str">
        <f ca="1">IFERROR(__xludf.DUMMYFUNCTION("""COMPUTED_VALUE"""),"")</f>
        <v/>
      </c>
      <c r="U1060" t="str">
        <f ca="1">IFERROR(__xludf.DUMMYFUNCTION("""COMPUTED_VALUE"""),"")</f>
        <v/>
      </c>
      <c r="V1060" t="str">
        <f ca="1">IFERROR(__xludf.DUMMYFUNCTION("""COMPUTED_VALUE"""),"")</f>
        <v/>
      </c>
      <c r="W1060" t="str">
        <f ca="1">IFERROR(__xludf.DUMMYFUNCTION("""COMPUTED_VALUE"""),"")</f>
        <v/>
      </c>
      <c r="X1060" t="str">
        <f ca="1">IFERROR(__xludf.DUMMYFUNCTION("""COMPUTED_VALUE"""),"")</f>
        <v/>
      </c>
      <c r="Y1060" t="str">
        <f ca="1">IFERROR(__xludf.DUMMYFUNCTION("""COMPUTED_VALUE"""),"")</f>
        <v/>
      </c>
      <c r="Z1060" t="str">
        <f ca="1">IFERROR(__xludf.DUMMYFUNCTION("""COMPUTED_VALUE"""),"")</f>
        <v/>
      </c>
      <c r="AA1060" t="str">
        <f ca="1">IFERROR(__xludf.DUMMYFUNCTION("""COMPUTED_VALUE"""),"Pas de commande")</f>
        <v>Pas de commande</v>
      </c>
      <c r="AB1060" s="8" t="str">
        <f ca="1">IFERROR(__xludf.DUMMYFUNCTION("""COMPUTED_VALUE"""),"")</f>
        <v/>
      </c>
      <c r="AC1060" s="8" t="str">
        <f ca="1">IFERROR(__xludf.DUMMYFUNCTION("""COMPUTED_VALUE"""),"")</f>
        <v/>
      </c>
      <c r="AD1060" s="11" t="str">
        <f ca="1">IFERROR(__xludf.DUMMYFUNCTION("""COMPUTED_VALUE"""),"")</f>
        <v/>
      </c>
      <c r="AE1060" t="str">
        <f ca="1">IFERROR(__xludf.DUMMYFUNCTION("""COMPUTED_VALUE"""),"")</f>
        <v/>
      </c>
    </row>
    <row r="1061" spans="1:31" ht="12.75" x14ac:dyDescent="0.2">
      <c r="A1061">
        <f ca="1">IFERROR(__xludf.DUMMYFUNCTION("""COMPUTED_VALUE"""),38157)</f>
        <v>38157</v>
      </c>
      <c r="B1061" t="str">
        <f ca="1">IFERROR(__xludf.DUMMYFUNCTION("""COMPUTED_VALUE"""),"TRELAZE LA QUANTINIERE")</f>
        <v>TRELAZE LA QUANTINIERE</v>
      </c>
      <c r="C1061" t="str">
        <f ca="1">IFERROR(__xludf.DUMMYFUNCTION("""COMPUTED_VALUE"""),"Super U")</f>
        <v>Super U</v>
      </c>
      <c r="D1061" t="str">
        <f ca="1">IFERROR(__xludf.DUMMYFUNCTION("""COMPUTED_VALUE"""),"Coop U Enseigne Ouest")</f>
        <v>Coop U Enseigne Ouest</v>
      </c>
      <c r="E1061">
        <f ca="1">IFERROR(__xludf.DUMMYFUNCTION("""COMPUTED_VALUE"""),49800)</f>
        <v>49800</v>
      </c>
      <c r="F1061" t="str">
        <f ca="1">IFERROR(__xludf.DUMMYFUNCTION("""COMPUTED_VALUE"""),"2 SQUARE ROBERT SURCOUF")</f>
        <v>2 SQUARE ROBERT SURCOUF</v>
      </c>
      <c r="G1061" t="str">
        <f ca="1">IFERROR(__xludf.DUMMYFUNCTION("""COMPUTED_VALUE"""),"02.41.41.41.10")</f>
        <v>02.41.41.41.10</v>
      </c>
      <c r="H1061" t="str">
        <f ca="1">IFERROR(__xludf.DUMMYFUNCTION("""COMPUTED_VALUE"""),"LERENDU RPT SARL LA MOUETTE Emmanuel")</f>
        <v>LERENDU RPT SARL LA MOUETTE Emmanuel</v>
      </c>
      <c r="I1061" t="str">
        <f ca="1">IFERROR(__xludf.DUMMYFUNCTION("""COMPUTED_VALUE"""),"emmanuel.lerendu@systeme-u.fr")</f>
        <v>emmanuel.lerendu@systeme-u.fr</v>
      </c>
      <c r="J1061" t="str">
        <f ca="1">IFERROR(__xludf.DUMMYFUNCTION("""COMPUTED_VALUE"""),"Aimeric Gilbert ")</f>
        <v xml:space="preserve">Aimeric Gilbert </v>
      </c>
      <c r="K1061" t="str">
        <f ca="1">IFERROR(__xludf.DUMMYFUNCTION("""COMPUTED_VALUE"""),"aimeric.gilbert@systeme-u.fr")</f>
        <v>aimeric.gilbert@systeme-u.fr</v>
      </c>
      <c r="L1061" t="str">
        <f ca="1">IFERROR(__xludf.DUMMYFUNCTION("""COMPUTED_VALUE"""),"")</f>
        <v/>
      </c>
      <c r="M1061" t="str">
        <f ca="1">IFERROR(__xludf.DUMMYFUNCTION("""COMPUTED_VALUE"""),"99.Hors Périmetre")</f>
        <v>99.Hors Périmetre</v>
      </c>
      <c r="N1061" t="str">
        <f ca="1">IFERROR(__xludf.DUMMYFUNCTION("""COMPUTED_VALUE"""),"")</f>
        <v/>
      </c>
      <c r="O1061" t="str">
        <f ca="1">IFERROR(__xludf.DUMMYFUNCTION("""COMPUTED_VALUE"""),"")</f>
        <v/>
      </c>
      <c r="P1061" t="str">
        <f ca="1">IFERROR(__xludf.DUMMYFUNCTION("""COMPUTED_VALUE"""),"")</f>
        <v/>
      </c>
      <c r="Q1061" s="5" t="str">
        <f ca="1">IFERROR(__xludf.DUMMYFUNCTION("""COMPUTED_VALUE"""),"")</f>
        <v/>
      </c>
      <c r="R1061" s="6" t="str">
        <f ca="1">IFERROR(__xludf.DUMMYFUNCTION("""COMPUTED_VALUE"""),"")</f>
        <v/>
      </c>
      <c r="S1061" t="str">
        <f ca="1">IFERROR(__xludf.DUMMYFUNCTION("""COMPUTED_VALUE"""),"")</f>
        <v/>
      </c>
      <c r="T1061" t="str">
        <f ca="1">IFERROR(__xludf.DUMMYFUNCTION("""COMPUTED_VALUE"""),"")</f>
        <v/>
      </c>
      <c r="U1061" t="str">
        <f ca="1">IFERROR(__xludf.DUMMYFUNCTION("""COMPUTED_VALUE"""),"")</f>
        <v/>
      </c>
      <c r="V1061" t="str">
        <f ca="1">IFERROR(__xludf.DUMMYFUNCTION("""COMPUTED_VALUE"""),"")</f>
        <v/>
      </c>
      <c r="W1061" t="str">
        <f ca="1">IFERROR(__xludf.DUMMYFUNCTION("""COMPUTED_VALUE"""),"")</f>
        <v/>
      </c>
      <c r="X1061" t="str">
        <f ca="1">IFERROR(__xludf.DUMMYFUNCTION("""COMPUTED_VALUE"""),"")</f>
        <v/>
      </c>
      <c r="Y1061" t="str">
        <f ca="1">IFERROR(__xludf.DUMMYFUNCTION("""COMPUTED_VALUE"""),"")</f>
        <v/>
      </c>
      <c r="Z1061" t="str">
        <f ca="1">IFERROR(__xludf.DUMMYFUNCTION("""COMPUTED_VALUE"""),"")</f>
        <v/>
      </c>
      <c r="AA1061" t="str">
        <f ca="1">IFERROR(__xludf.DUMMYFUNCTION("""COMPUTED_VALUE"""),"Pas de commande")</f>
        <v>Pas de commande</v>
      </c>
      <c r="AB1061" s="8" t="str">
        <f ca="1">IFERROR(__xludf.DUMMYFUNCTION("""COMPUTED_VALUE"""),"")</f>
        <v/>
      </c>
      <c r="AC1061" s="8" t="str">
        <f ca="1">IFERROR(__xludf.DUMMYFUNCTION("""COMPUTED_VALUE"""),"")</f>
        <v/>
      </c>
      <c r="AD1061" s="11" t="str">
        <f ca="1">IFERROR(__xludf.DUMMYFUNCTION("""COMPUTED_VALUE"""),"")</f>
        <v/>
      </c>
      <c r="AE1061" t="str">
        <f ca="1">IFERROR(__xludf.DUMMYFUNCTION("""COMPUTED_VALUE"""),"")</f>
        <v/>
      </c>
    </row>
    <row r="1062" spans="1:31" ht="12.75" x14ac:dyDescent="0.2">
      <c r="A1062">
        <f ca="1">IFERROR(__xludf.DUMMYFUNCTION("""COMPUTED_VALUE"""),37992)</f>
        <v>37992</v>
      </c>
      <c r="B1062" t="str">
        <f ca="1">IFERROR(__xludf.DUMMYFUNCTION("""COMPUTED_VALUE"""),"TRELAZE PYRAMIDE")</f>
        <v>TRELAZE PYRAMIDE</v>
      </c>
      <c r="C1062" t="str">
        <f ca="1">IFERROR(__xludf.DUMMYFUNCTION("""COMPUTED_VALUE"""),"Super U")</f>
        <v>Super U</v>
      </c>
      <c r="D1062" t="str">
        <f ca="1">IFERROR(__xludf.DUMMYFUNCTION("""COMPUTED_VALUE"""),"Coop U Enseigne Ouest")</f>
        <v>Coop U Enseigne Ouest</v>
      </c>
      <c r="E1062">
        <f ca="1">IFERROR(__xludf.DUMMYFUNCTION("""COMPUTED_VALUE"""),49800)</f>
        <v>49800</v>
      </c>
      <c r="F1062" t="str">
        <f ca="1">IFERROR(__xludf.DUMMYFUNCTION("""COMPUTED_VALUE"""),"220, AVENUE MENDÈS FRANCE")</f>
        <v>220, AVENUE MENDÈS FRANCE</v>
      </c>
      <c r="G1062" t="str">
        <f ca="1">IFERROR(__xludf.DUMMYFUNCTION("""COMPUTED_VALUE"""),"02.41.86.86.25")</f>
        <v>02.41.86.86.25</v>
      </c>
      <c r="H1062" t="str">
        <f ca="1">IFERROR(__xludf.DUMMYFUNCTION("""COMPUTED_VALUE"""),"GERMOND RPT SAS HGCP Philippe")</f>
        <v>GERMOND RPT SAS HGCP Philippe</v>
      </c>
      <c r="I1062" t="str">
        <f ca="1">IFERROR(__xludf.DUMMYFUNCTION("""COMPUTED_VALUE"""),"philippe.germond@systeme-u.fr")</f>
        <v>philippe.germond@systeme-u.fr</v>
      </c>
      <c r="J1062" t="str">
        <f ca="1">IFERROR(__xludf.DUMMYFUNCTION("""COMPUTED_VALUE"""),"Cyndie LE SOLLIEc")</f>
        <v>Cyndie LE SOLLIEc</v>
      </c>
      <c r="K1062" t="str">
        <f ca="1">IFERROR(__xludf.DUMMYFUNCTION("""COMPUTED_VALUE"""),"superu.trelazelapyramide.compta@systeme-u.fr")</f>
        <v>superu.trelazelapyramide.compta@systeme-u.fr</v>
      </c>
      <c r="L1062" t="str">
        <f ca="1">IFERROR(__xludf.DUMMYFUNCTION("""COMPUTED_VALUE"""),"")</f>
        <v/>
      </c>
      <c r="M1062" t="str">
        <f ca="1">IFERROR(__xludf.DUMMYFUNCTION("""COMPUTED_VALUE"""),"99.Hors Périmetre")</f>
        <v>99.Hors Périmetre</v>
      </c>
      <c r="N1062" t="str">
        <f ca="1">IFERROR(__xludf.DUMMYFUNCTION("""COMPUTED_VALUE"""),"")</f>
        <v/>
      </c>
      <c r="O1062" t="str">
        <f ca="1">IFERROR(__xludf.DUMMYFUNCTION("""COMPUTED_VALUE"""),"")</f>
        <v/>
      </c>
      <c r="P1062" t="str">
        <f ca="1">IFERROR(__xludf.DUMMYFUNCTION("""COMPUTED_VALUE"""),"")</f>
        <v/>
      </c>
      <c r="Q1062" s="5" t="str">
        <f ca="1">IFERROR(__xludf.DUMMYFUNCTION("""COMPUTED_VALUE"""),"")</f>
        <v/>
      </c>
      <c r="R1062" s="6" t="str">
        <f ca="1">IFERROR(__xludf.DUMMYFUNCTION("""COMPUTED_VALUE"""),"")</f>
        <v/>
      </c>
      <c r="S1062" t="str">
        <f ca="1">IFERROR(__xludf.DUMMYFUNCTION("""COMPUTED_VALUE"""),"")</f>
        <v/>
      </c>
      <c r="T1062" t="str">
        <f ca="1">IFERROR(__xludf.DUMMYFUNCTION("""COMPUTED_VALUE"""),"")</f>
        <v/>
      </c>
      <c r="U1062" t="str">
        <f ca="1">IFERROR(__xludf.DUMMYFUNCTION("""COMPUTED_VALUE"""),"")</f>
        <v/>
      </c>
      <c r="V1062" t="str">
        <f ca="1">IFERROR(__xludf.DUMMYFUNCTION("""COMPUTED_VALUE"""),"")</f>
        <v/>
      </c>
      <c r="W1062" t="str">
        <f ca="1">IFERROR(__xludf.DUMMYFUNCTION("""COMPUTED_VALUE"""),"")</f>
        <v/>
      </c>
      <c r="X1062" t="str">
        <f ca="1">IFERROR(__xludf.DUMMYFUNCTION("""COMPUTED_VALUE"""),"")</f>
        <v/>
      </c>
      <c r="Y1062" t="str">
        <f ca="1">IFERROR(__xludf.DUMMYFUNCTION("""COMPUTED_VALUE"""),"")</f>
        <v/>
      </c>
      <c r="Z1062" t="str">
        <f ca="1">IFERROR(__xludf.DUMMYFUNCTION("""COMPUTED_VALUE"""),"")</f>
        <v/>
      </c>
      <c r="AA1062" t="str">
        <f ca="1">IFERROR(__xludf.DUMMYFUNCTION("""COMPUTED_VALUE"""),"Pas de commande")</f>
        <v>Pas de commande</v>
      </c>
      <c r="AB1062" s="8" t="str">
        <f ca="1">IFERROR(__xludf.DUMMYFUNCTION("""COMPUTED_VALUE"""),"")</f>
        <v/>
      </c>
      <c r="AC1062" s="8" t="str">
        <f ca="1">IFERROR(__xludf.DUMMYFUNCTION("""COMPUTED_VALUE"""),"")</f>
        <v/>
      </c>
      <c r="AD1062" s="11" t="str">
        <f ca="1">IFERROR(__xludf.DUMMYFUNCTION("""COMPUTED_VALUE"""),"")</f>
        <v/>
      </c>
      <c r="AE1062" t="str">
        <f ca="1">IFERROR(__xludf.DUMMYFUNCTION("""COMPUTED_VALUE"""),"")</f>
        <v/>
      </c>
    </row>
    <row r="1063" spans="1:31" ht="12.75" x14ac:dyDescent="0.2">
      <c r="A1063">
        <f ca="1">IFERROR(__xludf.DUMMYFUNCTION("""COMPUTED_VALUE"""),22305)</f>
        <v>22305</v>
      </c>
      <c r="B1063" t="str">
        <f ca="1">IFERROR(__xludf.DUMMYFUNCTION("""COMPUTED_VALUE"""),"TROARN")</f>
        <v>TROARN</v>
      </c>
      <c r="C1063" t="str">
        <f ca="1">IFERROR(__xludf.DUMMYFUNCTION("""COMPUTED_VALUE"""),"Super U")</f>
        <v>Super U</v>
      </c>
      <c r="D1063" t="str">
        <f ca="1">IFERROR(__xludf.DUMMYFUNCTION("""COMPUTED_VALUE"""),"Coop U Enseigne NordOuest")</f>
        <v>Coop U Enseigne NordOuest</v>
      </c>
      <c r="E1063">
        <f ca="1">IFERROR(__xludf.DUMMYFUNCTION("""COMPUTED_VALUE"""),14670)</f>
        <v>14670</v>
      </c>
      <c r="F1063" t="str">
        <f ca="1">IFERROR(__xludf.DUMMYFUNCTION("""COMPUTED_VALUE"""),"ROUTE DE ROUEN")</f>
        <v>ROUTE DE ROUEN</v>
      </c>
      <c r="G1063" t="str">
        <f ca="1">IFERROR(__xludf.DUMMYFUNCTION("""COMPUTED_VALUE"""),"02.31.23.65.65")</f>
        <v>02.31.23.65.65</v>
      </c>
      <c r="H1063" t="str">
        <f ca="1">IFERROR(__xludf.DUMMYFUNCTION("""COMPUTED_VALUE"""),"VERNIER Julien")</f>
        <v>VERNIER Julien</v>
      </c>
      <c r="I1063" t="str">
        <f ca="1">IFERROR(__xludf.DUMMYFUNCTION("""COMPUTED_VALUE"""),"julien.vernier@systeme-u.fr")</f>
        <v>julien.vernier@systeme-u.fr</v>
      </c>
      <c r="J1063" t="str">
        <f ca="1">IFERROR(__xludf.DUMMYFUNCTION("""COMPUTED_VALUE"""),"VERNIER Julien
Elodie (UPLV)")</f>
        <v>VERNIER Julien
Elodie (UPLV)</v>
      </c>
      <c r="K1063" t="str">
        <f ca="1">IFERROR(__xludf.DUMMYFUNCTION("""COMPUTED_VALUE"""),"julien.vernier@systeme-u.fr, superu.troarn@systeme-u.fr")</f>
        <v>julien.vernier@systeme-u.fr, superu.troarn@systeme-u.fr</v>
      </c>
      <c r="L1063" t="str">
        <f ca="1">IFERROR(__xludf.DUMMYFUNCTION("""COMPUTED_VALUE"""),"")</f>
        <v/>
      </c>
      <c r="M1063" t="str">
        <f ca="1">IFERROR(__xludf.DUMMYFUNCTION("""COMPUTED_VALUE"""),"99.Hors Périmetre")</f>
        <v>99.Hors Périmetre</v>
      </c>
      <c r="N1063" t="str">
        <f ca="1">IFERROR(__xludf.DUMMYFUNCTION("""COMPUTED_VALUE"""),"")</f>
        <v/>
      </c>
      <c r="O1063" t="str">
        <f ca="1">IFERROR(__xludf.DUMMYFUNCTION("""COMPUTED_VALUE"""),"")</f>
        <v/>
      </c>
      <c r="P1063" t="str">
        <f ca="1">IFERROR(__xludf.DUMMYFUNCTION("""COMPUTED_VALUE"""),"")</f>
        <v/>
      </c>
      <c r="Q1063" s="5" t="str">
        <f ca="1">IFERROR(__xludf.DUMMYFUNCTION("""COMPUTED_VALUE"""),"")</f>
        <v/>
      </c>
      <c r="R1063" s="6" t="str">
        <f ca="1">IFERROR(__xludf.DUMMYFUNCTION("""COMPUTED_VALUE"""),"")</f>
        <v/>
      </c>
      <c r="S1063" t="str">
        <f ca="1">IFERROR(__xludf.DUMMYFUNCTION("""COMPUTED_VALUE"""),"")</f>
        <v/>
      </c>
      <c r="T1063" t="str">
        <f ca="1">IFERROR(__xludf.DUMMYFUNCTION("""COMPUTED_VALUE"""),"")</f>
        <v/>
      </c>
      <c r="U1063" t="str">
        <f ca="1">IFERROR(__xludf.DUMMYFUNCTION("""COMPUTED_VALUE"""),"")</f>
        <v/>
      </c>
      <c r="V1063" t="str">
        <f ca="1">IFERROR(__xludf.DUMMYFUNCTION("""COMPUTED_VALUE"""),"")</f>
        <v/>
      </c>
      <c r="W1063" t="str">
        <f ca="1">IFERROR(__xludf.DUMMYFUNCTION("""COMPUTED_VALUE"""),"")</f>
        <v/>
      </c>
      <c r="X1063" t="str">
        <f ca="1">IFERROR(__xludf.DUMMYFUNCTION("""COMPUTED_VALUE"""),"")</f>
        <v/>
      </c>
      <c r="Y1063" t="str">
        <f ca="1">IFERROR(__xludf.DUMMYFUNCTION("""COMPUTED_VALUE"""),"")</f>
        <v/>
      </c>
      <c r="Z1063" t="str">
        <f ca="1">IFERROR(__xludf.DUMMYFUNCTION("""COMPUTED_VALUE"""),"")</f>
        <v/>
      </c>
      <c r="AA1063" t="str">
        <f ca="1">IFERROR(__xludf.DUMMYFUNCTION("""COMPUTED_VALUE"""),"Pas de commande")</f>
        <v>Pas de commande</v>
      </c>
      <c r="AB1063" s="8" t="str">
        <f ca="1">IFERROR(__xludf.DUMMYFUNCTION("""COMPUTED_VALUE"""),"")</f>
        <v/>
      </c>
      <c r="AC1063" s="8" t="str">
        <f ca="1">IFERROR(__xludf.DUMMYFUNCTION("""COMPUTED_VALUE"""),"")</f>
        <v/>
      </c>
      <c r="AD1063" s="11" t="str">
        <f ca="1">IFERROR(__xludf.DUMMYFUNCTION("""COMPUTED_VALUE"""),"")</f>
        <v/>
      </c>
      <c r="AE1063" t="str">
        <f ca="1">IFERROR(__xludf.DUMMYFUNCTION("""COMPUTED_VALUE"""),"")</f>
        <v/>
      </c>
    </row>
    <row r="1064" spans="1:31" ht="12.75" x14ac:dyDescent="0.2">
      <c r="A1064">
        <f ca="1">IFERROR(__xludf.DUMMYFUNCTION("""COMPUTED_VALUE"""),96246)</f>
        <v>96246</v>
      </c>
      <c r="B1064" t="str">
        <f ca="1">IFERROR(__xludf.DUMMYFUNCTION("""COMPUTED_VALUE"""),"ARGENTAT")</f>
        <v>ARGENTAT</v>
      </c>
      <c r="C1064" t="str">
        <f ca="1">IFERROR(__xludf.DUMMYFUNCTION("""COMPUTED_VALUE"""),"Super U")</f>
        <v>Super U</v>
      </c>
      <c r="D1064" t="str">
        <f ca="1">IFERROR(__xludf.DUMMYFUNCTION("""COMPUTED_VALUE"""),"Coop U Enseigne Sud")</f>
        <v>Coop U Enseigne Sud</v>
      </c>
      <c r="E1064">
        <f ca="1">IFERROR(__xludf.DUMMYFUNCTION("""COMPUTED_VALUE"""),19400)</f>
        <v>19400</v>
      </c>
      <c r="F1064" t="str">
        <f ca="1">IFERROR(__xludf.DUMMYFUNCTION("""COMPUTED_VALUE"""),"PLACE DE LA GARE")</f>
        <v>PLACE DE LA GARE</v>
      </c>
      <c r="G1064" t="str">
        <f ca="1">IFERROR(__xludf.DUMMYFUNCTION("""COMPUTED_VALUE"""),"05.55.28.02.17")</f>
        <v>05.55.28.02.17</v>
      </c>
      <c r="H1064" t="str">
        <f ca="1">IFERROR(__xludf.DUMMYFUNCTION("""COMPUTED_VALUE"""),"VAUGIN Arnault")</f>
        <v>VAUGIN Arnault</v>
      </c>
      <c r="I1064" t="str">
        <f ca="1">IFERROR(__xludf.DUMMYFUNCTION("""COMPUTED_VALUE"""),"arnault.vaugin@systeme-u.fr")</f>
        <v>arnault.vaugin@systeme-u.fr</v>
      </c>
      <c r="J1064" t="str">
        <f ca="1">IFERROR(__xludf.DUMMYFUNCTION("""COMPUTED_VALUE"""),"")</f>
        <v/>
      </c>
      <c r="K1064" t="str">
        <f ca="1">IFERROR(__xludf.DUMMYFUNCTION("""COMPUTED_VALUE"""),"superu.argentat.direction@systeme-u.fr")</f>
        <v>superu.argentat.direction@systeme-u.fr</v>
      </c>
      <c r="L1064" t="str">
        <f ca="1">IFERROR(__xludf.DUMMYFUNCTION("""COMPUTED_VALUE"""),"")</f>
        <v/>
      </c>
      <c r="M1064" t="str">
        <f ca="1">IFERROR(__xludf.DUMMYFUNCTION("""COMPUTED_VALUE"""),"99.Hors Périmetre")</f>
        <v>99.Hors Périmetre</v>
      </c>
      <c r="N1064" t="str">
        <f ca="1">IFERROR(__xludf.DUMMYFUNCTION("""COMPUTED_VALUE"""),"")</f>
        <v/>
      </c>
      <c r="O1064" t="str">
        <f ca="1">IFERROR(__xludf.DUMMYFUNCTION("""COMPUTED_VALUE"""),"")</f>
        <v/>
      </c>
      <c r="P1064" t="str">
        <f ca="1">IFERROR(__xludf.DUMMYFUNCTION("""COMPUTED_VALUE"""),"")</f>
        <v/>
      </c>
      <c r="Q1064" s="5" t="str">
        <f ca="1">IFERROR(__xludf.DUMMYFUNCTION("""COMPUTED_VALUE"""),"")</f>
        <v/>
      </c>
      <c r="R1064" s="6" t="str">
        <f ca="1">IFERROR(__xludf.DUMMYFUNCTION("""COMPUTED_VALUE"""),"")</f>
        <v/>
      </c>
      <c r="S1064" t="str">
        <f ca="1">IFERROR(__xludf.DUMMYFUNCTION("""COMPUTED_VALUE"""),"")</f>
        <v/>
      </c>
      <c r="T1064" t="str">
        <f ca="1">IFERROR(__xludf.DUMMYFUNCTION("""COMPUTED_VALUE"""),"")</f>
        <v/>
      </c>
      <c r="U1064" t="str">
        <f ca="1">IFERROR(__xludf.DUMMYFUNCTION("""COMPUTED_VALUE"""),"")</f>
        <v/>
      </c>
      <c r="V1064" t="str">
        <f ca="1">IFERROR(__xludf.DUMMYFUNCTION("""COMPUTED_VALUE"""),"")</f>
        <v/>
      </c>
      <c r="W1064" t="str">
        <f ca="1">IFERROR(__xludf.DUMMYFUNCTION("""COMPUTED_VALUE"""),"")</f>
        <v/>
      </c>
      <c r="X1064" t="str">
        <f ca="1">IFERROR(__xludf.DUMMYFUNCTION("""COMPUTED_VALUE"""),"")</f>
        <v/>
      </c>
      <c r="Y1064" t="str">
        <f ca="1">IFERROR(__xludf.DUMMYFUNCTION("""COMPUTED_VALUE"""),"")</f>
        <v/>
      </c>
      <c r="Z1064" t="str">
        <f ca="1">IFERROR(__xludf.DUMMYFUNCTION("""COMPUTED_VALUE"""),"")</f>
        <v/>
      </c>
      <c r="AA1064" t="str">
        <f ca="1">IFERROR(__xludf.DUMMYFUNCTION("""COMPUTED_VALUE"""),"Pas de commande")</f>
        <v>Pas de commande</v>
      </c>
      <c r="AB1064" s="8" t="str">
        <f ca="1">IFERROR(__xludf.DUMMYFUNCTION("""COMPUTED_VALUE"""),"")</f>
        <v/>
      </c>
      <c r="AC1064" s="8" t="str">
        <f ca="1">IFERROR(__xludf.DUMMYFUNCTION("""COMPUTED_VALUE"""),"")</f>
        <v/>
      </c>
      <c r="AD1064" s="11" t="str">
        <f ca="1">IFERROR(__xludf.DUMMYFUNCTION("""COMPUTED_VALUE"""),"")</f>
        <v/>
      </c>
      <c r="AE1064" t="str">
        <f ca="1">IFERROR(__xludf.DUMMYFUNCTION("""COMPUTED_VALUE"""),"")</f>
        <v/>
      </c>
    </row>
    <row r="1065" spans="1:31" ht="12.75" x14ac:dyDescent="0.2">
      <c r="A1065">
        <f ca="1">IFERROR(__xludf.DUMMYFUNCTION("""COMPUTED_VALUE"""),99236)</f>
        <v>99236</v>
      </c>
      <c r="B1065" t="str">
        <f ca="1">IFERROR(__xludf.DUMMYFUNCTION("""COMPUTED_VALUE"""),"TROIS-BASSINS-IDR")</f>
        <v>TROIS-BASSINS-IDR</v>
      </c>
      <c r="C1065" t="str">
        <f ca="1">IFERROR(__xludf.DUMMYFUNCTION("""COMPUTED_VALUE"""),"Super U")</f>
        <v>Super U</v>
      </c>
      <c r="D1065" t="str">
        <f ca="1">IFERROR(__xludf.DUMMYFUNCTION("""COMPUTED_VALUE"""),"Coop U Enseigne Sud")</f>
        <v>Coop U Enseigne Sud</v>
      </c>
      <c r="E1065">
        <f ca="1">IFERROR(__xludf.DUMMYFUNCTION("""COMPUTED_VALUE"""),97426)</f>
        <v>97426</v>
      </c>
      <c r="F1065" t="str">
        <f ca="1">IFERROR(__xludf.DUMMYFUNCTION("""COMPUTED_VALUE"""),"13 RUE DES FRANCICEAS")</f>
        <v>13 RUE DES FRANCICEAS</v>
      </c>
      <c r="G1065" t="str">
        <f ca="1">IFERROR(__xludf.DUMMYFUNCTION("""COMPUTED_VALUE"""),"02.62.54.65.20")</f>
        <v>02.62.54.65.20</v>
      </c>
      <c r="H1065" t="str">
        <f ca="1">IFERROR(__xludf.DUMMYFUNCTION("""COMPUTED_VALUE"""),"THIA KIME Prosper")</f>
        <v>THIA KIME Prosper</v>
      </c>
      <c r="I1065" t="str">
        <f ca="1">IFERROR(__xludf.DUMMYFUNCTION("""COMPUTED_VALUE"""),"christophe.thiakime@systeme-u.fr")</f>
        <v>christophe.thiakime@systeme-u.fr</v>
      </c>
      <c r="J1065" t="str">
        <f ca="1">IFERROR(__xludf.DUMMYFUNCTION("""COMPUTED_VALUE""")," M Christophe THIA-KIME")</f>
        <v xml:space="preserve"> M Christophe THIA-KIME</v>
      </c>
      <c r="K1065" t="str">
        <f ca="1">IFERROR(__xludf.DUMMYFUNCTION("""COMPUTED_VALUE"""),"christophe.thiakime@systeme-u.fr")</f>
        <v>christophe.thiakime@systeme-u.fr</v>
      </c>
      <c r="L1065" t="str">
        <f ca="1">IFERROR(__xludf.DUMMYFUNCTION("""COMPUTED_VALUE"""),"")</f>
        <v/>
      </c>
      <c r="M1065" t="str">
        <f ca="1">IFERROR(__xludf.DUMMYFUNCTION("""COMPUTED_VALUE"""),"99.Hors Périmetre")</f>
        <v>99.Hors Périmetre</v>
      </c>
      <c r="N1065" t="str">
        <f ca="1">IFERROR(__xludf.DUMMYFUNCTION("""COMPUTED_VALUE"""),"")</f>
        <v/>
      </c>
      <c r="O1065" t="str">
        <f ca="1">IFERROR(__xludf.DUMMYFUNCTION("""COMPUTED_VALUE"""),"")</f>
        <v/>
      </c>
      <c r="P1065" t="str">
        <f ca="1">IFERROR(__xludf.DUMMYFUNCTION("""COMPUTED_VALUE"""),"")</f>
        <v/>
      </c>
      <c r="Q1065" s="5" t="str">
        <f ca="1">IFERROR(__xludf.DUMMYFUNCTION("""COMPUTED_VALUE"""),"")</f>
        <v/>
      </c>
      <c r="R1065" s="6" t="str">
        <f ca="1">IFERROR(__xludf.DUMMYFUNCTION("""COMPUTED_VALUE"""),"")</f>
        <v/>
      </c>
      <c r="S1065" t="str">
        <f ca="1">IFERROR(__xludf.DUMMYFUNCTION("""COMPUTED_VALUE"""),"")</f>
        <v/>
      </c>
      <c r="T1065" t="str">
        <f ca="1">IFERROR(__xludf.DUMMYFUNCTION("""COMPUTED_VALUE"""),"")</f>
        <v/>
      </c>
      <c r="U1065" t="str">
        <f ca="1">IFERROR(__xludf.DUMMYFUNCTION("""COMPUTED_VALUE"""),"")</f>
        <v/>
      </c>
      <c r="V1065" t="str">
        <f ca="1">IFERROR(__xludf.DUMMYFUNCTION("""COMPUTED_VALUE"""),"")</f>
        <v/>
      </c>
      <c r="W1065" t="str">
        <f ca="1">IFERROR(__xludf.DUMMYFUNCTION("""COMPUTED_VALUE"""),"")</f>
        <v/>
      </c>
      <c r="X1065" t="str">
        <f ca="1">IFERROR(__xludf.DUMMYFUNCTION("""COMPUTED_VALUE"""),"")</f>
        <v/>
      </c>
      <c r="Y1065" t="str">
        <f ca="1">IFERROR(__xludf.DUMMYFUNCTION("""COMPUTED_VALUE"""),"")</f>
        <v/>
      </c>
      <c r="Z1065" t="str">
        <f ca="1">IFERROR(__xludf.DUMMYFUNCTION("""COMPUTED_VALUE"""),"")</f>
        <v/>
      </c>
      <c r="AA1065" t="str">
        <f ca="1">IFERROR(__xludf.DUMMYFUNCTION("""COMPUTED_VALUE"""),"Pas de commande")</f>
        <v>Pas de commande</v>
      </c>
      <c r="AB1065" s="8" t="str">
        <f ca="1">IFERROR(__xludf.DUMMYFUNCTION("""COMPUTED_VALUE"""),"")</f>
        <v/>
      </c>
      <c r="AC1065" s="8" t="str">
        <f ca="1">IFERROR(__xludf.DUMMYFUNCTION("""COMPUTED_VALUE"""),"")</f>
        <v/>
      </c>
      <c r="AD1065" s="11" t="str">
        <f ca="1">IFERROR(__xludf.DUMMYFUNCTION("""COMPUTED_VALUE"""),"")</f>
        <v/>
      </c>
      <c r="AE1065" t="str">
        <f ca="1">IFERROR(__xludf.DUMMYFUNCTION("""COMPUTED_VALUE"""),"")</f>
        <v/>
      </c>
    </row>
    <row r="1066" spans="1:31" ht="12.75" x14ac:dyDescent="0.2">
      <c r="A1066">
        <f ca="1">IFERROR(__xludf.DUMMYFUNCTION("""COMPUTED_VALUE"""),60001)</f>
        <v>60001</v>
      </c>
      <c r="B1066" t="str">
        <f ca="1">IFERROR(__xludf.DUMMYFUNCTION("""COMPUTED_VALUE"""),"TRUCHTERSHEIM")</f>
        <v>TRUCHTERSHEIM</v>
      </c>
      <c r="C1066" t="str">
        <f ca="1">IFERROR(__xludf.DUMMYFUNCTION("""COMPUTED_VALUE"""),"Super U")</f>
        <v>Super U</v>
      </c>
      <c r="D1066" t="str">
        <f ca="1">IFERROR(__xludf.DUMMYFUNCTION("""COMPUTED_VALUE"""),"Coop U Enseigne Est")</f>
        <v>Coop U Enseigne Est</v>
      </c>
      <c r="E1066">
        <f ca="1">IFERROR(__xludf.DUMMYFUNCTION("""COMPUTED_VALUE"""),67370)</f>
        <v>67370</v>
      </c>
      <c r="F1066" t="str">
        <f ca="1">IFERROR(__xludf.DUMMYFUNCTION("""COMPUTED_VALUE"""),"29 RUE DE LA GARE")</f>
        <v>29 RUE DE LA GARE</v>
      </c>
      <c r="G1066" t="str">
        <f ca="1">IFERROR(__xludf.DUMMYFUNCTION("""COMPUTED_VALUE"""),"03.88.59.69.29")</f>
        <v>03.88.59.69.29</v>
      </c>
      <c r="H1066" t="str">
        <f ca="1">IFERROR(__xludf.DUMMYFUNCTION("""COMPUTED_VALUE"""),"NOPPER Jean-Luc")</f>
        <v>NOPPER Jean-Luc</v>
      </c>
      <c r="I1066" t="str">
        <f ca="1">IFERROR(__xludf.DUMMYFUNCTION("""COMPUTED_VALUE"""),"jean-luc.nopper@systeme-u.fr")</f>
        <v>jean-luc.nopper@systeme-u.fr</v>
      </c>
      <c r="J1066" t="str">
        <f ca="1">IFERROR(__xludf.DUMMYFUNCTION("""COMPUTED_VALUE"""),"SCHNEIDER Josiane (comptable)
Jean-Michel ZERMANN (directeur)")</f>
        <v>SCHNEIDER Josiane (comptable)
Jean-Michel ZERMANN (directeur)</v>
      </c>
      <c r="K1066" t="str">
        <f ca="1">IFERROR(__xludf.DUMMYFUNCTION("""COMPUTED_VALUE"""),"josiane.schneider@systeme-u.fr, jean-michel.zermann@systeme-u.fr")</f>
        <v>josiane.schneider@systeme-u.fr, jean-michel.zermann@systeme-u.fr</v>
      </c>
      <c r="L1066" t="str">
        <f ca="1">IFERROR(__xludf.DUMMYFUNCTION("""COMPUTED_VALUE"""),"")</f>
        <v/>
      </c>
      <c r="M1066" t="str">
        <f ca="1">IFERROR(__xludf.DUMMYFUNCTION("""COMPUTED_VALUE"""),"99.Hors Périmetre")</f>
        <v>99.Hors Périmetre</v>
      </c>
      <c r="N1066" t="str">
        <f ca="1">IFERROR(__xludf.DUMMYFUNCTION("""COMPUTED_VALUE"""),"")</f>
        <v/>
      </c>
      <c r="O1066" t="str">
        <f ca="1">IFERROR(__xludf.DUMMYFUNCTION("""COMPUTED_VALUE"""),"")</f>
        <v/>
      </c>
      <c r="P1066" t="str">
        <f ca="1">IFERROR(__xludf.DUMMYFUNCTION("""COMPUTED_VALUE"""),"")</f>
        <v/>
      </c>
      <c r="Q1066" s="5" t="str">
        <f ca="1">IFERROR(__xludf.DUMMYFUNCTION("""COMPUTED_VALUE"""),"")</f>
        <v/>
      </c>
      <c r="R1066" s="6" t="str">
        <f ca="1">IFERROR(__xludf.DUMMYFUNCTION("""COMPUTED_VALUE"""),"")</f>
        <v/>
      </c>
      <c r="S1066" t="str">
        <f ca="1">IFERROR(__xludf.DUMMYFUNCTION("""COMPUTED_VALUE"""),"")</f>
        <v/>
      </c>
      <c r="T1066" t="str">
        <f ca="1">IFERROR(__xludf.DUMMYFUNCTION("""COMPUTED_VALUE"""),"")</f>
        <v/>
      </c>
      <c r="U1066" t="str">
        <f ca="1">IFERROR(__xludf.DUMMYFUNCTION("""COMPUTED_VALUE"""),"")</f>
        <v/>
      </c>
      <c r="V1066" t="str">
        <f ca="1">IFERROR(__xludf.DUMMYFUNCTION("""COMPUTED_VALUE"""),"")</f>
        <v/>
      </c>
      <c r="W1066" t="str">
        <f ca="1">IFERROR(__xludf.DUMMYFUNCTION("""COMPUTED_VALUE"""),"")</f>
        <v/>
      </c>
      <c r="X1066" t="str">
        <f ca="1">IFERROR(__xludf.DUMMYFUNCTION("""COMPUTED_VALUE"""),"")</f>
        <v/>
      </c>
      <c r="Y1066" t="str">
        <f ca="1">IFERROR(__xludf.DUMMYFUNCTION("""COMPUTED_VALUE"""),"")</f>
        <v/>
      </c>
      <c r="Z1066" t="str">
        <f ca="1">IFERROR(__xludf.DUMMYFUNCTION("""COMPUTED_VALUE"""),"")</f>
        <v/>
      </c>
      <c r="AA1066" t="str">
        <f ca="1">IFERROR(__xludf.DUMMYFUNCTION("""COMPUTED_VALUE"""),"Pas de commande")</f>
        <v>Pas de commande</v>
      </c>
      <c r="AB1066" s="8" t="str">
        <f ca="1">IFERROR(__xludf.DUMMYFUNCTION("""COMPUTED_VALUE"""),"")</f>
        <v/>
      </c>
      <c r="AC1066" s="8" t="str">
        <f ca="1">IFERROR(__xludf.DUMMYFUNCTION("""COMPUTED_VALUE"""),"")</f>
        <v/>
      </c>
      <c r="AD1066" s="11" t="str">
        <f ca="1">IFERROR(__xludf.DUMMYFUNCTION("""COMPUTED_VALUE"""),"")</f>
        <v/>
      </c>
      <c r="AE1066" t="str">
        <f ca="1">IFERROR(__xludf.DUMMYFUNCTION("""COMPUTED_VALUE"""),"")</f>
        <v/>
      </c>
    </row>
    <row r="1067" spans="1:31" ht="12.75" x14ac:dyDescent="0.2">
      <c r="A1067">
        <f ca="1">IFERROR(__xludf.DUMMYFUNCTION("""COMPUTED_VALUE"""),91081)</f>
        <v>91081</v>
      </c>
      <c r="B1067" t="str">
        <f ca="1">IFERROR(__xludf.DUMMYFUNCTION("""COMPUTED_VALUE"""),"TULETTE")</f>
        <v>TULETTE</v>
      </c>
      <c r="C1067" t="str">
        <f ca="1">IFERROR(__xludf.DUMMYFUNCTION("""COMPUTED_VALUE"""),"U Express")</f>
        <v>U Express</v>
      </c>
      <c r="D1067" t="str">
        <f ca="1">IFERROR(__xludf.DUMMYFUNCTION("""COMPUTED_VALUE"""),"Coop MISTRAL")</f>
        <v>Coop MISTRAL</v>
      </c>
      <c r="E1067">
        <f ca="1">IFERROR(__xludf.DUMMYFUNCTION("""COMPUTED_VALUE"""),26790)</f>
        <v>26790</v>
      </c>
      <c r="F1067" t="str">
        <f ca="1">IFERROR(__xludf.DUMMYFUNCTION("""COMPUTED_VALUE"""),"ROUTE DE NYONS")</f>
        <v>ROUTE DE NYONS</v>
      </c>
      <c r="G1067" t="str">
        <f ca="1">IFERROR(__xludf.DUMMYFUNCTION("""COMPUTED_VALUE"""),"04.75.98.54.03")</f>
        <v>04.75.98.54.03</v>
      </c>
      <c r="H1067" t="str">
        <f ca="1">IFERROR(__xludf.DUMMYFUNCTION("""COMPUTED_VALUE"""),"VERRIER Yohan")</f>
        <v>VERRIER Yohan</v>
      </c>
      <c r="I1067" t="str">
        <f ca="1">IFERROR(__xludf.DUMMYFUNCTION("""COMPUTED_VALUE"""),"")</f>
        <v/>
      </c>
      <c r="J1067" t="str">
        <f ca="1">IFERROR(__xludf.DUMMYFUNCTION("""COMPUTED_VALUE"""),"Mme BOYER")</f>
        <v>Mme BOYER</v>
      </c>
      <c r="K1067" t="str">
        <f ca="1">IFERROR(__xludf.DUMMYFUNCTION("""COMPUTED_VALUE"""),"uexpress.tulette@mistral-u.fr, delphine.damian@lemistral.fr, helene.mina@lemistral.fr")</f>
        <v>uexpress.tulette@mistral-u.fr, delphine.damian@lemistral.fr, helene.mina@lemistral.fr</v>
      </c>
      <c r="L1067" t="str">
        <f ca="1">IFERROR(__xludf.DUMMYFUNCTION("""COMPUTED_VALUE"""),"")</f>
        <v/>
      </c>
      <c r="M1067" t="str">
        <f ca="1">IFERROR(__xludf.DUMMYFUNCTION("""COMPUTED_VALUE"""),"99.Hors Périmetre")</f>
        <v>99.Hors Périmetre</v>
      </c>
      <c r="N1067" t="str">
        <f ca="1">IFERROR(__xludf.DUMMYFUNCTION("""COMPUTED_VALUE"""),"")</f>
        <v/>
      </c>
      <c r="O1067" t="str">
        <f ca="1">IFERROR(__xludf.DUMMYFUNCTION("""COMPUTED_VALUE"""),"")</f>
        <v/>
      </c>
      <c r="P1067" t="str">
        <f ca="1">IFERROR(__xludf.DUMMYFUNCTION("""COMPUTED_VALUE"""),"")</f>
        <v/>
      </c>
      <c r="Q1067" s="5" t="str">
        <f ca="1">IFERROR(__xludf.DUMMYFUNCTION("""COMPUTED_VALUE"""),"")</f>
        <v/>
      </c>
      <c r="R1067" s="6" t="str">
        <f ca="1">IFERROR(__xludf.DUMMYFUNCTION("""COMPUTED_VALUE"""),"")</f>
        <v/>
      </c>
      <c r="S1067" t="str">
        <f ca="1">IFERROR(__xludf.DUMMYFUNCTION("""COMPUTED_VALUE"""),"")</f>
        <v/>
      </c>
      <c r="T1067" t="str">
        <f ca="1">IFERROR(__xludf.DUMMYFUNCTION("""COMPUTED_VALUE"""),"")</f>
        <v/>
      </c>
      <c r="U1067" t="str">
        <f ca="1">IFERROR(__xludf.DUMMYFUNCTION("""COMPUTED_VALUE"""),"")</f>
        <v/>
      </c>
      <c r="V1067" t="str">
        <f ca="1">IFERROR(__xludf.DUMMYFUNCTION("""COMPUTED_VALUE"""),"")</f>
        <v/>
      </c>
      <c r="W1067" t="str">
        <f ca="1">IFERROR(__xludf.DUMMYFUNCTION("""COMPUTED_VALUE"""),"")</f>
        <v/>
      </c>
      <c r="X1067" t="str">
        <f ca="1">IFERROR(__xludf.DUMMYFUNCTION("""COMPUTED_VALUE"""),"")</f>
        <v/>
      </c>
      <c r="Y1067" t="str">
        <f ca="1">IFERROR(__xludf.DUMMYFUNCTION("""COMPUTED_VALUE"""),"")</f>
        <v/>
      </c>
      <c r="Z1067" t="str">
        <f ca="1">IFERROR(__xludf.DUMMYFUNCTION("""COMPUTED_VALUE"""),"")</f>
        <v/>
      </c>
      <c r="AA1067" t="str">
        <f ca="1">IFERROR(__xludf.DUMMYFUNCTION("""COMPUTED_VALUE"""),"Pas de commande")</f>
        <v>Pas de commande</v>
      </c>
      <c r="AB1067" s="8" t="str">
        <f ca="1">IFERROR(__xludf.DUMMYFUNCTION("""COMPUTED_VALUE"""),"")</f>
        <v/>
      </c>
      <c r="AC1067" s="8" t="str">
        <f ca="1">IFERROR(__xludf.DUMMYFUNCTION("""COMPUTED_VALUE"""),"")</f>
        <v/>
      </c>
      <c r="AD1067" s="11" t="str">
        <f ca="1">IFERROR(__xludf.DUMMYFUNCTION("""COMPUTED_VALUE"""),"")</f>
        <v/>
      </c>
      <c r="AE1067" t="str">
        <f ca="1">IFERROR(__xludf.DUMMYFUNCTION("""COMPUTED_VALUE"""),"")</f>
        <v/>
      </c>
    </row>
    <row r="1068" spans="1:31" ht="12.75" x14ac:dyDescent="0.2">
      <c r="A1068">
        <f ca="1">IFERROR(__xludf.DUMMYFUNCTION("""COMPUTED_VALUE"""),90665)</f>
        <v>90665</v>
      </c>
      <c r="B1068" t="str">
        <f ca="1">IFERROR(__xludf.DUMMYFUNCTION("""COMPUTED_VALUE"""),"UPIE")</f>
        <v>UPIE</v>
      </c>
      <c r="C1068" t="str">
        <f ca="1">IFERROR(__xludf.DUMMYFUNCTION("""COMPUTED_VALUE"""),"U Express")</f>
        <v>U Express</v>
      </c>
      <c r="D1068" t="str">
        <f ca="1">IFERROR(__xludf.DUMMYFUNCTION("""COMPUTED_VALUE"""),"Coop MISTRAL")</f>
        <v>Coop MISTRAL</v>
      </c>
      <c r="E1068">
        <f ca="1">IFERROR(__xludf.DUMMYFUNCTION("""COMPUTED_VALUE"""),26120)</f>
        <v>26120</v>
      </c>
      <c r="F1068" t="str">
        <f ca="1">IFERROR(__xludf.DUMMYFUNCTION("""COMPUTED_VALUE"""),"PARC LES CLOS")</f>
        <v>PARC LES CLOS</v>
      </c>
      <c r="G1068" t="str">
        <f ca="1">IFERROR(__xludf.DUMMYFUNCTION("""COMPUTED_VALUE"""),"04.75.57.53.32")</f>
        <v>04.75.57.53.32</v>
      </c>
      <c r="H1068" t="str">
        <f ca="1">IFERROR(__xludf.DUMMYFUNCTION("""COMPUTED_VALUE"""),"SANGLARD Pascal")</f>
        <v>SANGLARD Pascal</v>
      </c>
      <c r="I1068" t="str">
        <f ca="1">IFERROR(__xludf.DUMMYFUNCTION("""COMPUTED_VALUE"""),"")</f>
        <v/>
      </c>
      <c r="J1068" t="str">
        <f ca="1">IFERROR(__xludf.DUMMYFUNCTION("""COMPUTED_VALUE"""),"")</f>
        <v/>
      </c>
      <c r="K1068" t="str">
        <f ca="1">IFERROR(__xludf.DUMMYFUNCTION("""COMPUTED_VALUE"""),"delphine.damian@lemistral.fr,helene.mina@lemistral.fr")</f>
        <v>delphine.damian@lemistral.fr,helene.mina@lemistral.fr</v>
      </c>
      <c r="L1068" t="str">
        <f ca="1">IFERROR(__xludf.DUMMYFUNCTION("""COMPUTED_VALUE"""),"")</f>
        <v/>
      </c>
      <c r="M1068" t="str">
        <f ca="1">IFERROR(__xludf.DUMMYFUNCTION("""COMPUTED_VALUE"""),"99.Hors Périmetre")</f>
        <v>99.Hors Périmetre</v>
      </c>
      <c r="N1068" t="str">
        <f ca="1">IFERROR(__xludf.DUMMYFUNCTION("""COMPUTED_VALUE"""),"")</f>
        <v/>
      </c>
      <c r="O1068" t="str">
        <f ca="1">IFERROR(__xludf.DUMMYFUNCTION("""COMPUTED_VALUE"""),"")</f>
        <v/>
      </c>
      <c r="P1068" t="str">
        <f ca="1">IFERROR(__xludf.DUMMYFUNCTION("""COMPUTED_VALUE"""),"")</f>
        <v/>
      </c>
      <c r="Q1068" s="5" t="str">
        <f ca="1">IFERROR(__xludf.DUMMYFUNCTION("""COMPUTED_VALUE"""),"")</f>
        <v/>
      </c>
      <c r="R1068" s="6" t="str">
        <f ca="1">IFERROR(__xludf.DUMMYFUNCTION("""COMPUTED_VALUE"""),"")</f>
        <v/>
      </c>
      <c r="S1068" t="str">
        <f ca="1">IFERROR(__xludf.DUMMYFUNCTION("""COMPUTED_VALUE"""),"")</f>
        <v/>
      </c>
      <c r="T1068" t="str">
        <f ca="1">IFERROR(__xludf.DUMMYFUNCTION("""COMPUTED_VALUE"""),"")</f>
        <v/>
      </c>
      <c r="U1068" t="str">
        <f ca="1">IFERROR(__xludf.DUMMYFUNCTION("""COMPUTED_VALUE"""),"")</f>
        <v/>
      </c>
      <c r="V1068" t="str">
        <f ca="1">IFERROR(__xludf.DUMMYFUNCTION("""COMPUTED_VALUE"""),"")</f>
        <v/>
      </c>
      <c r="W1068" t="str">
        <f ca="1">IFERROR(__xludf.DUMMYFUNCTION("""COMPUTED_VALUE"""),"")</f>
        <v/>
      </c>
      <c r="X1068" t="str">
        <f ca="1">IFERROR(__xludf.DUMMYFUNCTION("""COMPUTED_VALUE"""),"")</f>
        <v/>
      </c>
      <c r="Y1068" t="str">
        <f ca="1">IFERROR(__xludf.DUMMYFUNCTION("""COMPUTED_VALUE"""),"")</f>
        <v/>
      </c>
      <c r="Z1068" t="str">
        <f ca="1">IFERROR(__xludf.DUMMYFUNCTION("""COMPUTED_VALUE"""),"")</f>
        <v/>
      </c>
      <c r="AA1068" t="str">
        <f ca="1">IFERROR(__xludf.DUMMYFUNCTION("""COMPUTED_VALUE"""),"Pas de commande")</f>
        <v>Pas de commande</v>
      </c>
      <c r="AB1068" s="8" t="str">
        <f ca="1">IFERROR(__xludf.DUMMYFUNCTION("""COMPUTED_VALUE"""),"")</f>
        <v/>
      </c>
      <c r="AC1068" s="8" t="str">
        <f ca="1">IFERROR(__xludf.DUMMYFUNCTION("""COMPUTED_VALUE"""),"")</f>
        <v/>
      </c>
      <c r="AD1068" s="11" t="str">
        <f ca="1">IFERROR(__xludf.DUMMYFUNCTION("""COMPUTED_VALUE"""),"")</f>
        <v/>
      </c>
      <c r="AE1068" t="str">
        <f ca="1">IFERROR(__xludf.DUMMYFUNCTION("""COMPUTED_VALUE"""),"")</f>
        <v/>
      </c>
    </row>
    <row r="1069" spans="1:31" ht="12.75" x14ac:dyDescent="0.2">
      <c r="A1069">
        <f ca="1">IFERROR(__xludf.DUMMYFUNCTION("""COMPUTED_VALUE"""),95262)</f>
        <v>95262</v>
      </c>
      <c r="B1069" t="str">
        <f ca="1">IFERROR(__xludf.DUMMYFUNCTION("""COMPUTED_VALUE"""),"USTARITZ")</f>
        <v>USTARITZ</v>
      </c>
      <c r="C1069" t="str">
        <f ca="1">IFERROR(__xludf.DUMMYFUNCTION("""COMPUTED_VALUE"""),"Super U")</f>
        <v>Super U</v>
      </c>
      <c r="D1069" t="str">
        <f ca="1">IFERROR(__xludf.DUMMYFUNCTION("""COMPUTED_VALUE"""),"Coop U Enseigne Sud")</f>
        <v>Coop U Enseigne Sud</v>
      </c>
      <c r="E1069">
        <f ca="1">IFERROR(__xludf.DUMMYFUNCTION("""COMPUTED_VALUE"""),64480)</f>
        <v>64480</v>
      </c>
      <c r="F1069" t="str">
        <f ca="1">IFERROR(__xludf.DUMMYFUNCTION("""COMPUTED_VALUE"""),"ROUTE DE BAYONNE CD 932")</f>
        <v>ROUTE DE BAYONNE CD 932</v>
      </c>
      <c r="G1069" t="str">
        <f ca="1">IFERROR(__xludf.DUMMYFUNCTION("""COMPUTED_VALUE"""),"05.59.93.15.30")</f>
        <v>05.59.93.15.30</v>
      </c>
      <c r="H1069" t="str">
        <f ca="1">IFERROR(__xludf.DUMMYFUNCTION("""COMPUTED_VALUE"""),"ELISSONDO Sandrine")</f>
        <v>ELISSONDO Sandrine</v>
      </c>
      <c r="I1069" t="str">
        <f ca="1">IFERROR(__xludf.DUMMYFUNCTION("""COMPUTED_VALUE"""),"sandrine.elissondo@systeme-u.fr")</f>
        <v>sandrine.elissondo@systeme-u.fr</v>
      </c>
      <c r="J1069" t="str">
        <f ca="1">IFERROR(__xludf.DUMMYFUNCTION("""COMPUTED_VALUE"""),"")</f>
        <v/>
      </c>
      <c r="K1069" t="str">
        <f ca="1">IFERROR(__xludf.DUMMYFUNCTION("""COMPUTED_VALUE"""),"")</f>
        <v/>
      </c>
      <c r="L1069" t="str">
        <f ca="1">IFERROR(__xludf.DUMMYFUNCTION("""COMPUTED_VALUE"""),"")</f>
        <v/>
      </c>
      <c r="M1069" t="str">
        <f ca="1">IFERROR(__xludf.DUMMYFUNCTION("""COMPUTED_VALUE"""),"99.Hors Périmetre")</f>
        <v>99.Hors Périmetre</v>
      </c>
      <c r="N1069" t="str">
        <f ca="1">IFERROR(__xludf.DUMMYFUNCTION("""COMPUTED_VALUE"""),"")</f>
        <v/>
      </c>
      <c r="O1069" t="str">
        <f ca="1">IFERROR(__xludf.DUMMYFUNCTION("""COMPUTED_VALUE"""),"")</f>
        <v/>
      </c>
      <c r="P1069" t="str">
        <f ca="1">IFERROR(__xludf.DUMMYFUNCTION("""COMPUTED_VALUE"""),"")</f>
        <v/>
      </c>
      <c r="Q1069" s="5" t="str">
        <f ca="1">IFERROR(__xludf.DUMMYFUNCTION("""COMPUTED_VALUE"""),"")</f>
        <v/>
      </c>
      <c r="R1069" s="6" t="str">
        <f ca="1">IFERROR(__xludf.DUMMYFUNCTION("""COMPUTED_VALUE"""),"")</f>
        <v/>
      </c>
      <c r="S1069" t="str">
        <f ca="1">IFERROR(__xludf.DUMMYFUNCTION("""COMPUTED_VALUE"""),"")</f>
        <v/>
      </c>
      <c r="T1069" t="str">
        <f ca="1">IFERROR(__xludf.DUMMYFUNCTION("""COMPUTED_VALUE"""),"")</f>
        <v/>
      </c>
      <c r="U1069" t="str">
        <f ca="1">IFERROR(__xludf.DUMMYFUNCTION("""COMPUTED_VALUE"""),"")</f>
        <v/>
      </c>
      <c r="V1069" t="str">
        <f ca="1">IFERROR(__xludf.DUMMYFUNCTION("""COMPUTED_VALUE"""),"")</f>
        <v/>
      </c>
      <c r="W1069" t="str">
        <f ca="1">IFERROR(__xludf.DUMMYFUNCTION("""COMPUTED_VALUE"""),"")</f>
        <v/>
      </c>
      <c r="X1069" t="str">
        <f ca="1">IFERROR(__xludf.DUMMYFUNCTION("""COMPUTED_VALUE"""),"")</f>
        <v/>
      </c>
      <c r="Y1069" t="str">
        <f ca="1">IFERROR(__xludf.DUMMYFUNCTION("""COMPUTED_VALUE"""),"")</f>
        <v/>
      </c>
      <c r="Z1069" t="str">
        <f ca="1">IFERROR(__xludf.DUMMYFUNCTION("""COMPUTED_VALUE"""),"")</f>
        <v/>
      </c>
      <c r="AA1069" t="str">
        <f ca="1">IFERROR(__xludf.DUMMYFUNCTION("""COMPUTED_VALUE"""),"Pas de commande")</f>
        <v>Pas de commande</v>
      </c>
      <c r="AB1069" s="8" t="str">
        <f ca="1">IFERROR(__xludf.DUMMYFUNCTION("""COMPUTED_VALUE"""),"")</f>
        <v/>
      </c>
      <c r="AC1069" s="8" t="str">
        <f ca="1">IFERROR(__xludf.DUMMYFUNCTION("""COMPUTED_VALUE"""),"")</f>
        <v/>
      </c>
      <c r="AD1069" s="11" t="str">
        <f ca="1">IFERROR(__xludf.DUMMYFUNCTION("""COMPUTED_VALUE"""),"")</f>
        <v/>
      </c>
      <c r="AE1069" t="str">
        <f ca="1">IFERROR(__xludf.DUMMYFUNCTION("""COMPUTED_VALUE"""),"")</f>
        <v/>
      </c>
    </row>
    <row r="1070" spans="1:31" ht="12.75" x14ac:dyDescent="0.2">
      <c r="A1070">
        <f ca="1">IFERROR(__xludf.DUMMYFUNCTION("""COMPUTED_VALUE"""),95134)</f>
        <v>95134</v>
      </c>
      <c r="B1070" t="str">
        <f ca="1">IFERROR(__xludf.DUMMYFUNCTION("""COMPUTED_VALUE"""),"UZERCHE")</f>
        <v>UZERCHE</v>
      </c>
      <c r="C1070" t="str">
        <f ca="1">IFERROR(__xludf.DUMMYFUNCTION("""COMPUTED_VALUE"""),"Super U")</f>
        <v>Super U</v>
      </c>
      <c r="D1070" t="str">
        <f ca="1">IFERROR(__xludf.DUMMYFUNCTION("""COMPUTED_VALUE"""),"Coop U Enseigne Sud")</f>
        <v>Coop U Enseigne Sud</v>
      </c>
      <c r="E1070">
        <f ca="1">IFERROR(__xludf.DUMMYFUNCTION("""COMPUTED_VALUE"""),19140)</f>
        <v>19140</v>
      </c>
      <c r="F1070" t="str">
        <f ca="1">IFERROR(__xludf.DUMMYFUNCTION("""COMPUTED_VALUE"""),"LA JONCASSE RTE DE LIMOGES")</f>
        <v>LA JONCASSE RTE DE LIMOGES</v>
      </c>
      <c r="G1070" t="str">
        <f ca="1">IFERROR(__xludf.DUMMYFUNCTION("""COMPUTED_VALUE"""),"05.55.98.80.80")</f>
        <v>05.55.98.80.80</v>
      </c>
      <c r="H1070" t="str">
        <f ca="1">IFERROR(__xludf.DUMMYFUNCTION("""COMPUTED_VALUE"""),"TARDIEU Yann")</f>
        <v>TARDIEU Yann</v>
      </c>
      <c r="I1070" t="str">
        <f ca="1">IFERROR(__xludf.DUMMYFUNCTION("""COMPUTED_VALUE"""),"yann.tardieu@systeme-u.fr")</f>
        <v>yann.tardieu@systeme-u.fr</v>
      </c>
      <c r="J1070" t="str">
        <f ca="1">IFERROR(__xludf.DUMMYFUNCTION("""COMPUTED_VALUE"""),"M. BORDES")</f>
        <v>M. BORDES</v>
      </c>
      <c r="K1070" t="str">
        <f ca="1">IFERROR(__xludf.DUMMYFUNCTION("""COMPUTED_VALUE"""),"superu.uzerche.compta@systeme-u.fr")</f>
        <v>superu.uzerche.compta@systeme-u.fr</v>
      </c>
      <c r="L1070" t="str">
        <f ca="1">IFERROR(__xludf.DUMMYFUNCTION("""COMPUTED_VALUE"""),"")</f>
        <v/>
      </c>
      <c r="M1070" t="str">
        <f ca="1">IFERROR(__xludf.DUMMYFUNCTION("""COMPUTED_VALUE"""),"99.Hors Périmetre")</f>
        <v>99.Hors Périmetre</v>
      </c>
      <c r="N1070" t="str">
        <f ca="1">IFERROR(__xludf.DUMMYFUNCTION("""COMPUTED_VALUE"""),"")</f>
        <v/>
      </c>
      <c r="O1070" t="str">
        <f ca="1">IFERROR(__xludf.DUMMYFUNCTION("""COMPUTED_VALUE"""),"")</f>
        <v/>
      </c>
      <c r="P1070" t="str">
        <f ca="1">IFERROR(__xludf.DUMMYFUNCTION("""COMPUTED_VALUE"""),"")</f>
        <v/>
      </c>
      <c r="Q1070" s="5" t="str">
        <f ca="1">IFERROR(__xludf.DUMMYFUNCTION("""COMPUTED_VALUE"""),"")</f>
        <v/>
      </c>
      <c r="R1070" s="6" t="str">
        <f ca="1">IFERROR(__xludf.DUMMYFUNCTION("""COMPUTED_VALUE"""),"")</f>
        <v/>
      </c>
      <c r="S1070" t="str">
        <f ca="1">IFERROR(__xludf.DUMMYFUNCTION("""COMPUTED_VALUE"""),"")</f>
        <v/>
      </c>
      <c r="T1070" t="str">
        <f ca="1">IFERROR(__xludf.DUMMYFUNCTION("""COMPUTED_VALUE"""),"")</f>
        <v/>
      </c>
      <c r="U1070" t="str">
        <f ca="1">IFERROR(__xludf.DUMMYFUNCTION("""COMPUTED_VALUE"""),"")</f>
        <v/>
      </c>
      <c r="V1070" t="str">
        <f ca="1">IFERROR(__xludf.DUMMYFUNCTION("""COMPUTED_VALUE"""),"")</f>
        <v/>
      </c>
      <c r="W1070" t="str">
        <f ca="1">IFERROR(__xludf.DUMMYFUNCTION("""COMPUTED_VALUE"""),"")</f>
        <v/>
      </c>
      <c r="X1070" t="str">
        <f ca="1">IFERROR(__xludf.DUMMYFUNCTION("""COMPUTED_VALUE"""),"")</f>
        <v/>
      </c>
      <c r="Y1070" t="str">
        <f ca="1">IFERROR(__xludf.DUMMYFUNCTION("""COMPUTED_VALUE"""),"")</f>
        <v/>
      </c>
      <c r="Z1070" t="str">
        <f ca="1">IFERROR(__xludf.DUMMYFUNCTION("""COMPUTED_VALUE"""),"")</f>
        <v/>
      </c>
      <c r="AA1070" t="str">
        <f ca="1">IFERROR(__xludf.DUMMYFUNCTION("""COMPUTED_VALUE"""),"Pas de commande")</f>
        <v>Pas de commande</v>
      </c>
      <c r="AB1070" s="8" t="str">
        <f ca="1">IFERROR(__xludf.DUMMYFUNCTION("""COMPUTED_VALUE"""),"")</f>
        <v/>
      </c>
      <c r="AC1070" s="8" t="str">
        <f ca="1">IFERROR(__xludf.DUMMYFUNCTION("""COMPUTED_VALUE"""),"")</f>
        <v/>
      </c>
      <c r="AD1070" s="11" t="str">
        <f ca="1">IFERROR(__xludf.DUMMYFUNCTION("""COMPUTED_VALUE"""),"")</f>
        <v/>
      </c>
      <c r="AE1070" t="str">
        <f ca="1">IFERROR(__xludf.DUMMYFUNCTION("""COMPUTED_VALUE"""),"")</f>
        <v/>
      </c>
    </row>
    <row r="1071" spans="1:31" ht="12.75" x14ac:dyDescent="0.2">
      <c r="A1071">
        <f ca="1">IFERROR(__xludf.DUMMYFUNCTION("""COMPUTED_VALUE"""),65089)</f>
        <v>65089</v>
      </c>
      <c r="B1071" t="str">
        <f ca="1">IFERROR(__xludf.DUMMYFUNCTION("""COMPUTED_VALUE"""),"VAGNEY")</f>
        <v>VAGNEY</v>
      </c>
      <c r="C1071" t="str">
        <f ca="1">IFERROR(__xludf.DUMMYFUNCTION("""COMPUTED_VALUE"""),"Super U")</f>
        <v>Super U</v>
      </c>
      <c r="D1071" t="str">
        <f ca="1">IFERROR(__xludf.DUMMYFUNCTION("""COMPUTED_VALUE"""),"Coop U Enseigne Est")</f>
        <v>Coop U Enseigne Est</v>
      </c>
      <c r="E1071">
        <f ca="1">IFERROR(__xludf.DUMMYFUNCTION("""COMPUTED_VALUE"""),88125)</f>
        <v>88125</v>
      </c>
      <c r="F1071" t="str">
        <f ca="1">IFERROR(__xludf.DUMMYFUNCTION("""COMPUTED_VALUE"""),"11B RUE DU GENERAL DE GAULLE")</f>
        <v>11B RUE DU GENERAL DE GAULLE</v>
      </c>
      <c r="G1071" t="str">
        <f ca="1">IFERROR(__xludf.DUMMYFUNCTION("""COMPUTED_VALUE"""),"03.29.24.85.90")</f>
        <v>03.29.24.85.90</v>
      </c>
      <c r="H1071" t="str">
        <f ca="1">IFERROR(__xludf.DUMMYFUNCTION("""COMPUTED_VALUE"""),"ZAUG Pascal")</f>
        <v>ZAUG Pascal</v>
      </c>
      <c r="I1071" t="str">
        <f ca="1">IFERROR(__xludf.DUMMYFUNCTION("""COMPUTED_VALUE"""),"claude.roussel@systeme-u.fr")</f>
        <v>claude.roussel@systeme-u.fr</v>
      </c>
      <c r="J1071" t="str">
        <f ca="1">IFERROR(__xludf.DUMMYFUNCTION("""COMPUTED_VALUE"""),"M. ROUSSEL")</f>
        <v>M. ROUSSEL</v>
      </c>
      <c r="K1071" t="str">
        <f ca="1">IFERROR(__xludf.DUMMYFUNCTION("""COMPUTED_VALUE"""),"claude.roussel@systeme-u.fr, superu.vagney@systeme-u.fr")</f>
        <v>claude.roussel@systeme-u.fr, superu.vagney@systeme-u.fr</v>
      </c>
      <c r="L1071" t="str">
        <f ca="1">IFERROR(__xludf.DUMMYFUNCTION("""COMPUTED_VALUE"""),"")</f>
        <v/>
      </c>
      <c r="M1071" t="str">
        <f ca="1">IFERROR(__xludf.DUMMYFUNCTION("""COMPUTED_VALUE"""),"99.Hors Périmetre")</f>
        <v>99.Hors Périmetre</v>
      </c>
      <c r="N1071" t="str">
        <f ca="1">IFERROR(__xludf.DUMMYFUNCTION("""COMPUTED_VALUE"""),"")</f>
        <v/>
      </c>
      <c r="O1071" t="str">
        <f ca="1">IFERROR(__xludf.DUMMYFUNCTION("""COMPUTED_VALUE"""),"")</f>
        <v/>
      </c>
      <c r="P1071" t="str">
        <f ca="1">IFERROR(__xludf.DUMMYFUNCTION("""COMPUTED_VALUE"""),"")</f>
        <v/>
      </c>
      <c r="Q1071" s="5" t="str">
        <f ca="1">IFERROR(__xludf.DUMMYFUNCTION("""COMPUTED_VALUE"""),"")</f>
        <v/>
      </c>
      <c r="R1071" s="6" t="str">
        <f ca="1">IFERROR(__xludf.DUMMYFUNCTION("""COMPUTED_VALUE"""),"")</f>
        <v/>
      </c>
      <c r="S1071" t="str">
        <f ca="1">IFERROR(__xludf.DUMMYFUNCTION("""COMPUTED_VALUE"""),"")</f>
        <v/>
      </c>
      <c r="T1071" t="str">
        <f ca="1">IFERROR(__xludf.DUMMYFUNCTION("""COMPUTED_VALUE"""),"")</f>
        <v/>
      </c>
      <c r="U1071" t="str">
        <f ca="1">IFERROR(__xludf.DUMMYFUNCTION("""COMPUTED_VALUE"""),"")</f>
        <v/>
      </c>
      <c r="V1071" t="str">
        <f ca="1">IFERROR(__xludf.DUMMYFUNCTION("""COMPUTED_VALUE"""),"")</f>
        <v/>
      </c>
      <c r="W1071" t="str">
        <f ca="1">IFERROR(__xludf.DUMMYFUNCTION("""COMPUTED_VALUE"""),"")</f>
        <v/>
      </c>
      <c r="X1071" t="str">
        <f ca="1">IFERROR(__xludf.DUMMYFUNCTION("""COMPUTED_VALUE"""),"")</f>
        <v/>
      </c>
      <c r="Y1071" t="str">
        <f ca="1">IFERROR(__xludf.DUMMYFUNCTION("""COMPUTED_VALUE"""),"")</f>
        <v/>
      </c>
      <c r="Z1071" t="str">
        <f ca="1">IFERROR(__xludf.DUMMYFUNCTION("""COMPUTED_VALUE"""),"")</f>
        <v/>
      </c>
      <c r="AA1071" t="str">
        <f ca="1">IFERROR(__xludf.DUMMYFUNCTION("""COMPUTED_VALUE"""),"Pas de commande")</f>
        <v>Pas de commande</v>
      </c>
      <c r="AB1071" s="8" t="str">
        <f ca="1">IFERROR(__xludf.DUMMYFUNCTION("""COMPUTED_VALUE"""),"")</f>
        <v/>
      </c>
      <c r="AC1071" s="8" t="str">
        <f ca="1">IFERROR(__xludf.DUMMYFUNCTION("""COMPUTED_VALUE"""),"")</f>
        <v/>
      </c>
      <c r="AD1071" s="11" t="str">
        <f ca="1">IFERROR(__xludf.DUMMYFUNCTION("""COMPUTED_VALUE"""),"")</f>
        <v/>
      </c>
      <c r="AE1071" t="str">
        <f ca="1">IFERROR(__xludf.DUMMYFUNCTION("""COMPUTED_VALUE"""),"")</f>
        <v/>
      </c>
    </row>
    <row r="1072" spans="1:31" ht="12.75" x14ac:dyDescent="0.2">
      <c r="A1072">
        <f ca="1">IFERROR(__xludf.DUMMYFUNCTION("""COMPUTED_VALUE"""),90252)</f>
        <v>90252</v>
      </c>
      <c r="B1072" t="str">
        <f ca="1">IFERROR(__xludf.DUMMYFUNCTION("""COMPUTED_VALUE"""),"VAISON LA ROMAINE")</f>
        <v>VAISON LA ROMAINE</v>
      </c>
      <c r="C1072" t="str">
        <f ca="1">IFERROR(__xludf.DUMMYFUNCTION("""COMPUTED_VALUE"""),"Super U")</f>
        <v>Super U</v>
      </c>
      <c r="D1072" t="str">
        <f ca="1">IFERROR(__xludf.DUMMYFUNCTION("""COMPUTED_VALUE"""),"Coop U Enseigne Sud")</f>
        <v>Coop U Enseigne Sud</v>
      </c>
      <c r="E1072">
        <f ca="1">IFERROR(__xludf.DUMMYFUNCTION("""COMPUTED_VALUE"""),84110)</f>
        <v>84110</v>
      </c>
      <c r="F1072" t="str">
        <f ca="1">IFERROR(__xludf.DUMMYFUNCTION("""COMPUTED_VALUE"""),"AVENUE MARCEL PAGNOL")</f>
        <v>AVENUE MARCEL PAGNOL</v>
      </c>
      <c r="G1072" t="str">
        <f ca="1">IFERROR(__xludf.DUMMYFUNCTION("""COMPUTED_VALUE"""),"04.90.10.06.00")</f>
        <v>04.90.10.06.00</v>
      </c>
      <c r="H1072" t="str">
        <f ca="1">IFERROR(__xludf.DUMMYFUNCTION("""COMPUTED_VALUE"""),"RENET Etienne")</f>
        <v>RENET Etienne</v>
      </c>
      <c r="I1072" t="str">
        <f ca="1">IFERROR(__xludf.DUMMYFUNCTION("""COMPUTED_VALUE"""),"etienne.renet@systeme-u.fr")</f>
        <v>etienne.renet@systeme-u.fr</v>
      </c>
      <c r="J1072" t="str">
        <f ca="1">IFERROR(__xludf.DUMMYFUNCTION("""COMPUTED_VALUE"""),"Mr Seyssiecq")</f>
        <v>Mr Seyssiecq</v>
      </c>
      <c r="K1072" t="str">
        <f ca="1">IFERROR(__xludf.DUMMYFUNCTION("""COMPUTED_VALUE"""),"superu.vaisonlaromaine.directeur@systeme-u.fr")</f>
        <v>superu.vaisonlaromaine.directeur@systeme-u.fr</v>
      </c>
      <c r="L1072" t="str">
        <f ca="1">IFERROR(__xludf.DUMMYFUNCTION("""COMPUTED_VALUE"""),"")</f>
        <v/>
      </c>
      <c r="M1072" t="str">
        <f ca="1">IFERROR(__xludf.DUMMYFUNCTION("""COMPUTED_VALUE"""),"99.Hors Périmetre")</f>
        <v>99.Hors Périmetre</v>
      </c>
      <c r="N1072" t="str">
        <f ca="1">IFERROR(__xludf.DUMMYFUNCTION("""COMPUTED_VALUE"""),"")</f>
        <v/>
      </c>
      <c r="O1072" t="str">
        <f ca="1">IFERROR(__xludf.DUMMYFUNCTION("""COMPUTED_VALUE"""),"")</f>
        <v/>
      </c>
      <c r="P1072" t="str">
        <f ca="1">IFERROR(__xludf.DUMMYFUNCTION("""COMPUTED_VALUE"""),"")</f>
        <v/>
      </c>
      <c r="Q1072" s="5" t="str">
        <f ca="1">IFERROR(__xludf.DUMMYFUNCTION("""COMPUTED_VALUE"""),"")</f>
        <v/>
      </c>
      <c r="R1072" s="6" t="str">
        <f ca="1">IFERROR(__xludf.DUMMYFUNCTION("""COMPUTED_VALUE"""),"")</f>
        <v/>
      </c>
      <c r="S1072" t="str">
        <f ca="1">IFERROR(__xludf.DUMMYFUNCTION("""COMPUTED_VALUE"""),"")</f>
        <v/>
      </c>
      <c r="T1072" t="str">
        <f ca="1">IFERROR(__xludf.DUMMYFUNCTION("""COMPUTED_VALUE"""),"")</f>
        <v/>
      </c>
      <c r="U1072" t="str">
        <f ca="1">IFERROR(__xludf.DUMMYFUNCTION("""COMPUTED_VALUE"""),"")</f>
        <v/>
      </c>
      <c r="V1072" t="str">
        <f ca="1">IFERROR(__xludf.DUMMYFUNCTION("""COMPUTED_VALUE"""),"")</f>
        <v/>
      </c>
      <c r="W1072" t="str">
        <f ca="1">IFERROR(__xludf.DUMMYFUNCTION("""COMPUTED_VALUE"""),"")</f>
        <v/>
      </c>
      <c r="X1072" t="str">
        <f ca="1">IFERROR(__xludf.DUMMYFUNCTION("""COMPUTED_VALUE"""),"")</f>
        <v/>
      </c>
      <c r="Y1072" t="str">
        <f ca="1">IFERROR(__xludf.DUMMYFUNCTION("""COMPUTED_VALUE"""),"")</f>
        <v/>
      </c>
      <c r="Z1072" t="str">
        <f ca="1">IFERROR(__xludf.DUMMYFUNCTION("""COMPUTED_VALUE"""),"")</f>
        <v/>
      </c>
      <c r="AA1072" t="str">
        <f ca="1">IFERROR(__xludf.DUMMYFUNCTION("""COMPUTED_VALUE"""),"Pas de commande")</f>
        <v>Pas de commande</v>
      </c>
      <c r="AB1072" s="8" t="str">
        <f ca="1">IFERROR(__xludf.DUMMYFUNCTION("""COMPUTED_VALUE"""),"")</f>
        <v/>
      </c>
      <c r="AC1072" s="8" t="str">
        <f ca="1">IFERROR(__xludf.DUMMYFUNCTION("""COMPUTED_VALUE"""),"")</f>
        <v/>
      </c>
      <c r="AD1072" s="11" t="str">
        <f ca="1">IFERROR(__xludf.DUMMYFUNCTION("""COMPUTED_VALUE"""),"")</f>
        <v/>
      </c>
      <c r="AE1072" t="str">
        <f ca="1">IFERROR(__xludf.DUMMYFUNCTION("""COMPUTED_VALUE"""),"")</f>
        <v/>
      </c>
    </row>
    <row r="1073" spans="1:31" ht="12.75" x14ac:dyDescent="0.2">
      <c r="A1073">
        <f ca="1">IFERROR(__xludf.DUMMYFUNCTION("""COMPUTED_VALUE"""),62108)</f>
        <v>62108</v>
      </c>
      <c r="B1073" t="str">
        <f ca="1">IFERROR(__xludf.DUMMYFUNCTION("""COMPUTED_VALUE"""),"VALDAHON")</f>
        <v>VALDAHON</v>
      </c>
      <c r="C1073" t="str">
        <f ca="1">IFERROR(__xludf.DUMMYFUNCTION("""COMPUTED_VALUE"""),"Super U")</f>
        <v>Super U</v>
      </c>
      <c r="D1073" t="str">
        <f ca="1">IFERROR(__xludf.DUMMYFUNCTION("""COMPUTED_VALUE"""),"Coop U Enseigne Est")</f>
        <v>Coop U Enseigne Est</v>
      </c>
      <c r="E1073">
        <f ca="1">IFERROR(__xludf.DUMMYFUNCTION("""COMPUTED_VALUE"""),25800)</f>
        <v>25800</v>
      </c>
      <c r="F1073" t="str">
        <f ca="1">IFERROR(__xludf.DUMMYFUNCTION("""COMPUTED_VALUE"""),"Rue du Maréchal De LATTRE")</f>
        <v>Rue du Maréchal De LATTRE</v>
      </c>
      <c r="G1073" t="str">
        <f ca="1">IFERROR(__xludf.DUMMYFUNCTION("""COMPUTED_VALUE"""),"03.81.56.42.22")</f>
        <v>03.81.56.42.22</v>
      </c>
      <c r="H1073" t="str">
        <f ca="1">IFERROR(__xludf.DUMMYFUNCTION("""COMPUTED_VALUE"""),"AUBERT Fabrice")</f>
        <v>AUBERT Fabrice</v>
      </c>
      <c r="I1073" t="str">
        <f ca="1">IFERROR(__xludf.DUMMYFUNCTION("""COMPUTED_VALUE"""),"fabrice.aubert@systeme-u.fr")</f>
        <v>fabrice.aubert@systeme-u.fr</v>
      </c>
      <c r="J1073" t="str">
        <f ca="1">IFERROR(__xludf.DUMMYFUNCTION("""COMPUTED_VALUE"""),"")</f>
        <v/>
      </c>
      <c r="K1073" t="str">
        <f ca="1">IFERROR(__xludf.DUMMYFUNCTION("""COMPUTED_VALUE"""),"")</f>
        <v/>
      </c>
      <c r="L1073" t="str">
        <f ca="1">IFERROR(__xludf.DUMMYFUNCTION("""COMPUTED_VALUE"""),"")</f>
        <v/>
      </c>
      <c r="M1073" t="str">
        <f ca="1">IFERROR(__xludf.DUMMYFUNCTION("""COMPUTED_VALUE"""),"99.Hors Périmetre")</f>
        <v>99.Hors Périmetre</v>
      </c>
      <c r="N1073" t="str">
        <f ca="1">IFERROR(__xludf.DUMMYFUNCTION("""COMPUTED_VALUE"""),"")</f>
        <v/>
      </c>
      <c r="O1073" t="str">
        <f ca="1">IFERROR(__xludf.DUMMYFUNCTION("""COMPUTED_VALUE"""),"")</f>
        <v/>
      </c>
      <c r="P1073" t="str">
        <f ca="1">IFERROR(__xludf.DUMMYFUNCTION("""COMPUTED_VALUE"""),"")</f>
        <v/>
      </c>
      <c r="Q1073" s="5" t="str">
        <f ca="1">IFERROR(__xludf.DUMMYFUNCTION("""COMPUTED_VALUE"""),"")</f>
        <v/>
      </c>
      <c r="R1073" s="6" t="str">
        <f ca="1">IFERROR(__xludf.DUMMYFUNCTION("""COMPUTED_VALUE"""),"")</f>
        <v/>
      </c>
      <c r="S1073" t="str">
        <f ca="1">IFERROR(__xludf.DUMMYFUNCTION("""COMPUTED_VALUE"""),"")</f>
        <v/>
      </c>
      <c r="T1073" t="str">
        <f ca="1">IFERROR(__xludf.DUMMYFUNCTION("""COMPUTED_VALUE"""),"")</f>
        <v/>
      </c>
      <c r="U1073" t="str">
        <f ca="1">IFERROR(__xludf.DUMMYFUNCTION("""COMPUTED_VALUE"""),"")</f>
        <v/>
      </c>
      <c r="V1073" t="str">
        <f ca="1">IFERROR(__xludf.DUMMYFUNCTION("""COMPUTED_VALUE"""),"")</f>
        <v/>
      </c>
      <c r="W1073" t="str">
        <f ca="1">IFERROR(__xludf.DUMMYFUNCTION("""COMPUTED_VALUE"""),"")</f>
        <v/>
      </c>
      <c r="X1073" t="str">
        <f ca="1">IFERROR(__xludf.DUMMYFUNCTION("""COMPUTED_VALUE"""),"")</f>
        <v/>
      </c>
      <c r="Y1073" t="str">
        <f ca="1">IFERROR(__xludf.DUMMYFUNCTION("""COMPUTED_VALUE"""),"")</f>
        <v/>
      </c>
      <c r="Z1073" t="str">
        <f ca="1">IFERROR(__xludf.DUMMYFUNCTION("""COMPUTED_VALUE"""),"")</f>
        <v/>
      </c>
      <c r="AA1073" t="str">
        <f ca="1">IFERROR(__xludf.DUMMYFUNCTION("""COMPUTED_VALUE"""),"Pas de commande")</f>
        <v>Pas de commande</v>
      </c>
      <c r="AB1073" s="8" t="str">
        <f ca="1">IFERROR(__xludf.DUMMYFUNCTION("""COMPUTED_VALUE"""),"")</f>
        <v/>
      </c>
      <c r="AC1073" s="8" t="str">
        <f ca="1">IFERROR(__xludf.DUMMYFUNCTION("""COMPUTED_VALUE"""),"")</f>
        <v/>
      </c>
      <c r="AD1073" s="11" t="str">
        <f ca="1">IFERROR(__xludf.DUMMYFUNCTION("""COMPUTED_VALUE"""),"")</f>
        <v/>
      </c>
      <c r="AE1073" t="str">
        <f ca="1">IFERROR(__xludf.DUMMYFUNCTION("""COMPUTED_VALUE"""),"")</f>
        <v/>
      </c>
    </row>
    <row r="1074" spans="1:31" ht="12.75" x14ac:dyDescent="0.2">
      <c r="A1074">
        <f ca="1">IFERROR(__xludf.DUMMYFUNCTION("""COMPUTED_VALUE"""),69150)</f>
        <v>69150</v>
      </c>
      <c r="B1074" t="str">
        <f ca="1">IFERROR(__xludf.DUMMYFUNCTION("""COMPUTED_VALUE"""),"VALDOIE")</f>
        <v>VALDOIE</v>
      </c>
      <c r="C1074" t="str">
        <f ca="1">IFERROR(__xludf.DUMMYFUNCTION("""COMPUTED_VALUE"""),"Super U")</f>
        <v>Super U</v>
      </c>
      <c r="D1074" t="str">
        <f ca="1">IFERROR(__xludf.DUMMYFUNCTION("""COMPUTED_VALUE"""),"Coop U Enseigne Est")</f>
        <v>Coop U Enseigne Est</v>
      </c>
      <c r="E1074">
        <f ca="1">IFERROR(__xludf.DUMMYFUNCTION("""COMPUTED_VALUE"""),90300)</f>
        <v>90300</v>
      </c>
      <c r="F1074" t="str">
        <f ca="1">IFERROR(__xludf.DUMMYFUNCTION("""COMPUTED_VALUE"""),"30 rue de Turenne")</f>
        <v>30 rue de Turenne</v>
      </c>
      <c r="G1074" t="str">
        <f ca="1">IFERROR(__xludf.DUMMYFUNCTION("""COMPUTED_VALUE"""),"03.84.36.61.20")</f>
        <v>03.84.36.61.20</v>
      </c>
      <c r="H1074" t="str">
        <f ca="1">IFERROR(__xludf.DUMMYFUNCTION("""COMPUTED_VALUE"""),"MOISSENOT Alain")</f>
        <v>MOISSENOT Alain</v>
      </c>
      <c r="I1074" t="str">
        <f ca="1">IFERROR(__xludf.DUMMYFUNCTION("""COMPUTED_VALUE"""),"alain.moissenot@systeme-u.fr")</f>
        <v>alain.moissenot@systeme-u.fr</v>
      </c>
      <c r="J1074" t="str">
        <f ca="1">IFERROR(__xludf.DUMMYFUNCTION("""COMPUTED_VALUE"""),"")</f>
        <v/>
      </c>
      <c r="K1074" t="str">
        <f ca="1">IFERROR(__xludf.DUMMYFUNCTION("""COMPUTED_VALUE"""),"")</f>
        <v/>
      </c>
      <c r="L1074" t="str">
        <f ca="1">IFERROR(__xludf.DUMMYFUNCTION("""COMPUTED_VALUE"""),"")</f>
        <v/>
      </c>
      <c r="M1074" t="str">
        <f ca="1">IFERROR(__xludf.DUMMYFUNCTION("""COMPUTED_VALUE"""),"99.Hors Périmetre")</f>
        <v>99.Hors Périmetre</v>
      </c>
      <c r="N1074" t="str">
        <f ca="1">IFERROR(__xludf.DUMMYFUNCTION("""COMPUTED_VALUE"""),"")</f>
        <v/>
      </c>
      <c r="O1074" t="str">
        <f ca="1">IFERROR(__xludf.DUMMYFUNCTION("""COMPUTED_VALUE"""),"")</f>
        <v/>
      </c>
      <c r="P1074" t="str">
        <f ca="1">IFERROR(__xludf.DUMMYFUNCTION("""COMPUTED_VALUE"""),"")</f>
        <v/>
      </c>
      <c r="Q1074" s="5" t="str">
        <f ca="1">IFERROR(__xludf.DUMMYFUNCTION("""COMPUTED_VALUE"""),"")</f>
        <v/>
      </c>
      <c r="R1074" s="6" t="str">
        <f ca="1">IFERROR(__xludf.DUMMYFUNCTION("""COMPUTED_VALUE"""),"")</f>
        <v/>
      </c>
      <c r="S1074" t="str">
        <f ca="1">IFERROR(__xludf.DUMMYFUNCTION("""COMPUTED_VALUE"""),"")</f>
        <v/>
      </c>
      <c r="T1074" t="str">
        <f ca="1">IFERROR(__xludf.DUMMYFUNCTION("""COMPUTED_VALUE"""),"")</f>
        <v/>
      </c>
      <c r="U1074" t="str">
        <f ca="1">IFERROR(__xludf.DUMMYFUNCTION("""COMPUTED_VALUE"""),"")</f>
        <v/>
      </c>
      <c r="V1074" t="str">
        <f ca="1">IFERROR(__xludf.DUMMYFUNCTION("""COMPUTED_VALUE"""),"")</f>
        <v/>
      </c>
      <c r="W1074" t="str">
        <f ca="1">IFERROR(__xludf.DUMMYFUNCTION("""COMPUTED_VALUE"""),"")</f>
        <v/>
      </c>
      <c r="X1074" t="str">
        <f ca="1">IFERROR(__xludf.DUMMYFUNCTION("""COMPUTED_VALUE"""),"")</f>
        <v/>
      </c>
      <c r="Y1074" t="str">
        <f ca="1">IFERROR(__xludf.DUMMYFUNCTION("""COMPUTED_VALUE"""),"")</f>
        <v/>
      </c>
      <c r="Z1074" t="str">
        <f ca="1">IFERROR(__xludf.DUMMYFUNCTION("""COMPUTED_VALUE"""),"")</f>
        <v/>
      </c>
      <c r="AA1074" t="str">
        <f ca="1">IFERROR(__xludf.DUMMYFUNCTION("""COMPUTED_VALUE"""),"Pas de commande")</f>
        <v>Pas de commande</v>
      </c>
      <c r="AB1074" s="8" t="str">
        <f ca="1">IFERROR(__xludf.DUMMYFUNCTION("""COMPUTED_VALUE"""),"")</f>
        <v/>
      </c>
      <c r="AC1074" s="8" t="str">
        <f ca="1">IFERROR(__xludf.DUMMYFUNCTION("""COMPUTED_VALUE"""),"")</f>
        <v/>
      </c>
      <c r="AD1074" s="11" t="str">
        <f ca="1">IFERROR(__xludf.DUMMYFUNCTION("""COMPUTED_VALUE"""),"")</f>
        <v/>
      </c>
      <c r="AE1074" t="str">
        <f ca="1">IFERROR(__xludf.DUMMYFUNCTION("""COMPUTED_VALUE"""),"")</f>
        <v/>
      </c>
    </row>
    <row r="1075" spans="1:31" ht="12.75" x14ac:dyDescent="0.2">
      <c r="A1075">
        <f ca="1">IFERROR(__xludf.DUMMYFUNCTION("""COMPUTED_VALUE"""),32836)</f>
        <v>32836</v>
      </c>
      <c r="B1075" t="str">
        <f ca="1">IFERROR(__xludf.DUMMYFUNCTION("""COMPUTED_VALUE"""),"VALLET")</f>
        <v>VALLET</v>
      </c>
      <c r="C1075" t="str">
        <f ca="1">IFERROR(__xludf.DUMMYFUNCTION("""COMPUTED_VALUE"""),"Hyper U")</f>
        <v>Hyper U</v>
      </c>
      <c r="D1075" t="str">
        <f ca="1">IFERROR(__xludf.DUMMYFUNCTION("""COMPUTED_VALUE"""),"Coop U Enseigne Ouest")</f>
        <v>Coop U Enseigne Ouest</v>
      </c>
      <c r="E1075">
        <f ca="1">IFERROR(__xludf.DUMMYFUNCTION("""COMPUTED_VALUE"""),44330)</f>
        <v>44330</v>
      </c>
      <c r="F1075" t="str">
        <f ca="1">IFERROR(__xludf.DUMMYFUNCTION("""COMPUTED_VALUE"""),"ROUTE D ANCENIS")</f>
        <v>ROUTE D ANCENIS</v>
      </c>
      <c r="G1075" t="str">
        <f ca="1">IFERROR(__xludf.DUMMYFUNCTION("""COMPUTED_VALUE"""),"02.40.36.33.44")</f>
        <v>02.40.36.33.44</v>
      </c>
      <c r="H1075" t="str">
        <f ca="1">IFERROR(__xludf.DUMMYFUNCTION("""COMPUTED_VALUE"""),"BOIZIAU Cécile")</f>
        <v>BOIZIAU Cécile</v>
      </c>
      <c r="I1075" t="str">
        <f ca="1">IFERROR(__xludf.DUMMYFUNCTION("""COMPUTED_VALUE"""),"cecile.boiziau@systeme-u.fr")</f>
        <v>cecile.boiziau@systeme-u.fr</v>
      </c>
      <c r="J1075" t="str">
        <f ca="1">IFERROR(__xludf.DUMMYFUNCTION("""COMPUTED_VALUE""")," Mr AUGEREAU")</f>
        <v xml:space="preserve"> Mr AUGEREAU</v>
      </c>
      <c r="K1075" t="str">
        <f ca="1">IFERROR(__xludf.DUMMYFUNCTION("""COMPUTED_VALUE"""),"hyperu.vallet.administratif@systeme-u.fr")</f>
        <v>hyperu.vallet.administratif@systeme-u.fr</v>
      </c>
      <c r="L1075" t="str">
        <f ca="1">IFERROR(__xludf.DUMMYFUNCTION("""COMPUTED_VALUE"""),"")</f>
        <v/>
      </c>
      <c r="M1075" t="str">
        <f ca="1">IFERROR(__xludf.DUMMYFUNCTION("""COMPUTED_VALUE"""),"99.Hors Périmetre")</f>
        <v>99.Hors Périmetre</v>
      </c>
      <c r="N1075" t="str">
        <f ca="1">IFERROR(__xludf.DUMMYFUNCTION("""COMPUTED_VALUE"""),"")</f>
        <v/>
      </c>
      <c r="O1075" t="str">
        <f ca="1">IFERROR(__xludf.DUMMYFUNCTION("""COMPUTED_VALUE"""),"")</f>
        <v/>
      </c>
      <c r="P1075" t="str">
        <f ca="1">IFERROR(__xludf.DUMMYFUNCTION("""COMPUTED_VALUE"""),"")</f>
        <v/>
      </c>
      <c r="Q1075" s="5" t="str">
        <f ca="1">IFERROR(__xludf.DUMMYFUNCTION("""COMPUTED_VALUE"""),"")</f>
        <v/>
      </c>
      <c r="R1075" s="6" t="str">
        <f ca="1">IFERROR(__xludf.DUMMYFUNCTION("""COMPUTED_VALUE"""),"")</f>
        <v/>
      </c>
      <c r="S1075" t="str">
        <f ca="1">IFERROR(__xludf.DUMMYFUNCTION("""COMPUTED_VALUE"""),"")</f>
        <v/>
      </c>
      <c r="T1075" t="str">
        <f ca="1">IFERROR(__xludf.DUMMYFUNCTION("""COMPUTED_VALUE"""),"")</f>
        <v/>
      </c>
      <c r="U1075" t="str">
        <f ca="1">IFERROR(__xludf.DUMMYFUNCTION("""COMPUTED_VALUE"""),"")</f>
        <v/>
      </c>
      <c r="V1075" t="str">
        <f ca="1">IFERROR(__xludf.DUMMYFUNCTION("""COMPUTED_VALUE"""),"")</f>
        <v/>
      </c>
      <c r="W1075" t="str">
        <f ca="1">IFERROR(__xludf.DUMMYFUNCTION("""COMPUTED_VALUE"""),"")</f>
        <v/>
      </c>
      <c r="X1075" t="str">
        <f ca="1">IFERROR(__xludf.DUMMYFUNCTION("""COMPUTED_VALUE"""),"")</f>
        <v/>
      </c>
      <c r="Y1075" t="str">
        <f ca="1">IFERROR(__xludf.DUMMYFUNCTION("""COMPUTED_VALUE"""),"")</f>
        <v/>
      </c>
      <c r="Z1075" t="str">
        <f ca="1">IFERROR(__xludf.DUMMYFUNCTION("""COMPUTED_VALUE"""),"")</f>
        <v/>
      </c>
      <c r="AA1075" t="str">
        <f ca="1">IFERROR(__xludf.DUMMYFUNCTION("""COMPUTED_VALUE"""),"Pas de commande")</f>
        <v>Pas de commande</v>
      </c>
      <c r="AB1075" s="8" t="str">
        <f ca="1">IFERROR(__xludf.DUMMYFUNCTION("""COMPUTED_VALUE"""),"")</f>
        <v/>
      </c>
      <c r="AC1075" s="8" t="str">
        <f ca="1">IFERROR(__xludf.DUMMYFUNCTION("""COMPUTED_VALUE"""),"")</f>
        <v/>
      </c>
      <c r="AD1075" s="11" t="str">
        <f ca="1">IFERROR(__xludf.DUMMYFUNCTION("""COMPUTED_VALUE"""),"")</f>
        <v/>
      </c>
      <c r="AE1075" t="str">
        <f ca="1">IFERROR(__xludf.DUMMYFUNCTION("""COMPUTED_VALUE"""),"")</f>
        <v/>
      </c>
    </row>
    <row r="1076" spans="1:31" ht="12.75" x14ac:dyDescent="0.2">
      <c r="A1076">
        <f ca="1">IFERROR(__xludf.DUMMYFUNCTION("""COMPUTED_VALUE"""),65107)</f>
        <v>65107</v>
      </c>
      <c r="B1076" t="str">
        <f ca="1">IFERROR(__xludf.DUMMYFUNCTION("""COMPUTED_VALUE"""),"VALMONT")</f>
        <v>VALMONT</v>
      </c>
      <c r="C1076" t="str">
        <f ca="1">IFERROR(__xludf.DUMMYFUNCTION("""COMPUTED_VALUE"""),"Super U")</f>
        <v>Super U</v>
      </c>
      <c r="D1076" t="str">
        <f ca="1">IFERROR(__xludf.DUMMYFUNCTION("""COMPUTED_VALUE"""),"Coop U Enseigne Est")</f>
        <v>Coop U Enseigne Est</v>
      </c>
      <c r="E1076">
        <f ca="1">IFERROR(__xludf.DUMMYFUNCTION("""COMPUTED_VALUE"""),57730)</f>
        <v>57730</v>
      </c>
      <c r="F1076" t="str">
        <f ca="1">IFERROR(__xludf.DUMMYFUNCTION("""COMPUTED_VALUE"""),"LIEU DIT HERRENWALD")</f>
        <v>LIEU DIT HERRENWALD</v>
      </c>
      <c r="G1076" t="str">
        <f ca="1">IFERROR(__xludf.DUMMYFUNCTION("""COMPUTED_VALUE"""),"03.87.92.54.53")</f>
        <v>03.87.92.54.53</v>
      </c>
      <c r="H1076" t="str">
        <f ca="1">IFERROR(__xludf.DUMMYFUNCTION("""COMPUTED_VALUE"""),"MERTZ Frédéric")</f>
        <v>MERTZ Frédéric</v>
      </c>
      <c r="I1076" t="str">
        <f ca="1">IFERROR(__xludf.DUMMYFUNCTION("""COMPUTED_VALUE"""),"frederic.mertz@systeme-u.fr")</f>
        <v>frederic.mertz@systeme-u.fr</v>
      </c>
      <c r="J1076" t="str">
        <f ca="1">IFERROR(__xludf.DUMMYFUNCTION("""COMPUTED_VALUE"""),"MERTZ Sophie")</f>
        <v>MERTZ Sophie</v>
      </c>
      <c r="K1076" t="str">
        <f ca="1">IFERROR(__xludf.DUMMYFUNCTION("""COMPUTED_VALUE"""),"superu.valmont@systeme-u.fr")</f>
        <v>superu.valmont@systeme-u.fr</v>
      </c>
      <c r="L1076" t="str">
        <f ca="1">IFERROR(__xludf.DUMMYFUNCTION("""COMPUTED_VALUE"""),"")</f>
        <v/>
      </c>
      <c r="M1076" t="str">
        <f ca="1">IFERROR(__xludf.DUMMYFUNCTION("""COMPUTED_VALUE"""),"99.Hors Périmetre")</f>
        <v>99.Hors Périmetre</v>
      </c>
      <c r="N1076" t="str">
        <f ca="1">IFERROR(__xludf.DUMMYFUNCTION("""COMPUTED_VALUE"""),"")</f>
        <v/>
      </c>
      <c r="O1076" t="str">
        <f ca="1">IFERROR(__xludf.DUMMYFUNCTION("""COMPUTED_VALUE"""),"")</f>
        <v/>
      </c>
      <c r="P1076" t="str">
        <f ca="1">IFERROR(__xludf.DUMMYFUNCTION("""COMPUTED_VALUE"""),"")</f>
        <v/>
      </c>
      <c r="Q1076" s="5" t="str">
        <f ca="1">IFERROR(__xludf.DUMMYFUNCTION("""COMPUTED_VALUE"""),"")</f>
        <v/>
      </c>
      <c r="R1076" s="6" t="str">
        <f ca="1">IFERROR(__xludf.DUMMYFUNCTION("""COMPUTED_VALUE"""),"")</f>
        <v/>
      </c>
      <c r="S1076" t="str">
        <f ca="1">IFERROR(__xludf.DUMMYFUNCTION("""COMPUTED_VALUE"""),"")</f>
        <v/>
      </c>
      <c r="T1076" t="str">
        <f ca="1">IFERROR(__xludf.DUMMYFUNCTION("""COMPUTED_VALUE"""),"")</f>
        <v/>
      </c>
      <c r="U1076" t="str">
        <f ca="1">IFERROR(__xludf.DUMMYFUNCTION("""COMPUTED_VALUE"""),"")</f>
        <v/>
      </c>
      <c r="V1076" t="str">
        <f ca="1">IFERROR(__xludf.DUMMYFUNCTION("""COMPUTED_VALUE"""),"")</f>
        <v/>
      </c>
      <c r="W1076" t="str">
        <f ca="1">IFERROR(__xludf.DUMMYFUNCTION("""COMPUTED_VALUE"""),"")</f>
        <v/>
      </c>
      <c r="X1076" t="str">
        <f ca="1">IFERROR(__xludf.DUMMYFUNCTION("""COMPUTED_VALUE"""),"")</f>
        <v/>
      </c>
      <c r="Y1076" t="str">
        <f ca="1">IFERROR(__xludf.DUMMYFUNCTION("""COMPUTED_VALUE"""),"")</f>
        <v/>
      </c>
      <c r="Z1076" t="str">
        <f ca="1">IFERROR(__xludf.DUMMYFUNCTION("""COMPUTED_VALUE"""),"")</f>
        <v/>
      </c>
      <c r="AA1076" t="str">
        <f ca="1">IFERROR(__xludf.DUMMYFUNCTION("""COMPUTED_VALUE"""),"Pas de commande")</f>
        <v>Pas de commande</v>
      </c>
      <c r="AB1076" s="8" t="str">
        <f ca="1">IFERROR(__xludf.DUMMYFUNCTION("""COMPUTED_VALUE"""),"")</f>
        <v/>
      </c>
      <c r="AC1076" s="8" t="str">
        <f ca="1">IFERROR(__xludf.DUMMYFUNCTION("""COMPUTED_VALUE"""),"")</f>
        <v/>
      </c>
      <c r="AD1076" s="11" t="str">
        <f ca="1">IFERROR(__xludf.DUMMYFUNCTION("""COMPUTED_VALUE"""),"")</f>
        <v/>
      </c>
      <c r="AE1076" t="str">
        <f ca="1">IFERROR(__xludf.DUMMYFUNCTION("""COMPUTED_VALUE"""),"")</f>
        <v/>
      </c>
    </row>
    <row r="1077" spans="1:31" ht="12.75" x14ac:dyDescent="0.2">
      <c r="A1077">
        <f ca="1">IFERROR(__xludf.DUMMYFUNCTION("""COMPUTED_VALUE"""),65180)</f>
        <v>65180</v>
      </c>
      <c r="B1077" t="str">
        <f ca="1">IFERROR(__xludf.DUMMYFUNCTION("""COMPUTED_VALUE"""),"VANDOEUVRE LES NANCY")</f>
        <v>VANDOEUVRE LES NANCY</v>
      </c>
      <c r="C1077" t="str">
        <f ca="1">IFERROR(__xludf.DUMMYFUNCTION("""COMPUTED_VALUE"""),"U Express")</f>
        <v>U Express</v>
      </c>
      <c r="D1077" t="str">
        <f ca="1">IFERROR(__xludf.DUMMYFUNCTION("""COMPUTED_VALUE"""),"Coop U Enseigne Est")</f>
        <v>Coop U Enseigne Est</v>
      </c>
      <c r="E1077">
        <f ca="1">IFERROR(__xludf.DUMMYFUNCTION("""COMPUTED_VALUE"""),54500)</f>
        <v>54500</v>
      </c>
      <c r="F1077" t="str">
        <f ca="1">IFERROR(__xludf.DUMMYFUNCTION("""COMPUTED_VALUE"""),"2 AVENUE JEAN JAURÈS")</f>
        <v>2 AVENUE JEAN JAURÈS</v>
      </c>
      <c r="G1077" t="str">
        <f ca="1">IFERROR(__xludf.DUMMYFUNCTION("""COMPUTED_VALUE"""),"03.83.96.32.92")</f>
        <v>03.83.96.32.92</v>
      </c>
      <c r="H1077" t="str">
        <f ca="1">IFERROR(__xludf.DUMMYFUNCTION("""COMPUTED_VALUE"""),"GUERIN Emmanuel")</f>
        <v>GUERIN Emmanuel</v>
      </c>
      <c r="I1077" t="str">
        <f ca="1">IFERROR(__xludf.DUMMYFUNCTION("""COMPUTED_VALUE"""),"emmanuel.guerin@systeme-u.fr")</f>
        <v>emmanuel.guerin@systeme-u.fr</v>
      </c>
      <c r="J1077" t="str">
        <f ca="1">IFERROR(__xludf.DUMMYFUNCTION("""COMPUTED_VALUE"""),"")</f>
        <v/>
      </c>
      <c r="K1077" t="str">
        <f ca="1">IFERROR(__xludf.DUMMYFUNCTION("""COMPUTED_VALUE"""),"")</f>
        <v/>
      </c>
      <c r="L1077" t="str">
        <f ca="1">IFERROR(__xludf.DUMMYFUNCTION("""COMPUTED_VALUE"""),"")</f>
        <v/>
      </c>
      <c r="M1077" t="str">
        <f ca="1">IFERROR(__xludf.DUMMYFUNCTION("""COMPUTED_VALUE"""),"99.Hors Périmetre")</f>
        <v>99.Hors Périmetre</v>
      </c>
      <c r="N1077" t="str">
        <f ca="1">IFERROR(__xludf.DUMMYFUNCTION("""COMPUTED_VALUE"""),"")</f>
        <v/>
      </c>
      <c r="O1077" t="str">
        <f ca="1">IFERROR(__xludf.DUMMYFUNCTION("""COMPUTED_VALUE"""),"")</f>
        <v/>
      </c>
      <c r="P1077" t="str">
        <f ca="1">IFERROR(__xludf.DUMMYFUNCTION("""COMPUTED_VALUE"""),"")</f>
        <v/>
      </c>
      <c r="Q1077" s="5" t="str">
        <f ca="1">IFERROR(__xludf.DUMMYFUNCTION("""COMPUTED_VALUE"""),"")</f>
        <v/>
      </c>
      <c r="R1077" s="6" t="str">
        <f ca="1">IFERROR(__xludf.DUMMYFUNCTION("""COMPUTED_VALUE"""),"")</f>
        <v/>
      </c>
      <c r="S1077" t="str">
        <f ca="1">IFERROR(__xludf.DUMMYFUNCTION("""COMPUTED_VALUE"""),"")</f>
        <v/>
      </c>
      <c r="T1077" t="str">
        <f ca="1">IFERROR(__xludf.DUMMYFUNCTION("""COMPUTED_VALUE"""),"")</f>
        <v/>
      </c>
      <c r="U1077" t="str">
        <f ca="1">IFERROR(__xludf.DUMMYFUNCTION("""COMPUTED_VALUE"""),"")</f>
        <v/>
      </c>
      <c r="V1077" t="str">
        <f ca="1">IFERROR(__xludf.DUMMYFUNCTION("""COMPUTED_VALUE"""),"")</f>
        <v/>
      </c>
      <c r="W1077" t="str">
        <f ca="1">IFERROR(__xludf.DUMMYFUNCTION("""COMPUTED_VALUE"""),"")</f>
        <v/>
      </c>
      <c r="X1077" t="str">
        <f ca="1">IFERROR(__xludf.DUMMYFUNCTION("""COMPUTED_VALUE"""),"")</f>
        <v/>
      </c>
      <c r="Y1077" t="str">
        <f ca="1">IFERROR(__xludf.DUMMYFUNCTION("""COMPUTED_VALUE"""),"")</f>
        <v/>
      </c>
      <c r="Z1077" t="str">
        <f ca="1">IFERROR(__xludf.DUMMYFUNCTION("""COMPUTED_VALUE"""),"")</f>
        <v/>
      </c>
      <c r="AA1077" t="str">
        <f ca="1">IFERROR(__xludf.DUMMYFUNCTION("""COMPUTED_VALUE"""),"Pas de commande")</f>
        <v>Pas de commande</v>
      </c>
      <c r="AB1077" s="8" t="str">
        <f ca="1">IFERROR(__xludf.DUMMYFUNCTION("""COMPUTED_VALUE"""),"")</f>
        <v/>
      </c>
      <c r="AC1077" s="8" t="str">
        <f ca="1">IFERROR(__xludf.DUMMYFUNCTION("""COMPUTED_VALUE"""),"")</f>
        <v/>
      </c>
      <c r="AD1077" s="11" t="str">
        <f ca="1">IFERROR(__xludf.DUMMYFUNCTION("""COMPUTED_VALUE"""),"")</f>
        <v/>
      </c>
      <c r="AE1077" t="str">
        <f ca="1">IFERROR(__xludf.DUMMYFUNCTION("""COMPUTED_VALUE"""),"")</f>
        <v/>
      </c>
    </row>
    <row r="1078" spans="1:31" ht="12.75" x14ac:dyDescent="0.2">
      <c r="A1078">
        <f ca="1">IFERROR(__xludf.DUMMYFUNCTION("""COMPUTED_VALUE"""),37933)</f>
        <v>37933</v>
      </c>
      <c r="B1078" t="str">
        <f ca="1">IFERROR(__xludf.DUMMYFUNCTION("""COMPUTED_VALUE"""),"VANNES")</f>
        <v>VANNES</v>
      </c>
      <c r="C1078" t="str">
        <f ca="1">IFERROR(__xludf.DUMMYFUNCTION("""COMPUTED_VALUE"""),"U Express")</f>
        <v>U Express</v>
      </c>
      <c r="D1078" t="str">
        <f ca="1">IFERROR(__xludf.DUMMYFUNCTION("""COMPUTED_VALUE"""),"Coop U Enseigne Ouest")</f>
        <v>Coop U Enseigne Ouest</v>
      </c>
      <c r="E1078">
        <f ca="1">IFERROR(__xludf.DUMMYFUNCTION("""COMPUTED_VALUE"""),56000)</f>
        <v>56000</v>
      </c>
      <c r="F1078" t="str">
        <f ca="1">IFERROR(__xludf.DUMMYFUNCTION("""COMPUTED_VALUE"""),"ZAC DE CLISCOUET")</f>
        <v>ZAC DE CLISCOUET</v>
      </c>
      <c r="G1078" t="str">
        <f ca="1">IFERROR(__xludf.DUMMYFUNCTION("""COMPUTED_VALUE"""),"02.97.40.32.38")</f>
        <v>02.97.40.32.38</v>
      </c>
      <c r="H1078" t="str">
        <f ca="1">IFERROR(__xludf.DUMMYFUNCTION("""COMPUTED_VALUE"""),"SAINT JALMES CARL")</f>
        <v>SAINT JALMES CARL</v>
      </c>
      <c r="I1078" t="str">
        <f ca="1">IFERROR(__xludf.DUMMYFUNCTION("""COMPUTED_VALUE"""),"carl.saintjalmes@systeme-u.fr")</f>
        <v>carl.saintjalmes@systeme-u.fr</v>
      </c>
      <c r="J1078" t="str">
        <f ca="1">IFERROR(__xludf.DUMMYFUNCTION("""COMPUTED_VALUE"""),"")</f>
        <v/>
      </c>
      <c r="K1078" t="str">
        <f ca="1">IFERROR(__xludf.DUMMYFUNCTION("""COMPUTED_VALUE"""),"")</f>
        <v/>
      </c>
      <c r="L1078" t="str">
        <f ca="1">IFERROR(__xludf.DUMMYFUNCTION("""COMPUTED_VALUE"""),"")</f>
        <v/>
      </c>
      <c r="M1078" t="str">
        <f ca="1">IFERROR(__xludf.DUMMYFUNCTION("""COMPUTED_VALUE"""),"99.Hors Périmetre")</f>
        <v>99.Hors Périmetre</v>
      </c>
      <c r="N1078" t="str">
        <f ca="1">IFERROR(__xludf.DUMMYFUNCTION("""COMPUTED_VALUE"""),"")</f>
        <v/>
      </c>
      <c r="O1078" t="str">
        <f ca="1">IFERROR(__xludf.DUMMYFUNCTION("""COMPUTED_VALUE"""),"")</f>
        <v/>
      </c>
      <c r="P1078" t="str">
        <f ca="1">IFERROR(__xludf.DUMMYFUNCTION("""COMPUTED_VALUE"""),"")</f>
        <v/>
      </c>
      <c r="Q1078" s="5" t="str">
        <f ca="1">IFERROR(__xludf.DUMMYFUNCTION("""COMPUTED_VALUE"""),"")</f>
        <v/>
      </c>
      <c r="R1078" s="6" t="str">
        <f ca="1">IFERROR(__xludf.DUMMYFUNCTION("""COMPUTED_VALUE"""),"")</f>
        <v/>
      </c>
      <c r="S1078" t="str">
        <f ca="1">IFERROR(__xludf.DUMMYFUNCTION("""COMPUTED_VALUE"""),"")</f>
        <v/>
      </c>
      <c r="T1078" t="str">
        <f ca="1">IFERROR(__xludf.DUMMYFUNCTION("""COMPUTED_VALUE"""),"")</f>
        <v/>
      </c>
      <c r="U1078" t="str">
        <f ca="1">IFERROR(__xludf.DUMMYFUNCTION("""COMPUTED_VALUE"""),"")</f>
        <v/>
      </c>
      <c r="V1078" t="str">
        <f ca="1">IFERROR(__xludf.DUMMYFUNCTION("""COMPUTED_VALUE"""),"")</f>
        <v/>
      </c>
      <c r="W1078" t="str">
        <f ca="1">IFERROR(__xludf.DUMMYFUNCTION("""COMPUTED_VALUE"""),"")</f>
        <v/>
      </c>
      <c r="X1078" t="str">
        <f ca="1">IFERROR(__xludf.DUMMYFUNCTION("""COMPUTED_VALUE"""),"")</f>
        <v/>
      </c>
      <c r="Y1078" t="str">
        <f ca="1">IFERROR(__xludf.DUMMYFUNCTION("""COMPUTED_VALUE"""),"")</f>
        <v/>
      </c>
      <c r="Z1078" t="str">
        <f ca="1">IFERROR(__xludf.DUMMYFUNCTION("""COMPUTED_VALUE"""),"")</f>
        <v/>
      </c>
      <c r="AA1078" t="str">
        <f ca="1">IFERROR(__xludf.DUMMYFUNCTION("""COMPUTED_VALUE"""),"Pas de commande")</f>
        <v>Pas de commande</v>
      </c>
      <c r="AB1078" s="8" t="str">
        <f ca="1">IFERROR(__xludf.DUMMYFUNCTION("""COMPUTED_VALUE"""),"")</f>
        <v/>
      </c>
      <c r="AC1078" s="8" t="str">
        <f ca="1">IFERROR(__xludf.DUMMYFUNCTION("""COMPUTED_VALUE"""),"")</f>
        <v/>
      </c>
      <c r="AD1078" s="11" t="str">
        <f ca="1">IFERROR(__xludf.DUMMYFUNCTION("""COMPUTED_VALUE"""),"")</f>
        <v/>
      </c>
      <c r="AE1078" t="str">
        <f ca="1">IFERROR(__xludf.DUMMYFUNCTION("""COMPUTED_VALUE"""),"")</f>
        <v/>
      </c>
    </row>
    <row r="1079" spans="1:31" ht="12.75" x14ac:dyDescent="0.2">
      <c r="A1079">
        <f ca="1">IFERROR(__xludf.DUMMYFUNCTION("""COMPUTED_VALUE"""),38220)</f>
        <v>38220</v>
      </c>
      <c r="B1079" t="str">
        <f ca="1">IFERROR(__xludf.DUMMYFUNCTION("""COMPUTED_VALUE"""),"ANGERS UNIVERSITE")</f>
        <v>ANGERS UNIVERSITE</v>
      </c>
      <c r="C1079" t="str">
        <f ca="1">IFERROR(__xludf.DUMMYFUNCTION("""COMPUTED_VALUE"""),"U Express")</f>
        <v>U Express</v>
      </c>
      <c r="D1079" t="str">
        <f ca="1">IFERROR(__xludf.DUMMYFUNCTION("""COMPUTED_VALUE"""),"Coop U Enseigne Ouest")</f>
        <v>Coop U Enseigne Ouest</v>
      </c>
      <c r="E1079">
        <f ca="1">IFERROR(__xludf.DUMMYFUNCTION("""COMPUTED_VALUE"""),49000)</f>
        <v>49000</v>
      </c>
      <c r="F1079" t="str">
        <f ca="1">IFERROR(__xludf.DUMMYFUNCTION("""COMPUTED_VALUE"""),"59 RUE DE RENNES")</f>
        <v>59 RUE DE RENNES</v>
      </c>
      <c r="G1079" t="str">
        <f ca="1">IFERROR(__xludf.DUMMYFUNCTION("""COMPUTED_VALUE"""),"02.72.79.88.62")</f>
        <v>02.72.79.88.62</v>
      </c>
      <c r="H1079" t="str">
        <f ca="1">IFERROR(__xludf.DUMMYFUNCTION("""COMPUTED_VALUE"""),"PAHAUT RPT MAP FINANCES Aymeric")</f>
        <v>PAHAUT RPT MAP FINANCES Aymeric</v>
      </c>
      <c r="I1079" t="str">
        <f ca="1">IFERROR(__xludf.DUMMYFUNCTION("""COMPUTED_VALUE"""),"aymeric.pahaut@systeme-u.fr")</f>
        <v>aymeric.pahaut@systeme-u.fr</v>
      </c>
      <c r="J1079" t="str">
        <f ca="1">IFERROR(__xludf.DUMMYFUNCTION("""COMPUTED_VALUE"""),"")</f>
        <v/>
      </c>
      <c r="K1079" t="str">
        <f ca="1">IFERROR(__xludf.DUMMYFUNCTION("""COMPUTED_VALUE"""),"")</f>
        <v/>
      </c>
      <c r="L1079" t="str">
        <f ca="1">IFERROR(__xludf.DUMMYFUNCTION("""COMPUTED_VALUE"""),"")</f>
        <v/>
      </c>
      <c r="M1079" t="str">
        <f ca="1">IFERROR(__xludf.DUMMYFUNCTION("""COMPUTED_VALUE"""),"99.Hors Périmetre")</f>
        <v>99.Hors Périmetre</v>
      </c>
      <c r="N1079" t="str">
        <f ca="1">IFERROR(__xludf.DUMMYFUNCTION("""COMPUTED_VALUE"""),"")</f>
        <v/>
      </c>
      <c r="O1079" t="str">
        <f ca="1">IFERROR(__xludf.DUMMYFUNCTION("""COMPUTED_VALUE"""),"")</f>
        <v/>
      </c>
      <c r="P1079" t="str">
        <f ca="1">IFERROR(__xludf.DUMMYFUNCTION("""COMPUTED_VALUE"""),"")</f>
        <v/>
      </c>
      <c r="Q1079" s="5" t="str">
        <f ca="1">IFERROR(__xludf.DUMMYFUNCTION("""COMPUTED_VALUE"""),"")</f>
        <v/>
      </c>
      <c r="R1079" s="6" t="str">
        <f ca="1">IFERROR(__xludf.DUMMYFUNCTION("""COMPUTED_VALUE"""),"")</f>
        <v/>
      </c>
      <c r="S1079" t="str">
        <f ca="1">IFERROR(__xludf.DUMMYFUNCTION("""COMPUTED_VALUE"""),"")</f>
        <v/>
      </c>
      <c r="T1079" t="str">
        <f ca="1">IFERROR(__xludf.DUMMYFUNCTION("""COMPUTED_VALUE"""),"")</f>
        <v/>
      </c>
      <c r="U1079" t="str">
        <f ca="1">IFERROR(__xludf.DUMMYFUNCTION("""COMPUTED_VALUE"""),"")</f>
        <v/>
      </c>
      <c r="V1079" t="str">
        <f ca="1">IFERROR(__xludf.DUMMYFUNCTION("""COMPUTED_VALUE"""),"")</f>
        <v/>
      </c>
      <c r="W1079" t="str">
        <f ca="1">IFERROR(__xludf.DUMMYFUNCTION("""COMPUTED_VALUE"""),"")</f>
        <v/>
      </c>
      <c r="X1079" t="str">
        <f ca="1">IFERROR(__xludf.DUMMYFUNCTION("""COMPUTED_VALUE"""),"")</f>
        <v/>
      </c>
      <c r="Y1079" t="str">
        <f ca="1">IFERROR(__xludf.DUMMYFUNCTION("""COMPUTED_VALUE"""),"")</f>
        <v/>
      </c>
      <c r="Z1079" t="str">
        <f ca="1">IFERROR(__xludf.DUMMYFUNCTION("""COMPUTED_VALUE"""),"")</f>
        <v/>
      </c>
      <c r="AA1079" t="str">
        <f ca="1">IFERROR(__xludf.DUMMYFUNCTION("""COMPUTED_VALUE"""),"Pas de commande")</f>
        <v>Pas de commande</v>
      </c>
      <c r="AB1079" s="8" t="str">
        <f ca="1">IFERROR(__xludf.DUMMYFUNCTION("""COMPUTED_VALUE"""),"")</f>
        <v/>
      </c>
      <c r="AC1079" s="8" t="str">
        <f ca="1">IFERROR(__xludf.DUMMYFUNCTION("""COMPUTED_VALUE"""),"")</f>
        <v/>
      </c>
      <c r="AD1079" s="11" t="str">
        <f ca="1">IFERROR(__xludf.DUMMYFUNCTION("""COMPUTED_VALUE"""),"")</f>
        <v/>
      </c>
      <c r="AE1079" t="str">
        <f ca="1">IFERROR(__xludf.DUMMYFUNCTION("""COMPUTED_VALUE"""),"")</f>
        <v/>
      </c>
    </row>
    <row r="1080" spans="1:31" ht="12.75" x14ac:dyDescent="0.2">
      <c r="A1080">
        <f ca="1">IFERROR(__xludf.DUMMYFUNCTION("""COMPUTED_VALUE"""),24049)</f>
        <v>24049</v>
      </c>
      <c r="B1080" t="str">
        <f ca="1">IFERROR(__xludf.DUMMYFUNCTION("""COMPUTED_VALUE"""),"VAUCRESSON")</f>
        <v>VAUCRESSON</v>
      </c>
      <c r="C1080" t="str">
        <f ca="1">IFERROR(__xludf.DUMMYFUNCTION("""COMPUTED_VALUE"""),"Super U")</f>
        <v>Super U</v>
      </c>
      <c r="D1080" t="str">
        <f ca="1">IFERROR(__xludf.DUMMYFUNCTION("""COMPUTED_VALUE"""),"Coop U Enseigne NordOuest")</f>
        <v>Coop U Enseigne NordOuest</v>
      </c>
      <c r="E1080">
        <f ca="1">IFERROR(__xludf.DUMMYFUNCTION("""COMPUTED_VALUE"""),92420)</f>
        <v>92420</v>
      </c>
      <c r="F1080" t="str">
        <f ca="1">IFERROR(__xludf.DUMMYFUNCTION("""COMPUTED_VALUE"""),"18 BD DE LA REPUBLIQUE")</f>
        <v>18 BD DE LA REPUBLIQUE</v>
      </c>
      <c r="G1080" t="str">
        <f ca="1">IFERROR(__xludf.DUMMYFUNCTION("""COMPUTED_VALUE"""),"01.47.41.55.12")</f>
        <v>01.47.41.55.12</v>
      </c>
      <c r="H1080" t="str">
        <f ca="1">IFERROR(__xludf.DUMMYFUNCTION("""COMPUTED_VALUE"""),"SAGEAU Maxime")</f>
        <v>SAGEAU Maxime</v>
      </c>
      <c r="I1080" t="str">
        <f ca="1">IFERROR(__xludf.DUMMYFUNCTION("""COMPUTED_VALUE"""),"maxime.sageau@systeme-u.fr")</f>
        <v>maxime.sageau@systeme-u.fr</v>
      </c>
      <c r="J1080" t="str">
        <f ca="1">IFERROR(__xludf.DUMMYFUNCTION("""COMPUTED_VALUE"""),"GINER Nicolas")</f>
        <v>GINER Nicolas</v>
      </c>
      <c r="K1080" t="str">
        <f ca="1">IFERROR(__xludf.DUMMYFUNCTION("""COMPUTED_VALUE"""),"superu.vaucresson@systeme-u.fr")</f>
        <v>superu.vaucresson@systeme-u.fr</v>
      </c>
      <c r="L1080" t="str">
        <f ca="1">IFERROR(__xludf.DUMMYFUNCTION("""COMPUTED_VALUE"""),"")</f>
        <v/>
      </c>
      <c r="M1080" t="str">
        <f ca="1">IFERROR(__xludf.DUMMYFUNCTION("""COMPUTED_VALUE"""),"99.Hors Périmetre")</f>
        <v>99.Hors Périmetre</v>
      </c>
      <c r="N1080" t="str">
        <f ca="1">IFERROR(__xludf.DUMMYFUNCTION("""COMPUTED_VALUE"""),"")</f>
        <v/>
      </c>
      <c r="O1080" t="str">
        <f ca="1">IFERROR(__xludf.DUMMYFUNCTION("""COMPUTED_VALUE"""),"")</f>
        <v/>
      </c>
      <c r="P1080" t="str">
        <f ca="1">IFERROR(__xludf.DUMMYFUNCTION("""COMPUTED_VALUE"""),"")</f>
        <v/>
      </c>
      <c r="Q1080" s="5" t="str">
        <f ca="1">IFERROR(__xludf.DUMMYFUNCTION("""COMPUTED_VALUE"""),"")</f>
        <v/>
      </c>
      <c r="R1080" s="6" t="str">
        <f ca="1">IFERROR(__xludf.DUMMYFUNCTION("""COMPUTED_VALUE"""),"")</f>
        <v/>
      </c>
      <c r="S1080" t="str">
        <f ca="1">IFERROR(__xludf.DUMMYFUNCTION("""COMPUTED_VALUE"""),"")</f>
        <v/>
      </c>
      <c r="T1080" t="str">
        <f ca="1">IFERROR(__xludf.DUMMYFUNCTION("""COMPUTED_VALUE"""),"")</f>
        <v/>
      </c>
      <c r="U1080" t="str">
        <f ca="1">IFERROR(__xludf.DUMMYFUNCTION("""COMPUTED_VALUE"""),"")</f>
        <v/>
      </c>
      <c r="V1080" t="str">
        <f ca="1">IFERROR(__xludf.DUMMYFUNCTION("""COMPUTED_VALUE"""),"")</f>
        <v/>
      </c>
      <c r="W1080" t="str">
        <f ca="1">IFERROR(__xludf.DUMMYFUNCTION("""COMPUTED_VALUE"""),"")</f>
        <v/>
      </c>
      <c r="X1080" t="str">
        <f ca="1">IFERROR(__xludf.DUMMYFUNCTION("""COMPUTED_VALUE"""),"")</f>
        <v/>
      </c>
      <c r="Y1080" t="str">
        <f ca="1">IFERROR(__xludf.DUMMYFUNCTION("""COMPUTED_VALUE"""),"")</f>
        <v/>
      </c>
      <c r="Z1080" t="str">
        <f ca="1">IFERROR(__xludf.DUMMYFUNCTION("""COMPUTED_VALUE"""),"")</f>
        <v/>
      </c>
      <c r="AA1080" t="str">
        <f ca="1">IFERROR(__xludf.DUMMYFUNCTION("""COMPUTED_VALUE"""),"Pas de commande")</f>
        <v>Pas de commande</v>
      </c>
      <c r="AB1080" s="8" t="str">
        <f ca="1">IFERROR(__xludf.DUMMYFUNCTION("""COMPUTED_VALUE"""),"")</f>
        <v/>
      </c>
      <c r="AC1080" s="8" t="str">
        <f ca="1">IFERROR(__xludf.DUMMYFUNCTION("""COMPUTED_VALUE"""),"")</f>
        <v/>
      </c>
      <c r="AD1080" s="11" t="str">
        <f ca="1">IFERROR(__xludf.DUMMYFUNCTION("""COMPUTED_VALUE"""),"")</f>
        <v/>
      </c>
      <c r="AE1080" t="str">
        <f ca="1">IFERROR(__xludf.DUMMYFUNCTION("""COMPUTED_VALUE"""),"")</f>
        <v/>
      </c>
    </row>
    <row r="1081" spans="1:31" ht="12.75" x14ac:dyDescent="0.2">
      <c r="A1081">
        <f ca="1">IFERROR(__xludf.DUMMYFUNCTION("""COMPUTED_VALUE"""),37099)</f>
        <v>37099</v>
      </c>
      <c r="B1081" t="str">
        <f ca="1">IFERROR(__xludf.DUMMYFUNCTION("""COMPUTED_VALUE"""),"VAUX-SUR-MER")</f>
        <v>VAUX-SUR-MER</v>
      </c>
      <c r="C1081" t="str">
        <f ca="1">IFERROR(__xludf.DUMMYFUNCTION("""COMPUTED_VALUE"""),"U Express")</f>
        <v>U Express</v>
      </c>
      <c r="D1081" t="str">
        <f ca="1">IFERROR(__xludf.DUMMYFUNCTION("""COMPUTED_VALUE"""),"Coop U Enseigne Ouest")</f>
        <v>Coop U Enseigne Ouest</v>
      </c>
      <c r="E1081">
        <f ca="1">IFERROR(__xludf.DUMMYFUNCTION("""COMPUTED_VALUE"""),17640)</f>
        <v>17640</v>
      </c>
      <c r="F1081" t="str">
        <f ca="1">IFERROR(__xludf.DUMMYFUNCTION("""COMPUTED_VALUE"""),"AVENUE DES HAUTES FOLIES")</f>
        <v>AVENUE DES HAUTES FOLIES</v>
      </c>
      <c r="G1081" t="str">
        <f ca="1">IFERROR(__xludf.DUMMYFUNCTION("""COMPUTED_VALUE"""),"05.46.39.10.75")</f>
        <v>05.46.39.10.75</v>
      </c>
      <c r="H1081" t="str">
        <f ca="1">IFERROR(__xludf.DUMMYFUNCTION("""COMPUTED_VALUE"""),"MARAIS MICHEL")</f>
        <v>MARAIS MICHEL</v>
      </c>
      <c r="I1081" t="str">
        <f ca="1">IFERROR(__xludf.DUMMYFUNCTION("""COMPUTED_VALUE"""),"michel.marais@systeme-u.fr")</f>
        <v>michel.marais@systeme-u.fr</v>
      </c>
      <c r="J1081" t="str">
        <f ca="1">IFERROR(__xludf.DUMMYFUNCTION("""COMPUTED_VALUE"""),"Mme Catherine Marais")</f>
        <v>Mme Catherine Marais</v>
      </c>
      <c r="K1081" t="str">
        <f ca="1">IFERROR(__xludf.DUMMYFUNCTION("""COMPUTED_VALUE"""),"catherine.marais@systeme-u.fr")</f>
        <v>catherine.marais@systeme-u.fr</v>
      </c>
      <c r="L1081" t="str">
        <f ca="1">IFERROR(__xludf.DUMMYFUNCTION("""COMPUTED_VALUE"""),"")</f>
        <v/>
      </c>
      <c r="M1081" t="str">
        <f ca="1">IFERROR(__xludf.DUMMYFUNCTION("""COMPUTED_VALUE"""),"99.Hors Périmetre")</f>
        <v>99.Hors Périmetre</v>
      </c>
      <c r="N1081" t="str">
        <f ca="1">IFERROR(__xludf.DUMMYFUNCTION("""COMPUTED_VALUE"""),"")</f>
        <v/>
      </c>
      <c r="O1081" t="str">
        <f ca="1">IFERROR(__xludf.DUMMYFUNCTION("""COMPUTED_VALUE"""),"")</f>
        <v/>
      </c>
      <c r="P1081" t="str">
        <f ca="1">IFERROR(__xludf.DUMMYFUNCTION("""COMPUTED_VALUE"""),"")</f>
        <v/>
      </c>
      <c r="Q1081" s="5" t="str">
        <f ca="1">IFERROR(__xludf.DUMMYFUNCTION("""COMPUTED_VALUE"""),"")</f>
        <v/>
      </c>
      <c r="R1081" s="6" t="str">
        <f ca="1">IFERROR(__xludf.DUMMYFUNCTION("""COMPUTED_VALUE"""),"")</f>
        <v/>
      </c>
      <c r="S1081" t="str">
        <f ca="1">IFERROR(__xludf.DUMMYFUNCTION("""COMPUTED_VALUE"""),"")</f>
        <v/>
      </c>
      <c r="T1081" t="str">
        <f ca="1">IFERROR(__xludf.DUMMYFUNCTION("""COMPUTED_VALUE"""),"")</f>
        <v/>
      </c>
      <c r="U1081" t="str">
        <f ca="1">IFERROR(__xludf.DUMMYFUNCTION("""COMPUTED_VALUE"""),"")</f>
        <v/>
      </c>
      <c r="V1081" t="str">
        <f ca="1">IFERROR(__xludf.DUMMYFUNCTION("""COMPUTED_VALUE"""),"")</f>
        <v/>
      </c>
      <c r="W1081" t="str">
        <f ca="1">IFERROR(__xludf.DUMMYFUNCTION("""COMPUTED_VALUE"""),"")</f>
        <v/>
      </c>
      <c r="X1081" t="str">
        <f ca="1">IFERROR(__xludf.DUMMYFUNCTION("""COMPUTED_VALUE"""),"")</f>
        <v/>
      </c>
      <c r="Y1081" t="str">
        <f ca="1">IFERROR(__xludf.DUMMYFUNCTION("""COMPUTED_VALUE"""),"")</f>
        <v/>
      </c>
      <c r="Z1081" t="str">
        <f ca="1">IFERROR(__xludf.DUMMYFUNCTION("""COMPUTED_VALUE"""),"")</f>
        <v/>
      </c>
      <c r="AA1081" t="str">
        <f ca="1">IFERROR(__xludf.DUMMYFUNCTION("""COMPUTED_VALUE"""),"Pas de commande")</f>
        <v>Pas de commande</v>
      </c>
      <c r="AB1081" s="8" t="str">
        <f ca="1">IFERROR(__xludf.DUMMYFUNCTION("""COMPUTED_VALUE"""),"")</f>
        <v/>
      </c>
      <c r="AC1081" s="8" t="str">
        <f ca="1">IFERROR(__xludf.DUMMYFUNCTION("""COMPUTED_VALUE"""),"")</f>
        <v/>
      </c>
      <c r="AD1081" s="11" t="str">
        <f ca="1">IFERROR(__xludf.DUMMYFUNCTION("""COMPUTED_VALUE"""),"")</f>
        <v/>
      </c>
      <c r="AE1081" t="str">
        <f ca="1">IFERROR(__xludf.DUMMYFUNCTION("""COMPUTED_VALUE"""),"")</f>
        <v/>
      </c>
    </row>
    <row r="1082" spans="1:31" ht="12.75" x14ac:dyDescent="0.2">
      <c r="A1082">
        <f ca="1">IFERROR(__xludf.DUMMYFUNCTION("""COMPUTED_VALUE"""),62089)</f>
        <v>62089</v>
      </c>
      <c r="B1082" t="str">
        <f ca="1">IFERROR(__xludf.DUMMYFUNCTION("""COMPUTED_VALUE"""),"VENAREY LES LAUMES")</f>
        <v>VENAREY LES LAUMES</v>
      </c>
      <c r="C1082" t="str">
        <f ca="1">IFERROR(__xludf.DUMMYFUNCTION("""COMPUTED_VALUE"""),"Super U")</f>
        <v>Super U</v>
      </c>
      <c r="D1082" t="str">
        <f ca="1">IFERROR(__xludf.DUMMYFUNCTION("""COMPUTED_VALUE"""),"Coop U Enseigne Est")</f>
        <v>Coop U Enseigne Est</v>
      </c>
      <c r="E1082">
        <f ca="1">IFERROR(__xludf.DUMMYFUNCTION("""COMPUTED_VALUE"""),21150)</f>
        <v>21150</v>
      </c>
      <c r="F1082" t="str">
        <f ca="1">IFERROR(__xludf.DUMMYFUNCTION("""COMPUTED_VALUE"""),"Place de la Libération")</f>
        <v>Place de la Libération</v>
      </c>
      <c r="G1082" t="str">
        <f ca="1">IFERROR(__xludf.DUMMYFUNCTION("""COMPUTED_VALUE"""),"03.80.96.00.53")</f>
        <v>03.80.96.00.53</v>
      </c>
      <c r="H1082" t="str">
        <f ca="1">IFERROR(__xludf.DUMMYFUNCTION("""COMPUTED_VALUE"""),"VAUBOURG RPT SAS ARNALIA Maximilien")</f>
        <v>VAUBOURG RPT SAS ARNALIA Maximilien</v>
      </c>
      <c r="I1082" t="str">
        <f ca="1">IFERROR(__xludf.DUMMYFUNCTION("""COMPUTED_VALUE"""),"maximilien.vaubourg@systeme-u.fr")</f>
        <v>maximilien.vaubourg@systeme-u.fr</v>
      </c>
      <c r="J1082" t="str">
        <f ca="1">IFERROR(__xludf.DUMMYFUNCTION("""COMPUTED_VALUE"""),"M. LEMAIRE")</f>
        <v>M. LEMAIRE</v>
      </c>
      <c r="K1082" t="str">
        <f ca="1">IFERROR(__xludf.DUMMYFUNCTION("""COMPUTED_VALUE"""),"superu.venareyleslaumes.managerderayon@systeme-u.fr")</f>
        <v>superu.venareyleslaumes.managerderayon@systeme-u.fr</v>
      </c>
      <c r="L1082" t="str">
        <f ca="1">IFERROR(__xludf.DUMMYFUNCTION("""COMPUTED_VALUE"""),"")</f>
        <v/>
      </c>
      <c r="M1082" t="str">
        <f ca="1">IFERROR(__xludf.DUMMYFUNCTION("""COMPUTED_VALUE"""),"99.Hors Périmetre")</f>
        <v>99.Hors Périmetre</v>
      </c>
      <c r="N1082" t="str">
        <f ca="1">IFERROR(__xludf.DUMMYFUNCTION("""COMPUTED_VALUE"""),"")</f>
        <v/>
      </c>
      <c r="O1082" t="str">
        <f ca="1">IFERROR(__xludf.DUMMYFUNCTION("""COMPUTED_VALUE"""),"")</f>
        <v/>
      </c>
      <c r="P1082" t="str">
        <f ca="1">IFERROR(__xludf.DUMMYFUNCTION("""COMPUTED_VALUE"""),"")</f>
        <v/>
      </c>
      <c r="Q1082" s="5" t="str">
        <f ca="1">IFERROR(__xludf.DUMMYFUNCTION("""COMPUTED_VALUE"""),"")</f>
        <v/>
      </c>
      <c r="R1082" s="6" t="str">
        <f ca="1">IFERROR(__xludf.DUMMYFUNCTION("""COMPUTED_VALUE"""),"")</f>
        <v/>
      </c>
      <c r="S1082" t="str">
        <f ca="1">IFERROR(__xludf.DUMMYFUNCTION("""COMPUTED_VALUE"""),"")</f>
        <v/>
      </c>
      <c r="T1082" t="str">
        <f ca="1">IFERROR(__xludf.DUMMYFUNCTION("""COMPUTED_VALUE"""),"")</f>
        <v/>
      </c>
      <c r="U1082" t="str">
        <f ca="1">IFERROR(__xludf.DUMMYFUNCTION("""COMPUTED_VALUE"""),"")</f>
        <v/>
      </c>
      <c r="V1082" t="str">
        <f ca="1">IFERROR(__xludf.DUMMYFUNCTION("""COMPUTED_VALUE"""),"")</f>
        <v/>
      </c>
      <c r="W1082" t="str">
        <f ca="1">IFERROR(__xludf.DUMMYFUNCTION("""COMPUTED_VALUE"""),"")</f>
        <v/>
      </c>
      <c r="X1082" t="str">
        <f ca="1">IFERROR(__xludf.DUMMYFUNCTION("""COMPUTED_VALUE"""),"")</f>
        <v/>
      </c>
      <c r="Y1082" t="str">
        <f ca="1">IFERROR(__xludf.DUMMYFUNCTION("""COMPUTED_VALUE"""),"")</f>
        <v/>
      </c>
      <c r="Z1082" t="str">
        <f ca="1">IFERROR(__xludf.DUMMYFUNCTION("""COMPUTED_VALUE"""),"")</f>
        <v/>
      </c>
      <c r="AA1082" t="str">
        <f ca="1">IFERROR(__xludf.DUMMYFUNCTION("""COMPUTED_VALUE"""),"Pas de commande")</f>
        <v>Pas de commande</v>
      </c>
      <c r="AB1082" s="8" t="str">
        <f ca="1">IFERROR(__xludf.DUMMYFUNCTION("""COMPUTED_VALUE"""),"")</f>
        <v/>
      </c>
      <c r="AC1082" s="8" t="str">
        <f ca="1">IFERROR(__xludf.DUMMYFUNCTION("""COMPUTED_VALUE"""),"")</f>
        <v/>
      </c>
      <c r="AD1082" s="11" t="str">
        <f ca="1">IFERROR(__xludf.DUMMYFUNCTION("""COMPUTED_VALUE"""),"")</f>
        <v/>
      </c>
      <c r="AE1082" t="str">
        <f ca="1">IFERROR(__xludf.DUMMYFUNCTION("""COMPUTED_VALUE"""),"")</f>
        <v/>
      </c>
    </row>
    <row r="1083" spans="1:31" ht="12.75" x14ac:dyDescent="0.2">
      <c r="A1083">
        <f ca="1">IFERROR(__xludf.DUMMYFUNCTION("""COMPUTED_VALUE"""),90660)</f>
        <v>90660</v>
      </c>
      <c r="B1083" t="str">
        <f ca="1">IFERROR(__xludf.DUMMYFUNCTION("""COMPUTED_VALUE"""),"VENELLES")</f>
        <v>VENELLES</v>
      </c>
      <c r="C1083" t="str">
        <f ca="1">IFERROR(__xludf.DUMMYFUNCTION("""COMPUTED_VALUE"""),"U Express")</f>
        <v>U Express</v>
      </c>
      <c r="D1083" t="str">
        <f ca="1">IFERROR(__xludf.DUMMYFUNCTION("""COMPUTED_VALUE"""),"Coop MISTRAL")</f>
        <v>Coop MISTRAL</v>
      </c>
      <c r="E1083">
        <f ca="1">IFERROR(__xludf.DUMMYFUNCTION("""COMPUTED_VALUE"""),13770)</f>
        <v>13770</v>
      </c>
      <c r="F1083" t="str">
        <f ca="1">IFERROR(__xludf.DUMMYFUNCTION("""COMPUTED_VALUE"""),"RUE DES ECOLES")</f>
        <v>RUE DES ECOLES</v>
      </c>
      <c r="G1083" t="str">
        <f ca="1">IFERROR(__xludf.DUMMYFUNCTION("""COMPUTED_VALUE"""),"04.42.54.72.78")</f>
        <v>04.42.54.72.78</v>
      </c>
      <c r="H1083" t="str">
        <f ca="1">IFERROR(__xludf.DUMMYFUNCTION("""COMPUTED_VALUE"""),"Mr FERRO")</f>
        <v>Mr FERRO</v>
      </c>
      <c r="I1083" t="str">
        <f ca="1">IFERROR(__xludf.DUMMYFUNCTION("""COMPUTED_VALUE"""),"uexpress.venelles@mistral-u.fr")</f>
        <v>uexpress.venelles@mistral-u.fr</v>
      </c>
      <c r="J1083" t="str">
        <f ca="1">IFERROR(__xludf.DUMMYFUNCTION("""COMPUTED_VALUE"""),"Mme Gauthier")</f>
        <v>Mme Gauthier</v>
      </c>
      <c r="K1083" t="str">
        <f ca="1">IFERROR(__xludf.DUMMYFUNCTION("""COMPUTED_VALUE"""),"delphine.damian@lemistral.fr,helene.mina@lemistral.fr, uexpress.venelles@mistral-u.fr")</f>
        <v>delphine.damian@lemistral.fr,helene.mina@lemistral.fr, uexpress.venelles@mistral-u.fr</v>
      </c>
      <c r="L1083" t="str">
        <f ca="1">IFERROR(__xludf.DUMMYFUNCTION("""COMPUTED_VALUE"""),"")</f>
        <v/>
      </c>
      <c r="M1083" t="str">
        <f ca="1">IFERROR(__xludf.DUMMYFUNCTION("""COMPUTED_VALUE"""),"99.Hors Périmetre")</f>
        <v>99.Hors Périmetre</v>
      </c>
      <c r="N1083" t="str">
        <f ca="1">IFERROR(__xludf.DUMMYFUNCTION("""COMPUTED_VALUE"""),"")</f>
        <v/>
      </c>
      <c r="O1083" t="str">
        <f ca="1">IFERROR(__xludf.DUMMYFUNCTION("""COMPUTED_VALUE"""),"")</f>
        <v/>
      </c>
      <c r="P1083" t="str">
        <f ca="1">IFERROR(__xludf.DUMMYFUNCTION("""COMPUTED_VALUE"""),"")</f>
        <v/>
      </c>
      <c r="Q1083" s="5" t="str">
        <f ca="1">IFERROR(__xludf.DUMMYFUNCTION("""COMPUTED_VALUE"""),"")</f>
        <v/>
      </c>
      <c r="R1083" s="6" t="str">
        <f ca="1">IFERROR(__xludf.DUMMYFUNCTION("""COMPUTED_VALUE"""),"")</f>
        <v/>
      </c>
      <c r="S1083" t="str">
        <f ca="1">IFERROR(__xludf.DUMMYFUNCTION("""COMPUTED_VALUE"""),"")</f>
        <v/>
      </c>
      <c r="T1083" t="str">
        <f ca="1">IFERROR(__xludf.DUMMYFUNCTION("""COMPUTED_VALUE"""),"")</f>
        <v/>
      </c>
      <c r="U1083" t="str">
        <f ca="1">IFERROR(__xludf.DUMMYFUNCTION("""COMPUTED_VALUE"""),"")</f>
        <v/>
      </c>
      <c r="V1083" t="str">
        <f ca="1">IFERROR(__xludf.DUMMYFUNCTION("""COMPUTED_VALUE"""),"")</f>
        <v/>
      </c>
      <c r="W1083" t="str">
        <f ca="1">IFERROR(__xludf.DUMMYFUNCTION("""COMPUTED_VALUE"""),"")</f>
        <v/>
      </c>
      <c r="X1083" t="str">
        <f ca="1">IFERROR(__xludf.DUMMYFUNCTION("""COMPUTED_VALUE"""),"")</f>
        <v/>
      </c>
      <c r="Y1083" t="str">
        <f ca="1">IFERROR(__xludf.DUMMYFUNCTION("""COMPUTED_VALUE"""),"")</f>
        <v/>
      </c>
      <c r="Z1083" t="str">
        <f ca="1">IFERROR(__xludf.DUMMYFUNCTION("""COMPUTED_VALUE"""),"")</f>
        <v/>
      </c>
      <c r="AA1083" t="str">
        <f ca="1">IFERROR(__xludf.DUMMYFUNCTION("""COMPUTED_VALUE"""),"Pas de commande")</f>
        <v>Pas de commande</v>
      </c>
      <c r="AB1083" s="8" t="str">
        <f ca="1">IFERROR(__xludf.DUMMYFUNCTION("""COMPUTED_VALUE"""),"")</f>
        <v/>
      </c>
      <c r="AC1083" s="8" t="str">
        <f ca="1">IFERROR(__xludf.DUMMYFUNCTION("""COMPUTED_VALUE"""),"")</f>
        <v/>
      </c>
      <c r="AD1083" s="11" t="str">
        <f ca="1">IFERROR(__xludf.DUMMYFUNCTION("""COMPUTED_VALUE"""),"")</f>
        <v/>
      </c>
      <c r="AE1083" t="str">
        <f ca="1">IFERROR(__xludf.DUMMYFUNCTION("""COMPUTED_VALUE"""),"")</f>
        <v/>
      </c>
    </row>
    <row r="1084" spans="1:31" ht="12.75" x14ac:dyDescent="0.2">
      <c r="A1084">
        <f ca="1">IFERROR(__xludf.DUMMYFUNCTION("""COMPUTED_VALUE"""),90613)</f>
        <v>90613</v>
      </c>
      <c r="B1084" t="str">
        <f ca="1">IFERROR(__xludf.DUMMYFUNCTION("""COMPUTED_VALUE"""),"VERCLAUSE")</f>
        <v>VERCLAUSE</v>
      </c>
      <c r="C1084" t="str">
        <f ca="1">IFERROR(__xludf.DUMMYFUNCTION("""COMPUTED_VALUE"""),"U Express")</f>
        <v>U Express</v>
      </c>
      <c r="D1084" t="str">
        <f ca="1">IFERROR(__xludf.DUMMYFUNCTION("""COMPUTED_VALUE"""),"Coop MISTRAL")</f>
        <v>Coop MISTRAL</v>
      </c>
      <c r="E1084">
        <f ca="1">IFERROR(__xludf.DUMMYFUNCTION("""COMPUTED_VALUE"""),26510)</f>
        <v>26510</v>
      </c>
      <c r="F1084" t="str">
        <f ca="1">IFERROR(__xludf.DUMMYFUNCTION("""COMPUTED_VALUE"""),"QUARTIER DU PONT")</f>
        <v>QUARTIER DU PONT</v>
      </c>
      <c r="G1084" t="str">
        <f ca="1">IFERROR(__xludf.DUMMYFUNCTION("""COMPUTED_VALUE"""),"04.75.27.80.86")</f>
        <v>04.75.27.80.86</v>
      </c>
      <c r="H1084" t="str">
        <f ca="1">IFERROR(__xludf.DUMMYFUNCTION("""COMPUTED_VALUE"""),"PEYRONNEL Philippe")</f>
        <v>PEYRONNEL Philippe</v>
      </c>
      <c r="I1084" t="str">
        <f ca="1">IFERROR(__xludf.DUMMYFUNCTION("""COMPUTED_VALUE"""),"")</f>
        <v/>
      </c>
      <c r="J1084" t="str">
        <f ca="1">IFERROR(__xludf.DUMMYFUNCTION("""COMPUTED_VALUE"""),"peyronnel christine ou peyronnel charlène")</f>
        <v>peyronnel christine ou peyronnel charlène</v>
      </c>
      <c r="K1084" t="str">
        <f ca="1">IFERROR(__xludf.DUMMYFUNCTION("""COMPUTED_VALUE"""),"ch.peyronnel@orange.fr,delphine.damian@lemistral.fr,helene.mina@lemistral.fr")</f>
        <v>ch.peyronnel@orange.fr,delphine.damian@lemistral.fr,helene.mina@lemistral.fr</v>
      </c>
      <c r="L1084" t="str">
        <f ca="1">IFERROR(__xludf.DUMMYFUNCTION("""COMPUTED_VALUE"""),"")</f>
        <v/>
      </c>
      <c r="M1084" t="str">
        <f ca="1">IFERROR(__xludf.DUMMYFUNCTION("""COMPUTED_VALUE"""),"99.Hors Périmetre")</f>
        <v>99.Hors Périmetre</v>
      </c>
      <c r="N1084" t="str">
        <f ca="1">IFERROR(__xludf.DUMMYFUNCTION("""COMPUTED_VALUE"""),"")</f>
        <v/>
      </c>
      <c r="O1084" t="str">
        <f ca="1">IFERROR(__xludf.DUMMYFUNCTION("""COMPUTED_VALUE"""),"")</f>
        <v/>
      </c>
      <c r="P1084" t="str">
        <f ca="1">IFERROR(__xludf.DUMMYFUNCTION("""COMPUTED_VALUE"""),"")</f>
        <v/>
      </c>
      <c r="Q1084" s="5" t="str">
        <f ca="1">IFERROR(__xludf.DUMMYFUNCTION("""COMPUTED_VALUE"""),"")</f>
        <v/>
      </c>
      <c r="R1084" s="6" t="str">
        <f ca="1">IFERROR(__xludf.DUMMYFUNCTION("""COMPUTED_VALUE"""),"")</f>
        <v/>
      </c>
      <c r="S1084" t="str">
        <f ca="1">IFERROR(__xludf.DUMMYFUNCTION("""COMPUTED_VALUE"""),"")</f>
        <v/>
      </c>
      <c r="T1084" t="str">
        <f ca="1">IFERROR(__xludf.DUMMYFUNCTION("""COMPUTED_VALUE"""),"")</f>
        <v/>
      </c>
      <c r="U1084" t="str">
        <f ca="1">IFERROR(__xludf.DUMMYFUNCTION("""COMPUTED_VALUE"""),"")</f>
        <v/>
      </c>
      <c r="V1084" t="str">
        <f ca="1">IFERROR(__xludf.DUMMYFUNCTION("""COMPUTED_VALUE"""),"")</f>
        <v/>
      </c>
      <c r="W1084" t="str">
        <f ca="1">IFERROR(__xludf.DUMMYFUNCTION("""COMPUTED_VALUE"""),"")</f>
        <v/>
      </c>
      <c r="X1084" t="str">
        <f ca="1">IFERROR(__xludf.DUMMYFUNCTION("""COMPUTED_VALUE"""),"")</f>
        <v/>
      </c>
      <c r="Y1084" t="str">
        <f ca="1">IFERROR(__xludf.DUMMYFUNCTION("""COMPUTED_VALUE"""),"")</f>
        <v/>
      </c>
      <c r="Z1084" t="str">
        <f ca="1">IFERROR(__xludf.DUMMYFUNCTION("""COMPUTED_VALUE"""),"")</f>
        <v/>
      </c>
      <c r="AA1084" t="str">
        <f ca="1">IFERROR(__xludf.DUMMYFUNCTION("""COMPUTED_VALUE"""),"Pas de commande")</f>
        <v>Pas de commande</v>
      </c>
      <c r="AB1084" s="8" t="str">
        <f ca="1">IFERROR(__xludf.DUMMYFUNCTION("""COMPUTED_VALUE"""),"")</f>
        <v/>
      </c>
      <c r="AC1084" s="8" t="str">
        <f ca="1">IFERROR(__xludf.DUMMYFUNCTION("""COMPUTED_VALUE"""),"")</f>
        <v/>
      </c>
      <c r="AD1084" s="11" t="str">
        <f ca="1">IFERROR(__xludf.DUMMYFUNCTION("""COMPUTED_VALUE"""),"")</f>
        <v/>
      </c>
      <c r="AE1084" t="str">
        <f ca="1">IFERROR(__xludf.DUMMYFUNCTION("""COMPUTED_VALUE"""),"")</f>
        <v/>
      </c>
    </row>
    <row r="1085" spans="1:31" ht="12.75" x14ac:dyDescent="0.2">
      <c r="A1085">
        <f ca="1">IFERROR(__xludf.DUMMYFUNCTION("""COMPUTED_VALUE"""),96970)</f>
        <v>96970</v>
      </c>
      <c r="B1085" t="str">
        <f ca="1">IFERROR(__xludf.DUMMYFUNCTION("""COMPUTED_VALUE"""),"VERDUN S/GARONNE")</f>
        <v>VERDUN S/GARONNE</v>
      </c>
      <c r="C1085" t="str">
        <f ca="1">IFERROR(__xludf.DUMMYFUNCTION("""COMPUTED_VALUE"""),"Super U")</f>
        <v>Super U</v>
      </c>
      <c r="D1085" t="str">
        <f ca="1">IFERROR(__xludf.DUMMYFUNCTION("""COMPUTED_VALUE"""),"Coop U Enseigne Sud")</f>
        <v>Coop U Enseigne Sud</v>
      </c>
      <c r="E1085">
        <f ca="1">IFERROR(__xludf.DUMMYFUNCTION("""COMPUTED_VALUE"""),82600)</f>
        <v>82600</v>
      </c>
      <c r="F1085" t="str">
        <f ca="1">IFERROR(__xludf.DUMMYFUNCTION("""COMPUTED_VALUE"""),"ROUTE DE MAS GRENIER")</f>
        <v>ROUTE DE MAS GRENIER</v>
      </c>
      <c r="G1085" t="str">
        <f ca="1">IFERROR(__xludf.DUMMYFUNCTION("""COMPUTED_VALUE"""),"05.63.64.37.32")</f>
        <v>05.63.64.37.32</v>
      </c>
      <c r="H1085" t="str">
        <f ca="1">IFERROR(__xludf.DUMMYFUNCTION("""COMPUTED_VALUE"""),"LAHIRLE Daniel")</f>
        <v>LAHIRLE Daniel</v>
      </c>
      <c r="I1085" t="str">
        <f ca="1">IFERROR(__xludf.DUMMYFUNCTION("""COMPUTED_VALUE"""),"superu.verdunsurgaronne.direction@systeme-u.fr")</f>
        <v>superu.verdunsurgaronne.direction@systeme-u.fr</v>
      </c>
      <c r="J1085" t="str">
        <f ca="1">IFERROR(__xludf.DUMMYFUNCTION("""COMPUTED_VALUE"""),"M. Bégué Cédric")</f>
        <v>M. Bégué Cédric</v>
      </c>
      <c r="K1085" t="str">
        <f ca="1">IFERROR(__xludf.DUMMYFUNCTION("""COMPUTED_VALUE"""),"superu.verdunsurgaronne.direction@systeme-u.fr")</f>
        <v>superu.verdunsurgaronne.direction@systeme-u.fr</v>
      </c>
      <c r="L1085" t="str">
        <f ca="1">IFERROR(__xludf.DUMMYFUNCTION("""COMPUTED_VALUE"""),"")</f>
        <v/>
      </c>
      <c r="M1085" t="str">
        <f ca="1">IFERROR(__xludf.DUMMYFUNCTION("""COMPUTED_VALUE"""),"99.Hors Périmetre")</f>
        <v>99.Hors Périmetre</v>
      </c>
      <c r="N1085" t="str">
        <f ca="1">IFERROR(__xludf.DUMMYFUNCTION("""COMPUTED_VALUE"""),"")</f>
        <v/>
      </c>
      <c r="O1085" t="str">
        <f ca="1">IFERROR(__xludf.DUMMYFUNCTION("""COMPUTED_VALUE"""),"")</f>
        <v/>
      </c>
      <c r="P1085" t="str">
        <f ca="1">IFERROR(__xludf.DUMMYFUNCTION("""COMPUTED_VALUE"""),"")</f>
        <v/>
      </c>
      <c r="Q1085" s="5" t="str">
        <f ca="1">IFERROR(__xludf.DUMMYFUNCTION("""COMPUTED_VALUE"""),"")</f>
        <v/>
      </c>
      <c r="R1085" s="6" t="str">
        <f ca="1">IFERROR(__xludf.DUMMYFUNCTION("""COMPUTED_VALUE"""),"")</f>
        <v/>
      </c>
      <c r="S1085" t="str">
        <f ca="1">IFERROR(__xludf.DUMMYFUNCTION("""COMPUTED_VALUE"""),"")</f>
        <v/>
      </c>
      <c r="T1085" t="str">
        <f ca="1">IFERROR(__xludf.DUMMYFUNCTION("""COMPUTED_VALUE"""),"")</f>
        <v/>
      </c>
      <c r="U1085" t="str">
        <f ca="1">IFERROR(__xludf.DUMMYFUNCTION("""COMPUTED_VALUE"""),"")</f>
        <v/>
      </c>
      <c r="V1085" t="str">
        <f ca="1">IFERROR(__xludf.DUMMYFUNCTION("""COMPUTED_VALUE"""),"")</f>
        <v/>
      </c>
      <c r="W1085" t="str">
        <f ca="1">IFERROR(__xludf.DUMMYFUNCTION("""COMPUTED_VALUE"""),"")</f>
        <v/>
      </c>
      <c r="X1085" t="str">
        <f ca="1">IFERROR(__xludf.DUMMYFUNCTION("""COMPUTED_VALUE"""),"")</f>
        <v/>
      </c>
      <c r="Y1085" t="str">
        <f ca="1">IFERROR(__xludf.DUMMYFUNCTION("""COMPUTED_VALUE"""),"")</f>
        <v/>
      </c>
      <c r="Z1085" t="str">
        <f ca="1">IFERROR(__xludf.DUMMYFUNCTION("""COMPUTED_VALUE"""),"")</f>
        <v/>
      </c>
      <c r="AA1085" t="str">
        <f ca="1">IFERROR(__xludf.DUMMYFUNCTION("""COMPUTED_VALUE"""),"Pas de commande")</f>
        <v>Pas de commande</v>
      </c>
      <c r="AB1085" s="8" t="str">
        <f ca="1">IFERROR(__xludf.DUMMYFUNCTION("""COMPUTED_VALUE"""),"")</f>
        <v/>
      </c>
      <c r="AC1085" s="8" t="str">
        <f ca="1">IFERROR(__xludf.DUMMYFUNCTION("""COMPUTED_VALUE"""),"")</f>
        <v/>
      </c>
      <c r="AD1085" s="11" t="str">
        <f ca="1">IFERROR(__xludf.DUMMYFUNCTION("""COMPUTED_VALUE"""),"")</f>
        <v/>
      </c>
      <c r="AE1085" t="str">
        <f ca="1">IFERROR(__xludf.DUMMYFUNCTION("""COMPUTED_VALUE"""),"")</f>
        <v/>
      </c>
    </row>
    <row r="1086" spans="1:31" ht="12.75" x14ac:dyDescent="0.2">
      <c r="A1086">
        <f ca="1">IFERROR(__xludf.DUMMYFUNCTION("""COMPUTED_VALUE"""),90130)</f>
        <v>90130</v>
      </c>
      <c r="B1086" t="str">
        <f ca="1">IFERROR(__xludf.DUMMYFUNCTION("""COMPUTED_VALUE"""),"VERGEZE")</f>
        <v>VERGEZE</v>
      </c>
      <c r="C1086" t="str">
        <f ca="1">IFERROR(__xludf.DUMMYFUNCTION("""COMPUTED_VALUE"""),"Super U")</f>
        <v>Super U</v>
      </c>
      <c r="D1086" t="str">
        <f ca="1">IFERROR(__xludf.DUMMYFUNCTION("""COMPUTED_VALUE"""),"Coop U Enseigne Sud")</f>
        <v>Coop U Enseigne Sud</v>
      </c>
      <c r="E1086">
        <f ca="1">IFERROR(__xludf.DUMMYFUNCTION("""COMPUTED_VALUE"""),30310)</f>
        <v>30310</v>
      </c>
      <c r="F1086" t="str">
        <f ca="1">IFERROR(__xludf.DUMMYFUNCTION("""COMPUTED_VALUE"""),"ROUTE DE CODOGNAN")</f>
        <v>ROUTE DE CODOGNAN</v>
      </c>
      <c r="G1086" t="str">
        <f ca="1">IFERROR(__xludf.DUMMYFUNCTION("""COMPUTED_VALUE"""),"04.66.35.36.30")</f>
        <v>04.66.35.36.30</v>
      </c>
      <c r="H1086" t="str">
        <f ca="1">IFERROR(__xludf.DUMMYFUNCTION("""COMPUTED_VALUE"""),"BONNEMORT ALAIN")</f>
        <v>BONNEMORT ALAIN</v>
      </c>
      <c r="I1086" t="str">
        <f ca="1">IFERROR(__xludf.DUMMYFUNCTION("""COMPUTED_VALUE"""),"amanda.bonnemort@systeme-u.fr")</f>
        <v>amanda.bonnemort@systeme-u.fr</v>
      </c>
      <c r="J1086" t="str">
        <f ca="1">IFERROR(__xludf.DUMMYFUNCTION("""COMPUTED_VALUE"""),"BONNEMORT Amanda")</f>
        <v>BONNEMORT Amanda</v>
      </c>
      <c r="K1086" t="str">
        <f ca="1">IFERROR(__xludf.DUMMYFUNCTION("""COMPUTED_VALUE"""),"")</f>
        <v/>
      </c>
      <c r="L1086" t="str">
        <f ca="1">IFERROR(__xludf.DUMMYFUNCTION("""COMPUTED_VALUE"""),"")</f>
        <v/>
      </c>
      <c r="M1086" t="str">
        <f ca="1">IFERROR(__xludf.DUMMYFUNCTION("""COMPUTED_VALUE"""),"99.Hors Périmetre")</f>
        <v>99.Hors Périmetre</v>
      </c>
      <c r="N1086" t="str">
        <f ca="1">IFERROR(__xludf.DUMMYFUNCTION("""COMPUTED_VALUE"""),"")</f>
        <v/>
      </c>
      <c r="O1086" t="str">
        <f ca="1">IFERROR(__xludf.DUMMYFUNCTION("""COMPUTED_VALUE"""),"")</f>
        <v/>
      </c>
      <c r="P1086" t="str">
        <f ca="1">IFERROR(__xludf.DUMMYFUNCTION("""COMPUTED_VALUE"""),"")</f>
        <v/>
      </c>
      <c r="Q1086" s="5" t="str">
        <f ca="1">IFERROR(__xludf.DUMMYFUNCTION("""COMPUTED_VALUE"""),"")</f>
        <v/>
      </c>
      <c r="R1086" s="6" t="str">
        <f ca="1">IFERROR(__xludf.DUMMYFUNCTION("""COMPUTED_VALUE"""),"")</f>
        <v/>
      </c>
      <c r="S1086" t="str">
        <f ca="1">IFERROR(__xludf.DUMMYFUNCTION("""COMPUTED_VALUE"""),"")</f>
        <v/>
      </c>
      <c r="T1086" t="str">
        <f ca="1">IFERROR(__xludf.DUMMYFUNCTION("""COMPUTED_VALUE"""),"")</f>
        <v/>
      </c>
      <c r="U1086" t="str">
        <f ca="1">IFERROR(__xludf.DUMMYFUNCTION("""COMPUTED_VALUE"""),"")</f>
        <v/>
      </c>
      <c r="V1086" t="str">
        <f ca="1">IFERROR(__xludf.DUMMYFUNCTION("""COMPUTED_VALUE"""),"")</f>
        <v/>
      </c>
      <c r="W1086" t="str">
        <f ca="1">IFERROR(__xludf.DUMMYFUNCTION("""COMPUTED_VALUE"""),"")</f>
        <v/>
      </c>
      <c r="X1086" t="str">
        <f ca="1">IFERROR(__xludf.DUMMYFUNCTION("""COMPUTED_VALUE"""),"")</f>
        <v/>
      </c>
      <c r="Y1086" t="str">
        <f ca="1">IFERROR(__xludf.DUMMYFUNCTION("""COMPUTED_VALUE"""),"")</f>
        <v/>
      </c>
      <c r="Z1086" t="str">
        <f ca="1">IFERROR(__xludf.DUMMYFUNCTION("""COMPUTED_VALUE"""),"")</f>
        <v/>
      </c>
      <c r="AA1086" t="str">
        <f ca="1">IFERROR(__xludf.DUMMYFUNCTION("""COMPUTED_VALUE"""),"Pas de commande")</f>
        <v>Pas de commande</v>
      </c>
      <c r="AB1086" s="8" t="str">
        <f ca="1">IFERROR(__xludf.DUMMYFUNCTION("""COMPUTED_VALUE"""),"")</f>
        <v/>
      </c>
      <c r="AC1086" s="8" t="str">
        <f ca="1">IFERROR(__xludf.DUMMYFUNCTION("""COMPUTED_VALUE"""),"")</f>
        <v/>
      </c>
      <c r="AD1086" s="11" t="str">
        <f ca="1">IFERROR(__xludf.DUMMYFUNCTION("""COMPUTED_VALUE"""),"")</f>
        <v/>
      </c>
      <c r="AE1086" t="str">
        <f ca="1">IFERROR(__xludf.DUMMYFUNCTION("""COMPUTED_VALUE"""),"")</f>
        <v/>
      </c>
    </row>
    <row r="1087" spans="1:31" ht="12.75" x14ac:dyDescent="0.2">
      <c r="A1087">
        <f ca="1">IFERROR(__xludf.DUMMYFUNCTION("""COMPUTED_VALUE"""),38260)</f>
        <v>38260</v>
      </c>
      <c r="B1087" t="str">
        <f ca="1">IFERROR(__xludf.DUMMYFUNCTION("""COMPUTED_VALUE"""),"VERNEUIL-SUR-VIENNE")</f>
        <v>VERNEUIL-SUR-VIENNE</v>
      </c>
      <c r="C1087" t="str">
        <f ca="1">IFERROR(__xludf.DUMMYFUNCTION("""COMPUTED_VALUE"""),"Super U")</f>
        <v>Super U</v>
      </c>
      <c r="D1087" t="str">
        <f ca="1">IFERROR(__xludf.DUMMYFUNCTION("""COMPUTED_VALUE"""),"Coop U Enseigne Ouest")</f>
        <v>Coop U Enseigne Ouest</v>
      </c>
      <c r="E1087">
        <f ca="1">IFERROR(__xludf.DUMMYFUNCTION("""COMPUTED_VALUE"""),87430)</f>
        <v>87430</v>
      </c>
      <c r="F1087" t="str">
        <f ca="1">IFERROR(__xludf.DUMMYFUNCTION("""COMPUTED_VALUE"""),"LES BETOULLES")</f>
        <v>LES BETOULLES</v>
      </c>
      <c r="G1087" t="str">
        <f ca="1">IFERROR(__xludf.DUMMYFUNCTION("""COMPUTED_VALUE"""),"05.55.75.45.60")</f>
        <v>05.55.75.45.60</v>
      </c>
      <c r="H1087" t="str">
        <f ca="1">IFERROR(__xludf.DUMMYFUNCTION("""COMPUTED_VALUE"""),"BELIVIER Michel")</f>
        <v>BELIVIER Michel</v>
      </c>
      <c r="I1087" t="str">
        <f ca="1">IFERROR(__xludf.DUMMYFUNCTION("""COMPUTED_VALUE"""),"michel.belivier@systeme-u.fr")</f>
        <v>michel.belivier@systeme-u.fr</v>
      </c>
      <c r="J1087" t="str">
        <f ca="1">IFERROR(__xludf.DUMMYFUNCTION("""COMPUTED_VALUE"""),"Mr David ou Raynaud")</f>
        <v>Mr David ou Raynaud</v>
      </c>
      <c r="K1087" t="str">
        <f ca="1">IFERROR(__xludf.DUMMYFUNCTION("""COMPUTED_VALUE"""),"")</f>
        <v/>
      </c>
      <c r="L1087" t="str">
        <f ca="1">IFERROR(__xludf.DUMMYFUNCTION("""COMPUTED_VALUE"""),"")</f>
        <v/>
      </c>
      <c r="M1087" t="str">
        <f ca="1">IFERROR(__xludf.DUMMYFUNCTION("""COMPUTED_VALUE"""),"99.Hors Périmetre")</f>
        <v>99.Hors Périmetre</v>
      </c>
      <c r="N1087" t="str">
        <f ca="1">IFERROR(__xludf.DUMMYFUNCTION("""COMPUTED_VALUE"""),"")</f>
        <v/>
      </c>
      <c r="O1087" t="str">
        <f ca="1">IFERROR(__xludf.DUMMYFUNCTION("""COMPUTED_VALUE"""),"")</f>
        <v/>
      </c>
      <c r="P1087" t="str">
        <f ca="1">IFERROR(__xludf.DUMMYFUNCTION("""COMPUTED_VALUE"""),"")</f>
        <v/>
      </c>
      <c r="Q1087" s="5" t="str">
        <f ca="1">IFERROR(__xludf.DUMMYFUNCTION("""COMPUTED_VALUE"""),"")</f>
        <v/>
      </c>
      <c r="R1087" s="6" t="str">
        <f ca="1">IFERROR(__xludf.DUMMYFUNCTION("""COMPUTED_VALUE"""),"")</f>
        <v/>
      </c>
      <c r="S1087" t="str">
        <f ca="1">IFERROR(__xludf.DUMMYFUNCTION("""COMPUTED_VALUE"""),"")</f>
        <v/>
      </c>
      <c r="T1087" t="str">
        <f ca="1">IFERROR(__xludf.DUMMYFUNCTION("""COMPUTED_VALUE"""),"")</f>
        <v/>
      </c>
      <c r="U1087" t="str">
        <f ca="1">IFERROR(__xludf.DUMMYFUNCTION("""COMPUTED_VALUE"""),"")</f>
        <v/>
      </c>
      <c r="V1087" t="str">
        <f ca="1">IFERROR(__xludf.DUMMYFUNCTION("""COMPUTED_VALUE"""),"")</f>
        <v/>
      </c>
      <c r="W1087" t="str">
        <f ca="1">IFERROR(__xludf.DUMMYFUNCTION("""COMPUTED_VALUE"""),"")</f>
        <v/>
      </c>
      <c r="X1087" t="str">
        <f ca="1">IFERROR(__xludf.DUMMYFUNCTION("""COMPUTED_VALUE"""),"")</f>
        <v/>
      </c>
      <c r="Y1087" t="str">
        <f ca="1">IFERROR(__xludf.DUMMYFUNCTION("""COMPUTED_VALUE"""),"")</f>
        <v/>
      </c>
      <c r="Z1087" t="str">
        <f ca="1">IFERROR(__xludf.DUMMYFUNCTION("""COMPUTED_VALUE"""),"")</f>
        <v/>
      </c>
      <c r="AA1087" t="str">
        <f ca="1">IFERROR(__xludf.DUMMYFUNCTION("""COMPUTED_VALUE"""),"Pas de commande")</f>
        <v>Pas de commande</v>
      </c>
      <c r="AB1087" s="8" t="str">
        <f ca="1">IFERROR(__xludf.DUMMYFUNCTION("""COMPUTED_VALUE"""),"")</f>
        <v/>
      </c>
      <c r="AC1087" s="8" t="str">
        <f ca="1">IFERROR(__xludf.DUMMYFUNCTION("""COMPUTED_VALUE"""),"")</f>
        <v/>
      </c>
      <c r="AD1087" s="11" t="str">
        <f ca="1">IFERROR(__xludf.DUMMYFUNCTION("""COMPUTED_VALUE"""),"")</f>
        <v/>
      </c>
      <c r="AE1087" t="str">
        <f ca="1">IFERROR(__xludf.DUMMYFUNCTION("""COMPUTED_VALUE"""),"")</f>
        <v/>
      </c>
    </row>
    <row r="1088" spans="1:31" ht="12.75" x14ac:dyDescent="0.2">
      <c r="A1088">
        <f ca="1">IFERROR(__xludf.DUMMYFUNCTION("""COMPUTED_VALUE"""),90539)</f>
        <v>90539</v>
      </c>
      <c r="B1088" t="str">
        <f ca="1">IFERROR(__xludf.DUMMYFUNCTION("""COMPUTED_VALUE"""),"VERNIOLLE")</f>
        <v>VERNIOLLE</v>
      </c>
      <c r="C1088" t="str">
        <f ca="1">IFERROR(__xludf.DUMMYFUNCTION("""COMPUTED_VALUE"""),"Super U")</f>
        <v>Super U</v>
      </c>
      <c r="D1088" t="str">
        <f ca="1">IFERROR(__xludf.DUMMYFUNCTION("""COMPUTED_VALUE"""),"Coop U Enseigne Sud")</f>
        <v>Coop U Enseigne Sud</v>
      </c>
      <c r="E1088">
        <f ca="1">IFERROR(__xludf.DUMMYFUNCTION("""COMPUTED_VALUE"""),9340)</f>
        <v>9340</v>
      </c>
      <c r="F1088" t="str">
        <f ca="1">IFERROR(__xludf.DUMMYFUNCTION("""COMPUTED_VALUE"""),"120 RUE CLEMENT ADER")</f>
        <v>120 RUE CLEMENT ADER</v>
      </c>
      <c r="G1088" t="str">
        <f ca="1">IFERROR(__xludf.DUMMYFUNCTION("""COMPUTED_VALUE"""),"05.34.01.08.60")</f>
        <v>05.34.01.08.60</v>
      </c>
      <c r="H1088" t="str">
        <f ca="1">IFERROR(__xludf.DUMMYFUNCTION("""COMPUTED_VALUE"""),"GUIDET Alexandre")</f>
        <v>GUIDET Alexandre</v>
      </c>
      <c r="I1088" t="str">
        <f ca="1">IFERROR(__xludf.DUMMYFUNCTION("""COMPUTED_VALUE"""),"alexandre.guidet@systeme-u.fr")</f>
        <v>alexandre.guidet@systeme-u.fr</v>
      </c>
      <c r="J1088" t="str">
        <f ca="1">IFERROR(__xludf.DUMMYFUNCTION("""COMPUTED_VALUE"""),"Alexandre Guidet")</f>
        <v>Alexandre Guidet</v>
      </c>
      <c r="K1088" t="str">
        <f ca="1">IFERROR(__xludf.DUMMYFUNCTION("""COMPUTED_VALUE"""),"")</f>
        <v/>
      </c>
      <c r="L1088" t="str">
        <f ca="1">IFERROR(__xludf.DUMMYFUNCTION("""COMPUTED_VALUE"""),"")</f>
        <v/>
      </c>
      <c r="M1088" t="str">
        <f ca="1">IFERROR(__xludf.DUMMYFUNCTION("""COMPUTED_VALUE"""),"")</f>
        <v/>
      </c>
      <c r="N1088" t="str">
        <f ca="1">IFERROR(__xludf.DUMMYFUNCTION("""COMPUTED_VALUE"""),"")</f>
        <v/>
      </c>
      <c r="O1088" t="str">
        <f ca="1">IFERROR(__xludf.DUMMYFUNCTION("""COMPUTED_VALUE"""),"")</f>
        <v/>
      </c>
      <c r="P1088" t="str">
        <f ca="1">IFERROR(__xludf.DUMMYFUNCTION("""COMPUTED_VALUE"""),"")</f>
        <v/>
      </c>
      <c r="Q1088" s="5" t="str">
        <f ca="1">IFERROR(__xludf.DUMMYFUNCTION("""COMPUTED_VALUE"""),"")</f>
        <v/>
      </c>
      <c r="R1088" s="6" t="str">
        <f ca="1">IFERROR(__xludf.DUMMYFUNCTION("""COMPUTED_VALUE"""),"")</f>
        <v/>
      </c>
      <c r="S1088" t="str">
        <f ca="1">IFERROR(__xludf.DUMMYFUNCTION("""COMPUTED_VALUE"""),"")</f>
        <v/>
      </c>
      <c r="T1088" t="str">
        <f ca="1">IFERROR(__xludf.DUMMYFUNCTION("""COMPUTED_VALUE"""),"")</f>
        <v/>
      </c>
      <c r="U1088" t="str">
        <f ca="1">IFERROR(__xludf.DUMMYFUNCTION("""COMPUTED_VALUE"""),"")</f>
        <v/>
      </c>
      <c r="V1088" t="str">
        <f ca="1">IFERROR(__xludf.DUMMYFUNCTION("""COMPUTED_VALUE"""),"")</f>
        <v/>
      </c>
      <c r="W1088" t="str">
        <f ca="1">IFERROR(__xludf.DUMMYFUNCTION("""COMPUTED_VALUE"""),"R3")</f>
        <v>R3</v>
      </c>
      <c r="X1088" t="str">
        <f ca="1">IFERROR(__xludf.DUMMYFUNCTION("""COMPUTED_VALUE"""),"Toshiba")</f>
        <v>Toshiba</v>
      </c>
      <c r="Y1088" t="str">
        <f ca="1">IFERROR(__xludf.DUMMYFUNCTION("""COMPUTED_VALUE"""),"")</f>
        <v/>
      </c>
      <c r="Z1088" t="str">
        <f ca="1">IFERROR(__xludf.DUMMYFUNCTION("""COMPUTED_VALUE"""),"")</f>
        <v/>
      </c>
      <c r="AA1088" t="str">
        <f ca="1">IFERROR(__xludf.DUMMYFUNCTION("""COMPUTED_VALUE"""),"Pas de commande")</f>
        <v>Pas de commande</v>
      </c>
      <c r="AB1088" s="8" t="str">
        <f ca="1">IFERROR(__xludf.DUMMYFUNCTION("""COMPUTED_VALUE"""),"")</f>
        <v/>
      </c>
      <c r="AC1088" s="8" t="str">
        <f ca="1">IFERROR(__xludf.DUMMYFUNCTION("""COMPUTED_VALUE"""),"")</f>
        <v/>
      </c>
      <c r="AD1088" s="11" t="str">
        <f ca="1">IFERROR(__xludf.DUMMYFUNCTION("""COMPUTED_VALUE"""),"")</f>
        <v/>
      </c>
      <c r="AE1088" t="str">
        <f ca="1">IFERROR(__xludf.DUMMYFUNCTION("""COMPUTED_VALUE"""),"")</f>
        <v/>
      </c>
    </row>
    <row r="1089" spans="1:31" ht="12.75" x14ac:dyDescent="0.2">
      <c r="A1089">
        <f ca="1">IFERROR(__xludf.DUMMYFUNCTION("""COMPUTED_VALUE"""),39857)</f>
        <v>39857</v>
      </c>
      <c r="B1089" t="str">
        <f ca="1">IFERROR(__xludf.DUMMYFUNCTION("""COMPUTED_VALUE"""),"VERNOIL-LE FOURRIER")</f>
        <v>VERNOIL-LE FOURRIER</v>
      </c>
      <c r="C1089" t="str">
        <f ca="1">IFERROR(__xludf.DUMMYFUNCTION("""COMPUTED_VALUE"""),"Super U")</f>
        <v>Super U</v>
      </c>
      <c r="D1089" t="str">
        <f ca="1">IFERROR(__xludf.DUMMYFUNCTION("""COMPUTED_VALUE"""),"Coop U Enseigne Ouest")</f>
        <v>Coop U Enseigne Ouest</v>
      </c>
      <c r="E1089">
        <f ca="1">IFERROR(__xludf.DUMMYFUNCTION("""COMPUTED_VALUE"""),49390)</f>
        <v>49390</v>
      </c>
      <c r="F1089" t="str">
        <f ca="1">IFERROR(__xludf.DUMMYFUNCTION("""COMPUTED_VALUE"""),"ROUTE DE VERNANTES")</f>
        <v>ROUTE DE VERNANTES</v>
      </c>
      <c r="G1089" t="str">
        <f ca="1">IFERROR(__xludf.DUMMYFUNCTION("""COMPUTED_VALUE"""),"02.41.51.54.82")</f>
        <v>02.41.51.54.82</v>
      </c>
      <c r="H1089" t="str">
        <f ca="1">IFERROR(__xludf.DUMMYFUNCTION("""COMPUTED_VALUE"""),"BEAUCHARD Annabelle")</f>
        <v>BEAUCHARD Annabelle</v>
      </c>
      <c r="I1089" t="str">
        <f ca="1">IFERROR(__xludf.DUMMYFUNCTION("""COMPUTED_VALUE"""),"annabelle.beauchard@systeme-u.fr")</f>
        <v>annabelle.beauchard@systeme-u.fr</v>
      </c>
      <c r="J1089" t="str">
        <f ca="1">IFERROR(__xludf.DUMMYFUNCTION("""COMPUTED_VALUE"""),"Noel Marie")</f>
        <v>Noel Marie</v>
      </c>
      <c r="K1089" t="str">
        <f ca="1">IFERROR(__xludf.DUMMYFUNCTION("""COMPUTED_VALUE""")," superu.vernoillefourrier@systeme-u.fr")</f>
        <v xml:space="preserve"> superu.vernoillefourrier@systeme-u.fr</v>
      </c>
      <c r="L1089" t="str">
        <f ca="1">IFERROR(__xludf.DUMMYFUNCTION("""COMPUTED_VALUE"""),"")</f>
        <v/>
      </c>
      <c r="M1089" t="str">
        <f ca="1">IFERROR(__xludf.DUMMYFUNCTION("""COMPUTED_VALUE"""),"99.Hors Périmetre")</f>
        <v>99.Hors Périmetre</v>
      </c>
      <c r="N1089" t="str">
        <f ca="1">IFERROR(__xludf.DUMMYFUNCTION("""COMPUTED_VALUE"""),"")</f>
        <v/>
      </c>
      <c r="O1089" t="str">
        <f ca="1">IFERROR(__xludf.DUMMYFUNCTION("""COMPUTED_VALUE"""),"")</f>
        <v/>
      </c>
      <c r="P1089" t="str">
        <f ca="1">IFERROR(__xludf.DUMMYFUNCTION("""COMPUTED_VALUE"""),"")</f>
        <v/>
      </c>
      <c r="Q1089" s="5" t="str">
        <f ca="1">IFERROR(__xludf.DUMMYFUNCTION("""COMPUTED_VALUE"""),"")</f>
        <v/>
      </c>
      <c r="R1089" s="6" t="str">
        <f ca="1">IFERROR(__xludf.DUMMYFUNCTION("""COMPUTED_VALUE"""),"")</f>
        <v/>
      </c>
      <c r="S1089" t="str">
        <f ca="1">IFERROR(__xludf.DUMMYFUNCTION("""COMPUTED_VALUE"""),"")</f>
        <v/>
      </c>
      <c r="T1089" t="str">
        <f ca="1">IFERROR(__xludf.DUMMYFUNCTION("""COMPUTED_VALUE"""),"")</f>
        <v/>
      </c>
      <c r="U1089" t="str">
        <f ca="1">IFERROR(__xludf.DUMMYFUNCTION("""COMPUTED_VALUE"""),"")</f>
        <v/>
      </c>
      <c r="V1089" t="str">
        <f ca="1">IFERROR(__xludf.DUMMYFUNCTION("""COMPUTED_VALUE"""),"")</f>
        <v/>
      </c>
      <c r="W1089" t="str">
        <f ca="1">IFERROR(__xludf.DUMMYFUNCTION("""COMPUTED_VALUE"""),"")</f>
        <v/>
      </c>
      <c r="X1089" t="str">
        <f ca="1">IFERROR(__xludf.DUMMYFUNCTION("""COMPUTED_VALUE"""),"")</f>
        <v/>
      </c>
      <c r="Y1089" t="str">
        <f ca="1">IFERROR(__xludf.DUMMYFUNCTION("""COMPUTED_VALUE"""),"")</f>
        <v/>
      </c>
      <c r="Z1089" t="str">
        <f ca="1">IFERROR(__xludf.DUMMYFUNCTION("""COMPUTED_VALUE"""),"")</f>
        <v/>
      </c>
      <c r="AA1089" t="str">
        <f ca="1">IFERROR(__xludf.DUMMYFUNCTION("""COMPUTED_VALUE"""),"Pas de commande")</f>
        <v>Pas de commande</v>
      </c>
      <c r="AB1089" s="8" t="str">
        <f ca="1">IFERROR(__xludf.DUMMYFUNCTION("""COMPUTED_VALUE"""),"")</f>
        <v/>
      </c>
      <c r="AC1089" s="8" t="str">
        <f ca="1">IFERROR(__xludf.DUMMYFUNCTION("""COMPUTED_VALUE"""),"")</f>
        <v/>
      </c>
      <c r="AD1089" s="11" t="str">
        <f ca="1">IFERROR(__xludf.DUMMYFUNCTION("""COMPUTED_VALUE"""),"")</f>
        <v/>
      </c>
      <c r="AE1089" t="str">
        <f ca="1">IFERROR(__xludf.DUMMYFUNCTION("""COMPUTED_VALUE"""),"")</f>
        <v/>
      </c>
    </row>
    <row r="1090" spans="1:31" ht="12.75" x14ac:dyDescent="0.2">
      <c r="A1090">
        <f ca="1">IFERROR(__xludf.DUMMYFUNCTION("""COMPUTED_VALUE"""),33301)</f>
        <v>33301</v>
      </c>
      <c r="B1090" t="str">
        <f ca="1">IFERROR(__xludf.DUMMYFUNCTION("""COMPUTED_VALUE"""),"VERNOU-SUR-BRENNE")</f>
        <v>VERNOU-SUR-BRENNE</v>
      </c>
      <c r="C1090" t="str">
        <f ca="1">IFERROR(__xludf.DUMMYFUNCTION("""COMPUTED_VALUE"""),"Super U")</f>
        <v>Super U</v>
      </c>
      <c r="D1090" t="str">
        <f ca="1">IFERROR(__xludf.DUMMYFUNCTION("""COMPUTED_VALUE"""),"Coop U Enseigne Ouest")</f>
        <v>Coop U Enseigne Ouest</v>
      </c>
      <c r="E1090">
        <f ca="1">IFERROR(__xludf.DUMMYFUNCTION("""COMPUTED_VALUE"""),37210)</f>
        <v>37210</v>
      </c>
      <c r="F1090" t="str">
        <f ca="1">IFERROR(__xludf.DUMMYFUNCTION("""COMPUTED_VALUE"""),"25 RUE DU PROFESSEUR DEBRE")</f>
        <v>25 RUE DU PROFESSEUR DEBRE</v>
      </c>
      <c r="G1090" t="str">
        <f ca="1">IFERROR(__xludf.DUMMYFUNCTION("""COMPUTED_VALUE"""),"02.47.52.13.13")</f>
        <v>02.47.52.13.13</v>
      </c>
      <c r="H1090" t="str">
        <f ca="1">IFERROR(__xludf.DUMMYFUNCTION("""COMPUTED_VALUE"""),"SORNAIS RPT SC JODIAM Didier")</f>
        <v>SORNAIS RPT SC JODIAM Didier</v>
      </c>
      <c r="I1090" t="str">
        <f ca="1">IFERROR(__xludf.DUMMYFUNCTION("""COMPUTED_VALUE"""),"didier.sornais@systeme-u.fr")</f>
        <v>didier.sornais@systeme-u.fr</v>
      </c>
      <c r="J1090" t="str">
        <f ca="1">IFERROR(__xludf.DUMMYFUNCTION("""COMPUTED_VALUE"""),"Sornais Sophie")</f>
        <v>Sornais Sophie</v>
      </c>
      <c r="K1090" t="str">
        <f ca="1">IFERROR(__xludf.DUMMYFUNCTION("""COMPUTED_VALUE"""),"")</f>
        <v/>
      </c>
      <c r="L1090" t="str">
        <f ca="1">IFERROR(__xludf.DUMMYFUNCTION("""COMPUTED_VALUE"""),"")</f>
        <v/>
      </c>
      <c r="M1090" t="str">
        <f ca="1">IFERROR(__xludf.DUMMYFUNCTION("""COMPUTED_VALUE"""),"99.Hors Périmetre")</f>
        <v>99.Hors Périmetre</v>
      </c>
      <c r="N1090" t="str">
        <f ca="1">IFERROR(__xludf.DUMMYFUNCTION("""COMPUTED_VALUE"""),"")</f>
        <v/>
      </c>
      <c r="O1090" t="str">
        <f ca="1">IFERROR(__xludf.DUMMYFUNCTION("""COMPUTED_VALUE"""),"")</f>
        <v/>
      </c>
      <c r="P1090" t="str">
        <f ca="1">IFERROR(__xludf.DUMMYFUNCTION("""COMPUTED_VALUE"""),"")</f>
        <v/>
      </c>
      <c r="Q1090" s="5" t="str">
        <f ca="1">IFERROR(__xludf.DUMMYFUNCTION("""COMPUTED_VALUE"""),"")</f>
        <v/>
      </c>
      <c r="R1090" s="6" t="str">
        <f ca="1">IFERROR(__xludf.DUMMYFUNCTION("""COMPUTED_VALUE"""),"")</f>
        <v/>
      </c>
      <c r="S1090" t="str">
        <f ca="1">IFERROR(__xludf.DUMMYFUNCTION("""COMPUTED_VALUE"""),"")</f>
        <v/>
      </c>
      <c r="T1090" t="str">
        <f ca="1">IFERROR(__xludf.DUMMYFUNCTION("""COMPUTED_VALUE"""),"")</f>
        <v/>
      </c>
      <c r="U1090" t="str">
        <f ca="1">IFERROR(__xludf.DUMMYFUNCTION("""COMPUTED_VALUE"""),"")</f>
        <v/>
      </c>
      <c r="V1090" t="str">
        <f ca="1">IFERROR(__xludf.DUMMYFUNCTION("""COMPUTED_VALUE"""),"")</f>
        <v/>
      </c>
      <c r="W1090" t="str">
        <f ca="1">IFERROR(__xludf.DUMMYFUNCTION("""COMPUTED_VALUE"""),"")</f>
        <v/>
      </c>
      <c r="X1090" t="str">
        <f ca="1">IFERROR(__xludf.DUMMYFUNCTION("""COMPUTED_VALUE"""),"")</f>
        <v/>
      </c>
      <c r="Y1090" t="str">
        <f ca="1">IFERROR(__xludf.DUMMYFUNCTION("""COMPUTED_VALUE"""),"")</f>
        <v/>
      </c>
      <c r="Z1090" t="str">
        <f ca="1">IFERROR(__xludf.DUMMYFUNCTION("""COMPUTED_VALUE"""),"")</f>
        <v/>
      </c>
      <c r="AA1090" t="str">
        <f ca="1">IFERROR(__xludf.DUMMYFUNCTION("""COMPUTED_VALUE"""),"Pas de commande")</f>
        <v>Pas de commande</v>
      </c>
      <c r="AB1090" s="8" t="str">
        <f ca="1">IFERROR(__xludf.DUMMYFUNCTION("""COMPUTED_VALUE"""),"")</f>
        <v/>
      </c>
      <c r="AC1090" s="8" t="str">
        <f ca="1">IFERROR(__xludf.DUMMYFUNCTION("""COMPUTED_VALUE"""),"")</f>
        <v/>
      </c>
      <c r="AD1090" s="11" t="str">
        <f ca="1">IFERROR(__xludf.DUMMYFUNCTION("""COMPUTED_VALUE"""),"")</f>
        <v/>
      </c>
      <c r="AE1090" t="str">
        <f ca="1">IFERROR(__xludf.DUMMYFUNCTION("""COMPUTED_VALUE"""),"")</f>
        <v/>
      </c>
    </row>
    <row r="1091" spans="1:31" ht="12.75" x14ac:dyDescent="0.2">
      <c r="A1091">
        <f ca="1">IFERROR(__xludf.DUMMYFUNCTION("""COMPUTED_VALUE"""),20345)</f>
        <v>20345</v>
      </c>
      <c r="B1091" t="str">
        <f ca="1">IFERROR(__xludf.DUMMYFUNCTION("""COMPUTED_VALUE"""),"VERNOUILLET")</f>
        <v>VERNOUILLET</v>
      </c>
      <c r="C1091" t="str">
        <f ca="1">IFERROR(__xludf.DUMMYFUNCTION("""COMPUTED_VALUE"""),"Hyper U")</f>
        <v>Hyper U</v>
      </c>
      <c r="D1091" t="str">
        <f ca="1">IFERROR(__xludf.DUMMYFUNCTION("""COMPUTED_VALUE"""),"Coop U Enseigne NordOuest")</f>
        <v>Coop U Enseigne NordOuest</v>
      </c>
      <c r="E1091">
        <f ca="1">IFERROR(__xludf.DUMMYFUNCTION("""COMPUTED_VALUE"""),28500)</f>
        <v>28500</v>
      </c>
      <c r="F1091" t="str">
        <f ca="1">IFERROR(__xludf.DUMMYFUNCTION("""COMPUTED_VALUE"""),"RN 154")</f>
        <v>RN 154</v>
      </c>
      <c r="G1091" t="str">
        <f ca="1">IFERROR(__xludf.DUMMYFUNCTION("""COMPUTED_VALUE"""),"02.37.62.62.00")</f>
        <v>02.37.62.62.00</v>
      </c>
      <c r="H1091" t="str">
        <f ca="1">IFERROR(__xludf.DUMMYFUNCTION("""COMPUTED_VALUE"""),"GOURNAY Daniel")</f>
        <v>GOURNAY Daniel</v>
      </c>
      <c r="I1091" t="str">
        <f ca="1">IFERROR(__xludf.DUMMYFUNCTION("""COMPUTED_VALUE"""),"daniel.gournay@systeme-u.fr")</f>
        <v>daniel.gournay@systeme-u.fr</v>
      </c>
      <c r="J1091" t="str">
        <f ca="1">IFERROR(__xludf.DUMMYFUNCTION("""COMPUTED_VALUE"""),"M Turrière
Mme Lussiana")</f>
        <v>M Turrière
Mme Lussiana</v>
      </c>
      <c r="K1091" t="str">
        <f ca="1">IFERROR(__xludf.DUMMYFUNCTION("""COMPUTED_VALUE"""),"hyperu.vernouillet.direction@systeme-u.fr")</f>
        <v>hyperu.vernouillet.direction@systeme-u.fr</v>
      </c>
      <c r="L1091" t="str">
        <f ca="1">IFERROR(__xludf.DUMMYFUNCTION("""COMPUTED_VALUE"""),"")</f>
        <v/>
      </c>
      <c r="M1091" t="str">
        <f ca="1">IFERROR(__xludf.DUMMYFUNCTION("""COMPUTED_VALUE"""),"99.Hors Périmetre")</f>
        <v>99.Hors Périmetre</v>
      </c>
      <c r="N1091" t="str">
        <f ca="1">IFERROR(__xludf.DUMMYFUNCTION("""COMPUTED_VALUE"""),"")</f>
        <v/>
      </c>
      <c r="O1091" t="str">
        <f ca="1">IFERROR(__xludf.DUMMYFUNCTION("""COMPUTED_VALUE"""),"")</f>
        <v/>
      </c>
      <c r="P1091" t="str">
        <f ca="1">IFERROR(__xludf.DUMMYFUNCTION("""COMPUTED_VALUE"""),"")</f>
        <v/>
      </c>
      <c r="Q1091" s="5" t="str">
        <f ca="1">IFERROR(__xludf.DUMMYFUNCTION("""COMPUTED_VALUE"""),"")</f>
        <v/>
      </c>
      <c r="R1091" s="6" t="str">
        <f ca="1">IFERROR(__xludf.DUMMYFUNCTION("""COMPUTED_VALUE"""),"")</f>
        <v/>
      </c>
      <c r="S1091" t="str">
        <f ca="1">IFERROR(__xludf.DUMMYFUNCTION("""COMPUTED_VALUE"""),"")</f>
        <v/>
      </c>
      <c r="T1091" t="str">
        <f ca="1">IFERROR(__xludf.DUMMYFUNCTION("""COMPUTED_VALUE"""),"")</f>
        <v/>
      </c>
      <c r="U1091" t="str">
        <f ca="1">IFERROR(__xludf.DUMMYFUNCTION("""COMPUTED_VALUE"""),"")</f>
        <v/>
      </c>
      <c r="V1091" t="str">
        <f ca="1">IFERROR(__xludf.DUMMYFUNCTION("""COMPUTED_VALUE"""),"")</f>
        <v/>
      </c>
      <c r="W1091" t="str">
        <f ca="1">IFERROR(__xludf.DUMMYFUNCTION("""COMPUTED_VALUE"""),"")</f>
        <v/>
      </c>
      <c r="X1091" t="str">
        <f ca="1">IFERROR(__xludf.DUMMYFUNCTION("""COMPUTED_VALUE"""),"")</f>
        <v/>
      </c>
      <c r="Y1091" t="str">
        <f ca="1">IFERROR(__xludf.DUMMYFUNCTION("""COMPUTED_VALUE"""),"")</f>
        <v/>
      </c>
      <c r="Z1091" t="str">
        <f ca="1">IFERROR(__xludf.DUMMYFUNCTION("""COMPUTED_VALUE"""),"")</f>
        <v/>
      </c>
      <c r="AA1091" t="str">
        <f ca="1">IFERROR(__xludf.DUMMYFUNCTION("""COMPUTED_VALUE"""),"Pas de commande")</f>
        <v>Pas de commande</v>
      </c>
      <c r="AB1091" s="8" t="str">
        <f ca="1">IFERROR(__xludf.DUMMYFUNCTION("""COMPUTED_VALUE"""),"")</f>
        <v/>
      </c>
      <c r="AC1091" s="8" t="str">
        <f ca="1">IFERROR(__xludf.DUMMYFUNCTION("""COMPUTED_VALUE"""),"")</f>
        <v/>
      </c>
      <c r="AD1091" s="11" t="str">
        <f ca="1">IFERROR(__xludf.DUMMYFUNCTION("""COMPUTED_VALUE"""),"")</f>
        <v/>
      </c>
      <c r="AE1091" t="str">
        <f ca="1">IFERROR(__xludf.DUMMYFUNCTION("""COMPUTED_VALUE"""),"")</f>
        <v/>
      </c>
    </row>
    <row r="1092" spans="1:31" ht="12.75" x14ac:dyDescent="0.2">
      <c r="A1092">
        <f ca="1">IFERROR(__xludf.DUMMYFUNCTION("""COMPUTED_VALUE"""),24987)</f>
        <v>24987</v>
      </c>
      <c r="B1092" t="str">
        <f ca="1">IFERROR(__xludf.DUMMYFUNCTION("""COMPUTED_VALUE"""),"VERSAILLES")</f>
        <v>VERSAILLES</v>
      </c>
      <c r="C1092" t="str">
        <f ca="1">IFERROR(__xludf.DUMMYFUNCTION("""COMPUTED_VALUE"""),"U Express")</f>
        <v>U Express</v>
      </c>
      <c r="D1092" t="str">
        <f ca="1">IFERROR(__xludf.DUMMYFUNCTION("""COMPUTED_VALUE"""),"Coop U Enseigne NordOuest")</f>
        <v>Coop U Enseigne NordOuest</v>
      </c>
      <c r="E1092">
        <f ca="1">IFERROR(__xludf.DUMMYFUNCTION("""COMPUTED_VALUE"""),78000)</f>
        <v>78000</v>
      </c>
      <c r="F1092" t="str">
        <f ca="1">IFERROR(__xludf.DUMMYFUNCTION("""COMPUTED_VALUE"""),"45 RUE DU MARECHAL FOCH")</f>
        <v>45 RUE DU MARECHAL FOCH</v>
      </c>
      <c r="G1092" t="str">
        <f ca="1">IFERROR(__xludf.DUMMYFUNCTION("""COMPUTED_VALUE"""),"01.39.50.25.62")</f>
        <v>01.39.50.25.62</v>
      </c>
      <c r="H1092" t="str">
        <f ca="1">IFERROR(__xludf.DUMMYFUNCTION("""COMPUTED_VALUE"""),"FARIA Francisco")</f>
        <v>FARIA Francisco</v>
      </c>
      <c r="I1092" t="str">
        <f ca="1">IFERROR(__xludf.DUMMYFUNCTION("""COMPUTED_VALUE"""),"francisco.faria@systeme-u.fr")</f>
        <v>francisco.faria@systeme-u.fr</v>
      </c>
      <c r="J1092" t="str">
        <f ca="1">IFERROR(__xludf.DUMMYFUNCTION("""COMPUTED_VALUE"""),"")</f>
        <v/>
      </c>
      <c r="K1092" t="str">
        <f ca="1">IFERROR(__xludf.DUMMYFUNCTION("""COMPUTED_VALUE"""),"uexpress.versailles@systeme-u.fr")</f>
        <v>uexpress.versailles@systeme-u.fr</v>
      </c>
      <c r="L1092" t="str">
        <f ca="1">IFERROR(__xludf.DUMMYFUNCTION("""COMPUTED_VALUE"""),"")</f>
        <v/>
      </c>
      <c r="M1092" t="str">
        <f ca="1">IFERROR(__xludf.DUMMYFUNCTION("""COMPUTED_VALUE"""),"99.Hors Périmetre")</f>
        <v>99.Hors Périmetre</v>
      </c>
      <c r="N1092" t="str">
        <f ca="1">IFERROR(__xludf.DUMMYFUNCTION("""COMPUTED_VALUE"""),"")</f>
        <v/>
      </c>
      <c r="O1092" t="str">
        <f ca="1">IFERROR(__xludf.DUMMYFUNCTION("""COMPUTED_VALUE"""),"")</f>
        <v/>
      </c>
      <c r="P1092" t="str">
        <f ca="1">IFERROR(__xludf.DUMMYFUNCTION("""COMPUTED_VALUE"""),"")</f>
        <v/>
      </c>
      <c r="Q1092" s="5" t="str">
        <f ca="1">IFERROR(__xludf.DUMMYFUNCTION("""COMPUTED_VALUE"""),"")</f>
        <v/>
      </c>
      <c r="R1092" s="6" t="str">
        <f ca="1">IFERROR(__xludf.DUMMYFUNCTION("""COMPUTED_VALUE"""),"")</f>
        <v/>
      </c>
      <c r="S1092" t="str">
        <f ca="1">IFERROR(__xludf.DUMMYFUNCTION("""COMPUTED_VALUE"""),"")</f>
        <v/>
      </c>
      <c r="T1092" t="str">
        <f ca="1">IFERROR(__xludf.DUMMYFUNCTION("""COMPUTED_VALUE"""),"")</f>
        <v/>
      </c>
      <c r="U1092" t="str">
        <f ca="1">IFERROR(__xludf.DUMMYFUNCTION("""COMPUTED_VALUE"""),"")</f>
        <v/>
      </c>
      <c r="V1092" t="str">
        <f ca="1">IFERROR(__xludf.DUMMYFUNCTION("""COMPUTED_VALUE"""),"")</f>
        <v/>
      </c>
      <c r="W1092" t="str">
        <f ca="1">IFERROR(__xludf.DUMMYFUNCTION("""COMPUTED_VALUE"""),"")</f>
        <v/>
      </c>
      <c r="X1092" t="str">
        <f ca="1">IFERROR(__xludf.DUMMYFUNCTION("""COMPUTED_VALUE"""),"")</f>
        <v/>
      </c>
      <c r="Y1092" t="str">
        <f ca="1">IFERROR(__xludf.DUMMYFUNCTION("""COMPUTED_VALUE"""),"")</f>
        <v/>
      </c>
      <c r="Z1092" t="str">
        <f ca="1">IFERROR(__xludf.DUMMYFUNCTION("""COMPUTED_VALUE"""),"")</f>
        <v/>
      </c>
      <c r="AA1092" t="str">
        <f ca="1">IFERROR(__xludf.DUMMYFUNCTION("""COMPUTED_VALUE"""),"Pas de commande")</f>
        <v>Pas de commande</v>
      </c>
      <c r="AB1092" s="8" t="str">
        <f ca="1">IFERROR(__xludf.DUMMYFUNCTION("""COMPUTED_VALUE"""),"")</f>
        <v/>
      </c>
      <c r="AC1092" s="8" t="str">
        <f ca="1">IFERROR(__xludf.DUMMYFUNCTION("""COMPUTED_VALUE"""),"")</f>
        <v/>
      </c>
      <c r="AD1092" s="11" t="str">
        <f ca="1">IFERROR(__xludf.DUMMYFUNCTION("""COMPUTED_VALUE"""),"")</f>
        <v/>
      </c>
      <c r="AE1092" t="str">
        <f ca="1">IFERROR(__xludf.DUMMYFUNCTION("""COMPUTED_VALUE"""),"")</f>
        <v/>
      </c>
    </row>
    <row r="1093" spans="1:31" ht="12.75" x14ac:dyDescent="0.2">
      <c r="A1093">
        <f ca="1">IFERROR(__xludf.DUMMYFUNCTION("""COMPUTED_VALUE"""),90679)</f>
        <v>90679</v>
      </c>
      <c r="B1093" t="str">
        <f ca="1">IFERROR(__xludf.DUMMYFUNCTION("""COMPUTED_VALUE"""),"VESCOVATO")</f>
        <v>VESCOVATO</v>
      </c>
      <c r="C1093" t="str">
        <f ca="1">IFERROR(__xludf.DUMMYFUNCTION("""COMPUTED_VALUE"""),"U Express")</f>
        <v>U Express</v>
      </c>
      <c r="D1093" t="str">
        <f ca="1">IFERROR(__xludf.DUMMYFUNCTION("""COMPUTED_VALUE"""),"Coop MISTRAL")</f>
        <v>Coop MISTRAL</v>
      </c>
      <c r="E1093">
        <f ca="1">IFERROR(__xludf.DUMMYFUNCTION("""COMPUTED_VALUE"""),20215)</f>
        <v>20215</v>
      </c>
      <c r="F1093" t="str">
        <f ca="1">IFERROR(__xludf.DUMMYFUNCTION("""COMPUTED_VALUE"""),"RN 198")</f>
        <v>RN 198</v>
      </c>
      <c r="G1093" t="str">
        <f ca="1">IFERROR(__xludf.DUMMYFUNCTION("""COMPUTED_VALUE"""),"04.95.38.02.80")</f>
        <v>04.95.38.02.80</v>
      </c>
      <c r="H1093" t="str">
        <f ca="1">IFERROR(__xludf.DUMMYFUNCTION("""COMPUTED_VALUE"""),"TORZUOLI Alain")</f>
        <v>TORZUOLI Alain</v>
      </c>
      <c r="I1093" t="str">
        <f ca="1">IFERROR(__xludf.DUMMYFUNCTION("""COMPUTED_VALUE"""),"")</f>
        <v/>
      </c>
      <c r="J1093" t="str">
        <f ca="1">IFERROR(__xludf.DUMMYFUNCTION("""COMPUTED_VALUE"""),"TORZUOLI alex")</f>
        <v>TORZUOLI alex</v>
      </c>
      <c r="K1093" t="str">
        <f ca="1">IFERROR(__xludf.DUMMYFUNCTION("""COMPUTED_VALUE"""),"delphine.damian@lemistral.fr,helene.mina@lemistral.fr,vescodis@wanadoo.fr")</f>
        <v>delphine.damian@lemistral.fr,helene.mina@lemistral.fr,vescodis@wanadoo.fr</v>
      </c>
      <c r="L1093" t="str">
        <f ca="1">IFERROR(__xludf.DUMMYFUNCTION("""COMPUTED_VALUE"""),"")</f>
        <v/>
      </c>
      <c r="M1093" t="str">
        <f ca="1">IFERROR(__xludf.DUMMYFUNCTION("""COMPUTED_VALUE"""),"99.Hors Périmetre")</f>
        <v>99.Hors Périmetre</v>
      </c>
      <c r="N1093" t="str">
        <f ca="1">IFERROR(__xludf.DUMMYFUNCTION("""COMPUTED_VALUE"""),"")</f>
        <v/>
      </c>
      <c r="O1093" t="str">
        <f ca="1">IFERROR(__xludf.DUMMYFUNCTION("""COMPUTED_VALUE"""),"")</f>
        <v/>
      </c>
      <c r="P1093" t="str">
        <f ca="1">IFERROR(__xludf.DUMMYFUNCTION("""COMPUTED_VALUE"""),"")</f>
        <v/>
      </c>
      <c r="Q1093" s="5" t="str">
        <f ca="1">IFERROR(__xludf.DUMMYFUNCTION("""COMPUTED_VALUE"""),"")</f>
        <v/>
      </c>
      <c r="R1093" s="6" t="str">
        <f ca="1">IFERROR(__xludf.DUMMYFUNCTION("""COMPUTED_VALUE"""),"")</f>
        <v/>
      </c>
      <c r="S1093" t="str">
        <f ca="1">IFERROR(__xludf.DUMMYFUNCTION("""COMPUTED_VALUE"""),"")</f>
        <v/>
      </c>
      <c r="T1093" t="str">
        <f ca="1">IFERROR(__xludf.DUMMYFUNCTION("""COMPUTED_VALUE"""),"")</f>
        <v/>
      </c>
      <c r="U1093" t="str">
        <f ca="1">IFERROR(__xludf.DUMMYFUNCTION("""COMPUTED_VALUE"""),"")</f>
        <v/>
      </c>
      <c r="V1093" t="str">
        <f ca="1">IFERROR(__xludf.DUMMYFUNCTION("""COMPUTED_VALUE"""),"")</f>
        <v/>
      </c>
      <c r="W1093" t="str">
        <f ca="1">IFERROR(__xludf.DUMMYFUNCTION("""COMPUTED_VALUE"""),"")</f>
        <v/>
      </c>
      <c r="X1093" t="str">
        <f ca="1">IFERROR(__xludf.DUMMYFUNCTION("""COMPUTED_VALUE"""),"")</f>
        <v/>
      </c>
      <c r="Y1093" t="str">
        <f ca="1">IFERROR(__xludf.DUMMYFUNCTION("""COMPUTED_VALUE"""),"")</f>
        <v/>
      </c>
      <c r="Z1093" t="str">
        <f ca="1">IFERROR(__xludf.DUMMYFUNCTION("""COMPUTED_VALUE"""),"")</f>
        <v/>
      </c>
      <c r="AA1093" t="str">
        <f ca="1">IFERROR(__xludf.DUMMYFUNCTION("""COMPUTED_VALUE"""),"Pas de commande")</f>
        <v>Pas de commande</v>
      </c>
      <c r="AB1093" s="8" t="str">
        <f ca="1">IFERROR(__xludf.DUMMYFUNCTION("""COMPUTED_VALUE"""),"")</f>
        <v/>
      </c>
      <c r="AC1093" s="8" t="str">
        <f ca="1">IFERROR(__xludf.DUMMYFUNCTION("""COMPUTED_VALUE"""),"")</f>
        <v/>
      </c>
      <c r="AD1093" s="11" t="str">
        <f ca="1">IFERROR(__xludf.DUMMYFUNCTION("""COMPUTED_VALUE"""),"")</f>
        <v/>
      </c>
      <c r="AE1093" t="str">
        <f ca="1">IFERROR(__xludf.DUMMYFUNCTION("""COMPUTED_VALUE"""),"")</f>
        <v/>
      </c>
    </row>
    <row r="1094" spans="1:31" ht="12.75" x14ac:dyDescent="0.2">
      <c r="A1094">
        <f ca="1">IFERROR(__xludf.DUMMYFUNCTION("""COMPUTED_VALUE"""),90265)</f>
        <v>90265</v>
      </c>
      <c r="B1094" t="str">
        <f ca="1">IFERROR(__xludf.DUMMYFUNCTION("""COMPUTED_VALUE"""),"VEYNES")</f>
        <v>VEYNES</v>
      </c>
      <c r="C1094" t="str">
        <f ca="1">IFERROR(__xludf.DUMMYFUNCTION("""COMPUTED_VALUE"""),"Super U")</f>
        <v>Super U</v>
      </c>
      <c r="D1094" t="str">
        <f ca="1">IFERROR(__xludf.DUMMYFUNCTION("""COMPUTED_VALUE"""),"Coop U Enseigne Sud")</f>
        <v>Coop U Enseigne Sud</v>
      </c>
      <c r="E1094">
        <f ca="1">IFERROR(__xludf.DUMMYFUNCTION("""COMPUTED_VALUE"""),5400)</f>
        <v>5400</v>
      </c>
      <c r="F1094" t="str">
        <f ca="1">IFERROR(__xludf.DUMMYFUNCTION("""COMPUTED_VALUE"""),"ROUTE DE GAP")</f>
        <v>ROUTE DE GAP</v>
      </c>
      <c r="G1094" t="str">
        <f ca="1">IFERROR(__xludf.DUMMYFUNCTION("""COMPUTED_VALUE"""),"04.92.58.00.56")</f>
        <v>04.92.58.00.56</v>
      </c>
      <c r="H1094" t="str">
        <f ca="1">IFERROR(__xludf.DUMMYFUNCTION("""COMPUTED_VALUE"""),"PATROSSO Roger")</f>
        <v>PATROSSO Roger</v>
      </c>
      <c r="I1094" t="str">
        <f ca="1">IFERROR(__xludf.DUMMYFUNCTION("""COMPUTED_VALUE"""),"roger.patrosso@systeme-u.fr")</f>
        <v>roger.patrosso@systeme-u.fr</v>
      </c>
      <c r="J1094" t="str">
        <f ca="1">IFERROR(__xludf.DUMMYFUNCTION("""COMPUTED_VALUE"""),"Rémy PATROSSO")</f>
        <v>Rémy PATROSSO</v>
      </c>
      <c r="K1094" t="str">
        <f ca="1">IFERROR(__xludf.DUMMYFUNCTION("""COMPUTED_VALUE"""),"remy.patrosso@systeme-u.fr")</f>
        <v>remy.patrosso@systeme-u.fr</v>
      </c>
      <c r="L1094" t="str">
        <f ca="1">IFERROR(__xludf.DUMMYFUNCTION("""COMPUTED_VALUE"""),"")</f>
        <v/>
      </c>
      <c r="M1094" t="str">
        <f ca="1">IFERROR(__xludf.DUMMYFUNCTION("""COMPUTED_VALUE"""),"99.Hors Périmetre")</f>
        <v>99.Hors Périmetre</v>
      </c>
      <c r="N1094" t="str">
        <f ca="1">IFERROR(__xludf.DUMMYFUNCTION("""COMPUTED_VALUE"""),"")</f>
        <v/>
      </c>
      <c r="O1094" t="str">
        <f ca="1">IFERROR(__xludf.DUMMYFUNCTION("""COMPUTED_VALUE"""),"")</f>
        <v/>
      </c>
      <c r="P1094" t="str">
        <f ca="1">IFERROR(__xludf.DUMMYFUNCTION("""COMPUTED_VALUE"""),"")</f>
        <v/>
      </c>
      <c r="Q1094" s="5" t="str">
        <f ca="1">IFERROR(__xludf.DUMMYFUNCTION("""COMPUTED_VALUE"""),"")</f>
        <v/>
      </c>
      <c r="R1094" s="6" t="str">
        <f ca="1">IFERROR(__xludf.DUMMYFUNCTION("""COMPUTED_VALUE"""),"")</f>
        <v/>
      </c>
      <c r="S1094" t="str">
        <f ca="1">IFERROR(__xludf.DUMMYFUNCTION("""COMPUTED_VALUE"""),"")</f>
        <v/>
      </c>
      <c r="T1094" t="str">
        <f ca="1">IFERROR(__xludf.DUMMYFUNCTION("""COMPUTED_VALUE"""),"")</f>
        <v/>
      </c>
      <c r="U1094" t="str">
        <f ca="1">IFERROR(__xludf.DUMMYFUNCTION("""COMPUTED_VALUE"""),"")</f>
        <v/>
      </c>
      <c r="V1094" t="str">
        <f ca="1">IFERROR(__xludf.DUMMYFUNCTION("""COMPUTED_VALUE"""),"")</f>
        <v/>
      </c>
      <c r="W1094" t="str">
        <f ca="1">IFERROR(__xludf.DUMMYFUNCTION("""COMPUTED_VALUE"""),"")</f>
        <v/>
      </c>
      <c r="X1094" t="str">
        <f ca="1">IFERROR(__xludf.DUMMYFUNCTION("""COMPUTED_VALUE"""),"")</f>
        <v/>
      </c>
      <c r="Y1094" t="str">
        <f ca="1">IFERROR(__xludf.DUMMYFUNCTION("""COMPUTED_VALUE"""),"")</f>
        <v/>
      </c>
      <c r="Z1094" t="str">
        <f ca="1">IFERROR(__xludf.DUMMYFUNCTION("""COMPUTED_VALUE"""),"")</f>
        <v/>
      </c>
      <c r="AA1094" t="str">
        <f ca="1">IFERROR(__xludf.DUMMYFUNCTION("""COMPUTED_VALUE"""),"Pas de commande")</f>
        <v>Pas de commande</v>
      </c>
      <c r="AB1094" s="8" t="str">
        <f ca="1">IFERROR(__xludf.DUMMYFUNCTION("""COMPUTED_VALUE"""),"")</f>
        <v/>
      </c>
      <c r="AC1094" s="8" t="str">
        <f ca="1">IFERROR(__xludf.DUMMYFUNCTION("""COMPUTED_VALUE"""),"")</f>
        <v/>
      </c>
      <c r="AD1094" s="11" t="str">
        <f ca="1">IFERROR(__xludf.DUMMYFUNCTION("""COMPUTED_VALUE"""),"")</f>
        <v/>
      </c>
      <c r="AE1094" t="str">
        <f ca="1">IFERROR(__xludf.DUMMYFUNCTION("""COMPUTED_VALUE"""),"")</f>
        <v/>
      </c>
    </row>
    <row r="1095" spans="1:31" ht="12.75" x14ac:dyDescent="0.2">
      <c r="A1095">
        <f ca="1">IFERROR(__xludf.DUMMYFUNCTION("""COMPUTED_VALUE"""),66111)</f>
        <v>66111</v>
      </c>
      <c r="B1095" t="str">
        <f ca="1">IFERROR(__xludf.DUMMYFUNCTION("""COMPUTED_VALUE"""),"VIC-LE-COMTE")</f>
        <v>VIC-LE-COMTE</v>
      </c>
      <c r="C1095" t="str">
        <f ca="1">IFERROR(__xludf.DUMMYFUNCTION("""COMPUTED_VALUE"""),"Super U")</f>
        <v>Super U</v>
      </c>
      <c r="D1095" t="str">
        <f ca="1">IFERROR(__xludf.DUMMYFUNCTION("""COMPUTED_VALUE"""),"Coop U Enseigne Est")</f>
        <v>Coop U Enseigne Est</v>
      </c>
      <c r="E1095">
        <f ca="1">IFERROR(__xludf.DUMMYFUNCTION("""COMPUTED_VALUE"""),63270)</f>
        <v>63270</v>
      </c>
      <c r="F1095" t="str">
        <f ca="1">IFERROR(__xludf.DUMMYFUNCTION("""COMPUTED_VALUE"""),"BOULEVARD BARGOIN")</f>
        <v>BOULEVARD BARGOIN</v>
      </c>
      <c r="G1095" t="str">
        <f ca="1">IFERROR(__xludf.DUMMYFUNCTION("""COMPUTED_VALUE"""),"04.73.69.14.22")</f>
        <v>04.73.69.14.22</v>
      </c>
      <c r="H1095" t="str">
        <f ca="1">IFERROR(__xludf.DUMMYFUNCTION("""COMPUTED_VALUE"""),"RELIER Isabelle")</f>
        <v>RELIER Isabelle</v>
      </c>
      <c r="I1095" t="str">
        <f ca="1">IFERROR(__xludf.DUMMYFUNCTION("""COMPUTED_VALUE"""),"isabelle.relier@systeme-u.fr")</f>
        <v>isabelle.relier@systeme-u.fr</v>
      </c>
      <c r="J1095" t="str">
        <f ca="1">IFERROR(__xludf.DUMMYFUNCTION("""COMPUTED_VALUE"""),"LALLEMAN Myriam")</f>
        <v>LALLEMAN Myriam</v>
      </c>
      <c r="K1095" t="str">
        <f ca="1">IFERROR(__xludf.DUMMYFUNCTION("""COMPUTED_VALUE"""),"superu.viclecomte@systeme-u.fr")</f>
        <v>superu.viclecomte@systeme-u.fr</v>
      </c>
      <c r="L1095" t="str">
        <f ca="1">IFERROR(__xludf.DUMMYFUNCTION("""COMPUTED_VALUE"""),"")</f>
        <v/>
      </c>
      <c r="M1095" t="str">
        <f ca="1">IFERROR(__xludf.DUMMYFUNCTION("""COMPUTED_VALUE"""),"99.Hors Périmetre")</f>
        <v>99.Hors Périmetre</v>
      </c>
      <c r="N1095" t="str">
        <f ca="1">IFERROR(__xludf.DUMMYFUNCTION("""COMPUTED_VALUE"""),"")</f>
        <v/>
      </c>
      <c r="O1095" t="str">
        <f ca="1">IFERROR(__xludf.DUMMYFUNCTION("""COMPUTED_VALUE"""),"")</f>
        <v/>
      </c>
      <c r="P1095" t="str">
        <f ca="1">IFERROR(__xludf.DUMMYFUNCTION("""COMPUTED_VALUE"""),"")</f>
        <v/>
      </c>
      <c r="Q1095" s="5" t="str">
        <f ca="1">IFERROR(__xludf.DUMMYFUNCTION("""COMPUTED_VALUE"""),"")</f>
        <v/>
      </c>
      <c r="R1095" s="6" t="str">
        <f ca="1">IFERROR(__xludf.DUMMYFUNCTION("""COMPUTED_VALUE"""),"")</f>
        <v/>
      </c>
      <c r="S1095" t="str">
        <f ca="1">IFERROR(__xludf.DUMMYFUNCTION("""COMPUTED_VALUE"""),"")</f>
        <v/>
      </c>
      <c r="T1095" t="str">
        <f ca="1">IFERROR(__xludf.DUMMYFUNCTION("""COMPUTED_VALUE"""),"")</f>
        <v/>
      </c>
      <c r="U1095" t="str">
        <f ca="1">IFERROR(__xludf.DUMMYFUNCTION("""COMPUTED_VALUE"""),"")</f>
        <v/>
      </c>
      <c r="V1095" t="str">
        <f ca="1">IFERROR(__xludf.DUMMYFUNCTION("""COMPUTED_VALUE"""),"")</f>
        <v/>
      </c>
      <c r="W1095" t="str">
        <f ca="1">IFERROR(__xludf.DUMMYFUNCTION("""COMPUTED_VALUE"""),"")</f>
        <v/>
      </c>
      <c r="X1095" t="str">
        <f ca="1">IFERROR(__xludf.DUMMYFUNCTION("""COMPUTED_VALUE"""),"")</f>
        <v/>
      </c>
      <c r="Y1095" t="str">
        <f ca="1">IFERROR(__xludf.DUMMYFUNCTION("""COMPUTED_VALUE"""),"")</f>
        <v/>
      </c>
      <c r="Z1095" t="str">
        <f ca="1">IFERROR(__xludf.DUMMYFUNCTION("""COMPUTED_VALUE"""),"")</f>
        <v/>
      </c>
      <c r="AA1095" t="str">
        <f ca="1">IFERROR(__xludf.DUMMYFUNCTION("""COMPUTED_VALUE"""),"Pas de commande")</f>
        <v>Pas de commande</v>
      </c>
      <c r="AB1095" s="8" t="str">
        <f ca="1">IFERROR(__xludf.DUMMYFUNCTION("""COMPUTED_VALUE"""),"")</f>
        <v/>
      </c>
      <c r="AC1095" s="8" t="str">
        <f ca="1">IFERROR(__xludf.DUMMYFUNCTION("""COMPUTED_VALUE"""),"")</f>
        <v/>
      </c>
      <c r="AD1095" s="11" t="str">
        <f ca="1">IFERROR(__xludf.DUMMYFUNCTION("""COMPUTED_VALUE"""),"")</f>
        <v/>
      </c>
      <c r="AE1095" t="str">
        <f ca="1">IFERROR(__xludf.DUMMYFUNCTION("""COMPUTED_VALUE"""),"")</f>
        <v/>
      </c>
    </row>
    <row r="1096" spans="1:31" ht="12.75" x14ac:dyDescent="0.2">
      <c r="A1096">
        <f ca="1">IFERROR(__xludf.DUMMYFUNCTION("""COMPUTED_VALUE"""),31448)</f>
        <v>31448</v>
      </c>
      <c r="B1096" t="str">
        <f ca="1">IFERROR(__xludf.DUMMYFUNCTION("""COMPUTED_VALUE"""),"VIERZON")</f>
        <v>VIERZON</v>
      </c>
      <c r="C1096" t="str">
        <f ca="1">IFERROR(__xludf.DUMMYFUNCTION("""COMPUTED_VALUE"""),"Hyper U")</f>
        <v>Hyper U</v>
      </c>
      <c r="D1096" t="str">
        <f ca="1">IFERROR(__xludf.DUMMYFUNCTION("""COMPUTED_VALUE"""),"Coop Atlantique")</f>
        <v>Coop Atlantique</v>
      </c>
      <c r="E1096">
        <f ca="1">IFERROR(__xludf.DUMMYFUNCTION("""COMPUTED_VALUE"""),18100)</f>
        <v>18100</v>
      </c>
      <c r="F1096" t="str">
        <f ca="1">IFERROR(__xludf.DUMMYFUNCTION("""COMPUTED_VALUE"""),"18, AVENUE DU 19 MARS 1962")</f>
        <v>18, AVENUE DU 19 MARS 1962</v>
      </c>
      <c r="G1096" t="str">
        <f ca="1">IFERROR(__xludf.DUMMYFUNCTION("""COMPUTED_VALUE"""),"02.48.53.53.53")</f>
        <v>02.48.53.53.53</v>
      </c>
      <c r="H1096" t="str">
        <f ca="1">IFERROR(__xludf.DUMMYFUNCTION("""COMPUTED_VALUE"""),"FLAMBARD Hervé")</f>
        <v>FLAMBARD Hervé</v>
      </c>
      <c r="I1096" t="str">
        <f ca="1">IFERROR(__xludf.DUMMYFUNCTION("""COMPUTED_VALUE"""),"laurent.fleury_coop_hu@systeme-u.fr")</f>
        <v>laurent.fleury_coop_hu@systeme-u.fr</v>
      </c>
      <c r="J1096" t="str">
        <f ca="1">IFERROR(__xludf.DUMMYFUNCTION("""COMPUTED_VALUE"""),"DULUARD ludovic / Nadège Robin")</f>
        <v>DULUARD ludovic / Nadège Robin</v>
      </c>
      <c r="K1096" t="str">
        <f ca="1">IFERROR(__xludf.DUMMYFUNCTION("""COMPUTED_VALUE"""),"nrobin@coop-atlantique.fr,nbrigant@coop-atlantique.fr,sjaud@coop-atlantique.fr,lduluard@coop-atlantique.fr")</f>
        <v>nrobin@coop-atlantique.fr,nbrigant@coop-atlantique.fr,sjaud@coop-atlantique.fr,lduluard@coop-atlantique.fr</v>
      </c>
      <c r="L1096" t="str">
        <f ca="1">IFERROR(__xludf.DUMMYFUNCTION("""COMPUTED_VALUE"""),"Standard")</f>
        <v>Standard</v>
      </c>
      <c r="M1096" t="str">
        <f ca="1">IFERROR(__xludf.DUMMYFUNCTION("""COMPUTED_VALUE"""),"0. Non démarré")</f>
        <v>0. Non démarré</v>
      </c>
      <c r="N1096" t="str">
        <f ca="1">IFERROR(__xludf.DUMMYFUNCTION("""COMPUTED_VALUE"""),"")</f>
        <v/>
      </c>
      <c r="O1096" t="str">
        <f ca="1">IFERROR(__xludf.DUMMYFUNCTION("""COMPUTED_VALUE"""),"")</f>
        <v/>
      </c>
      <c r="P1096" t="str">
        <f ca="1">IFERROR(__xludf.DUMMYFUNCTION("""COMPUTED_VALUE"""),"")</f>
        <v/>
      </c>
      <c r="Q1096" s="5" t="str">
        <f ca="1">IFERROR(__xludf.DUMMYFUNCTION("""COMPUTED_VALUE"""),"")</f>
        <v/>
      </c>
      <c r="R1096" s="6" t="str">
        <f ca="1">IFERROR(__xludf.DUMMYFUNCTION("""COMPUTED_VALUE"""),"")</f>
        <v/>
      </c>
      <c r="S1096" t="str">
        <f ca="1">IFERROR(__xludf.DUMMYFUNCTION("""COMPUTED_VALUE"""),"")</f>
        <v/>
      </c>
      <c r="T1096" t="str">
        <f ca="1">IFERROR(__xludf.DUMMYFUNCTION("""COMPUTED_VALUE"""),"")</f>
        <v/>
      </c>
      <c r="U1096" t="str">
        <f ca="1">IFERROR(__xludf.DUMMYFUNCTION("""COMPUTED_VALUE"""),"")</f>
        <v/>
      </c>
      <c r="V1096" t="str">
        <f ca="1">IFERROR(__xludf.DUMMYFUNCTION("""COMPUTED_VALUE"""),"")</f>
        <v/>
      </c>
      <c r="W1096" t="str">
        <f ca="1">IFERROR(__xludf.DUMMYFUNCTION("""COMPUTED_VALUE"""),"R5")</f>
        <v>R5</v>
      </c>
      <c r="X1096" t="str">
        <f ca="1">IFERROR(__xludf.DUMMYFUNCTION("""COMPUTED_VALUE"""),"PC mag &lt;8Go")</f>
        <v>PC mag &lt;8Go</v>
      </c>
      <c r="Y1096" t="str">
        <f ca="1">IFERROR(__xludf.DUMMYFUNCTION("""COMPUTED_VALUE"""),"")</f>
        <v/>
      </c>
      <c r="Z1096" t="str">
        <f ca="1">IFERROR(__xludf.DUMMYFUNCTION("""COMPUTED_VALUE"""),"")</f>
        <v/>
      </c>
      <c r="AA1096" t="str">
        <f ca="1">IFERROR(__xludf.DUMMYFUNCTION("""COMPUTED_VALUE"""),"Pas de commande")</f>
        <v>Pas de commande</v>
      </c>
      <c r="AB1096" s="8" t="str">
        <f ca="1">IFERROR(__xludf.DUMMYFUNCTION("""COMPUTED_VALUE"""),"")</f>
        <v/>
      </c>
      <c r="AC1096" s="8" t="str">
        <f ca="1">IFERROR(__xludf.DUMMYFUNCTION("""COMPUTED_VALUE"""),"")</f>
        <v/>
      </c>
      <c r="AD1096" s="11" t="str">
        <f ca="1">IFERROR(__xludf.DUMMYFUNCTION("""COMPUTED_VALUE"""),"")</f>
        <v/>
      </c>
      <c r="AE1096" t="str">
        <f ca="1">IFERROR(__xludf.DUMMYFUNCTION("""COMPUTED_VALUE"""),"")</f>
        <v/>
      </c>
    </row>
    <row r="1097" spans="1:31" ht="12.75" x14ac:dyDescent="0.2">
      <c r="A1097">
        <f ca="1">IFERROR(__xludf.DUMMYFUNCTION("""COMPUTED_VALUE"""),36246)</f>
        <v>36246</v>
      </c>
      <c r="B1097" t="str">
        <f ca="1">IFERROR(__xludf.DUMMYFUNCTION("""COMPUTED_VALUE"""),"VIGNEUX-DE-BRETAGNE")</f>
        <v>VIGNEUX-DE-BRETAGNE</v>
      </c>
      <c r="C1097" t="str">
        <f ca="1">IFERROR(__xludf.DUMMYFUNCTION("""COMPUTED_VALUE"""),"U Express")</f>
        <v>U Express</v>
      </c>
      <c r="D1097" t="str">
        <f ca="1">IFERROR(__xludf.DUMMYFUNCTION("""COMPUTED_VALUE"""),"Coop U Enseigne Ouest")</f>
        <v>Coop U Enseigne Ouest</v>
      </c>
      <c r="E1097">
        <f ca="1">IFERROR(__xludf.DUMMYFUNCTION("""COMPUTED_VALUE"""),44360)</f>
        <v>44360</v>
      </c>
      <c r="F1097" t="str">
        <f ca="1">IFERROR(__xludf.DUMMYFUNCTION("""COMPUTED_VALUE"""),"RUE DU PETIT PRINCE")</f>
        <v>RUE DU PETIT PRINCE</v>
      </c>
      <c r="G1097" t="str">
        <f ca="1">IFERROR(__xludf.DUMMYFUNCTION("""COMPUTED_VALUE"""),"02.40.57.30.46")</f>
        <v>02.40.57.30.46</v>
      </c>
      <c r="H1097" t="str">
        <f ca="1">IFERROR(__xludf.DUMMYFUNCTION("""COMPUTED_VALUE"""),"LEMAN Henri Frédéric")</f>
        <v>LEMAN Henri Frédéric</v>
      </c>
      <c r="I1097" t="str">
        <f ca="1">IFERROR(__xludf.DUMMYFUNCTION("""COMPUTED_VALUE"""),"frederic.leman@systeme-u.fr")</f>
        <v>frederic.leman@systeme-u.fr</v>
      </c>
      <c r="J1097" t="str">
        <f ca="1">IFERROR(__xludf.DUMMYFUNCTION("""COMPUTED_VALUE"""),"Mlle Foucher
Mr Serré (directeur)")</f>
        <v>Mlle Foucher
Mr Serré (directeur)</v>
      </c>
      <c r="K1097" t="str">
        <f ca="1">IFERROR(__xludf.DUMMYFUNCTION("""COMPUTED_VALUE"""),"uexpress.vigneuxdebretagne.compta@systeme-u.fr, uexpress.vigneuxdebretagne@systeme-u.fr")</f>
        <v>uexpress.vigneuxdebretagne.compta@systeme-u.fr, uexpress.vigneuxdebretagne@systeme-u.fr</v>
      </c>
      <c r="L1097" t="str">
        <f ca="1">IFERROR(__xludf.DUMMYFUNCTION("""COMPUTED_VALUE"""),"")</f>
        <v/>
      </c>
      <c r="M1097" t="str">
        <f ca="1">IFERROR(__xludf.DUMMYFUNCTION("""COMPUTED_VALUE"""),"99.Hors Périmetre")</f>
        <v>99.Hors Périmetre</v>
      </c>
      <c r="N1097" t="str">
        <f ca="1">IFERROR(__xludf.DUMMYFUNCTION("""COMPUTED_VALUE"""),"")</f>
        <v/>
      </c>
      <c r="O1097" t="str">
        <f ca="1">IFERROR(__xludf.DUMMYFUNCTION("""COMPUTED_VALUE"""),"")</f>
        <v/>
      </c>
      <c r="P1097" t="str">
        <f ca="1">IFERROR(__xludf.DUMMYFUNCTION("""COMPUTED_VALUE"""),"")</f>
        <v/>
      </c>
      <c r="Q1097" s="5" t="str">
        <f ca="1">IFERROR(__xludf.DUMMYFUNCTION("""COMPUTED_VALUE"""),"")</f>
        <v/>
      </c>
      <c r="R1097" s="6" t="str">
        <f ca="1">IFERROR(__xludf.DUMMYFUNCTION("""COMPUTED_VALUE"""),"")</f>
        <v/>
      </c>
      <c r="S1097" t="str">
        <f ca="1">IFERROR(__xludf.DUMMYFUNCTION("""COMPUTED_VALUE"""),"")</f>
        <v/>
      </c>
      <c r="T1097" t="str">
        <f ca="1">IFERROR(__xludf.DUMMYFUNCTION("""COMPUTED_VALUE"""),"")</f>
        <v/>
      </c>
      <c r="U1097" t="str">
        <f ca="1">IFERROR(__xludf.DUMMYFUNCTION("""COMPUTED_VALUE"""),"")</f>
        <v/>
      </c>
      <c r="V1097" t="str">
        <f ca="1">IFERROR(__xludf.DUMMYFUNCTION("""COMPUTED_VALUE"""),"")</f>
        <v/>
      </c>
      <c r="W1097" t="str">
        <f ca="1">IFERROR(__xludf.DUMMYFUNCTION("""COMPUTED_VALUE"""),"")</f>
        <v/>
      </c>
      <c r="X1097" t="str">
        <f ca="1">IFERROR(__xludf.DUMMYFUNCTION("""COMPUTED_VALUE"""),"")</f>
        <v/>
      </c>
      <c r="Y1097" t="str">
        <f ca="1">IFERROR(__xludf.DUMMYFUNCTION("""COMPUTED_VALUE"""),"")</f>
        <v/>
      </c>
      <c r="Z1097" t="str">
        <f ca="1">IFERROR(__xludf.DUMMYFUNCTION("""COMPUTED_VALUE"""),"")</f>
        <v/>
      </c>
      <c r="AA1097" t="str">
        <f ca="1">IFERROR(__xludf.DUMMYFUNCTION("""COMPUTED_VALUE"""),"Pas de commande")</f>
        <v>Pas de commande</v>
      </c>
      <c r="AB1097" s="8" t="str">
        <f ca="1">IFERROR(__xludf.DUMMYFUNCTION("""COMPUTED_VALUE"""),"")</f>
        <v/>
      </c>
      <c r="AC1097" s="8" t="str">
        <f ca="1">IFERROR(__xludf.DUMMYFUNCTION("""COMPUTED_VALUE"""),"")</f>
        <v/>
      </c>
      <c r="AD1097" s="11" t="str">
        <f ca="1">IFERROR(__xludf.DUMMYFUNCTION("""COMPUTED_VALUE"""),"")</f>
        <v/>
      </c>
      <c r="AE1097" t="str">
        <f ca="1">IFERROR(__xludf.DUMMYFUNCTION("""COMPUTED_VALUE"""),"")</f>
        <v/>
      </c>
    </row>
    <row r="1098" spans="1:31" ht="12.75" x14ac:dyDescent="0.2">
      <c r="A1098">
        <f ca="1">IFERROR(__xludf.DUMMYFUNCTION("""COMPUTED_VALUE"""),38559)</f>
        <v>38559</v>
      </c>
      <c r="B1098" t="str">
        <f ca="1">IFERROR(__xludf.DUMMYFUNCTION("""COMPUTED_VALUE"""),"VIHIERS")</f>
        <v>VIHIERS</v>
      </c>
      <c r="C1098" t="str">
        <f ca="1">IFERROR(__xludf.DUMMYFUNCTION("""COMPUTED_VALUE"""),"Super U")</f>
        <v>Super U</v>
      </c>
      <c r="D1098" t="str">
        <f ca="1">IFERROR(__xludf.DUMMYFUNCTION("""COMPUTED_VALUE"""),"Coop U Enseigne Ouest")</f>
        <v>Coop U Enseigne Ouest</v>
      </c>
      <c r="E1098">
        <f ca="1">IFERROR(__xludf.DUMMYFUNCTION("""COMPUTED_VALUE"""),49310)</f>
        <v>49310</v>
      </c>
      <c r="F1098" t="str">
        <f ca="1">IFERROR(__xludf.DUMMYFUNCTION("""COMPUTED_VALUE"""),"CENTRE COMMERCIAL LES COURTILS")</f>
        <v>CENTRE COMMERCIAL LES COURTILS</v>
      </c>
      <c r="G1098" t="str">
        <f ca="1">IFERROR(__xludf.DUMMYFUNCTION("""COMPUTED_VALUE"""),"02.41.75.01.39")</f>
        <v>02.41.75.01.39</v>
      </c>
      <c r="H1098" t="str">
        <f ca="1">IFERROR(__xludf.DUMMYFUNCTION("""COMPUTED_VALUE"""),"VALLEE RPT SARL VALYS Louis Marie")</f>
        <v>VALLEE RPT SARL VALYS Louis Marie</v>
      </c>
      <c r="I1098" t="str">
        <f ca="1">IFERROR(__xludf.DUMMYFUNCTION("""COMPUTED_VALUE"""),"louis-marie.vallee@systeme-u.fr")</f>
        <v>louis-marie.vallee@systeme-u.fr</v>
      </c>
      <c r="J1098" t="str">
        <f ca="1">IFERROR(__xludf.DUMMYFUNCTION("""COMPUTED_VALUE"""),"FONTENY Vanessa")</f>
        <v>FONTENY Vanessa</v>
      </c>
      <c r="K1098" t="str">
        <f ca="1">IFERROR(__xludf.DUMMYFUNCTION("""COMPUTED_VALUE"""),"superu.vihierscourtils.gescom@systeme-u.fr")</f>
        <v>superu.vihierscourtils.gescom@systeme-u.fr</v>
      </c>
      <c r="L1098" t="str">
        <f ca="1">IFERROR(__xludf.DUMMYFUNCTION("""COMPUTED_VALUE"""),"")</f>
        <v/>
      </c>
      <c r="M1098" t="str">
        <f ca="1">IFERROR(__xludf.DUMMYFUNCTION("""COMPUTED_VALUE"""),"99.Hors Périmetre")</f>
        <v>99.Hors Périmetre</v>
      </c>
      <c r="N1098" t="str">
        <f ca="1">IFERROR(__xludf.DUMMYFUNCTION("""COMPUTED_VALUE"""),"")</f>
        <v/>
      </c>
      <c r="O1098" t="str">
        <f ca="1">IFERROR(__xludf.DUMMYFUNCTION("""COMPUTED_VALUE"""),"")</f>
        <v/>
      </c>
      <c r="P1098" t="str">
        <f ca="1">IFERROR(__xludf.DUMMYFUNCTION("""COMPUTED_VALUE"""),"")</f>
        <v/>
      </c>
      <c r="Q1098" s="5" t="str">
        <f ca="1">IFERROR(__xludf.DUMMYFUNCTION("""COMPUTED_VALUE"""),"")</f>
        <v/>
      </c>
      <c r="R1098" s="6" t="str">
        <f ca="1">IFERROR(__xludf.DUMMYFUNCTION("""COMPUTED_VALUE"""),"")</f>
        <v/>
      </c>
      <c r="S1098" t="str">
        <f ca="1">IFERROR(__xludf.DUMMYFUNCTION("""COMPUTED_VALUE"""),"")</f>
        <v/>
      </c>
      <c r="T1098" t="str">
        <f ca="1">IFERROR(__xludf.DUMMYFUNCTION("""COMPUTED_VALUE"""),"")</f>
        <v/>
      </c>
      <c r="U1098" t="str">
        <f ca="1">IFERROR(__xludf.DUMMYFUNCTION("""COMPUTED_VALUE"""),"")</f>
        <v/>
      </c>
      <c r="V1098" t="str">
        <f ca="1">IFERROR(__xludf.DUMMYFUNCTION("""COMPUTED_VALUE"""),"")</f>
        <v/>
      </c>
      <c r="W1098" t="str">
        <f ca="1">IFERROR(__xludf.DUMMYFUNCTION("""COMPUTED_VALUE"""),"")</f>
        <v/>
      </c>
      <c r="X1098" t="str">
        <f ca="1">IFERROR(__xludf.DUMMYFUNCTION("""COMPUTED_VALUE"""),"")</f>
        <v/>
      </c>
      <c r="Y1098" t="str">
        <f ca="1">IFERROR(__xludf.DUMMYFUNCTION("""COMPUTED_VALUE"""),"")</f>
        <v/>
      </c>
      <c r="Z1098" t="str">
        <f ca="1">IFERROR(__xludf.DUMMYFUNCTION("""COMPUTED_VALUE"""),"")</f>
        <v/>
      </c>
      <c r="AA1098" t="str">
        <f ca="1">IFERROR(__xludf.DUMMYFUNCTION("""COMPUTED_VALUE"""),"Pas de commande")</f>
        <v>Pas de commande</v>
      </c>
      <c r="AB1098" s="8" t="str">
        <f ca="1">IFERROR(__xludf.DUMMYFUNCTION("""COMPUTED_VALUE"""),"")</f>
        <v/>
      </c>
      <c r="AC1098" s="8" t="str">
        <f ca="1">IFERROR(__xludf.DUMMYFUNCTION("""COMPUTED_VALUE"""),"")</f>
        <v/>
      </c>
      <c r="AD1098" s="11" t="str">
        <f ca="1">IFERROR(__xludf.DUMMYFUNCTION("""COMPUTED_VALUE"""),"")</f>
        <v/>
      </c>
      <c r="AE1098" t="str">
        <f ca="1">IFERROR(__xludf.DUMMYFUNCTION("""COMPUTED_VALUE"""),"")</f>
        <v/>
      </c>
    </row>
    <row r="1099" spans="1:31" ht="12.75" x14ac:dyDescent="0.2">
      <c r="A1099">
        <f ca="1">IFERROR(__xludf.DUMMYFUNCTION("""COMPUTED_VALUE"""),33662)</f>
        <v>33662</v>
      </c>
      <c r="B1099" t="str">
        <f ca="1">IFERROR(__xludf.DUMMYFUNCTION("""COMPUTED_VALUE"""),"VILLAINES-LA-JUHEL")</f>
        <v>VILLAINES-LA-JUHEL</v>
      </c>
      <c r="C1099" t="str">
        <f ca="1">IFERROR(__xludf.DUMMYFUNCTION("""COMPUTED_VALUE"""),"Super U")</f>
        <v>Super U</v>
      </c>
      <c r="D1099" t="str">
        <f ca="1">IFERROR(__xludf.DUMMYFUNCTION("""COMPUTED_VALUE"""),"Coop U Enseigne Ouest")</f>
        <v>Coop U Enseigne Ouest</v>
      </c>
      <c r="E1099">
        <f ca="1">IFERROR(__xludf.DUMMYFUNCTION("""COMPUTED_VALUE"""),53700)</f>
        <v>53700</v>
      </c>
      <c r="F1099" t="str">
        <f ca="1">IFERROR(__xludf.DUMMYFUNCTION("""COMPUTED_VALUE"""),"ROUTE DU MANS")</f>
        <v>ROUTE DU MANS</v>
      </c>
      <c r="G1099" t="str">
        <f ca="1">IFERROR(__xludf.DUMMYFUNCTION("""COMPUTED_VALUE"""),"02.43.03.21.35")</f>
        <v>02.43.03.21.35</v>
      </c>
      <c r="H1099" t="str">
        <f ca="1">IFERROR(__xludf.DUMMYFUNCTION("""COMPUTED_VALUE"""),"VALLEE Benoît")</f>
        <v>VALLEE Benoît</v>
      </c>
      <c r="I1099" t="str">
        <f ca="1">IFERROR(__xludf.DUMMYFUNCTION("""COMPUTED_VALUE"""),"benoit.vallee@systeme-u.fr")</f>
        <v>benoit.vallee@systeme-u.fr</v>
      </c>
      <c r="J1099" t="str">
        <f ca="1">IFERROR(__xludf.DUMMYFUNCTION("""COMPUTED_VALUE"""),"Perigois Nadine")</f>
        <v>Perigois Nadine</v>
      </c>
      <c r="K1099" t="str">
        <f ca="1">IFERROR(__xludf.DUMMYFUNCTION("""COMPUTED_VALUE"""),"superu.villaineslajuhel.affichage@systeme-u.fr")</f>
        <v>superu.villaineslajuhel.affichage@systeme-u.fr</v>
      </c>
      <c r="L1099" t="str">
        <f ca="1">IFERROR(__xludf.DUMMYFUNCTION("""COMPUTED_VALUE"""),"")</f>
        <v/>
      </c>
      <c r="M1099" t="str">
        <f ca="1">IFERROR(__xludf.DUMMYFUNCTION("""COMPUTED_VALUE"""),"99.Hors Périmetre")</f>
        <v>99.Hors Périmetre</v>
      </c>
      <c r="N1099" t="str">
        <f ca="1">IFERROR(__xludf.DUMMYFUNCTION("""COMPUTED_VALUE"""),"")</f>
        <v/>
      </c>
      <c r="O1099" t="str">
        <f ca="1">IFERROR(__xludf.DUMMYFUNCTION("""COMPUTED_VALUE"""),"")</f>
        <v/>
      </c>
      <c r="P1099" t="str">
        <f ca="1">IFERROR(__xludf.DUMMYFUNCTION("""COMPUTED_VALUE"""),"")</f>
        <v/>
      </c>
      <c r="Q1099" s="5" t="str">
        <f ca="1">IFERROR(__xludf.DUMMYFUNCTION("""COMPUTED_VALUE"""),"")</f>
        <v/>
      </c>
      <c r="R1099" s="6" t="str">
        <f ca="1">IFERROR(__xludf.DUMMYFUNCTION("""COMPUTED_VALUE"""),"")</f>
        <v/>
      </c>
      <c r="S1099" t="str">
        <f ca="1">IFERROR(__xludf.DUMMYFUNCTION("""COMPUTED_VALUE"""),"")</f>
        <v/>
      </c>
      <c r="T1099" t="str">
        <f ca="1">IFERROR(__xludf.DUMMYFUNCTION("""COMPUTED_VALUE"""),"")</f>
        <v/>
      </c>
      <c r="U1099" t="str">
        <f ca="1">IFERROR(__xludf.DUMMYFUNCTION("""COMPUTED_VALUE"""),"")</f>
        <v/>
      </c>
      <c r="V1099" t="str">
        <f ca="1">IFERROR(__xludf.DUMMYFUNCTION("""COMPUTED_VALUE"""),"")</f>
        <v/>
      </c>
      <c r="W1099" t="str">
        <f ca="1">IFERROR(__xludf.DUMMYFUNCTION("""COMPUTED_VALUE"""),"")</f>
        <v/>
      </c>
      <c r="X1099" t="str">
        <f ca="1">IFERROR(__xludf.DUMMYFUNCTION("""COMPUTED_VALUE"""),"")</f>
        <v/>
      </c>
      <c r="Y1099" t="str">
        <f ca="1">IFERROR(__xludf.DUMMYFUNCTION("""COMPUTED_VALUE"""),"")</f>
        <v/>
      </c>
      <c r="Z1099" t="str">
        <f ca="1">IFERROR(__xludf.DUMMYFUNCTION("""COMPUTED_VALUE"""),"")</f>
        <v/>
      </c>
      <c r="AA1099" t="str">
        <f ca="1">IFERROR(__xludf.DUMMYFUNCTION("""COMPUTED_VALUE"""),"Pas de commande")</f>
        <v>Pas de commande</v>
      </c>
      <c r="AB1099" s="8" t="str">
        <f ca="1">IFERROR(__xludf.DUMMYFUNCTION("""COMPUTED_VALUE"""),"")</f>
        <v/>
      </c>
      <c r="AC1099" s="8" t="str">
        <f ca="1">IFERROR(__xludf.DUMMYFUNCTION("""COMPUTED_VALUE"""),"")</f>
        <v/>
      </c>
      <c r="AD1099" s="11" t="str">
        <f ca="1">IFERROR(__xludf.DUMMYFUNCTION("""COMPUTED_VALUE"""),"")</f>
        <v/>
      </c>
      <c r="AE1099" t="str">
        <f ca="1">IFERROR(__xludf.DUMMYFUNCTION("""COMPUTED_VALUE"""),"")</f>
        <v/>
      </c>
    </row>
    <row r="1100" spans="1:31" ht="12.75" x14ac:dyDescent="0.2">
      <c r="A1100">
        <f ca="1">IFERROR(__xludf.DUMMYFUNCTION("""COMPUTED_VALUE"""),66152)</f>
        <v>66152</v>
      </c>
      <c r="B1100" t="str">
        <f ca="1">IFERROR(__xludf.DUMMYFUNCTION("""COMPUTED_VALUE"""),"VILLARS LES DOMBES")</f>
        <v>VILLARS LES DOMBES</v>
      </c>
      <c r="C1100" t="str">
        <f ca="1">IFERROR(__xludf.DUMMYFUNCTION("""COMPUTED_VALUE"""),"Super U")</f>
        <v>Super U</v>
      </c>
      <c r="D1100" t="str">
        <f ca="1">IFERROR(__xludf.DUMMYFUNCTION("""COMPUTED_VALUE"""),"Coop U Enseigne Est")</f>
        <v>Coop U Enseigne Est</v>
      </c>
      <c r="E1100">
        <f ca="1">IFERROR(__xludf.DUMMYFUNCTION("""COMPUTED_VALUE"""),1330)</f>
        <v>1330</v>
      </c>
      <c r="F1100" t="str">
        <f ca="1">IFERROR(__xludf.DUMMYFUNCTION("""COMPUTED_VALUE"""),"Zac de la Tuilerie")</f>
        <v>Zac de la Tuilerie</v>
      </c>
      <c r="G1100" t="str">
        <f ca="1">IFERROR(__xludf.DUMMYFUNCTION("""COMPUTED_VALUE"""),"04.74.98.11.50")</f>
        <v>04.74.98.11.50</v>
      </c>
      <c r="H1100" t="str">
        <f ca="1">IFERROR(__xludf.DUMMYFUNCTION("""COMPUTED_VALUE"""),"MALAMAN RPT SAS VILDIS Jean Philippe")</f>
        <v>MALAMAN RPT SAS VILDIS Jean Philippe</v>
      </c>
      <c r="I1100" t="str">
        <f ca="1">IFERROR(__xludf.DUMMYFUNCTION("""COMPUTED_VALUE"""),"jean-philippe.malaman@systeme-u.fr")</f>
        <v>jean-philippe.malaman@systeme-u.fr</v>
      </c>
      <c r="J1100" t="str">
        <f ca="1">IFERROR(__xludf.DUMMYFUNCTION("""COMPUTED_VALUE"""),"")</f>
        <v/>
      </c>
      <c r="K1100" t="str">
        <f ca="1">IFERROR(__xludf.DUMMYFUNCTION("""COMPUTED_VALUE"""),"")</f>
        <v/>
      </c>
      <c r="L1100" t="str">
        <f ca="1">IFERROR(__xludf.DUMMYFUNCTION("""COMPUTED_VALUE"""),"")</f>
        <v/>
      </c>
      <c r="M1100" t="str">
        <f ca="1">IFERROR(__xludf.DUMMYFUNCTION("""COMPUTED_VALUE"""),"99.Hors Périmetre")</f>
        <v>99.Hors Périmetre</v>
      </c>
      <c r="N1100" t="str">
        <f ca="1">IFERROR(__xludf.DUMMYFUNCTION("""COMPUTED_VALUE"""),"")</f>
        <v/>
      </c>
      <c r="O1100" t="str">
        <f ca="1">IFERROR(__xludf.DUMMYFUNCTION("""COMPUTED_VALUE"""),"")</f>
        <v/>
      </c>
      <c r="P1100" t="str">
        <f ca="1">IFERROR(__xludf.DUMMYFUNCTION("""COMPUTED_VALUE"""),"")</f>
        <v/>
      </c>
      <c r="Q1100" s="5" t="str">
        <f ca="1">IFERROR(__xludf.DUMMYFUNCTION("""COMPUTED_VALUE"""),"")</f>
        <v/>
      </c>
      <c r="R1100" s="6" t="str">
        <f ca="1">IFERROR(__xludf.DUMMYFUNCTION("""COMPUTED_VALUE"""),"")</f>
        <v/>
      </c>
      <c r="S1100" t="str">
        <f ca="1">IFERROR(__xludf.DUMMYFUNCTION("""COMPUTED_VALUE"""),"")</f>
        <v/>
      </c>
      <c r="T1100" t="str">
        <f ca="1">IFERROR(__xludf.DUMMYFUNCTION("""COMPUTED_VALUE"""),"")</f>
        <v/>
      </c>
      <c r="U1100" t="str">
        <f ca="1">IFERROR(__xludf.DUMMYFUNCTION("""COMPUTED_VALUE"""),"")</f>
        <v/>
      </c>
      <c r="V1100" t="str">
        <f ca="1">IFERROR(__xludf.DUMMYFUNCTION("""COMPUTED_VALUE"""),"")</f>
        <v/>
      </c>
      <c r="W1100" t="str">
        <f ca="1">IFERROR(__xludf.DUMMYFUNCTION("""COMPUTED_VALUE"""),"")</f>
        <v/>
      </c>
      <c r="X1100" t="str">
        <f ca="1">IFERROR(__xludf.DUMMYFUNCTION("""COMPUTED_VALUE"""),"")</f>
        <v/>
      </c>
      <c r="Y1100" t="str">
        <f ca="1">IFERROR(__xludf.DUMMYFUNCTION("""COMPUTED_VALUE"""),"")</f>
        <v/>
      </c>
      <c r="Z1100" t="str">
        <f ca="1">IFERROR(__xludf.DUMMYFUNCTION("""COMPUTED_VALUE"""),"")</f>
        <v/>
      </c>
      <c r="AA1100" t="str">
        <f ca="1">IFERROR(__xludf.DUMMYFUNCTION("""COMPUTED_VALUE"""),"Pas de commande")</f>
        <v>Pas de commande</v>
      </c>
      <c r="AB1100" s="8" t="str">
        <f ca="1">IFERROR(__xludf.DUMMYFUNCTION("""COMPUTED_VALUE"""),"")</f>
        <v/>
      </c>
      <c r="AC1100" s="8" t="str">
        <f ca="1">IFERROR(__xludf.DUMMYFUNCTION("""COMPUTED_VALUE"""),"")</f>
        <v/>
      </c>
      <c r="AD1100" s="11" t="str">
        <f ca="1">IFERROR(__xludf.DUMMYFUNCTION("""COMPUTED_VALUE"""),"")</f>
        <v/>
      </c>
      <c r="AE1100" t="str">
        <f ca="1">IFERROR(__xludf.DUMMYFUNCTION("""COMPUTED_VALUE"""),"")</f>
        <v/>
      </c>
    </row>
    <row r="1101" spans="1:31" ht="12.75" x14ac:dyDescent="0.2">
      <c r="A1101">
        <f ca="1">IFERROR(__xludf.DUMMYFUNCTION("""COMPUTED_VALUE"""),60743)</f>
        <v>60743</v>
      </c>
      <c r="B1101" t="str">
        <f ca="1">IFERROR(__xludf.DUMMYFUNCTION("""COMPUTED_VALUE"""),"VILLE")</f>
        <v>VILLE</v>
      </c>
      <c r="C1101" t="str">
        <f ca="1">IFERROR(__xludf.DUMMYFUNCTION("""COMPUTED_VALUE"""),"Super U")</f>
        <v>Super U</v>
      </c>
      <c r="D1101" t="str">
        <f ca="1">IFERROR(__xludf.DUMMYFUNCTION("""COMPUTED_VALUE"""),"Coop U Enseigne Est")</f>
        <v>Coop U Enseigne Est</v>
      </c>
      <c r="E1101">
        <f ca="1">IFERROR(__xludf.DUMMYFUNCTION("""COMPUTED_VALUE"""),67220)</f>
        <v>67220</v>
      </c>
      <c r="F1101" t="str">
        <f ca="1">IFERROR(__xludf.DUMMYFUNCTION("""COMPUTED_VALUE"""),"Rue de l'Ungersberg")</f>
        <v>Rue de l'Ungersberg</v>
      </c>
      <c r="G1101" t="str">
        <f ca="1">IFERROR(__xludf.DUMMYFUNCTION("""COMPUTED_VALUE"""),"03.88.58.93.10")</f>
        <v>03.88.58.93.10</v>
      </c>
      <c r="H1101" t="str">
        <f ca="1">IFERROR(__xludf.DUMMYFUNCTION("""COMPUTED_VALUE"""),"ROMARY David")</f>
        <v>ROMARY David</v>
      </c>
      <c r="I1101" t="str">
        <f ca="1">IFERROR(__xludf.DUMMYFUNCTION("""COMPUTED_VALUE"""),"david.romary@systeme-u.fr")</f>
        <v>david.romary@systeme-u.fr</v>
      </c>
      <c r="J1101" t="str">
        <f ca="1">IFERROR(__xludf.DUMMYFUNCTION("""COMPUTED_VALUE"""),"")</f>
        <v/>
      </c>
      <c r="K1101" t="str">
        <f ca="1">IFERROR(__xludf.DUMMYFUNCTION("""COMPUTED_VALUE"""),"")</f>
        <v/>
      </c>
      <c r="L1101" t="str">
        <f ca="1">IFERROR(__xludf.DUMMYFUNCTION("""COMPUTED_VALUE"""),"")</f>
        <v/>
      </c>
      <c r="M1101" t="str">
        <f ca="1">IFERROR(__xludf.DUMMYFUNCTION("""COMPUTED_VALUE"""),"99.Hors Périmetre")</f>
        <v>99.Hors Périmetre</v>
      </c>
      <c r="N1101" t="str">
        <f ca="1">IFERROR(__xludf.DUMMYFUNCTION("""COMPUTED_VALUE"""),"")</f>
        <v/>
      </c>
      <c r="O1101" t="str">
        <f ca="1">IFERROR(__xludf.DUMMYFUNCTION("""COMPUTED_VALUE"""),"")</f>
        <v/>
      </c>
      <c r="P1101" t="str">
        <f ca="1">IFERROR(__xludf.DUMMYFUNCTION("""COMPUTED_VALUE"""),"")</f>
        <v/>
      </c>
      <c r="Q1101" s="5" t="str">
        <f ca="1">IFERROR(__xludf.DUMMYFUNCTION("""COMPUTED_VALUE"""),"")</f>
        <v/>
      </c>
      <c r="R1101" s="6" t="str">
        <f ca="1">IFERROR(__xludf.DUMMYFUNCTION("""COMPUTED_VALUE"""),"")</f>
        <v/>
      </c>
      <c r="S1101" t="str">
        <f ca="1">IFERROR(__xludf.DUMMYFUNCTION("""COMPUTED_VALUE"""),"")</f>
        <v/>
      </c>
      <c r="T1101" t="str">
        <f ca="1">IFERROR(__xludf.DUMMYFUNCTION("""COMPUTED_VALUE"""),"")</f>
        <v/>
      </c>
      <c r="U1101" t="str">
        <f ca="1">IFERROR(__xludf.DUMMYFUNCTION("""COMPUTED_VALUE"""),"")</f>
        <v/>
      </c>
      <c r="V1101" t="str">
        <f ca="1">IFERROR(__xludf.DUMMYFUNCTION("""COMPUTED_VALUE"""),"")</f>
        <v/>
      </c>
      <c r="W1101" t="str">
        <f ca="1">IFERROR(__xludf.DUMMYFUNCTION("""COMPUTED_VALUE"""),"")</f>
        <v/>
      </c>
      <c r="X1101" t="str">
        <f ca="1">IFERROR(__xludf.DUMMYFUNCTION("""COMPUTED_VALUE"""),"")</f>
        <v/>
      </c>
      <c r="Y1101" t="str">
        <f ca="1">IFERROR(__xludf.DUMMYFUNCTION("""COMPUTED_VALUE"""),"")</f>
        <v/>
      </c>
      <c r="Z1101" t="str">
        <f ca="1">IFERROR(__xludf.DUMMYFUNCTION("""COMPUTED_VALUE"""),"")</f>
        <v/>
      </c>
      <c r="AA1101" t="str">
        <f ca="1">IFERROR(__xludf.DUMMYFUNCTION("""COMPUTED_VALUE"""),"Pas de commande")</f>
        <v>Pas de commande</v>
      </c>
      <c r="AB1101" s="8" t="str">
        <f ca="1">IFERROR(__xludf.DUMMYFUNCTION("""COMPUTED_VALUE"""),"")</f>
        <v/>
      </c>
      <c r="AC1101" s="8" t="str">
        <f ca="1">IFERROR(__xludf.DUMMYFUNCTION("""COMPUTED_VALUE"""),"")</f>
        <v/>
      </c>
      <c r="AD1101" s="11" t="str">
        <f ca="1">IFERROR(__xludf.DUMMYFUNCTION("""COMPUTED_VALUE"""),"")</f>
        <v/>
      </c>
      <c r="AE1101" t="str">
        <f ca="1">IFERROR(__xludf.DUMMYFUNCTION("""COMPUTED_VALUE"""),"")</f>
        <v/>
      </c>
    </row>
    <row r="1102" spans="1:31" ht="12.75" x14ac:dyDescent="0.2">
      <c r="A1102">
        <f ca="1">IFERROR(__xludf.DUMMYFUNCTION("""COMPUTED_VALUE"""),21791)</f>
        <v>21791</v>
      </c>
      <c r="B1102" t="str">
        <f ca="1">IFERROR(__xludf.DUMMYFUNCTION("""COMPUTED_VALUE"""),"VILLE D'AVRAY")</f>
        <v>VILLE D'AVRAY</v>
      </c>
      <c r="C1102" t="str">
        <f ca="1">IFERROR(__xludf.DUMMYFUNCTION("""COMPUTED_VALUE"""),"U Express")</f>
        <v>U Express</v>
      </c>
      <c r="D1102" t="str">
        <f ca="1">IFERROR(__xludf.DUMMYFUNCTION("""COMPUTED_VALUE"""),"Coop U Enseigne NordOuest")</f>
        <v>Coop U Enseigne NordOuest</v>
      </c>
      <c r="E1102">
        <f ca="1">IFERROR(__xludf.DUMMYFUNCTION("""COMPUTED_VALUE"""),92410)</f>
        <v>92410</v>
      </c>
      <c r="F1102" t="str">
        <f ca="1">IFERROR(__xludf.DUMMYFUNCTION("""COMPUTED_VALUE"""),"9 RUE DE SEVRES")</f>
        <v>9 RUE DE SEVRES</v>
      </c>
      <c r="G1102" t="str">
        <f ca="1">IFERROR(__xludf.DUMMYFUNCTION("""COMPUTED_VALUE"""),"01.47.50.33.95")</f>
        <v>01.47.50.33.95</v>
      </c>
      <c r="H1102" t="str">
        <f ca="1">IFERROR(__xludf.DUMMYFUNCTION("""COMPUTED_VALUE"""),"LEFEBVRE Yann")</f>
        <v>LEFEBVRE Yann</v>
      </c>
      <c r="I1102" t="str">
        <f ca="1">IFERROR(__xludf.DUMMYFUNCTION("""COMPUTED_VALUE"""),"yann.lefebvre@systeme-u.fr")</f>
        <v>yann.lefebvre@systeme-u.fr</v>
      </c>
      <c r="J1102" t="str">
        <f ca="1">IFERROR(__xludf.DUMMYFUNCTION("""COMPUTED_VALUE"""),"M. TRIBOUILLAT")</f>
        <v>M. TRIBOUILLAT</v>
      </c>
      <c r="K1102" t="str">
        <f ca="1">IFERROR(__xludf.DUMMYFUNCTION("""COMPUTED_VALUE"""),"superu.villedavray.direction@systeme-u.fr")</f>
        <v>superu.villedavray.direction@systeme-u.fr</v>
      </c>
      <c r="L1102" t="str">
        <f ca="1">IFERROR(__xludf.DUMMYFUNCTION("""COMPUTED_VALUE"""),"")</f>
        <v/>
      </c>
      <c r="M1102" t="str">
        <f ca="1">IFERROR(__xludf.DUMMYFUNCTION("""COMPUTED_VALUE"""),"99.Hors Périmetre")</f>
        <v>99.Hors Périmetre</v>
      </c>
      <c r="N1102" t="str">
        <f ca="1">IFERROR(__xludf.DUMMYFUNCTION("""COMPUTED_VALUE"""),"")</f>
        <v/>
      </c>
      <c r="O1102" t="str">
        <f ca="1">IFERROR(__xludf.DUMMYFUNCTION("""COMPUTED_VALUE"""),"")</f>
        <v/>
      </c>
      <c r="P1102" t="str">
        <f ca="1">IFERROR(__xludf.DUMMYFUNCTION("""COMPUTED_VALUE"""),"")</f>
        <v/>
      </c>
      <c r="Q1102" s="5" t="str">
        <f ca="1">IFERROR(__xludf.DUMMYFUNCTION("""COMPUTED_VALUE"""),"")</f>
        <v/>
      </c>
      <c r="R1102" s="6" t="str">
        <f ca="1">IFERROR(__xludf.DUMMYFUNCTION("""COMPUTED_VALUE"""),"")</f>
        <v/>
      </c>
      <c r="S1102" t="str">
        <f ca="1">IFERROR(__xludf.DUMMYFUNCTION("""COMPUTED_VALUE"""),"")</f>
        <v/>
      </c>
      <c r="T1102" t="str">
        <f ca="1">IFERROR(__xludf.DUMMYFUNCTION("""COMPUTED_VALUE"""),"")</f>
        <v/>
      </c>
      <c r="U1102" t="str">
        <f ca="1">IFERROR(__xludf.DUMMYFUNCTION("""COMPUTED_VALUE"""),"")</f>
        <v/>
      </c>
      <c r="V1102" t="str">
        <f ca="1">IFERROR(__xludf.DUMMYFUNCTION("""COMPUTED_VALUE"""),"")</f>
        <v/>
      </c>
      <c r="W1102" t="str">
        <f ca="1">IFERROR(__xludf.DUMMYFUNCTION("""COMPUTED_VALUE"""),"")</f>
        <v/>
      </c>
      <c r="X1102" t="str">
        <f ca="1">IFERROR(__xludf.DUMMYFUNCTION("""COMPUTED_VALUE"""),"")</f>
        <v/>
      </c>
      <c r="Y1102" t="str">
        <f ca="1">IFERROR(__xludf.DUMMYFUNCTION("""COMPUTED_VALUE"""),"")</f>
        <v/>
      </c>
      <c r="Z1102" t="str">
        <f ca="1">IFERROR(__xludf.DUMMYFUNCTION("""COMPUTED_VALUE"""),"")</f>
        <v/>
      </c>
      <c r="AA1102" t="str">
        <f ca="1">IFERROR(__xludf.DUMMYFUNCTION("""COMPUTED_VALUE"""),"Pas de commande")</f>
        <v>Pas de commande</v>
      </c>
      <c r="AB1102" s="8" t="str">
        <f ca="1">IFERROR(__xludf.DUMMYFUNCTION("""COMPUTED_VALUE"""),"")</f>
        <v/>
      </c>
      <c r="AC1102" s="8" t="str">
        <f ca="1">IFERROR(__xludf.DUMMYFUNCTION("""COMPUTED_VALUE"""),"")</f>
        <v/>
      </c>
      <c r="AD1102" s="11" t="str">
        <f ca="1">IFERROR(__xludf.DUMMYFUNCTION("""COMPUTED_VALUE"""),"")</f>
        <v/>
      </c>
      <c r="AE1102" t="str">
        <f ca="1">IFERROR(__xludf.DUMMYFUNCTION("""COMPUTED_VALUE"""),"")</f>
        <v/>
      </c>
    </row>
    <row r="1103" spans="1:31" ht="12.75" x14ac:dyDescent="0.2">
      <c r="A1103">
        <f ca="1">IFERROR(__xludf.DUMMYFUNCTION("""COMPUTED_VALUE"""),35762)</f>
        <v>35762</v>
      </c>
      <c r="B1103" t="str">
        <f ca="1">IFERROR(__xludf.DUMMYFUNCTION("""COMPUTED_VALUE"""),"VILLEBOIS-LAVALETTE")</f>
        <v>VILLEBOIS-LAVALETTE</v>
      </c>
      <c r="C1103" t="str">
        <f ca="1">IFERROR(__xludf.DUMMYFUNCTION("""COMPUTED_VALUE"""),"Super U")</f>
        <v>Super U</v>
      </c>
      <c r="D1103" t="str">
        <f ca="1">IFERROR(__xludf.DUMMYFUNCTION("""COMPUTED_VALUE"""),"Coop U Enseigne Ouest")</f>
        <v>Coop U Enseigne Ouest</v>
      </c>
      <c r="E1103">
        <f ca="1">IFERROR(__xludf.DUMMYFUNCTION("""COMPUTED_VALUE"""),16320)</f>
        <v>16320</v>
      </c>
      <c r="F1103" t="str">
        <f ca="1">IFERROR(__xludf.DUMMYFUNCTION("""COMPUTED_VALUE"""),"ZAC DE SIGALAUD")</f>
        <v>ZAC DE SIGALAUD</v>
      </c>
      <c r="G1103" t="str">
        <f ca="1">IFERROR(__xludf.DUMMYFUNCTION("""COMPUTED_VALUE"""),"05.45.64.95.95")</f>
        <v>05.45.64.95.95</v>
      </c>
      <c r="H1103" t="str">
        <f ca="1">IFERROR(__xludf.DUMMYFUNCTION("""COMPUTED_VALUE"""),"BOURREAU RPT SARL ALMASA Stéphane")</f>
        <v>BOURREAU RPT SARL ALMASA Stéphane</v>
      </c>
      <c r="I1103" t="str">
        <f ca="1">IFERROR(__xludf.DUMMYFUNCTION("""COMPUTED_VALUE"""),"stephane.bourreau@systeme-u.fr")</f>
        <v>stephane.bourreau@systeme-u.fr</v>
      </c>
      <c r="J1103" t="str">
        <f ca="1">IFERROR(__xludf.DUMMYFUNCTION("""COMPUTED_VALUE"""),"VILLENEUVE Loïc")</f>
        <v>VILLENEUVE Loïc</v>
      </c>
      <c r="K1103" t="str">
        <f ca="1">IFERROR(__xludf.DUMMYFUNCTION("""COMPUTED_VALUE"""),"superu.villeboislavalette.direction@systeme-u.fr")</f>
        <v>superu.villeboislavalette.direction@systeme-u.fr</v>
      </c>
      <c r="L1103" t="str">
        <f ca="1">IFERROR(__xludf.DUMMYFUNCTION("""COMPUTED_VALUE"""),"")</f>
        <v/>
      </c>
      <c r="M1103" t="str">
        <f ca="1">IFERROR(__xludf.DUMMYFUNCTION("""COMPUTED_VALUE"""),"99.Hors Périmetre")</f>
        <v>99.Hors Périmetre</v>
      </c>
      <c r="N1103" t="str">
        <f ca="1">IFERROR(__xludf.DUMMYFUNCTION("""COMPUTED_VALUE"""),"")</f>
        <v/>
      </c>
      <c r="O1103" t="str">
        <f ca="1">IFERROR(__xludf.DUMMYFUNCTION("""COMPUTED_VALUE"""),"")</f>
        <v/>
      </c>
      <c r="P1103" t="str">
        <f ca="1">IFERROR(__xludf.DUMMYFUNCTION("""COMPUTED_VALUE"""),"")</f>
        <v/>
      </c>
      <c r="Q1103" s="5" t="str">
        <f ca="1">IFERROR(__xludf.DUMMYFUNCTION("""COMPUTED_VALUE"""),"")</f>
        <v/>
      </c>
      <c r="R1103" s="6" t="str">
        <f ca="1">IFERROR(__xludf.DUMMYFUNCTION("""COMPUTED_VALUE"""),"")</f>
        <v/>
      </c>
      <c r="S1103" t="str">
        <f ca="1">IFERROR(__xludf.DUMMYFUNCTION("""COMPUTED_VALUE"""),"")</f>
        <v/>
      </c>
      <c r="T1103" t="str">
        <f ca="1">IFERROR(__xludf.DUMMYFUNCTION("""COMPUTED_VALUE"""),"")</f>
        <v/>
      </c>
      <c r="U1103" t="str">
        <f ca="1">IFERROR(__xludf.DUMMYFUNCTION("""COMPUTED_VALUE"""),"")</f>
        <v/>
      </c>
      <c r="V1103" t="str">
        <f ca="1">IFERROR(__xludf.DUMMYFUNCTION("""COMPUTED_VALUE"""),"")</f>
        <v/>
      </c>
      <c r="W1103" t="str">
        <f ca="1">IFERROR(__xludf.DUMMYFUNCTION("""COMPUTED_VALUE"""),"")</f>
        <v/>
      </c>
      <c r="X1103" t="str">
        <f ca="1">IFERROR(__xludf.DUMMYFUNCTION("""COMPUTED_VALUE"""),"")</f>
        <v/>
      </c>
      <c r="Y1103" t="str">
        <f ca="1">IFERROR(__xludf.DUMMYFUNCTION("""COMPUTED_VALUE"""),"")</f>
        <v/>
      </c>
      <c r="Z1103" t="str">
        <f ca="1">IFERROR(__xludf.DUMMYFUNCTION("""COMPUTED_VALUE"""),"")</f>
        <v/>
      </c>
      <c r="AA1103" t="str">
        <f ca="1">IFERROR(__xludf.DUMMYFUNCTION("""COMPUTED_VALUE"""),"Pas de commande")</f>
        <v>Pas de commande</v>
      </c>
      <c r="AB1103" s="8" t="str">
        <f ca="1">IFERROR(__xludf.DUMMYFUNCTION("""COMPUTED_VALUE"""),"")</f>
        <v/>
      </c>
      <c r="AC1103" s="8" t="str">
        <f ca="1">IFERROR(__xludf.DUMMYFUNCTION("""COMPUTED_VALUE"""),"")</f>
        <v/>
      </c>
      <c r="AD1103" s="11" t="str">
        <f ca="1">IFERROR(__xludf.DUMMYFUNCTION("""COMPUTED_VALUE"""),"")</f>
        <v/>
      </c>
      <c r="AE1103" t="str">
        <f ca="1">IFERROR(__xludf.DUMMYFUNCTION("""COMPUTED_VALUE"""),"")</f>
        <v/>
      </c>
    </row>
    <row r="1104" spans="1:31" ht="12.75" x14ac:dyDescent="0.2">
      <c r="A1104">
        <f ca="1">IFERROR(__xludf.DUMMYFUNCTION("""COMPUTED_VALUE"""),95127)</f>
        <v>95127</v>
      </c>
      <c r="B1104" t="str">
        <f ca="1">IFERROR(__xludf.DUMMYFUNCTION("""COMPUTED_VALUE"""),"VILLEFRANCHE DE LAURAGAIS")</f>
        <v>VILLEFRANCHE DE LAURAGAIS</v>
      </c>
      <c r="C1104" t="str">
        <f ca="1">IFERROR(__xludf.DUMMYFUNCTION("""COMPUTED_VALUE"""),"Hyper U")</f>
        <v>Hyper U</v>
      </c>
      <c r="D1104" t="str">
        <f ca="1">IFERROR(__xludf.DUMMYFUNCTION("""COMPUTED_VALUE"""),"Coop U Enseigne Sud")</f>
        <v>Coop U Enseigne Sud</v>
      </c>
      <c r="E1104">
        <f ca="1">IFERROR(__xludf.DUMMYFUNCTION("""COMPUTED_VALUE"""),31290)</f>
        <v>31290</v>
      </c>
      <c r="F1104" t="str">
        <f ca="1">IFERROR(__xludf.DUMMYFUNCTION("""COMPUTED_VALUE"""),"SUPER U ZAC BORDE BLANCHE")</f>
        <v>SUPER U ZAC BORDE BLANCHE</v>
      </c>
      <c r="G1104" t="str">
        <f ca="1">IFERROR(__xludf.DUMMYFUNCTION("""COMPUTED_VALUE"""),"05.62.71.72.22")</f>
        <v>05.62.71.72.22</v>
      </c>
      <c r="H1104" t="str">
        <f ca="1">IFERROR(__xludf.DUMMYFUNCTION("""COMPUTED_VALUE"""),"BRULIERE ROMAIN")</f>
        <v>BRULIERE ROMAIN</v>
      </c>
      <c r="I1104" t="str">
        <f ca="1">IFERROR(__xludf.DUMMYFUNCTION("""COMPUTED_VALUE"""),"romain.bruliere@systeme-u.fr")</f>
        <v>romain.bruliere@systeme-u.fr</v>
      </c>
      <c r="J1104" t="str">
        <f ca="1">IFERROR(__xludf.DUMMYFUNCTION("""COMPUTED_VALUE"""),"")</f>
        <v/>
      </c>
      <c r="K1104" t="str">
        <f ca="1">IFERROR(__xludf.DUMMYFUNCTION("""COMPUTED_VALUE"""),"")</f>
        <v/>
      </c>
      <c r="L1104" t="str">
        <f ca="1">IFERROR(__xludf.DUMMYFUNCTION("""COMPUTED_VALUE"""),"")</f>
        <v/>
      </c>
      <c r="M1104" t="str">
        <f ca="1">IFERROR(__xludf.DUMMYFUNCTION("""COMPUTED_VALUE"""),"99.Hors Périmetre")</f>
        <v>99.Hors Périmetre</v>
      </c>
      <c r="N1104" t="str">
        <f ca="1">IFERROR(__xludf.DUMMYFUNCTION("""COMPUTED_VALUE"""),"")</f>
        <v/>
      </c>
      <c r="O1104" t="str">
        <f ca="1">IFERROR(__xludf.DUMMYFUNCTION("""COMPUTED_VALUE"""),"")</f>
        <v/>
      </c>
      <c r="P1104" t="str">
        <f ca="1">IFERROR(__xludf.DUMMYFUNCTION("""COMPUTED_VALUE"""),"")</f>
        <v/>
      </c>
      <c r="Q1104" s="5" t="str">
        <f ca="1">IFERROR(__xludf.DUMMYFUNCTION("""COMPUTED_VALUE"""),"")</f>
        <v/>
      </c>
      <c r="R1104" s="6" t="str">
        <f ca="1">IFERROR(__xludf.DUMMYFUNCTION("""COMPUTED_VALUE"""),"")</f>
        <v/>
      </c>
      <c r="S1104" t="str">
        <f ca="1">IFERROR(__xludf.DUMMYFUNCTION("""COMPUTED_VALUE"""),"")</f>
        <v/>
      </c>
      <c r="T1104" t="str">
        <f ca="1">IFERROR(__xludf.DUMMYFUNCTION("""COMPUTED_VALUE"""),"")</f>
        <v/>
      </c>
      <c r="U1104" t="str">
        <f ca="1">IFERROR(__xludf.DUMMYFUNCTION("""COMPUTED_VALUE"""),"")</f>
        <v/>
      </c>
      <c r="V1104" t="str">
        <f ca="1">IFERROR(__xludf.DUMMYFUNCTION("""COMPUTED_VALUE"""),"")</f>
        <v/>
      </c>
      <c r="W1104" t="str">
        <f ca="1">IFERROR(__xludf.DUMMYFUNCTION("""COMPUTED_VALUE"""),"")</f>
        <v/>
      </c>
      <c r="X1104" t="str">
        <f ca="1">IFERROR(__xludf.DUMMYFUNCTION("""COMPUTED_VALUE"""),"")</f>
        <v/>
      </c>
      <c r="Y1104" t="str">
        <f ca="1">IFERROR(__xludf.DUMMYFUNCTION("""COMPUTED_VALUE"""),"")</f>
        <v/>
      </c>
      <c r="Z1104" t="str">
        <f ca="1">IFERROR(__xludf.DUMMYFUNCTION("""COMPUTED_VALUE"""),"")</f>
        <v/>
      </c>
      <c r="AA1104" t="str">
        <f ca="1">IFERROR(__xludf.DUMMYFUNCTION("""COMPUTED_VALUE"""),"Pas de commande")</f>
        <v>Pas de commande</v>
      </c>
      <c r="AB1104" s="8" t="str">
        <f ca="1">IFERROR(__xludf.DUMMYFUNCTION("""COMPUTED_VALUE"""),"")</f>
        <v/>
      </c>
      <c r="AC1104" s="8" t="str">
        <f ca="1">IFERROR(__xludf.DUMMYFUNCTION("""COMPUTED_VALUE"""),"")</f>
        <v/>
      </c>
      <c r="AD1104" s="11" t="str">
        <f ca="1">IFERROR(__xludf.DUMMYFUNCTION("""COMPUTED_VALUE"""),"")</f>
        <v/>
      </c>
      <c r="AE1104" t="str">
        <f ca="1">IFERROR(__xludf.DUMMYFUNCTION("""COMPUTED_VALUE"""),"")</f>
        <v/>
      </c>
    </row>
    <row r="1105" spans="1:31" ht="12.75" x14ac:dyDescent="0.2">
      <c r="A1105">
        <f ca="1">IFERROR(__xludf.DUMMYFUNCTION("""COMPUTED_VALUE"""),24693)</f>
        <v>24693</v>
      </c>
      <c r="B1105" t="str">
        <f ca="1">IFERROR(__xludf.DUMMYFUNCTION("""COMPUTED_VALUE"""),"#N/A")</f>
        <v>#N/A</v>
      </c>
      <c r="C1105" t="str">
        <f ca="1">IFERROR(__xludf.DUMMYFUNCTION("""COMPUTED_VALUE"""),"#N/A")</f>
        <v>#N/A</v>
      </c>
      <c r="D1105" t="str">
        <f ca="1">IFERROR(__xludf.DUMMYFUNCTION("""COMPUTED_VALUE"""),"#N/A")</f>
        <v>#N/A</v>
      </c>
      <c r="E1105" t="str">
        <f ca="1">IFERROR(__xludf.DUMMYFUNCTION("""COMPUTED_VALUE"""),"")</f>
        <v/>
      </c>
      <c r="F1105" t="str">
        <f ca="1">IFERROR(__xludf.DUMMYFUNCTION("""COMPUTED_VALUE"""),"#N/A")</f>
        <v>#N/A</v>
      </c>
      <c r="G1105" t="str">
        <f ca="1">IFERROR(__xludf.DUMMYFUNCTION("""COMPUTED_VALUE"""),"#N/A")</f>
        <v>#N/A</v>
      </c>
      <c r="H1105" t="str">
        <f ca="1">IFERROR(__xludf.DUMMYFUNCTION("""COMPUTED_VALUE"""),"#N/A")</f>
        <v>#N/A</v>
      </c>
      <c r="I1105" t="str">
        <f ca="1">IFERROR(__xludf.DUMMYFUNCTION("""COMPUTED_VALUE"""),"#N/A")</f>
        <v>#N/A</v>
      </c>
      <c r="J1105" t="str">
        <f ca="1">IFERROR(__xludf.DUMMYFUNCTION("""COMPUTED_VALUE"""),"")</f>
        <v/>
      </c>
      <c r="K1105" t="str">
        <f ca="1">IFERROR(__xludf.DUMMYFUNCTION("""COMPUTED_VALUE"""),"")</f>
        <v/>
      </c>
      <c r="L1105" t="str">
        <f ca="1">IFERROR(__xludf.DUMMYFUNCTION("""COMPUTED_VALUE"""),"")</f>
        <v/>
      </c>
      <c r="M1105" t="str">
        <f ca="1">IFERROR(__xludf.DUMMYFUNCTION("""COMPUTED_VALUE"""),"99.Hors Périmetre")</f>
        <v>99.Hors Périmetre</v>
      </c>
      <c r="N1105" t="str">
        <f ca="1">IFERROR(__xludf.DUMMYFUNCTION("""COMPUTED_VALUE"""),"")</f>
        <v/>
      </c>
      <c r="O1105" t="str">
        <f ca="1">IFERROR(__xludf.DUMMYFUNCTION("""COMPUTED_VALUE"""),"")</f>
        <v/>
      </c>
      <c r="P1105" t="str">
        <f ca="1">IFERROR(__xludf.DUMMYFUNCTION("""COMPUTED_VALUE"""),"")</f>
        <v/>
      </c>
      <c r="Q1105" s="5" t="str">
        <f ca="1">IFERROR(__xludf.DUMMYFUNCTION("""COMPUTED_VALUE"""),"")</f>
        <v/>
      </c>
      <c r="R1105" s="6" t="str">
        <f ca="1">IFERROR(__xludf.DUMMYFUNCTION("""COMPUTED_VALUE"""),"")</f>
        <v/>
      </c>
      <c r="S1105" t="str">
        <f ca="1">IFERROR(__xludf.DUMMYFUNCTION("""COMPUTED_VALUE"""),"")</f>
        <v/>
      </c>
      <c r="T1105" t="str">
        <f ca="1">IFERROR(__xludf.DUMMYFUNCTION("""COMPUTED_VALUE"""),"")</f>
        <v/>
      </c>
      <c r="U1105" t="str">
        <f ca="1">IFERROR(__xludf.DUMMYFUNCTION("""COMPUTED_VALUE"""),"")</f>
        <v/>
      </c>
      <c r="V1105" t="str">
        <f ca="1">IFERROR(__xludf.DUMMYFUNCTION("""COMPUTED_VALUE"""),"")</f>
        <v/>
      </c>
      <c r="W1105" t="str">
        <f ca="1">IFERROR(__xludf.DUMMYFUNCTION("""COMPUTED_VALUE"""),"")</f>
        <v/>
      </c>
      <c r="X1105" t="str">
        <f ca="1">IFERROR(__xludf.DUMMYFUNCTION("""COMPUTED_VALUE"""),"")</f>
        <v/>
      </c>
      <c r="Y1105" t="str">
        <f ca="1">IFERROR(__xludf.DUMMYFUNCTION("""COMPUTED_VALUE"""),"")</f>
        <v/>
      </c>
      <c r="Z1105" t="str">
        <f ca="1">IFERROR(__xludf.DUMMYFUNCTION("""COMPUTED_VALUE"""),"")</f>
        <v/>
      </c>
      <c r="AA1105" t="str">
        <f ca="1">IFERROR(__xludf.DUMMYFUNCTION("""COMPUTED_VALUE"""),"Pas de commande")</f>
        <v>Pas de commande</v>
      </c>
      <c r="AB1105" s="8" t="str">
        <f ca="1">IFERROR(__xludf.DUMMYFUNCTION("""COMPUTED_VALUE"""),"")</f>
        <v/>
      </c>
      <c r="AC1105" s="8" t="str">
        <f ca="1">IFERROR(__xludf.DUMMYFUNCTION("""COMPUTED_VALUE"""),"")</f>
        <v/>
      </c>
      <c r="AD1105" s="11" t="str">
        <f ca="1">IFERROR(__xludf.DUMMYFUNCTION("""COMPUTED_VALUE"""),"")</f>
        <v/>
      </c>
      <c r="AE1105" t="str">
        <f ca="1">IFERROR(__xludf.DUMMYFUNCTION("""COMPUTED_VALUE"""),"")</f>
        <v/>
      </c>
    </row>
    <row r="1106" spans="1:31" ht="12.75" x14ac:dyDescent="0.2">
      <c r="A1106">
        <f ca="1">IFERROR(__xludf.DUMMYFUNCTION("""COMPUTED_VALUE"""),24863)</f>
        <v>24863</v>
      </c>
      <c r="B1106" t="str">
        <f ca="1">IFERROR(__xludf.DUMMYFUNCTION("""COMPUTED_VALUE"""),"#N/A")</f>
        <v>#N/A</v>
      </c>
      <c r="C1106" t="str">
        <f ca="1">IFERROR(__xludf.DUMMYFUNCTION("""COMPUTED_VALUE"""),"#N/A")</f>
        <v>#N/A</v>
      </c>
      <c r="D1106" t="str">
        <f ca="1">IFERROR(__xludf.DUMMYFUNCTION("""COMPUTED_VALUE"""),"#N/A")</f>
        <v>#N/A</v>
      </c>
      <c r="E1106" t="str">
        <f ca="1">IFERROR(__xludf.DUMMYFUNCTION("""COMPUTED_VALUE"""),"")</f>
        <v/>
      </c>
      <c r="F1106" t="str">
        <f ca="1">IFERROR(__xludf.DUMMYFUNCTION("""COMPUTED_VALUE"""),"#N/A")</f>
        <v>#N/A</v>
      </c>
      <c r="G1106" t="str">
        <f ca="1">IFERROR(__xludf.DUMMYFUNCTION("""COMPUTED_VALUE"""),"#N/A")</f>
        <v>#N/A</v>
      </c>
      <c r="H1106" t="str">
        <f ca="1">IFERROR(__xludf.DUMMYFUNCTION("""COMPUTED_VALUE"""),"#N/A")</f>
        <v>#N/A</v>
      </c>
      <c r="I1106" t="str">
        <f ca="1">IFERROR(__xludf.DUMMYFUNCTION("""COMPUTED_VALUE"""),"#N/A")</f>
        <v>#N/A</v>
      </c>
      <c r="J1106" t="str">
        <f ca="1">IFERROR(__xludf.DUMMYFUNCTION("""COMPUTED_VALUE"""),"")</f>
        <v/>
      </c>
      <c r="K1106" t="str">
        <f ca="1">IFERROR(__xludf.DUMMYFUNCTION("""COMPUTED_VALUE"""),"")</f>
        <v/>
      </c>
      <c r="L1106" t="str">
        <f ca="1">IFERROR(__xludf.DUMMYFUNCTION("""COMPUTED_VALUE"""),"")</f>
        <v/>
      </c>
      <c r="M1106" t="str">
        <f ca="1">IFERROR(__xludf.DUMMYFUNCTION("""COMPUTED_VALUE"""),"99.Hors Périmetre")</f>
        <v>99.Hors Périmetre</v>
      </c>
      <c r="N1106" t="str">
        <f ca="1">IFERROR(__xludf.DUMMYFUNCTION("""COMPUTED_VALUE"""),"")</f>
        <v/>
      </c>
      <c r="O1106" t="str">
        <f ca="1">IFERROR(__xludf.DUMMYFUNCTION("""COMPUTED_VALUE"""),"")</f>
        <v/>
      </c>
      <c r="P1106" t="str">
        <f ca="1">IFERROR(__xludf.DUMMYFUNCTION("""COMPUTED_VALUE"""),"")</f>
        <v/>
      </c>
      <c r="Q1106" s="5" t="str">
        <f ca="1">IFERROR(__xludf.DUMMYFUNCTION("""COMPUTED_VALUE"""),"")</f>
        <v/>
      </c>
      <c r="R1106" s="6" t="str">
        <f ca="1">IFERROR(__xludf.DUMMYFUNCTION("""COMPUTED_VALUE"""),"")</f>
        <v/>
      </c>
      <c r="S1106" t="str">
        <f ca="1">IFERROR(__xludf.DUMMYFUNCTION("""COMPUTED_VALUE"""),"")</f>
        <v/>
      </c>
      <c r="T1106" t="str">
        <f ca="1">IFERROR(__xludf.DUMMYFUNCTION("""COMPUTED_VALUE"""),"")</f>
        <v/>
      </c>
      <c r="U1106" t="str">
        <f ca="1">IFERROR(__xludf.DUMMYFUNCTION("""COMPUTED_VALUE"""),"")</f>
        <v/>
      </c>
      <c r="V1106" t="str">
        <f ca="1">IFERROR(__xludf.DUMMYFUNCTION("""COMPUTED_VALUE"""),"")</f>
        <v/>
      </c>
      <c r="W1106" t="str">
        <f ca="1">IFERROR(__xludf.DUMMYFUNCTION("""COMPUTED_VALUE"""),"")</f>
        <v/>
      </c>
      <c r="X1106" t="str">
        <f ca="1">IFERROR(__xludf.DUMMYFUNCTION("""COMPUTED_VALUE"""),"")</f>
        <v/>
      </c>
      <c r="Y1106" t="str">
        <f ca="1">IFERROR(__xludf.DUMMYFUNCTION("""COMPUTED_VALUE"""),"")</f>
        <v/>
      </c>
      <c r="Z1106" t="str">
        <f ca="1">IFERROR(__xludf.DUMMYFUNCTION("""COMPUTED_VALUE"""),"")</f>
        <v/>
      </c>
      <c r="AA1106" t="str">
        <f ca="1">IFERROR(__xludf.DUMMYFUNCTION("""COMPUTED_VALUE"""),"Pas de commande")</f>
        <v>Pas de commande</v>
      </c>
      <c r="AB1106" s="8" t="str">
        <f ca="1">IFERROR(__xludf.DUMMYFUNCTION("""COMPUTED_VALUE"""),"")</f>
        <v/>
      </c>
      <c r="AC1106" s="8" t="str">
        <f ca="1">IFERROR(__xludf.DUMMYFUNCTION("""COMPUTED_VALUE"""),"")</f>
        <v/>
      </c>
      <c r="AD1106" s="11" t="str">
        <f ca="1">IFERROR(__xludf.DUMMYFUNCTION("""COMPUTED_VALUE"""),"")</f>
        <v/>
      </c>
      <c r="AE1106" t="str">
        <f ca="1">IFERROR(__xludf.DUMMYFUNCTION("""COMPUTED_VALUE"""),"")</f>
        <v/>
      </c>
    </row>
    <row r="1107" spans="1:31" ht="12.75" x14ac:dyDescent="0.2">
      <c r="A1107">
        <f ca="1">IFERROR(__xludf.DUMMYFUNCTION("""COMPUTED_VALUE"""),66209)</f>
        <v>66209</v>
      </c>
      <c r="B1107" t="str">
        <f ca="1">IFERROR(__xludf.DUMMYFUNCTION("""COMPUTED_VALUE"""),"VILLEURBANNE")</f>
        <v>VILLEURBANNE</v>
      </c>
      <c r="C1107" t="str">
        <f ca="1">IFERROR(__xludf.DUMMYFUNCTION("""COMPUTED_VALUE"""),"Super U")</f>
        <v>Super U</v>
      </c>
      <c r="D1107" t="str">
        <f ca="1">IFERROR(__xludf.DUMMYFUNCTION("""COMPUTED_VALUE"""),"Coop U Enseigne Est")</f>
        <v>Coop U Enseigne Est</v>
      </c>
      <c r="E1107">
        <f ca="1">IFERROR(__xludf.DUMMYFUNCTION("""COMPUTED_VALUE"""),69100)</f>
        <v>69100</v>
      </c>
      <c r="F1107" t="str">
        <f ca="1">IFERROR(__xludf.DUMMYFUNCTION("""COMPUTED_VALUE"""),"305 COUR EMILE ZOLA")</f>
        <v>305 COUR EMILE ZOLA</v>
      </c>
      <c r="G1107" t="str">
        <f ca="1">IFERROR(__xludf.DUMMYFUNCTION("""COMPUTED_VALUE"""),"04.72.56.81.13")</f>
        <v>04.72.56.81.13</v>
      </c>
      <c r="H1107" t="str">
        <f ca="1">IFERROR(__xludf.DUMMYFUNCTION("""COMPUTED_VALUE"""),"20/09 ERI Rappeler Mr Digne le 21/09 vers 11h
Attente de confirmation du créneau du vendredi matin
Stand-by +8 postes
15/10 CLA rappeler jeudi ")</f>
        <v xml:space="preserve">20/09 ERI Rappeler Mr Digne le 21/09 vers 11h
Attente de confirmation du créneau du vendredi matin
Stand-by +8 postes
15/10 CLA rappeler jeudi </v>
      </c>
      <c r="I1107" t="str">
        <f ca="1">IFERROR(__xludf.DUMMYFUNCTION("""COMPUTED_VALUE"""),"sacha.levy@systeme-u.fr")</f>
        <v>sacha.levy@systeme-u.fr</v>
      </c>
      <c r="J1107" t="str">
        <f ca="1">IFERROR(__xludf.DUMMYFUNCTION("""COMPUTED_VALUE"""),"")</f>
        <v/>
      </c>
      <c r="K1107" t="str">
        <f ca="1">IFERROR(__xludf.DUMMYFUNCTION("""COMPUTED_VALUE"""),"")</f>
        <v/>
      </c>
      <c r="L1107" t="str">
        <f ca="1">IFERROR(__xludf.DUMMYFUNCTION("""COMPUTED_VALUE"""),"")</f>
        <v/>
      </c>
      <c r="M1107" t="str">
        <f ca="1">IFERROR(__xludf.DUMMYFUNCTION("""COMPUTED_VALUE"""),"99.Hors Périmetre")</f>
        <v>99.Hors Périmetre</v>
      </c>
      <c r="N1107" t="str">
        <f ca="1">IFERROR(__xludf.DUMMYFUNCTION("""COMPUTED_VALUE"""),"")</f>
        <v/>
      </c>
      <c r="O1107" t="str">
        <f ca="1">IFERROR(__xludf.DUMMYFUNCTION("""COMPUTED_VALUE"""),"")</f>
        <v/>
      </c>
      <c r="P1107" t="str">
        <f ca="1">IFERROR(__xludf.DUMMYFUNCTION("""COMPUTED_VALUE"""),"")</f>
        <v/>
      </c>
      <c r="Q1107" s="5" t="str">
        <f ca="1">IFERROR(__xludf.DUMMYFUNCTION("""COMPUTED_VALUE"""),"")</f>
        <v/>
      </c>
      <c r="R1107" s="6" t="str">
        <f ca="1">IFERROR(__xludf.DUMMYFUNCTION("""COMPUTED_VALUE"""),"")</f>
        <v/>
      </c>
      <c r="S1107" t="str">
        <f ca="1">IFERROR(__xludf.DUMMYFUNCTION("""COMPUTED_VALUE"""),"")</f>
        <v/>
      </c>
      <c r="T1107" t="str">
        <f ca="1">IFERROR(__xludf.DUMMYFUNCTION("""COMPUTED_VALUE"""),"")</f>
        <v/>
      </c>
      <c r="U1107" t="str">
        <f ca="1">IFERROR(__xludf.DUMMYFUNCTION("""COMPUTED_VALUE"""),"")</f>
        <v/>
      </c>
      <c r="V1107" t="str">
        <f ca="1">IFERROR(__xludf.DUMMYFUNCTION("""COMPUTED_VALUE"""),"")</f>
        <v/>
      </c>
      <c r="W1107" t="str">
        <f ca="1">IFERROR(__xludf.DUMMYFUNCTION("""COMPUTED_VALUE"""),"")</f>
        <v/>
      </c>
      <c r="X1107" t="str">
        <f ca="1">IFERROR(__xludf.DUMMYFUNCTION("""COMPUTED_VALUE"""),"")</f>
        <v/>
      </c>
      <c r="Y1107" t="str">
        <f ca="1">IFERROR(__xludf.DUMMYFUNCTION("""COMPUTED_VALUE"""),"")</f>
        <v/>
      </c>
      <c r="Z1107" t="str">
        <f ca="1">IFERROR(__xludf.DUMMYFUNCTION("""COMPUTED_VALUE"""),"")</f>
        <v/>
      </c>
      <c r="AA1107" t="str">
        <f ca="1">IFERROR(__xludf.DUMMYFUNCTION("""COMPUTED_VALUE"""),"Pas de commande")</f>
        <v>Pas de commande</v>
      </c>
      <c r="AB1107" s="8" t="str">
        <f ca="1">IFERROR(__xludf.DUMMYFUNCTION("""COMPUTED_VALUE"""),"")</f>
        <v/>
      </c>
      <c r="AC1107" s="8" t="str">
        <f ca="1">IFERROR(__xludf.DUMMYFUNCTION("""COMPUTED_VALUE"""),"")</f>
        <v/>
      </c>
      <c r="AD1107" s="11" t="str">
        <f ca="1">IFERROR(__xludf.DUMMYFUNCTION("""COMPUTED_VALUE"""),"")</f>
        <v/>
      </c>
      <c r="AE1107" t="str">
        <f ca="1">IFERROR(__xludf.DUMMYFUNCTION("""COMPUTED_VALUE"""),"")</f>
        <v/>
      </c>
    </row>
    <row r="1108" spans="1:31" ht="12.75" x14ac:dyDescent="0.2">
      <c r="A1108">
        <f ca="1">IFERROR(__xludf.DUMMYFUNCTION("""COMPUTED_VALUE"""),26009)</f>
        <v>26009</v>
      </c>
      <c r="B1108" t="str">
        <f ca="1">IFERROR(__xludf.DUMMYFUNCTION("""COMPUTED_VALUE"""),"VILLIERS SUR MARNE")</f>
        <v>VILLIERS SUR MARNE</v>
      </c>
      <c r="C1108" t="str">
        <f ca="1">IFERROR(__xludf.DUMMYFUNCTION("""COMPUTED_VALUE"""),"U Express")</f>
        <v>U Express</v>
      </c>
      <c r="D1108" t="str">
        <f ca="1">IFERROR(__xludf.DUMMYFUNCTION("""COMPUTED_VALUE"""),"Coop U Enseigne NordOuest")</f>
        <v>Coop U Enseigne NordOuest</v>
      </c>
      <c r="E1108">
        <f ca="1">IFERROR(__xludf.DUMMYFUNCTION("""COMPUTED_VALUE"""),94354)</f>
        <v>94354</v>
      </c>
      <c r="F1108" t="str">
        <f ca="1">IFERROR(__xludf.DUMMYFUNCTION("""COMPUTED_VALUE"""),"51 AVENUE ANDRE ROUY")</f>
        <v>51 AVENUE ANDRE ROUY</v>
      </c>
      <c r="G1108" t="str">
        <f ca="1">IFERROR(__xludf.DUMMYFUNCTION("""COMPUTED_VALUE"""),"01.49.30.24.72")</f>
        <v>01.49.30.24.72</v>
      </c>
      <c r="H1108" t="str">
        <f ca="1">IFERROR(__xludf.DUMMYFUNCTION("""COMPUTED_VALUE"""),"DELMOTTE Jérôme")</f>
        <v>DELMOTTE Jérôme</v>
      </c>
      <c r="I1108" t="str">
        <f ca="1">IFERROR(__xludf.DUMMYFUNCTION("""COMPUTED_VALUE"""),"jerome.delmotte@systeme-u.fr")</f>
        <v>jerome.delmotte@systeme-u.fr</v>
      </c>
      <c r="J1108" t="str">
        <f ca="1">IFERROR(__xludf.DUMMYFUNCTION("""COMPUTED_VALUE"""),"FARIA Alexandre")</f>
        <v>FARIA Alexandre</v>
      </c>
      <c r="K1108" t="str">
        <f ca="1">IFERROR(__xludf.DUMMYFUNCTION("""COMPUTED_VALUE"""),"uexpress.villierssurmarne@systeme-u.fr")</f>
        <v>uexpress.villierssurmarne@systeme-u.fr</v>
      </c>
      <c r="L1108" t="str">
        <f ca="1">IFERROR(__xludf.DUMMYFUNCTION("""COMPUTED_VALUE"""),"")</f>
        <v/>
      </c>
      <c r="M1108" t="str">
        <f ca="1">IFERROR(__xludf.DUMMYFUNCTION("""COMPUTED_VALUE"""),"99.Hors Périmetre")</f>
        <v>99.Hors Périmetre</v>
      </c>
      <c r="N1108" t="str">
        <f ca="1">IFERROR(__xludf.DUMMYFUNCTION("""COMPUTED_VALUE"""),"")</f>
        <v/>
      </c>
      <c r="O1108" t="str">
        <f ca="1">IFERROR(__xludf.DUMMYFUNCTION("""COMPUTED_VALUE"""),"")</f>
        <v/>
      </c>
      <c r="P1108" t="str">
        <f ca="1">IFERROR(__xludf.DUMMYFUNCTION("""COMPUTED_VALUE"""),"")</f>
        <v/>
      </c>
      <c r="Q1108" s="5" t="str">
        <f ca="1">IFERROR(__xludf.DUMMYFUNCTION("""COMPUTED_VALUE"""),"")</f>
        <v/>
      </c>
      <c r="R1108" s="6" t="str">
        <f ca="1">IFERROR(__xludf.DUMMYFUNCTION("""COMPUTED_VALUE"""),"")</f>
        <v/>
      </c>
      <c r="S1108" t="str">
        <f ca="1">IFERROR(__xludf.DUMMYFUNCTION("""COMPUTED_VALUE"""),"")</f>
        <v/>
      </c>
      <c r="T1108" t="str">
        <f ca="1">IFERROR(__xludf.DUMMYFUNCTION("""COMPUTED_VALUE"""),"")</f>
        <v/>
      </c>
      <c r="U1108" t="str">
        <f ca="1">IFERROR(__xludf.DUMMYFUNCTION("""COMPUTED_VALUE"""),"")</f>
        <v/>
      </c>
      <c r="V1108" t="str">
        <f ca="1">IFERROR(__xludf.DUMMYFUNCTION("""COMPUTED_VALUE"""),"")</f>
        <v/>
      </c>
      <c r="W1108" t="str">
        <f ca="1">IFERROR(__xludf.DUMMYFUNCTION("""COMPUTED_VALUE"""),"")</f>
        <v/>
      </c>
      <c r="X1108" t="str">
        <f ca="1">IFERROR(__xludf.DUMMYFUNCTION("""COMPUTED_VALUE"""),"")</f>
        <v/>
      </c>
      <c r="Y1108" t="str">
        <f ca="1">IFERROR(__xludf.DUMMYFUNCTION("""COMPUTED_VALUE"""),"")</f>
        <v/>
      </c>
      <c r="Z1108" t="str">
        <f ca="1">IFERROR(__xludf.DUMMYFUNCTION("""COMPUTED_VALUE"""),"")</f>
        <v/>
      </c>
      <c r="AA1108" t="str">
        <f ca="1">IFERROR(__xludf.DUMMYFUNCTION("""COMPUTED_VALUE"""),"Pas de commande")</f>
        <v>Pas de commande</v>
      </c>
      <c r="AB1108" s="8" t="str">
        <f ca="1">IFERROR(__xludf.DUMMYFUNCTION("""COMPUTED_VALUE"""),"")</f>
        <v/>
      </c>
      <c r="AC1108" s="8" t="str">
        <f ca="1">IFERROR(__xludf.DUMMYFUNCTION("""COMPUTED_VALUE"""),"")</f>
        <v/>
      </c>
      <c r="AD1108" s="11" t="str">
        <f ca="1">IFERROR(__xludf.DUMMYFUNCTION("""COMPUTED_VALUE"""),"")</f>
        <v/>
      </c>
      <c r="AE1108" t="str">
        <f ca="1">IFERROR(__xludf.DUMMYFUNCTION("""COMPUTED_VALUE"""),"")</f>
        <v/>
      </c>
    </row>
    <row r="1109" spans="1:31" ht="12.75" x14ac:dyDescent="0.2">
      <c r="A1109">
        <f ca="1">IFERROR(__xludf.DUMMYFUNCTION("""COMPUTED_VALUE"""),66174)</f>
        <v>66174</v>
      </c>
      <c r="B1109" t="str">
        <f ca="1">IFERROR(__xludf.DUMMYFUNCTION("""COMPUTED_VALUE"""),"VINAY")</f>
        <v>VINAY</v>
      </c>
      <c r="C1109" t="str">
        <f ca="1">IFERROR(__xludf.DUMMYFUNCTION("""COMPUTED_VALUE"""),"Super U")</f>
        <v>Super U</v>
      </c>
      <c r="D1109" t="str">
        <f ca="1">IFERROR(__xludf.DUMMYFUNCTION("""COMPUTED_VALUE"""),"Coop U Enseigne Est")</f>
        <v>Coop U Enseigne Est</v>
      </c>
      <c r="E1109">
        <f ca="1">IFERROR(__xludf.DUMMYFUNCTION("""COMPUTED_VALUE"""),38470)</f>
        <v>38470</v>
      </c>
      <c r="F1109" t="str">
        <f ca="1">IFERROR(__xludf.DUMMYFUNCTION("""COMPUTED_VALUE"""),"123 AVENUE DE LA GARE")</f>
        <v>123 AVENUE DE LA GARE</v>
      </c>
      <c r="G1109" t="str">
        <f ca="1">IFERROR(__xludf.DUMMYFUNCTION("""COMPUTED_VALUE"""),"04.76.36.73.55")</f>
        <v>04.76.36.73.55</v>
      </c>
      <c r="H1109" t="str">
        <f ca="1">IFERROR(__xludf.DUMMYFUNCTION("""COMPUTED_VALUE"""),"BEDROSSIAN Jean-Paul")</f>
        <v>BEDROSSIAN Jean-Paul</v>
      </c>
      <c r="I1109" t="str">
        <f ca="1">IFERROR(__xludf.DUMMYFUNCTION("""COMPUTED_VALUE"""),"jean-paul.bedrossian@systeme-u.fr")</f>
        <v>jean-paul.bedrossian@systeme-u.fr</v>
      </c>
      <c r="J1109" t="str">
        <f ca="1">IFERROR(__xludf.DUMMYFUNCTION("""COMPUTED_VALUE"""),"M. Hervé Grangier")</f>
        <v>M. Hervé Grangier</v>
      </c>
      <c r="K1109" t="str">
        <f ca="1">IFERROR(__xludf.DUMMYFUNCTION("""COMPUTED_VALUE"""),"superu.vinay.bazar@systeme-u.fr")</f>
        <v>superu.vinay.bazar@systeme-u.fr</v>
      </c>
      <c r="L1109" t="str">
        <f ca="1">IFERROR(__xludf.DUMMYFUNCTION("""COMPUTED_VALUE"""),"")</f>
        <v/>
      </c>
      <c r="M1109" t="str">
        <f ca="1">IFERROR(__xludf.DUMMYFUNCTION("""COMPUTED_VALUE"""),"99.Hors Périmetre")</f>
        <v>99.Hors Périmetre</v>
      </c>
      <c r="N1109" t="str">
        <f ca="1">IFERROR(__xludf.DUMMYFUNCTION("""COMPUTED_VALUE"""),"")</f>
        <v/>
      </c>
      <c r="O1109" t="str">
        <f ca="1">IFERROR(__xludf.DUMMYFUNCTION("""COMPUTED_VALUE"""),"")</f>
        <v/>
      </c>
      <c r="P1109" t="str">
        <f ca="1">IFERROR(__xludf.DUMMYFUNCTION("""COMPUTED_VALUE"""),"")</f>
        <v/>
      </c>
      <c r="Q1109" s="5" t="str">
        <f ca="1">IFERROR(__xludf.DUMMYFUNCTION("""COMPUTED_VALUE"""),"")</f>
        <v/>
      </c>
      <c r="R1109" s="6" t="str">
        <f ca="1">IFERROR(__xludf.DUMMYFUNCTION("""COMPUTED_VALUE"""),"")</f>
        <v/>
      </c>
      <c r="S1109" t="str">
        <f ca="1">IFERROR(__xludf.DUMMYFUNCTION("""COMPUTED_VALUE"""),"")</f>
        <v/>
      </c>
      <c r="T1109" t="str">
        <f ca="1">IFERROR(__xludf.DUMMYFUNCTION("""COMPUTED_VALUE"""),"")</f>
        <v/>
      </c>
      <c r="U1109" t="str">
        <f ca="1">IFERROR(__xludf.DUMMYFUNCTION("""COMPUTED_VALUE"""),"")</f>
        <v/>
      </c>
      <c r="V1109" t="str">
        <f ca="1">IFERROR(__xludf.DUMMYFUNCTION("""COMPUTED_VALUE"""),"")</f>
        <v/>
      </c>
      <c r="W1109" t="str">
        <f ca="1">IFERROR(__xludf.DUMMYFUNCTION("""COMPUTED_VALUE"""),"")</f>
        <v/>
      </c>
      <c r="X1109" t="str">
        <f ca="1">IFERROR(__xludf.DUMMYFUNCTION("""COMPUTED_VALUE"""),"")</f>
        <v/>
      </c>
      <c r="Y1109" t="str">
        <f ca="1">IFERROR(__xludf.DUMMYFUNCTION("""COMPUTED_VALUE"""),"")</f>
        <v/>
      </c>
      <c r="Z1109" t="str">
        <f ca="1">IFERROR(__xludf.DUMMYFUNCTION("""COMPUTED_VALUE"""),"")</f>
        <v/>
      </c>
      <c r="AA1109" t="str">
        <f ca="1">IFERROR(__xludf.DUMMYFUNCTION("""COMPUTED_VALUE"""),"Pas de commande")</f>
        <v>Pas de commande</v>
      </c>
      <c r="AB1109" s="8" t="str">
        <f ca="1">IFERROR(__xludf.DUMMYFUNCTION("""COMPUTED_VALUE"""),"")</f>
        <v/>
      </c>
      <c r="AC1109" s="8" t="str">
        <f ca="1">IFERROR(__xludf.DUMMYFUNCTION("""COMPUTED_VALUE"""),"")</f>
        <v/>
      </c>
      <c r="AD1109" s="11" t="str">
        <f ca="1">IFERROR(__xludf.DUMMYFUNCTION("""COMPUTED_VALUE"""),"")</f>
        <v/>
      </c>
      <c r="AE1109" t="str">
        <f ca="1">IFERROR(__xludf.DUMMYFUNCTION("""COMPUTED_VALUE"""),"")</f>
        <v/>
      </c>
    </row>
    <row r="1110" spans="1:31" ht="12.75" x14ac:dyDescent="0.2">
      <c r="A1110">
        <f ca="1">IFERROR(__xludf.DUMMYFUNCTION("""COMPUTED_VALUE"""),24014)</f>
        <v>24014</v>
      </c>
      <c r="B1110" t="str">
        <f ca="1">IFERROR(__xludf.DUMMYFUNCTION("""COMPUTED_VALUE"""),"VINCENNES DEFRANCE")</f>
        <v>VINCENNES DEFRANCE</v>
      </c>
      <c r="C1110" t="str">
        <f ca="1">IFERROR(__xludf.DUMMYFUNCTION("""COMPUTED_VALUE"""),"U Express")</f>
        <v>U Express</v>
      </c>
      <c r="D1110" t="str">
        <f ca="1">IFERROR(__xludf.DUMMYFUNCTION("""COMPUTED_VALUE"""),"Coop U Enseigne NordOuest")</f>
        <v>Coop U Enseigne NordOuest</v>
      </c>
      <c r="E1110">
        <f ca="1">IFERROR(__xludf.DUMMYFUNCTION("""COMPUTED_VALUE"""),94300)</f>
        <v>94300</v>
      </c>
      <c r="F1110" t="str">
        <f ca="1">IFERROR(__xludf.DUMMYFUNCTION("""COMPUTED_VALUE"""),"42 RUE DEFRANCE")</f>
        <v>42 RUE DEFRANCE</v>
      </c>
      <c r="G1110" t="str">
        <f ca="1">IFERROR(__xludf.DUMMYFUNCTION("""COMPUTED_VALUE"""),"01.43.65.00.92")</f>
        <v>01.43.65.00.92</v>
      </c>
      <c r="H1110" t="str">
        <f ca="1">IFERROR(__xludf.DUMMYFUNCTION("""COMPUTED_VALUE"""),"JACQUIN Denis")</f>
        <v>JACQUIN Denis</v>
      </c>
      <c r="I1110" t="str">
        <f ca="1">IFERROR(__xludf.DUMMYFUNCTION("""COMPUTED_VALUE"""),"denis.jacquin@systeme-u.fr")</f>
        <v>denis.jacquin@systeme-u.fr</v>
      </c>
      <c r="J1110" t="str">
        <f ca="1">IFERROR(__xludf.DUMMYFUNCTION("""COMPUTED_VALUE"""),"")</f>
        <v/>
      </c>
      <c r="K1110" t="str">
        <f ca="1">IFERROR(__xludf.DUMMYFUNCTION("""COMPUTED_VALUE"""),"")</f>
        <v/>
      </c>
      <c r="L1110" t="str">
        <f ca="1">IFERROR(__xludf.DUMMYFUNCTION("""COMPUTED_VALUE"""),"")</f>
        <v/>
      </c>
      <c r="M1110" t="str">
        <f ca="1">IFERROR(__xludf.DUMMYFUNCTION("""COMPUTED_VALUE"""),"99.Hors Périmetre")</f>
        <v>99.Hors Périmetre</v>
      </c>
      <c r="N1110" t="str">
        <f ca="1">IFERROR(__xludf.DUMMYFUNCTION("""COMPUTED_VALUE"""),"")</f>
        <v/>
      </c>
      <c r="O1110" t="str">
        <f ca="1">IFERROR(__xludf.DUMMYFUNCTION("""COMPUTED_VALUE"""),"")</f>
        <v/>
      </c>
      <c r="P1110" t="str">
        <f ca="1">IFERROR(__xludf.DUMMYFUNCTION("""COMPUTED_VALUE"""),"")</f>
        <v/>
      </c>
      <c r="Q1110" s="5" t="str">
        <f ca="1">IFERROR(__xludf.DUMMYFUNCTION("""COMPUTED_VALUE"""),"")</f>
        <v/>
      </c>
      <c r="R1110" s="6" t="str">
        <f ca="1">IFERROR(__xludf.DUMMYFUNCTION("""COMPUTED_VALUE"""),"")</f>
        <v/>
      </c>
      <c r="S1110" t="str">
        <f ca="1">IFERROR(__xludf.DUMMYFUNCTION("""COMPUTED_VALUE"""),"")</f>
        <v/>
      </c>
      <c r="T1110" t="str">
        <f ca="1">IFERROR(__xludf.DUMMYFUNCTION("""COMPUTED_VALUE"""),"")</f>
        <v/>
      </c>
      <c r="U1110" t="str">
        <f ca="1">IFERROR(__xludf.DUMMYFUNCTION("""COMPUTED_VALUE"""),"")</f>
        <v/>
      </c>
      <c r="V1110" t="str">
        <f ca="1">IFERROR(__xludf.DUMMYFUNCTION("""COMPUTED_VALUE"""),"")</f>
        <v/>
      </c>
      <c r="W1110" t="str">
        <f ca="1">IFERROR(__xludf.DUMMYFUNCTION("""COMPUTED_VALUE"""),"")</f>
        <v/>
      </c>
      <c r="X1110" t="str">
        <f ca="1">IFERROR(__xludf.DUMMYFUNCTION("""COMPUTED_VALUE"""),"")</f>
        <v/>
      </c>
      <c r="Y1110" t="str">
        <f ca="1">IFERROR(__xludf.DUMMYFUNCTION("""COMPUTED_VALUE"""),"")</f>
        <v/>
      </c>
      <c r="Z1110" t="str">
        <f ca="1">IFERROR(__xludf.DUMMYFUNCTION("""COMPUTED_VALUE"""),"")</f>
        <v/>
      </c>
      <c r="AA1110" t="str">
        <f ca="1">IFERROR(__xludf.DUMMYFUNCTION("""COMPUTED_VALUE"""),"Pas de commande")</f>
        <v>Pas de commande</v>
      </c>
      <c r="AB1110" s="8" t="str">
        <f ca="1">IFERROR(__xludf.DUMMYFUNCTION("""COMPUTED_VALUE"""),"")</f>
        <v/>
      </c>
      <c r="AC1110" s="8" t="str">
        <f ca="1">IFERROR(__xludf.DUMMYFUNCTION("""COMPUTED_VALUE"""),"")</f>
        <v/>
      </c>
      <c r="AD1110" s="11" t="str">
        <f ca="1">IFERROR(__xludf.DUMMYFUNCTION("""COMPUTED_VALUE"""),"")</f>
        <v/>
      </c>
      <c r="AE1110" t="str">
        <f ca="1">IFERROR(__xludf.DUMMYFUNCTION("""COMPUTED_VALUE"""),"")</f>
        <v/>
      </c>
    </row>
    <row r="1111" spans="1:31" ht="12.75" x14ac:dyDescent="0.2">
      <c r="A1111">
        <f ca="1">IFERROR(__xludf.DUMMYFUNCTION("""COMPUTED_VALUE"""),66137)</f>
        <v>66137</v>
      </c>
      <c r="B1111" t="str">
        <f ca="1">IFERROR(__xludf.DUMMYFUNCTION("""COMPUTED_VALUE"""),"VINZIER")</f>
        <v>VINZIER</v>
      </c>
      <c r="C1111" t="str">
        <f ca="1">IFERROR(__xludf.DUMMYFUNCTION("""COMPUTED_VALUE"""),"Super U")</f>
        <v>Super U</v>
      </c>
      <c r="D1111" t="str">
        <f ca="1">IFERROR(__xludf.DUMMYFUNCTION("""COMPUTED_VALUE"""),"Coop U Enseigne Est")</f>
        <v>Coop U Enseigne Est</v>
      </c>
      <c r="E1111">
        <f ca="1">IFERROR(__xludf.DUMMYFUNCTION("""COMPUTED_VALUE"""),74500)</f>
        <v>74500</v>
      </c>
      <c r="F1111" t="str">
        <f ca="1">IFERROR(__xludf.DUMMYFUNCTION("""COMPUTED_VALUE"""),"267 ROUTE DE VERS LES GRANGES")</f>
        <v>267 ROUTE DE VERS LES GRANGES</v>
      </c>
      <c r="G1111" t="str">
        <f ca="1">IFERROR(__xludf.DUMMYFUNCTION("""COMPUTED_VALUE"""),"04.50.73.18.01")</f>
        <v>04.50.73.18.01</v>
      </c>
      <c r="H1111" t="str">
        <f ca="1">IFERROR(__xludf.DUMMYFUNCTION("""COMPUTED_VALUE"""),"RIAUTE Anthony")</f>
        <v>RIAUTE Anthony</v>
      </c>
      <c r="I1111" t="str">
        <f ca="1">IFERROR(__xludf.DUMMYFUNCTION("""COMPUTED_VALUE"""),"anthony.riaute@systeme-u.fr")</f>
        <v>anthony.riaute@systeme-u.fr</v>
      </c>
      <c r="J1111" t="str">
        <f ca="1">IFERROR(__xludf.DUMMYFUNCTION("""COMPUTED_VALUE"""),"Colas Stephane
Mme Buffet")</f>
        <v>Colas Stephane
Mme Buffet</v>
      </c>
      <c r="K1111" t="str">
        <f ca="1">IFERROR(__xludf.DUMMYFUNCTION("""COMPUTED_VALUE"""),"superu.vinzier@systeme-u.fr, superu.vinzier.direction@systeme-u.fr")</f>
        <v>superu.vinzier@systeme-u.fr, superu.vinzier.direction@systeme-u.fr</v>
      </c>
      <c r="L1111" t="str">
        <f ca="1">IFERROR(__xludf.DUMMYFUNCTION("""COMPUTED_VALUE"""),"")</f>
        <v/>
      </c>
      <c r="M1111" t="str">
        <f ca="1">IFERROR(__xludf.DUMMYFUNCTION("""COMPUTED_VALUE"""),"99.Hors Périmetre")</f>
        <v>99.Hors Périmetre</v>
      </c>
      <c r="N1111" t="str">
        <f ca="1">IFERROR(__xludf.DUMMYFUNCTION("""COMPUTED_VALUE"""),"")</f>
        <v/>
      </c>
      <c r="O1111" t="str">
        <f ca="1">IFERROR(__xludf.DUMMYFUNCTION("""COMPUTED_VALUE"""),"")</f>
        <v/>
      </c>
      <c r="P1111" t="str">
        <f ca="1">IFERROR(__xludf.DUMMYFUNCTION("""COMPUTED_VALUE"""),"")</f>
        <v/>
      </c>
      <c r="Q1111" s="5" t="str">
        <f ca="1">IFERROR(__xludf.DUMMYFUNCTION("""COMPUTED_VALUE"""),"")</f>
        <v/>
      </c>
      <c r="R1111" s="6" t="str">
        <f ca="1">IFERROR(__xludf.DUMMYFUNCTION("""COMPUTED_VALUE"""),"")</f>
        <v/>
      </c>
      <c r="S1111" t="str">
        <f ca="1">IFERROR(__xludf.DUMMYFUNCTION("""COMPUTED_VALUE"""),"")</f>
        <v/>
      </c>
      <c r="T1111" t="str">
        <f ca="1">IFERROR(__xludf.DUMMYFUNCTION("""COMPUTED_VALUE"""),"")</f>
        <v/>
      </c>
      <c r="U1111" t="str">
        <f ca="1">IFERROR(__xludf.DUMMYFUNCTION("""COMPUTED_VALUE"""),"")</f>
        <v/>
      </c>
      <c r="V1111" t="str">
        <f ca="1">IFERROR(__xludf.DUMMYFUNCTION("""COMPUTED_VALUE"""),"")</f>
        <v/>
      </c>
      <c r="W1111" t="str">
        <f ca="1">IFERROR(__xludf.DUMMYFUNCTION("""COMPUTED_VALUE"""),"")</f>
        <v/>
      </c>
      <c r="X1111" t="str">
        <f ca="1">IFERROR(__xludf.DUMMYFUNCTION("""COMPUTED_VALUE"""),"")</f>
        <v/>
      </c>
      <c r="Y1111" t="str">
        <f ca="1">IFERROR(__xludf.DUMMYFUNCTION("""COMPUTED_VALUE"""),"")</f>
        <v/>
      </c>
      <c r="Z1111" t="str">
        <f ca="1">IFERROR(__xludf.DUMMYFUNCTION("""COMPUTED_VALUE"""),"")</f>
        <v/>
      </c>
      <c r="AA1111" t="str">
        <f ca="1">IFERROR(__xludf.DUMMYFUNCTION("""COMPUTED_VALUE"""),"Pas de commande")</f>
        <v>Pas de commande</v>
      </c>
      <c r="AB1111" s="8" t="str">
        <f ca="1">IFERROR(__xludf.DUMMYFUNCTION("""COMPUTED_VALUE"""),"")</f>
        <v/>
      </c>
      <c r="AC1111" s="8" t="str">
        <f ca="1">IFERROR(__xludf.DUMMYFUNCTION("""COMPUTED_VALUE"""),"")</f>
        <v/>
      </c>
      <c r="AD1111" s="11" t="str">
        <f ca="1">IFERROR(__xludf.DUMMYFUNCTION("""COMPUTED_VALUE"""),"")</f>
        <v/>
      </c>
      <c r="AE1111" t="str">
        <f ca="1">IFERROR(__xludf.DUMMYFUNCTION("""COMPUTED_VALUE"""),"")</f>
        <v/>
      </c>
    </row>
    <row r="1112" spans="1:31" ht="12.75" x14ac:dyDescent="0.2">
      <c r="A1112">
        <f ca="1">IFERROR(__xludf.DUMMYFUNCTION("""COMPUTED_VALUE"""),24022)</f>
        <v>24022</v>
      </c>
      <c r="B1112" t="str">
        <f ca="1">IFERROR(__xludf.DUMMYFUNCTION("""COMPUTED_VALUE"""),"VIROFLAY")</f>
        <v>VIROFLAY</v>
      </c>
      <c r="C1112" t="str">
        <f ca="1">IFERROR(__xludf.DUMMYFUNCTION("""COMPUTED_VALUE"""),"Super U")</f>
        <v>Super U</v>
      </c>
      <c r="D1112" t="str">
        <f ca="1">IFERROR(__xludf.DUMMYFUNCTION("""COMPUTED_VALUE"""),"Coop U Enseigne NordOuest")</f>
        <v>Coop U Enseigne NordOuest</v>
      </c>
      <c r="E1112">
        <f ca="1">IFERROR(__xludf.DUMMYFUNCTION("""COMPUTED_VALUE"""),78220)</f>
        <v>78220</v>
      </c>
      <c r="F1112" t="str">
        <f ca="1">IFERROR(__xludf.DUMMYFUNCTION("""COMPUTED_VALUE"""),"47-51 AVENUE DU GENERAL LECLERC")</f>
        <v>47-51 AVENUE DU GENERAL LECLERC</v>
      </c>
      <c r="G1112" t="str">
        <f ca="1">IFERROR(__xludf.DUMMYFUNCTION("""COMPUTED_VALUE"""),"01.30.24.45.00")</f>
        <v>01.30.24.45.00</v>
      </c>
      <c r="H1112" t="str">
        <f ca="1">IFERROR(__xludf.DUMMYFUNCTION("""COMPUTED_VALUE"""),"JACQUIN Denis")</f>
        <v>JACQUIN Denis</v>
      </c>
      <c r="I1112" t="str">
        <f ca="1">IFERROR(__xludf.DUMMYFUNCTION("""COMPUTED_VALUE"""),"denis.jacquin@systeme-u.fr")</f>
        <v>denis.jacquin@systeme-u.fr</v>
      </c>
      <c r="J1112" t="str">
        <f ca="1">IFERROR(__xludf.DUMMYFUNCTION("""COMPUTED_VALUE"""),"M Campins")</f>
        <v>M Campins</v>
      </c>
      <c r="K1112" t="str">
        <f ca="1">IFERROR(__xludf.DUMMYFUNCTION("""COMPUTED_VALUE"""),"superu.viroflay@systeme-u.fr")</f>
        <v>superu.viroflay@systeme-u.fr</v>
      </c>
      <c r="L1112" t="str">
        <f ca="1">IFERROR(__xludf.DUMMYFUNCTION("""COMPUTED_VALUE"""),"")</f>
        <v/>
      </c>
      <c r="M1112" t="str">
        <f ca="1">IFERROR(__xludf.DUMMYFUNCTION("""COMPUTED_VALUE"""),"99.Hors Périmetre")</f>
        <v>99.Hors Périmetre</v>
      </c>
      <c r="N1112" t="str">
        <f ca="1">IFERROR(__xludf.DUMMYFUNCTION("""COMPUTED_VALUE"""),"")</f>
        <v/>
      </c>
      <c r="O1112" t="str">
        <f ca="1">IFERROR(__xludf.DUMMYFUNCTION("""COMPUTED_VALUE"""),"")</f>
        <v/>
      </c>
      <c r="P1112" t="str">
        <f ca="1">IFERROR(__xludf.DUMMYFUNCTION("""COMPUTED_VALUE"""),"")</f>
        <v/>
      </c>
      <c r="Q1112" s="5" t="str">
        <f ca="1">IFERROR(__xludf.DUMMYFUNCTION("""COMPUTED_VALUE"""),"")</f>
        <v/>
      </c>
      <c r="R1112" s="6" t="str">
        <f ca="1">IFERROR(__xludf.DUMMYFUNCTION("""COMPUTED_VALUE"""),"")</f>
        <v/>
      </c>
      <c r="S1112" t="str">
        <f ca="1">IFERROR(__xludf.DUMMYFUNCTION("""COMPUTED_VALUE"""),"")</f>
        <v/>
      </c>
      <c r="T1112" t="str">
        <f ca="1">IFERROR(__xludf.DUMMYFUNCTION("""COMPUTED_VALUE"""),"")</f>
        <v/>
      </c>
      <c r="U1112" t="str">
        <f ca="1">IFERROR(__xludf.DUMMYFUNCTION("""COMPUTED_VALUE"""),"")</f>
        <v/>
      </c>
      <c r="V1112" t="str">
        <f ca="1">IFERROR(__xludf.DUMMYFUNCTION("""COMPUTED_VALUE"""),"")</f>
        <v/>
      </c>
      <c r="W1112" t="str">
        <f ca="1">IFERROR(__xludf.DUMMYFUNCTION("""COMPUTED_VALUE"""),"")</f>
        <v/>
      </c>
      <c r="X1112" t="str">
        <f ca="1">IFERROR(__xludf.DUMMYFUNCTION("""COMPUTED_VALUE"""),"")</f>
        <v/>
      </c>
      <c r="Y1112" t="str">
        <f ca="1">IFERROR(__xludf.DUMMYFUNCTION("""COMPUTED_VALUE"""),"")</f>
        <v/>
      </c>
      <c r="Z1112" t="str">
        <f ca="1">IFERROR(__xludf.DUMMYFUNCTION("""COMPUTED_VALUE"""),"")</f>
        <v/>
      </c>
      <c r="AA1112" t="str">
        <f ca="1">IFERROR(__xludf.DUMMYFUNCTION("""COMPUTED_VALUE"""),"Pas de commande")</f>
        <v>Pas de commande</v>
      </c>
      <c r="AB1112" s="8" t="str">
        <f ca="1">IFERROR(__xludf.DUMMYFUNCTION("""COMPUTED_VALUE"""),"")</f>
        <v/>
      </c>
      <c r="AC1112" s="8" t="str">
        <f ca="1">IFERROR(__xludf.DUMMYFUNCTION("""COMPUTED_VALUE"""),"")</f>
        <v/>
      </c>
      <c r="AD1112" s="11" t="str">
        <f ca="1">IFERROR(__xludf.DUMMYFUNCTION("""COMPUTED_VALUE"""),"")</f>
        <v/>
      </c>
      <c r="AE1112" t="str">
        <f ca="1">IFERROR(__xludf.DUMMYFUNCTION("""COMPUTED_VALUE"""),"")</f>
        <v/>
      </c>
    </row>
    <row r="1113" spans="1:31" ht="12.75" x14ac:dyDescent="0.2">
      <c r="A1113">
        <f ca="1">IFERROR(__xludf.DUMMYFUNCTION("""COMPUTED_VALUE"""),39385)</f>
        <v>39385</v>
      </c>
      <c r="B1113" t="str">
        <f ca="1">IFERROR(__xludf.DUMMYFUNCTION("""COMPUTED_VALUE"""),"VITRE")</f>
        <v>VITRE</v>
      </c>
      <c r="C1113" t="str">
        <f ca="1">IFERROR(__xludf.DUMMYFUNCTION("""COMPUTED_VALUE"""),"Hyper U")</f>
        <v>Hyper U</v>
      </c>
      <c r="D1113" t="str">
        <f ca="1">IFERROR(__xludf.DUMMYFUNCTION("""COMPUTED_VALUE"""),"Coop U Enseigne Ouest")</f>
        <v>Coop U Enseigne Ouest</v>
      </c>
      <c r="E1113">
        <f ca="1">IFERROR(__xludf.DUMMYFUNCTION("""COMPUTED_VALUE"""),35500)</f>
        <v>35500</v>
      </c>
      <c r="F1113" t="str">
        <f ca="1">IFERROR(__xludf.DUMMYFUNCTION("""COMPUTED_VALUE"""),"21 RUE DE REDON")</f>
        <v>21 RUE DE REDON</v>
      </c>
      <c r="G1113" t="str">
        <f ca="1">IFERROR(__xludf.DUMMYFUNCTION("""COMPUTED_VALUE"""),"02.99.75.30.05")</f>
        <v>02.99.75.30.05</v>
      </c>
      <c r="H1113" t="str">
        <f ca="1">IFERROR(__xludf.DUMMYFUNCTION("""COMPUTED_VALUE"""),"DUVERGER RPT SODEXMA Jean-Louis")</f>
        <v>DUVERGER RPT SODEXMA Jean-Louis</v>
      </c>
      <c r="I1113" t="str">
        <f ca="1">IFERROR(__xludf.DUMMYFUNCTION("""COMPUTED_VALUE"""),"jean-louis.duverger@systeme-u.fr")</f>
        <v>jean-louis.duverger@systeme-u.fr</v>
      </c>
      <c r="J1113" t="str">
        <f ca="1">IFERROR(__xludf.DUMMYFUNCTION("""COMPUTED_VALUE"""),"Cognard charly")</f>
        <v>Cognard charly</v>
      </c>
      <c r="K1113" t="str">
        <f ca="1">IFERROR(__xludf.DUMMYFUNCTION("""COMPUTED_VALUE"""),"hyperu.vitre.direction@systeme-u.fr")</f>
        <v>hyperu.vitre.direction@systeme-u.fr</v>
      </c>
      <c r="L1113" t="str">
        <f ca="1">IFERROR(__xludf.DUMMYFUNCTION("""COMPUTED_VALUE"""),"")</f>
        <v/>
      </c>
      <c r="M1113" t="str">
        <f ca="1">IFERROR(__xludf.DUMMYFUNCTION("""COMPUTED_VALUE"""),"99.Hors Périmetre")</f>
        <v>99.Hors Périmetre</v>
      </c>
      <c r="N1113" t="str">
        <f ca="1">IFERROR(__xludf.DUMMYFUNCTION("""COMPUTED_VALUE"""),"")</f>
        <v/>
      </c>
      <c r="O1113" t="str">
        <f ca="1">IFERROR(__xludf.DUMMYFUNCTION("""COMPUTED_VALUE"""),"")</f>
        <v/>
      </c>
      <c r="P1113" t="str">
        <f ca="1">IFERROR(__xludf.DUMMYFUNCTION("""COMPUTED_VALUE"""),"")</f>
        <v/>
      </c>
      <c r="Q1113" s="5" t="str">
        <f ca="1">IFERROR(__xludf.DUMMYFUNCTION("""COMPUTED_VALUE"""),"")</f>
        <v/>
      </c>
      <c r="R1113" s="6" t="str">
        <f ca="1">IFERROR(__xludf.DUMMYFUNCTION("""COMPUTED_VALUE"""),"")</f>
        <v/>
      </c>
      <c r="S1113" t="str">
        <f ca="1">IFERROR(__xludf.DUMMYFUNCTION("""COMPUTED_VALUE"""),"")</f>
        <v/>
      </c>
      <c r="T1113" t="str">
        <f ca="1">IFERROR(__xludf.DUMMYFUNCTION("""COMPUTED_VALUE"""),"")</f>
        <v/>
      </c>
      <c r="U1113" t="str">
        <f ca="1">IFERROR(__xludf.DUMMYFUNCTION("""COMPUTED_VALUE"""),"")</f>
        <v/>
      </c>
      <c r="V1113" t="str">
        <f ca="1">IFERROR(__xludf.DUMMYFUNCTION("""COMPUTED_VALUE"""),"")</f>
        <v/>
      </c>
      <c r="W1113" t="str">
        <f ca="1">IFERROR(__xludf.DUMMYFUNCTION("""COMPUTED_VALUE"""),"")</f>
        <v/>
      </c>
      <c r="X1113" t="str">
        <f ca="1">IFERROR(__xludf.DUMMYFUNCTION("""COMPUTED_VALUE"""),"")</f>
        <v/>
      </c>
      <c r="Y1113" t="str">
        <f ca="1">IFERROR(__xludf.DUMMYFUNCTION("""COMPUTED_VALUE"""),"")</f>
        <v/>
      </c>
      <c r="Z1113" t="str">
        <f ca="1">IFERROR(__xludf.DUMMYFUNCTION("""COMPUTED_VALUE"""),"")</f>
        <v/>
      </c>
      <c r="AA1113" t="str">
        <f ca="1">IFERROR(__xludf.DUMMYFUNCTION("""COMPUTED_VALUE"""),"Pas de commande")</f>
        <v>Pas de commande</v>
      </c>
      <c r="AB1113" s="8" t="str">
        <f ca="1">IFERROR(__xludf.DUMMYFUNCTION("""COMPUTED_VALUE"""),"")</f>
        <v/>
      </c>
      <c r="AC1113" s="8" t="str">
        <f ca="1">IFERROR(__xludf.DUMMYFUNCTION("""COMPUTED_VALUE"""),"")</f>
        <v/>
      </c>
      <c r="AD1113" s="11" t="str">
        <f ca="1">IFERROR(__xludf.DUMMYFUNCTION("""COMPUTED_VALUE"""),"")</f>
        <v/>
      </c>
      <c r="AE1113" t="str">
        <f ca="1">IFERROR(__xludf.DUMMYFUNCTION("""COMPUTED_VALUE"""),"")</f>
        <v/>
      </c>
    </row>
    <row r="1114" spans="1:31" ht="12.75" x14ac:dyDescent="0.2">
      <c r="A1114">
        <f ca="1">IFERROR(__xludf.DUMMYFUNCTION("""COMPUTED_VALUE"""),20442)</f>
        <v>20442</v>
      </c>
      <c r="B1114" t="str">
        <f ca="1">IFERROR(__xludf.DUMMYFUNCTION("""COMPUTED_VALUE"""),"VITRY EN ARTOIS")</f>
        <v>VITRY EN ARTOIS</v>
      </c>
      <c r="C1114" t="str">
        <f ca="1">IFERROR(__xludf.DUMMYFUNCTION("""COMPUTED_VALUE"""),"Super U")</f>
        <v>Super U</v>
      </c>
      <c r="D1114" t="str">
        <f ca="1">IFERROR(__xludf.DUMMYFUNCTION("""COMPUTED_VALUE"""),"Coop U Enseigne NordOuest")</f>
        <v>Coop U Enseigne NordOuest</v>
      </c>
      <c r="E1114">
        <f ca="1">IFERROR(__xludf.DUMMYFUNCTION("""COMPUTED_VALUE"""),62490)</f>
        <v>62490</v>
      </c>
      <c r="F1114" t="str">
        <f ca="1">IFERROR(__xludf.DUMMYFUNCTION("""COMPUTED_VALUE"""),"ROUTE DE BREBIÈRES")</f>
        <v>ROUTE DE BREBIÈRES</v>
      </c>
      <c r="G1114" t="str">
        <f ca="1">IFERROR(__xludf.DUMMYFUNCTION("""COMPUTED_VALUE"""),"03.21.50.17.18")</f>
        <v>03.21.50.17.18</v>
      </c>
      <c r="H1114" t="str">
        <f ca="1">IFERROR(__xludf.DUMMYFUNCTION("""COMPUTED_VALUE"""),"CASETTA Antoine")</f>
        <v>CASETTA Antoine</v>
      </c>
      <c r="I1114" t="str">
        <f ca="1">IFERROR(__xludf.DUMMYFUNCTION("""COMPUTED_VALUE"""),"antoine.casetta@systeme-u.fr")</f>
        <v>antoine.casetta@systeme-u.fr</v>
      </c>
      <c r="J1114" t="str">
        <f ca="1">IFERROR(__xludf.DUMMYFUNCTION("""COMPUTED_VALUE"""),"DELECROIX Ludivine
M. Diliberto")</f>
        <v>DELECROIX Ludivine
M. Diliberto</v>
      </c>
      <c r="K1114" t="str">
        <f ca="1">IFERROR(__xludf.DUMMYFUNCTION("""COMPUTED_VALUE"""),"superu.vitryenartois.direction@systeme-u.fr, superu.vitryenartois.adjointdirection@systeme-u.fr")</f>
        <v>superu.vitryenartois.direction@systeme-u.fr, superu.vitryenartois.adjointdirection@systeme-u.fr</v>
      </c>
      <c r="L1114" t="str">
        <f ca="1">IFERROR(__xludf.DUMMYFUNCTION("""COMPUTED_VALUE"""),"")</f>
        <v/>
      </c>
      <c r="M1114" t="str">
        <f ca="1">IFERROR(__xludf.DUMMYFUNCTION("""COMPUTED_VALUE"""),"99.Hors Périmetre")</f>
        <v>99.Hors Périmetre</v>
      </c>
      <c r="N1114" t="str">
        <f ca="1">IFERROR(__xludf.DUMMYFUNCTION("""COMPUTED_VALUE"""),"")</f>
        <v/>
      </c>
      <c r="O1114" t="str">
        <f ca="1">IFERROR(__xludf.DUMMYFUNCTION("""COMPUTED_VALUE"""),"")</f>
        <v/>
      </c>
      <c r="P1114" t="str">
        <f ca="1">IFERROR(__xludf.DUMMYFUNCTION("""COMPUTED_VALUE"""),"")</f>
        <v/>
      </c>
      <c r="Q1114" s="5" t="str">
        <f ca="1">IFERROR(__xludf.DUMMYFUNCTION("""COMPUTED_VALUE"""),"")</f>
        <v/>
      </c>
      <c r="R1114" s="6" t="str">
        <f ca="1">IFERROR(__xludf.DUMMYFUNCTION("""COMPUTED_VALUE"""),"")</f>
        <v/>
      </c>
      <c r="S1114" t="str">
        <f ca="1">IFERROR(__xludf.DUMMYFUNCTION("""COMPUTED_VALUE"""),"")</f>
        <v/>
      </c>
      <c r="T1114" t="str">
        <f ca="1">IFERROR(__xludf.DUMMYFUNCTION("""COMPUTED_VALUE"""),"")</f>
        <v/>
      </c>
      <c r="U1114" t="str">
        <f ca="1">IFERROR(__xludf.DUMMYFUNCTION("""COMPUTED_VALUE"""),"")</f>
        <v/>
      </c>
      <c r="V1114" t="str">
        <f ca="1">IFERROR(__xludf.DUMMYFUNCTION("""COMPUTED_VALUE"""),"")</f>
        <v/>
      </c>
      <c r="W1114" t="str">
        <f ca="1">IFERROR(__xludf.DUMMYFUNCTION("""COMPUTED_VALUE"""),"")</f>
        <v/>
      </c>
      <c r="X1114" t="str">
        <f ca="1">IFERROR(__xludf.DUMMYFUNCTION("""COMPUTED_VALUE"""),"")</f>
        <v/>
      </c>
      <c r="Y1114" t="str">
        <f ca="1">IFERROR(__xludf.DUMMYFUNCTION("""COMPUTED_VALUE"""),"")</f>
        <v/>
      </c>
      <c r="Z1114" t="str">
        <f ca="1">IFERROR(__xludf.DUMMYFUNCTION("""COMPUTED_VALUE"""),"")</f>
        <v/>
      </c>
      <c r="AA1114" t="str">
        <f ca="1">IFERROR(__xludf.DUMMYFUNCTION("""COMPUTED_VALUE"""),"Pas de commande")</f>
        <v>Pas de commande</v>
      </c>
      <c r="AB1114" s="8" t="str">
        <f ca="1">IFERROR(__xludf.DUMMYFUNCTION("""COMPUTED_VALUE"""),"")</f>
        <v/>
      </c>
      <c r="AC1114" s="8" t="str">
        <f ca="1">IFERROR(__xludf.DUMMYFUNCTION("""COMPUTED_VALUE"""),"")</f>
        <v/>
      </c>
      <c r="AD1114" s="11" t="str">
        <f ca="1">IFERROR(__xludf.DUMMYFUNCTION("""COMPUTED_VALUE"""),"")</f>
        <v/>
      </c>
      <c r="AE1114" t="str">
        <f ca="1">IFERROR(__xludf.DUMMYFUNCTION("""COMPUTED_VALUE"""),"")</f>
        <v/>
      </c>
    </row>
    <row r="1115" spans="1:31" ht="12.75" x14ac:dyDescent="0.2">
      <c r="A1115">
        <f ca="1">IFERROR(__xludf.DUMMYFUNCTION("""COMPUTED_VALUE"""),35061)</f>
        <v>35061</v>
      </c>
      <c r="B1115" t="str">
        <f ca="1">IFERROR(__xludf.DUMMYFUNCTION("""COMPUTED_VALUE"""),"VIVONNE")</f>
        <v>VIVONNE</v>
      </c>
      <c r="C1115" t="str">
        <f ca="1">IFERROR(__xludf.DUMMYFUNCTION("""COMPUTED_VALUE"""),"Super U")</f>
        <v>Super U</v>
      </c>
      <c r="D1115" t="str">
        <f ca="1">IFERROR(__xludf.DUMMYFUNCTION("""COMPUTED_VALUE"""),"Coop U Enseigne Ouest")</f>
        <v>Coop U Enseigne Ouest</v>
      </c>
      <c r="E1115">
        <f ca="1">IFERROR(__xludf.DUMMYFUNCTION("""COMPUTED_VALUE"""),86370)</f>
        <v>86370</v>
      </c>
      <c r="F1115" t="str">
        <f ca="1">IFERROR(__xludf.DUMMYFUNCTION("""COMPUTED_VALUE"""),"17, RUE DES PORTES ROUGES")</f>
        <v>17, RUE DES PORTES ROUGES</v>
      </c>
      <c r="G1115" t="str">
        <f ca="1">IFERROR(__xludf.DUMMYFUNCTION("""COMPUTED_VALUE"""),"05.49.43.47.96")</f>
        <v>05.49.43.47.96</v>
      </c>
      <c r="H1115" t="str">
        <f ca="1">IFERROR(__xludf.DUMMYFUNCTION("""COMPUTED_VALUE"""),"PATINIER RPT VIVODIS Hervé")</f>
        <v>PATINIER RPT VIVODIS Hervé</v>
      </c>
      <c r="I1115" t="str">
        <f ca="1">IFERROR(__xludf.DUMMYFUNCTION("""COMPUTED_VALUE"""),"herve.patinier@systeme-u.fr")</f>
        <v>herve.patinier@systeme-u.fr</v>
      </c>
      <c r="J1115" t="str">
        <f ca="1">IFERROR(__xludf.DUMMYFUNCTION("""COMPUTED_VALUE"""),"Brothier cathy")</f>
        <v>Brothier cathy</v>
      </c>
      <c r="K1115" t="str">
        <f ca="1">IFERROR(__xludf.DUMMYFUNCTION("""COMPUTED_VALUE"""),"superu.vivonne.affichage@systeme-u.fr")</f>
        <v>superu.vivonne.affichage@systeme-u.fr</v>
      </c>
      <c r="L1115" t="str">
        <f ca="1">IFERROR(__xludf.DUMMYFUNCTION("""COMPUTED_VALUE"""),"")</f>
        <v/>
      </c>
      <c r="M1115" t="str">
        <f ca="1">IFERROR(__xludf.DUMMYFUNCTION("""COMPUTED_VALUE"""),"99.Hors Périmetre")</f>
        <v>99.Hors Périmetre</v>
      </c>
      <c r="N1115" t="str">
        <f ca="1">IFERROR(__xludf.DUMMYFUNCTION("""COMPUTED_VALUE"""),"")</f>
        <v/>
      </c>
      <c r="O1115" t="str">
        <f ca="1">IFERROR(__xludf.DUMMYFUNCTION("""COMPUTED_VALUE"""),"")</f>
        <v/>
      </c>
      <c r="P1115" t="str">
        <f ca="1">IFERROR(__xludf.DUMMYFUNCTION("""COMPUTED_VALUE"""),"")</f>
        <v/>
      </c>
      <c r="Q1115" s="5" t="str">
        <f ca="1">IFERROR(__xludf.DUMMYFUNCTION("""COMPUTED_VALUE"""),"")</f>
        <v/>
      </c>
      <c r="R1115" s="6" t="str">
        <f ca="1">IFERROR(__xludf.DUMMYFUNCTION("""COMPUTED_VALUE"""),"")</f>
        <v/>
      </c>
      <c r="S1115" t="str">
        <f ca="1">IFERROR(__xludf.DUMMYFUNCTION("""COMPUTED_VALUE"""),"")</f>
        <v/>
      </c>
      <c r="T1115" t="str">
        <f ca="1">IFERROR(__xludf.DUMMYFUNCTION("""COMPUTED_VALUE"""),"")</f>
        <v/>
      </c>
      <c r="U1115" t="str">
        <f ca="1">IFERROR(__xludf.DUMMYFUNCTION("""COMPUTED_VALUE"""),"")</f>
        <v/>
      </c>
      <c r="V1115" t="str">
        <f ca="1">IFERROR(__xludf.DUMMYFUNCTION("""COMPUTED_VALUE"""),"")</f>
        <v/>
      </c>
      <c r="W1115" t="str">
        <f ca="1">IFERROR(__xludf.DUMMYFUNCTION("""COMPUTED_VALUE"""),"")</f>
        <v/>
      </c>
      <c r="X1115" t="str">
        <f ca="1">IFERROR(__xludf.DUMMYFUNCTION("""COMPUTED_VALUE"""),"")</f>
        <v/>
      </c>
      <c r="Y1115" t="str">
        <f ca="1">IFERROR(__xludf.DUMMYFUNCTION("""COMPUTED_VALUE"""),"")</f>
        <v/>
      </c>
      <c r="Z1115" t="str">
        <f ca="1">IFERROR(__xludf.DUMMYFUNCTION("""COMPUTED_VALUE"""),"")</f>
        <v/>
      </c>
      <c r="AA1115" t="str">
        <f ca="1">IFERROR(__xludf.DUMMYFUNCTION("""COMPUTED_VALUE"""),"Pas de commande")</f>
        <v>Pas de commande</v>
      </c>
      <c r="AB1115" s="8" t="str">
        <f ca="1">IFERROR(__xludf.DUMMYFUNCTION("""COMPUTED_VALUE"""),"")</f>
        <v/>
      </c>
      <c r="AC1115" s="8" t="str">
        <f ca="1">IFERROR(__xludf.DUMMYFUNCTION("""COMPUTED_VALUE"""),"")</f>
        <v/>
      </c>
      <c r="AD1115" s="11" t="str">
        <f ca="1">IFERROR(__xludf.DUMMYFUNCTION("""COMPUTED_VALUE"""),"")</f>
        <v/>
      </c>
      <c r="AE1115" t="str">
        <f ca="1">IFERROR(__xludf.DUMMYFUNCTION("""COMPUTED_VALUE"""),"")</f>
        <v/>
      </c>
    </row>
    <row r="1116" spans="1:31" ht="12.75" x14ac:dyDescent="0.2">
      <c r="A1116">
        <f ca="1">IFERROR(__xludf.DUMMYFUNCTION("""COMPUTED_VALUE"""),66147)</f>
        <v>66147</v>
      </c>
      <c r="B1116" t="str">
        <f ca="1">IFERROR(__xludf.DUMMYFUNCTION("""COMPUTED_VALUE"""),"VOIRON")</f>
        <v>VOIRON</v>
      </c>
      <c r="C1116" t="str">
        <f ca="1">IFERROR(__xludf.DUMMYFUNCTION("""COMPUTED_VALUE"""),"Super U")</f>
        <v>Super U</v>
      </c>
      <c r="D1116" t="str">
        <f ca="1">IFERROR(__xludf.DUMMYFUNCTION("""COMPUTED_VALUE"""),"Coop U Enseigne Est")</f>
        <v>Coop U Enseigne Est</v>
      </c>
      <c r="E1116">
        <f ca="1">IFERROR(__xludf.DUMMYFUNCTION("""COMPUTED_VALUE"""),38500)</f>
        <v>38500</v>
      </c>
      <c r="F1116" t="str">
        <f ca="1">IFERROR(__xludf.DUMMYFUNCTION("""COMPUTED_VALUE"""),"76 BOULEVARD DENFERT ROCHEREAU")</f>
        <v>76 BOULEVARD DENFERT ROCHEREAU</v>
      </c>
      <c r="G1116" t="str">
        <f ca="1">IFERROR(__xludf.DUMMYFUNCTION("""COMPUTED_VALUE"""),"04.76.05.82.25")</f>
        <v>04.76.05.82.25</v>
      </c>
      <c r="H1116" t="str">
        <f ca="1">IFERROR(__xludf.DUMMYFUNCTION("""COMPUTED_VALUE"""),"CACOUB Stéphane")</f>
        <v>CACOUB Stéphane</v>
      </c>
      <c r="I1116" t="str">
        <f ca="1">IFERROR(__xludf.DUMMYFUNCTION("""COMPUTED_VALUE"""),"stephane.cacoub@systeme-u.fr")</f>
        <v>stephane.cacoub@systeme-u.fr</v>
      </c>
      <c r="J1116" t="str">
        <f ca="1">IFERROR(__xludf.DUMMYFUNCTION("""COMPUTED_VALUE"""),"")</f>
        <v/>
      </c>
      <c r="K1116" t="str">
        <f ca="1">IFERROR(__xludf.DUMMYFUNCTION("""COMPUTED_VALUE"""),"superu.voiron.frais@systeme-u.fr")</f>
        <v>superu.voiron.frais@systeme-u.fr</v>
      </c>
      <c r="L1116" t="str">
        <f ca="1">IFERROR(__xludf.DUMMYFUNCTION("""COMPUTED_VALUE"""),"")</f>
        <v/>
      </c>
      <c r="M1116" t="str">
        <f ca="1">IFERROR(__xludf.DUMMYFUNCTION("""COMPUTED_VALUE"""),"99.Hors Périmetre")</f>
        <v>99.Hors Périmetre</v>
      </c>
      <c r="N1116" t="str">
        <f ca="1">IFERROR(__xludf.DUMMYFUNCTION("""COMPUTED_VALUE"""),"")</f>
        <v/>
      </c>
      <c r="O1116" t="str">
        <f ca="1">IFERROR(__xludf.DUMMYFUNCTION("""COMPUTED_VALUE"""),"")</f>
        <v/>
      </c>
      <c r="P1116" t="str">
        <f ca="1">IFERROR(__xludf.DUMMYFUNCTION("""COMPUTED_VALUE"""),"")</f>
        <v/>
      </c>
      <c r="Q1116" s="5" t="str">
        <f ca="1">IFERROR(__xludf.DUMMYFUNCTION("""COMPUTED_VALUE"""),"")</f>
        <v/>
      </c>
      <c r="R1116" s="6" t="str">
        <f ca="1">IFERROR(__xludf.DUMMYFUNCTION("""COMPUTED_VALUE"""),"")</f>
        <v/>
      </c>
      <c r="S1116" t="str">
        <f ca="1">IFERROR(__xludf.DUMMYFUNCTION("""COMPUTED_VALUE"""),"")</f>
        <v/>
      </c>
      <c r="T1116" t="str">
        <f ca="1">IFERROR(__xludf.DUMMYFUNCTION("""COMPUTED_VALUE"""),"")</f>
        <v/>
      </c>
      <c r="U1116" t="str">
        <f ca="1">IFERROR(__xludf.DUMMYFUNCTION("""COMPUTED_VALUE"""),"")</f>
        <v/>
      </c>
      <c r="V1116" t="str">
        <f ca="1">IFERROR(__xludf.DUMMYFUNCTION("""COMPUTED_VALUE"""),"")</f>
        <v/>
      </c>
      <c r="W1116" t="str">
        <f ca="1">IFERROR(__xludf.DUMMYFUNCTION("""COMPUTED_VALUE"""),"")</f>
        <v/>
      </c>
      <c r="X1116" t="str">
        <f ca="1">IFERROR(__xludf.DUMMYFUNCTION("""COMPUTED_VALUE"""),"")</f>
        <v/>
      </c>
      <c r="Y1116" t="str">
        <f ca="1">IFERROR(__xludf.DUMMYFUNCTION("""COMPUTED_VALUE"""),"")</f>
        <v/>
      </c>
      <c r="Z1116" t="str">
        <f ca="1">IFERROR(__xludf.DUMMYFUNCTION("""COMPUTED_VALUE"""),"")</f>
        <v/>
      </c>
      <c r="AA1116" t="str">
        <f ca="1">IFERROR(__xludf.DUMMYFUNCTION("""COMPUTED_VALUE"""),"Pas de commande")</f>
        <v>Pas de commande</v>
      </c>
      <c r="AB1116" s="8" t="str">
        <f ca="1">IFERROR(__xludf.DUMMYFUNCTION("""COMPUTED_VALUE"""),"")</f>
        <v/>
      </c>
      <c r="AC1116" s="8" t="str">
        <f ca="1">IFERROR(__xludf.DUMMYFUNCTION("""COMPUTED_VALUE"""),"")</f>
        <v/>
      </c>
      <c r="AD1116" s="11" t="str">
        <f ca="1">IFERROR(__xludf.DUMMYFUNCTION("""COMPUTED_VALUE"""),"")</f>
        <v/>
      </c>
      <c r="AE1116" t="str">
        <f ca="1">IFERROR(__xludf.DUMMYFUNCTION("""COMPUTED_VALUE"""),"")</f>
        <v/>
      </c>
    </row>
    <row r="1117" spans="1:31" ht="12.75" x14ac:dyDescent="0.2">
      <c r="A1117">
        <f ca="1">IFERROR(__xludf.DUMMYFUNCTION("""COMPUTED_VALUE"""),66157)</f>
        <v>66157</v>
      </c>
      <c r="B1117" t="str">
        <f ca="1">IFERROR(__xludf.DUMMYFUNCTION("""COMPUTED_VALUE"""),"VOREPPE")</f>
        <v>VOREPPE</v>
      </c>
      <c r="C1117" t="str">
        <f ca="1">IFERROR(__xludf.DUMMYFUNCTION("""COMPUTED_VALUE"""),"U Express")</f>
        <v>U Express</v>
      </c>
      <c r="D1117" t="str">
        <f ca="1">IFERROR(__xludf.DUMMYFUNCTION("""COMPUTED_VALUE"""),"Coop U Enseigne Est")</f>
        <v>Coop U Enseigne Est</v>
      </c>
      <c r="E1117">
        <f ca="1">IFERROR(__xludf.DUMMYFUNCTION("""COMPUTED_VALUE"""),38340)</f>
        <v>38340</v>
      </c>
      <c r="F1117" t="str">
        <f ca="1">IFERROR(__xludf.DUMMYFUNCTION("""COMPUTED_VALUE"""),"Rue de la Gare")</f>
        <v>Rue de la Gare</v>
      </c>
      <c r="G1117" t="str">
        <f ca="1">IFERROR(__xludf.DUMMYFUNCTION("""COMPUTED_VALUE"""),"04.76.50.61.81")</f>
        <v>04.76.50.61.81</v>
      </c>
      <c r="H1117" t="str">
        <f ca="1">IFERROR(__xludf.DUMMYFUNCTION("""COMPUTED_VALUE"""),"JUVANON Didier")</f>
        <v>JUVANON Didier</v>
      </c>
      <c r="I1117" t="str">
        <f ca="1">IFERROR(__xludf.DUMMYFUNCTION("""COMPUTED_VALUE"""),"didier.juvanon@systeme-u.fr")</f>
        <v>didier.juvanon@systeme-u.fr</v>
      </c>
      <c r="J1117" t="str">
        <f ca="1">IFERROR(__xludf.DUMMYFUNCTION("""COMPUTED_VALUE"""),"ROUX Anthony ")</f>
        <v xml:space="preserve">ROUX Anthony </v>
      </c>
      <c r="K1117" t="str">
        <f ca="1">IFERROR(__xludf.DUMMYFUNCTION("""COMPUTED_VALUE"""),"uexpress.voreppe.direction@systeme-u.fr")</f>
        <v>uexpress.voreppe.direction@systeme-u.fr</v>
      </c>
      <c r="L1117" t="str">
        <f ca="1">IFERROR(__xludf.DUMMYFUNCTION("""COMPUTED_VALUE"""),"")</f>
        <v/>
      </c>
      <c r="M1117" t="str">
        <f ca="1">IFERROR(__xludf.DUMMYFUNCTION("""COMPUTED_VALUE"""),"99.Hors Périmetre")</f>
        <v>99.Hors Périmetre</v>
      </c>
      <c r="N1117" t="str">
        <f ca="1">IFERROR(__xludf.DUMMYFUNCTION("""COMPUTED_VALUE"""),"")</f>
        <v/>
      </c>
      <c r="O1117" t="str">
        <f ca="1">IFERROR(__xludf.DUMMYFUNCTION("""COMPUTED_VALUE"""),"")</f>
        <v/>
      </c>
      <c r="P1117" t="str">
        <f ca="1">IFERROR(__xludf.DUMMYFUNCTION("""COMPUTED_VALUE"""),"")</f>
        <v/>
      </c>
      <c r="Q1117" s="5" t="str">
        <f ca="1">IFERROR(__xludf.DUMMYFUNCTION("""COMPUTED_VALUE"""),"")</f>
        <v/>
      </c>
      <c r="R1117" s="6" t="str">
        <f ca="1">IFERROR(__xludf.DUMMYFUNCTION("""COMPUTED_VALUE"""),"")</f>
        <v/>
      </c>
      <c r="S1117" t="str">
        <f ca="1">IFERROR(__xludf.DUMMYFUNCTION("""COMPUTED_VALUE"""),"")</f>
        <v/>
      </c>
      <c r="T1117" t="str">
        <f ca="1">IFERROR(__xludf.DUMMYFUNCTION("""COMPUTED_VALUE"""),"")</f>
        <v/>
      </c>
      <c r="U1117" t="str">
        <f ca="1">IFERROR(__xludf.DUMMYFUNCTION("""COMPUTED_VALUE"""),"")</f>
        <v/>
      </c>
      <c r="V1117" t="str">
        <f ca="1">IFERROR(__xludf.DUMMYFUNCTION("""COMPUTED_VALUE"""),"")</f>
        <v/>
      </c>
      <c r="W1117" t="str">
        <f ca="1">IFERROR(__xludf.DUMMYFUNCTION("""COMPUTED_VALUE"""),"")</f>
        <v/>
      </c>
      <c r="X1117" t="str">
        <f ca="1">IFERROR(__xludf.DUMMYFUNCTION("""COMPUTED_VALUE"""),"")</f>
        <v/>
      </c>
      <c r="Y1117" t="str">
        <f ca="1">IFERROR(__xludf.DUMMYFUNCTION("""COMPUTED_VALUE"""),"")</f>
        <v/>
      </c>
      <c r="Z1117" t="str">
        <f ca="1">IFERROR(__xludf.DUMMYFUNCTION("""COMPUTED_VALUE"""),"")</f>
        <v/>
      </c>
      <c r="AA1117" t="str">
        <f ca="1">IFERROR(__xludf.DUMMYFUNCTION("""COMPUTED_VALUE"""),"Pas de commande")</f>
        <v>Pas de commande</v>
      </c>
      <c r="AB1117" s="8" t="str">
        <f ca="1">IFERROR(__xludf.DUMMYFUNCTION("""COMPUTED_VALUE"""),"")</f>
        <v/>
      </c>
      <c r="AC1117" s="8" t="str">
        <f ca="1">IFERROR(__xludf.DUMMYFUNCTION("""COMPUTED_VALUE"""),"")</f>
        <v/>
      </c>
      <c r="AD1117" s="11" t="str">
        <f ca="1">IFERROR(__xludf.DUMMYFUNCTION("""COMPUTED_VALUE"""),"")</f>
        <v/>
      </c>
      <c r="AE1117" t="str">
        <f ca="1">IFERROR(__xludf.DUMMYFUNCTION("""COMPUTED_VALUE"""),"")</f>
        <v/>
      </c>
    </row>
    <row r="1118" spans="1:31" ht="12.75" x14ac:dyDescent="0.2">
      <c r="A1118">
        <f ca="1">IFERROR(__xludf.DUMMYFUNCTION("""COMPUTED_VALUE"""),30515)</f>
        <v>30515</v>
      </c>
      <c r="B1118" t="str">
        <f ca="1">IFERROR(__xludf.DUMMYFUNCTION("""COMPUTED_VALUE"""),"VOUILLE")</f>
        <v>VOUILLE</v>
      </c>
      <c r="C1118" t="str">
        <f ca="1">IFERROR(__xludf.DUMMYFUNCTION("""COMPUTED_VALUE"""),"Super U")</f>
        <v>Super U</v>
      </c>
      <c r="D1118" t="str">
        <f ca="1">IFERROR(__xludf.DUMMYFUNCTION("""COMPUTED_VALUE"""),"Coop U Enseigne Ouest")</f>
        <v>Coop U Enseigne Ouest</v>
      </c>
      <c r="E1118">
        <f ca="1">IFERROR(__xludf.DUMMYFUNCTION("""COMPUTED_VALUE"""),86190)</f>
        <v>86190</v>
      </c>
      <c r="F1118" t="str">
        <f ca="1">IFERROR(__xludf.DUMMYFUNCTION("""COMPUTED_VALUE"""),"ZAE DE VAUGENDRON")</f>
        <v>ZAE DE VAUGENDRON</v>
      </c>
      <c r="G1118" t="str">
        <f ca="1">IFERROR(__xludf.DUMMYFUNCTION("""COMPUTED_VALUE"""),"05.49.51.81.35")</f>
        <v>05.49.51.81.35</v>
      </c>
      <c r="H1118" t="str">
        <f ca="1">IFERROR(__xludf.DUMMYFUNCTION("""COMPUTED_VALUE"""),"DALLIER Patrice")</f>
        <v>DALLIER Patrice</v>
      </c>
      <c r="I1118" t="str">
        <f ca="1">IFERROR(__xludf.DUMMYFUNCTION("""COMPUTED_VALUE"""),"patrice.dallier@systeme-u.fr")</f>
        <v>patrice.dallier@systeme-u.fr</v>
      </c>
      <c r="J1118" t="str">
        <f ca="1">IFERROR(__xludf.DUMMYFUNCTION("""COMPUTED_VALUE"""),"")</f>
        <v/>
      </c>
      <c r="K1118" t="str">
        <f ca="1">IFERROR(__xludf.DUMMYFUNCTION("""COMPUTED_VALUE"""),"")</f>
        <v/>
      </c>
      <c r="L1118" t="str">
        <f ca="1">IFERROR(__xludf.DUMMYFUNCTION("""COMPUTED_VALUE"""),"")</f>
        <v/>
      </c>
      <c r="M1118" t="str">
        <f ca="1">IFERROR(__xludf.DUMMYFUNCTION("""COMPUTED_VALUE"""),"99.Hors Périmetre")</f>
        <v>99.Hors Périmetre</v>
      </c>
      <c r="N1118" t="str">
        <f ca="1">IFERROR(__xludf.DUMMYFUNCTION("""COMPUTED_VALUE"""),"")</f>
        <v/>
      </c>
      <c r="O1118" t="str">
        <f ca="1">IFERROR(__xludf.DUMMYFUNCTION("""COMPUTED_VALUE"""),"")</f>
        <v/>
      </c>
      <c r="P1118" t="str">
        <f ca="1">IFERROR(__xludf.DUMMYFUNCTION("""COMPUTED_VALUE"""),"")</f>
        <v/>
      </c>
      <c r="Q1118" s="5" t="str">
        <f ca="1">IFERROR(__xludf.DUMMYFUNCTION("""COMPUTED_VALUE"""),"")</f>
        <v/>
      </c>
      <c r="R1118" s="6" t="str">
        <f ca="1">IFERROR(__xludf.DUMMYFUNCTION("""COMPUTED_VALUE"""),"")</f>
        <v/>
      </c>
      <c r="S1118" t="str">
        <f ca="1">IFERROR(__xludf.DUMMYFUNCTION("""COMPUTED_VALUE"""),"")</f>
        <v/>
      </c>
      <c r="T1118" t="str">
        <f ca="1">IFERROR(__xludf.DUMMYFUNCTION("""COMPUTED_VALUE"""),"")</f>
        <v/>
      </c>
      <c r="U1118" t="str">
        <f ca="1">IFERROR(__xludf.DUMMYFUNCTION("""COMPUTED_VALUE"""),"")</f>
        <v/>
      </c>
      <c r="V1118" t="str">
        <f ca="1">IFERROR(__xludf.DUMMYFUNCTION("""COMPUTED_VALUE"""),"")</f>
        <v/>
      </c>
      <c r="W1118" t="str">
        <f ca="1">IFERROR(__xludf.DUMMYFUNCTION("""COMPUTED_VALUE"""),"")</f>
        <v/>
      </c>
      <c r="X1118" t="str">
        <f ca="1">IFERROR(__xludf.DUMMYFUNCTION("""COMPUTED_VALUE"""),"")</f>
        <v/>
      </c>
      <c r="Y1118" t="str">
        <f ca="1">IFERROR(__xludf.DUMMYFUNCTION("""COMPUTED_VALUE"""),"")</f>
        <v/>
      </c>
      <c r="Z1118" t="str">
        <f ca="1">IFERROR(__xludf.DUMMYFUNCTION("""COMPUTED_VALUE"""),"")</f>
        <v/>
      </c>
      <c r="AA1118" t="str">
        <f ca="1">IFERROR(__xludf.DUMMYFUNCTION("""COMPUTED_VALUE"""),"Pas de commande")</f>
        <v>Pas de commande</v>
      </c>
      <c r="AB1118" s="8" t="str">
        <f ca="1">IFERROR(__xludf.DUMMYFUNCTION("""COMPUTED_VALUE"""),"")</f>
        <v/>
      </c>
      <c r="AC1118" s="8" t="str">
        <f ca="1">IFERROR(__xludf.DUMMYFUNCTION("""COMPUTED_VALUE"""),"")</f>
        <v/>
      </c>
      <c r="AD1118" s="11" t="str">
        <f ca="1">IFERROR(__xludf.DUMMYFUNCTION("""COMPUTED_VALUE"""),"")</f>
        <v/>
      </c>
      <c r="AE1118" t="str">
        <f ca="1">IFERROR(__xludf.DUMMYFUNCTION("""COMPUTED_VALUE"""),"")</f>
        <v/>
      </c>
    </row>
    <row r="1119" spans="1:31" ht="12.75" x14ac:dyDescent="0.2">
      <c r="A1119">
        <f ca="1">IFERROR(__xludf.DUMMYFUNCTION("""COMPUTED_VALUE"""),60638)</f>
        <v>60638</v>
      </c>
      <c r="B1119" t="str">
        <f ca="1">IFERROR(__xludf.DUMMYFUNCTION("""COMPUTED_VALUE"""),"WITTELSHEIM")</f>
        <v>WITTELSHEIM</v>
      </c>
      <c r="C1119" t="str">
        <f ca="1">IFERROR(__xludf.DUMMYFUNCTION("""COMPUTED_VALUE"""),"Super U")</f>
        <v>Super U</v>
      </c>
      <c r="D1119" t="str">
        <f ca="1">IFERROR(__xludf.DUMMYFUNCTION("""COMPUTED_VALUE"""),"Coop U Enseigne Est")</f>
        <v>Coop U Enseigne Est</v>
      </c>
      <c r="E1119">
        <f ca="1">IFERROR(__xludf.DUMMYFUNCTION("""COMPUTED_VALUE"""),68310)</f>
        <v>68310</v>
      </c>
      <c r="F1119" t="str">
        <f ca="1">IFERROR(__xludf.DUMMYFUNCTION("""COMPUTED_VALUE"""),"1 Rue de la hohmatten")</f>
        <v>1 Rue de la hohmatten</v>
      </c>
      <c r="G1119" t="str">
        <f ca="1">IFERROR(__xludf.DUMMYFUNCTION("""COMPUTED_VALUE"""),"03.89.55.23.01")</f>
        <v>03.89.55.23.01</v>
      </c>
      <c r="H1119" t="str">
        <f ca="1">IFERROR(__xludf.DUMMYFUNCTION("""COMPUTED_VALUE"""),"CORRADI Daniel")</f>
        <v>CORRADI Daniel</v>
      </c>
      <c r="I1119" t="str">
        <f ca="1">IFERROR(__xludf.DUMMYFUNCTION("""COMPUTED_VALUE"""),"daniel.corradi@systeme-u.fr")</f>
        <v>daniel.corradi@systeme-u.fr</v>
      </c>
      <c r="J1119" t="str">
        <f ca="1">IFERROR(__xludf.DUMMYFUNCTION("""COMPUTED_VALUE"""),"Mme Corradi")</f>
        <v>Mme Corradi</v>
      </c>
      <c r="K1119" t="str">
        <f ca="1">IFERROR(__xludf.DUMMYFUNCTION("""COMPUTED_VALUE"""),"pascale.corradi@systeme-u.fr")</f>
        <v>pascale.corradi@systeme-u.fr</v>
      </c>
      <c r="L1119" t="str">
        <f ca="1">IFERROR(__xludf.DUMMYFUNCTION("""COMPUTED_VALUE"""),"")</f>
        <v/>
      </c>
      <c r="M1119" t="str">
        <f ca="1">IFERROR(__xludf.DUMMYFUNCTION("""COMPUTED_VALUE"""),"99.Hors Périmetre")</f>
        <v>99.Hors Périmetre</v>
      </c>
      <c r="N1119" t="str">
        <f ca="1">IFERROR(__xludf.DUMMYFUNCTION("""COMPUTED_VALUE"""),"")</f>
        <v/>
      </c>
      <c r="O1119" t="str">
        <f ca="1">IFERROR(__xludf.DUMMYFUNCTION("""COMPUTED_VALUE"""),"")</f>
        <v/>
      </c>
      <c r="P1119" t="str">
        <f ca="1">IFERROR(__xludf.DUMMYFUNCTION("""COMPUTED_VALUE"""),"")</f>
        <v/>
      </c>
      <c r="Q1119" s="5" t="str">
        <f ca="1">IFERROR(__xludf.DUMMYFUNCTION("""COMPUTED_VALUE"""),"")</f>
        <v/>
      </c>
      <c r="R1119" s="6" t="str">
        <f ca="1">IFERROR(__xludf.DUMMYFUNCTION("""COMPUTED_VALUE"""),"")</f>
        <v/>
      </c>
      <c r="S1119" t="str">
        <f ca="1">IFERROR(__xludf.DUMMYFUNCTION("""COMPUTED_VALUE"""),"")</f>
        <v/>
      </c>
      <c r="T1119" t="str">
        <f ca="1">IFERROR(__xludf.DUMMYFUNCTION("""COMPUTED_VALUE"""),"")</f>
        <v/>
      </c>
      <c r="U1119" t="str">
        <f ca="1">IFERROR(__xludf.DUMMYFUNCTION("""COMPUTED_VALUE"""),"")</f>
        <v/>
      </c>
      <c r="V1119" t="str">
        <f ca="1">IFERROR(__xludf.DUMMYFUNCTION("""COMPUTED_VALUE"""),"")</f>
        <v/>
      </c>
      <c r="W1119" t="str">
        <f ca="1">IFERROR(__xludf.DUMMYFUNCTION("""COMPUTED_VALUE"""),"")</f>
        <v/>
      </c>
      <c r="X1119" t="str">
        <f ca="1">IFERROR(__xludf.DUMMYFUNCTION("""COMPUTED_VALUE"""),"")</f>
        <v/>
      </c>
      <c r="Y1119" t="str">
        <f ca="1">IFERROR(__xludf.DUMMYFUNCTION("""COMPUTED_VALUE"""),"")</f>
        <v/>
      </c>
      <c r="Z1119" t="str">
        <f ca="1">IFERROR(__xludf.DUMMYFUNCTION("""COMPUTED_VALUE"""),"")</f>
        <v/>
      </c>
      <c r="AA1119" t="str">
        <f ca="1">IFERROR(__xludf.DUMMYFUNCTION("""COMPUTED_VALUE"""),"Pas de commande")</f>
        <v>Pas de commande</v>
      </c>
      <c r="AB1119" s="8" t="str">
        <f ca="1">IFERROR(__xludf.DUMMYFUNCTION("""COMPUTED_VALUE"""),"")</f>
        <v/>
      </c>
      <c r="AC1119" s="8" t="str">
        <f ca="1">IFERROR(__xludf.DUMMYFUNCTION("""COMPUTED_VALUE"""),"")</f>
        <v/>
      </c>
      <c r="AD1119" s="11" t="str">
        <f ca="1">IFERROR(__xludf.DUMMYFUNCTION("""COMPUTED_VALUE"""),"")</f>
        <v/>
      </c>
      <c r="AE1119" t="str">
        <f ca="1">IFERROR(__xludf.DUMMYFUNCTION("""COMPUTED_VALUE"""),"")</f>
        <v/>
      </c>
    </row>
    <row r="1120" spans="1:31" ht="12.75" x14ac:dyDescent="0.2">
      <c r="A1120">
        <f ca="1">IFERROR(__xludf.DUMMYFUNCTION("""COMPUTED_VALUE"""),60045)</f>
        <v>60045</v>
      </c>
      <c r="B1120" t="str">
        <f ca="1">IFERROR(__xludf.DUMMYFUNCTION("""COMPUTED_VALUE"""),"WITTENHEIM")</f>
        <v>WITTENHEIM</v>
      </c>
      <c r="C1120" t="str">
        <f ca="1">IFERROR(__xludf.DUMMYFUNCTION("""COMPUTED_VALUE"""),"Super U")</f>
        <v>Super U</v>
      </c>
      <c r="D1120" t="str">
        <f ca="1">IFERROR(__xludf.DUMMYFUNCTION("""COMPUTED_VALUE"""),"Coop U Enseigne Est")</f>
        <v>Coop U Enseigne Est</v>
      </c>
      <c r="E1120">
        <f ca="1">IFERROR(__xludf.DUMMYFUNCTION("""COMPUTED_VALUE"""),68270)</f>
        <v>68270</v>
      </c>
      <c r="F1120" t="str">
        <f ca="1">IFERROR(__xludf.DUMMYFUNCTION("""COMPUTED_VALUE"""),"66 RUE DE KINGERSHEIM")</f>
        <v>66 RUE DE KINGERSHEIM</v>
      </c>
      <c r="G1120" t="str">
        <f ca="1">IFERROR(__xludf.DUMMYFUNCTION("""COMPUTED_VALUE"""),"03.89.57.32.32")</f>
        <v>03.89.57.32.32</v>
      </c>
      <c r="H1120" t="str">
        <f ca="1">IFERROR(__xludf.DUMMYFUNCTION("""COMPUTED_VALUE"""),"BARRERE Stéphane")</f>
        <v>BARRERE Stéphane</v>
      </c>
      <c r="I1120" t="str">
        <f ca="1">IFERROR(__xludf.DUMMYFUNCTION("""COMPUTED_VALUE"""),"stephane.barrere@systeme-u.fr")</f>
        <v>stephane.barrere@systeme-u.fr</v>
      </c>
      <c r="J1120" t="str">
        <f ca="1">IFERROR(__xludf.DUMMYFUNCTION("""COMPUTED_VALUE"""),"")</f>
        <v/>
      </c>
      <c r="K1120" t="str">
        <f ca="1">IFERROR(__xludf.DUMMYFUNCTION("""COMPUTED_VALUE"""),"superu.wittenheim.direction@systeme-u.fr")</f>
        <v>superu.wittenheim.direction@systeme-u.fr</v>
      </c>
      <c r="L1120" t="str">
        <f ca="1">IFERROR(__xludf.DUMMYFUNCTION("""COMPUTED_VALUE"""),"")</f>
        <v/>
      </c>
      <c r="M1120" t="str">
        <f ca="1">IFERROR(__xludf.DUMMYFUNCTION("""COMPUTED_VALUE"""),"99.Hors Périmetre")</f>
        <v>99.Hors Périmetre</v>
      </c>
      <c r="N1120" t="str">
        <f ca="1">IFERROR(__xludf.DUMMYFUNCTION("""COMPUTED_VALUE"""),"")</f>
        <v/>
      </c>
      <c r="O1120" t="str">
        <f ca="1">IFERROR(__xludf.DUMMYFUNCTION("""COMPUTED_VALUE"""),"")</f>
        <v/>
      </c>
      <c r="P1120" t="str">
        <f ca="1">IFERROR(__xludf.DUMMYFUNCTION("""COMPUTED_VALUE"""),"")</f>
        <v/>
      </c>
      <c r="Q1120" s="5" t="str">
        <f ca="1">IFERROR(__xludf.DUMMYFUNCTION("""COMPUTED_VALUE"""),"")</f>
        <v/>
      </c>
      <c r="R1120" s="6" t="str">
        <f ca="1">IFERROR(__xludf.DUMMYFUNCTION("""COMPUTED_VALUE"""),"")</f>
        <v/>
      </c>
      <c r="S1120" t="str">
        <f ca="1">IFERROR(__xludf.DUMMYFUNCTION("""COMPUTED_VALUE"""),"")</f>
        <v/>
      </c>
      <c r="T1120" t="str">
        <f ca="1">IFERROR(__xludf.DUMMYFUNCTION("""COMPUTED_VALUE"""),"")</f>
        <v/>
      </c>
      <c r="U1120" t="str">
        <f ca="1">IFERROR(__xludf.DUMMYFUNCTION("""COMPUTED_VALUE"""),"")</f>
        <v/>
      </c>
      <c r="V1120" t="str">
        <f ca="1">IFERROR(__xludf.DUMMYFUNCTION("""COMPUTED_VALUE"""),"")</f>
        <v/>
      </c>
      <c r="W1120" t="str">
        <f ca="1">IFERROR(__xludf.DUMMYFUNCTION("""COMPUTED_VALUE"""),"")</f>
        <v/>
      </c>
      <c r="X1120" t="str">
        <f ca="1">IFERROR(__xludf.DUMMYFUNCTION("""COMPUTED_VALUE"""),"")</f>
        <v/>
      </c>
      <c r="Y1120" t="str">
        <f ca="1">IFERROR(__xludf.DUMMYFUNCTION("""COMPUTED_VALUE"""),"")</f>
        <v/>
      </c>
      <c r="Z1120" t="str">
        <f ca="1">IFERROR(__xludf.DUMMYFUNCTION("""COMPUTED_VALUE"""),"")</f>
        <v/>
      </c>
      <c r="AA1120" t="str">
        <f ca="1">IFERROR(__xludf.DUMMYFUNCTION("""COMPUTED_VALUE"""),"Pas de commande")</f>
        <v>Pas de commande</v>
      </c>
      <c r="AB1120" s="8" t="str">
        <f ca="1">IFERROR(__xludf.DUMMYFUNCTION("""COMPUTED_VALUE"""),"")</f>
        <v/>
      </c>
      <c r="AC1120" s="8" t="str">
        <f ca="1">IFERROR(__xludf.DUMMYFUNCTION("""COMPUTED_VALUE"""),"")</f>
        <v/>
      </c>
      <c r="AD1120" s="11" t="str">
        <f ca="1">IFERROR(__xludf.DUMMYFUNCTION("""COMPUTED_VALUE"""),"")</f>
        <v/>
      </c>
      <c r="AE1120" t="str">
        <f ca="1">IFERROR(__xludf.DUMMYFUNCTION("""COMPUTED_VALUE"""),"")</f>
        <v/>
      </c>
    </row>
    <row r="1121" spans="1:31" ht="12.75" x14ac:dyDescent="0.2">
      <c r="A1121">
        <f ca="1">IFERROR(__xludf.DUMMYFUNCTION("""COMPUTED_VALUE"""),60748)</f>
        <v>60748</v>
      </c>
      <c r="B1121" t="str">
        <f ca="1">IFERROR(__xludf.DUMMYFUNCTION("""COMPUTED_VALUE"""),"WOERTH")</f>
        <v>WOERTH</v>
      </c>
      <c r="C1121" t="str">
        <f ca="1">IFERROR(__xludf.DUMMYFUNCTION("""COMPUTED_VALUE"""),"Super U")</f>
        <v>Super U</v>
      </c>
      <c r="D1121" t="str">
        <f ca="1">IFERROR(__xludf.DUMMYFUNCTION("""COMPUTED_VALUE"""),"Coop U Enseigne Est")</f>
        <v>Coop U Enseigne Est</v>
      </c>
      <c r="E1121">
        <f ca="1">IFERROR(__xludf.DUMMYFUNCTION("""COMPUTED_VALUE"""),67360)</f>
        <v>67360</v>
      </c>
      <c r="F1121" t="str">
        <f ca="1">IFERROR(__xludf.DUMMYFUNCTION("""COMPUTED_VALUE"""),"ZAC ROUTE DE HAGUENAU")</f>
        <v>ZAC ROUTE DE HAGUENAU</v>
      </c>
      <c r="G1121" t="str">
        <f ca="1">IFERROR(__xludf.DUMMYFUNCTION("""COMPUTED_VALUE"""),"03.88.05.70.00")</f>
        <v>03.88.05.70.00</v>
      </c>
      <c r="H1121" t="str">
        <f ca="1">IFERROR(__xludf.DUMMYFUNCTION("""COMPUTED_VALUE"""),"LANG Emmanuel")</f>
        <v>LANG Emmanuel</v>
      </c>
      <c r="I1121" t="str">
        <f ca="1">IFERROR(__xludf.DUMMYFUNCTION("""COMPUTED_VALUE"""),"emmanuel.lang@systeme-u.fr")</f>
        <v>emmanuel.lang@systeme-u.fr</v>
      </c>
      <c r="J1121" t="str">
        <f ca="1">IFERROR(__xludf.DUMMYFUNCTION("""COMPUTED_VALUE"""),"")</f>
        <v/>
      </c>
      <c r="K1121" t="str">
        <f ca="1">IFERROR(__xludf.DUMMYFUNCTION("""COMPUTED_VALUE"""),"")</f>
        <v/>
      </c>
      <c r="L1121" t="str">
        <f ca="1">IFERROR(__xludf.DUMMYFUNCTION("""COMPUTED_VALUE"""),"")</f>
        <v/>
      </c>
      <c r="M1121" t="str">
        <f ca="1">IFERROR(__xludf.DUMMYFUNCTION("""COMPUTED_VALUE"""),"99.Hors Périmetre")</f>
        <v>99.Hors Périmetre</v>
      </c>
      <c r="N1121" t="str">
        <f ca="1">IFERROR(__xludf.DUMMYFUNCTION("""COMPUTED_VALUE"""),"")</f>
        <v/>
      </c>
      <c r="O1121" t="str">
        <f ca="1">IFERROR(__xludf.DUMMYFUNCTION("""COMPUTED_VALUE"""),"")</f>
        <v/>
      </c>
      <c r="P1121" t="str">
        <f ca="1">IFERROR(__xludf.DUMMYFUNCTION("""COMPUTED_VALUE"""),"")</f>
        <v/>
      </c>
      <c r="Q1121" s="5" t="str">
        <f ca="1">IFERROR(__xludf.DUMMYFUNCTION("""COMPUTED_VALUE"""),"")</f>
        <v/>
      </c>
      <c r="R1121" s="6" t="str">
        <f ca="1">IFERROR(__xludf.DUMMYFUNCTION("""COMPUTED_VALUE"""),"")</f>
        <v/>
      </c>
      <c r="S1121" t="str">
        <f ca="1">IFERROR(__xludf.DUMMYFUNCTION("""COMPUTED_VALUE"""),"")</f>
        <v/>
      </c>
      <c r="T1121" t="str">
        <f ca="1">IFERROR(__xludf.DUMMYFUNCTION("""COMPUTED_VALUE"""),"")</f>
        <v/>
      </c>
      <c r="U1121" t="str">
        <f ca="1">IFERROR(__xludf.DUMMYFUNCTION("""COMPUTED_VALUE"""),"")</f>
        <v/>
      </c>
      <c r="V1121" t="str">
        <f ca="1">IFERROR(__xludf.DUMMYFUNCTION("""COMPUTED_VALUE"""),"")</f>
        <v/>
      </c>
      <c r="W1121" t="str">
        <f ca="1">IFERROR(__xludf.DUMMYFUNCTION("""COMPUTED_VALUE"""),"")</f>
        <v/>
      </c>
      <c r="X1121" t="str">
        <f ca="1">IFERROR(__xludf.DUMMYFUNCTION("""COMPUTED_VALUE"""),"")</f>
        <v/>
      </c>
      <c r="Y1121" t="str">
        <f ca="1">IFERROR(__xludf.DUMMYFUNCTION("""COMPUTED_VALUE"""),"")</f>
        <v/>
      </c>
      <c r="Z1121" t="str">
        <f ca="1">IFERROR(__xludf.DUMMYFUNCTION("""COMPUTED_VALUE"""),"")</f>
        <v/>
      </c>
      <c r="AA1121" t="str">
        <f ca="1">IFERROR(__xludf.DUMMYFUNCTION("""COMPUTED_VALUE"""),"Pas de commande")</f>
        <v>Pas de commande</v>
      </c>
      <c r="AB1121" s="8" t="str">
        <f ca="1">IFERROR(__xludf.DUMMYFUNCTION("""COMPUTED_VALUE"""),"")</f>
        <v/>
      </c>
      <c r="AC1121" s="8" t="str">
        <f ca="1">IFERROR(__xludf.DUMMYFUNCTION("""COMPUTED_VALUE"""),"")</f>
        <v/>
      </c>
      <c r="AD1121" s="11" t="str">
        <f ca="1">IFERROR(__xludf.DUMMYFUNCTION("""COMPUTED_VALUE"""),"")</f>
        <v/>
      </c>
      <c r="AE1121" t="str">
        <f ca="1">IFERROR(__xludf.DUMMYFUNCTION("""COMPUTED_VALUE"""),"")</f>
        <v/>
      </c>
    </row>
    <row r="1122" spans="1:31" ht="12.75" x14ac:dyDescent="0.2">
      <c r="A1122">
        <f ca="1">IFERROR(__xludf.DUMMYFUNCTION("""COMPUTED_VALUE"""),60081)</f>
        <v>60081</v>
      </c>
      <c r="B1122" t="str">
        <f ca="1">IFERROR(__xludf.DUMMYFUNCTION("""COMPUTED_VALUE"""),"WOLFISHEIM")</f>
        <v>WOLFISHEIM</v>
      </c>
      <c r="C1122" t="str">
        <f ca="1">IFERROR(__xludf.DUMMYFUNCTION("""COMPUTED_VALUE"""),"Super U")</f>
        <v>Super U</v>
      </c>
      <c r="D1122" t="str">
        <f ca="1">IFERROR(__xludf.DUMMYFUNCTION("""COMPUTED_VALUE"""),"Coop U Enseigne Est")</f>
        <v>Coop U Enseigne Est</v>
      </c>
      <c r="E1122">
        <f ca="1">IFERROR(__xludf.DUMMYFUNCTION("""COMPUTED_VALUE"""),67202)</f>
        <v>67202</v>
      </c>
      <c r="F1122" t="str">
        <f ca="1">IFERROR(__xludf.DUMMYFUNCTION("""COMPUTED_VALUE"""),"1A rue Hans Arp")</f>
        <v>1A rue Hans Arp</v>
      </c>
      <c r="G1122" t="str">
        <f ca="1">IFERROR(__xludf.DUMMYFUNCTION("""COMPUTED_VALUE"""),"03.88.76.18.38")</f>
        <v>03.88.76.18.38</v>
      </c>
      <c r="H1122" t="str">
        <f ca="1">IFERROR(__xludf.DUMMYFUNCTION("""COMPUTED_VALUE"""),"GALLO Benoît")</f>
        <v>GALLO Benoît</v>
      </c>
      <c r="I1122" t="str">
        <f ca="1">IFERROR(__xludf.DUMMYFUNCTION("""COMPUTED_VALUE"""),"benoit.gallo@systeme-u.fr")</f>
        <v>benoit.gallo@systeme-u.fr</v>
      </c>
      <c r="J1122" t="str">
        <f ca="1">IFERROR(__xludf.DUMMYFUNCTION("""COMPUTED_VALUE"""),"Mme Julie RICHERTE")</f>
        <v>Mme Julie RICHERTE</v>
      </c>
      <c r="K1122" t="str">
        <f ca="1">IFERROR(__xludf.DUMMYFUNCTION("""COMPUTED_VALUE"""),"superu.wolfisheim@systeme-u.fr")</f>
        <v>superu.wolfisheim@systeme-u.fr</v>
      </c>
      <c r="L1122" t="str">
        <f ca="1">IFERROR(__xludf.DUMMYFUNCTION("""COMPUTED_VALUE"""),"")</f>
        <v/>
      </c>
      <c r="M1122" t="str">
        <f ca="1">IFERROR(__xludf.DUMMYFUNCTION("""COMPUTED_VALUE"""),"99.Hors Périmetre")</f>
        <v>99.Hors Périmetre</v>
      </c>
      <c r="N1122" t="str">
        <f ca="1">IFERROR(__xludf.DUMMYFUNCTION("""COMPUTED_VALUE"""),"")</f>
        <v/>
      </c>
      <c r="O1122" t="str">
        <f ca="1">IFERROR(__xludf.DUMMYFUNCTION("""COMPUTED_VALUE"""),"")</f>
        <v/>
      </c>
      <c r="P1122" t="str">
        <f ca="1">IFERROR(__xludf.DUMMYFUNCTION("""COMPUTED_VALUE"""),"")</f>
        <v/>
      </c>
      <c r="Q1122" s="5" t="str">
        <f ca="1">IFERROR(__xludf.DUMMYFUNCTION("""COMPUTED_VALUE"""),"")</f>
        <v/>
      </c>
      <c r="R1122" s="6" t="str">
        <f ca="1">IFERROR(__xludf.DUMMYFUNCTION("""COMPUTED_VALUE"""),"")</f>
        <v/>
      </c>
      <c r="S1122" t="str">
        <f ca="1">IFERROR(__xludf.DUMMYFUNCTION("""COMPUTED_VALUE"""),"")</f>
        <v/>
      </c>
      <c r="T1122" t="str">
        <f ca="1">IFERROR(__xludf.DUMMYFUNCTION("""COMPUTED_VALUE"""),"")</f>
        <v/>
      </c>
      <c r="U1122" t="str">
        <f ca="1">IFERROR(__xludf.DUMMYFUNCTION("""COMPUTED_VALUE"""),"")</f>
        <v/>
      </c>
      <c r="V1122" t="str">
        <f ca="1">IFERROR(__xludf.DUMMYFUNCTION("""COMPUTED_VALUE"""),"")</f>
        <v/>
      </c>
      <c r="W1122" t="str">
        <f ca="1">IFERROR(__xludf.DUMMYFUNCTION("""COMPUTED_VALUE"""),"")</f>
        <v/>
      </c>
      <c r="X1122" t="str">
        <f ca="1">IFERROR(__xludf.DUMMYFUNCTION("""COMPUTED_VALUE"""),"")</f>
        <v/>
      </c>
      <c r="Y1122" t="str">
        <f ca="1">IFERROR(__xludf.DUMMYFUNCTION("""COMPUTED_VALUE"""),"")</f>
        <v/>
      </c>
      <c r="Z1122" t="str">
        <f ca="1">IFERROR(__xludf.DUMMYFUNCTION("""COMPUTED_VALUE"""),"")</f>
        <v/>
      </c>
      <c r="AA1122" t="str">
        <f ca="1">IFERROR(__xludf.DUMMYFUNCTION("""COMPUTED_VALUE"""),"Pas de commande")</f>
        <v>Pas de commande</v>
      </c>
      <c r="AB1122" s="8" t="str">
        <f ca="1">IFERROR(__xludf.DUMMYFUNCTION("""COMPUTED_VALUE"""),"")</f>
        <v/>
      </c>
      <c r="AC1122" s="8" t="str">
        <f ca="1">IFERROR(__xludf.DUMMYFUNCTION("""COMPUTED_VALUE"""),"")</f>
        <v/>
      </c>
      <c r="AD1122" s="11" t="str">
        <f ca="1">IFERROR(__xludf.DUMMYFUNCTION("""COMPUTED_VALUE"""),"")</f>
        <v/>
      </c>
      <c r="AE1122" t="str">
        <f ca="1">IFERROR(__xludf.DUMMYFUNCTION("""COMPUTED_VALUE"""),"")</f>
        <v/>
      </c>
    </row>
    <row r="1123" spans="1:31" ht="12.75" x14ac:dyDescent="0.2">
      <c r="A1123">
        <f ca="1">IFERROR(__xludf.DUMMYFUNCTION("""COMPUTED_VALUE"""),21813)</f>
        <v>21813</v>
      </c>
      <c r="B1123" t="str">
        <f ca="1">IFERROR(__xludf.DUMMYFUNCTION("""COMPUTED_VALUE"""),"WORMHOUT")</f>
        <v>WORMHOUT</v>
      </c>
      <c r="C1123" t="str">
        <f ca="1">IFERROR(__xludf.DUMMYFUNCTION("""COMPUTED_VALUE"""),"Super U")</f>
        <v>Super U</v>
      </c>
      <c r="D1123" t="str">
        <f ca="1">IFERROR(__xludf.DUMMYFUNCTION("""COMPUTED_VALUE"""),"Coop U Enseigne NordOuest")</f>
        <v>Coop U Enseigne NordOuest</v>
      </c>
      <c r="E1123">
        <f ca="1">IFERROR(__xludf.DUMMYFUNCTION("""COMPUTED_VALUE"""),59470)</f>
        <v>59470</v>
      </c>
      <c r="F1123" t="str">
        <f ca="1">IFERROR(__xludf.DUMMYFUNCTION("""COMPUTED_VALUE"""),"747 ROUTE DE BERGUES")</f>
        <v>747 ROUTE DE BERGUES</v>
      </c>
      <c r="G1123" t="str">
        <f ca="1">IFERROR(__xludf.DUMMYFUNCTION("""COMPUTED_VALUE"""),"03.28.65.85.10")</f>
        <v>03.28.65.85.10</v>
      </c>
      <c r="H1123" t="str">
        <f ca="1">IFERROR(__xludf.DUMMYFUNCTION("""COMPUTED_VALUE"""),"LEFEBVRE Pascal")</f>
        <v>LEFEBVRE Pascal</v>
      </c>
      <c r="I1123" t="str">
        <f ca="1">IFERROR(__xludf.DUMMYFUNCTION("""COMPUTED_VALUE"""),"pascal.lefebvre@systeme-u.fr")</f>
        <v>pascal.lefebvre@systeme-u.fr</v>
      </c>
      <c r="J1123" t="str">
        <f ca="1">IFERROR(__xludf.DUMMYFUNCTION("""COMPUTED_VALUE"""),"Mme WAWRZYNIAK Dany")</f>
        <v>Mme WAWRZYNIAK Dany</v>
      </c>
      <c r="K1123" t="str">
        <f ca="1">IFERROR(__xludf.DUMMYFUNCTION("""COMPUTED_VALUE"""),"")</f>
        <v/>
      </c>
      <c r="L1123" t="str">
        <f ca="1">IFERROR(__xludf.DUMMYFUNCTION("""COMPUTED_VALUE"""),"")</f>
        <v/>
      </c>
      <c r="M1123" t="str">
        <f ca="1">IFERROR(__xludf.DUMMYFUNCTION("""COMPUTED_VALUE"""),"99.Hors Périmetre")</f>
        <v>99.Hors Périmetre</v>
      </c>
      <c r="N1123" t="str">
        <f ca="1">IFERROR(__xludf.DUMMYFUNCTION("""COMPUTED_VALUE"""),"")</f>
        <v/>
      </c>
      <c r="O1123" t="str">
        <f ca="1">IFERROR(__xludf.DUMMYFUNCTION("""COMPUTED_VALUE"""),"")</f>
        <v/>
      </c>
      <c r="P1123" t="str">
        <f ca="1">IFERROR(__xludf.DUMMYFUNCTION("""COMPUTED_VALUE"""),"")</f>
        <v/>
      </c>
      <c r="Q1123" s="5" t="str">
        <f ca="1">IFERROR(__xludf.DUMMYFUNCTION("""COMPUTED_VALUE"""),"")</f>
        <v/>
      </c>
      <c r="R1123" s="6" t="str">
        <f ca="1">IFERROR(__xludf.DUMMYFUNCTION("""COMPUTED_VALUE"""),"")</f>
        <v/>
      </c>
      <c r="S1123" t="str">
        <f ca="1">IFERROR(__xludf.DUMMYFUNCTION("""COMPUTED_VALUE"""),"")</f>
        <v/>
      </c>
      <c r="T1123" t="str">
        <f ca="1">IFERROR(__xludf.DUMMYFUNCTION("""COMPUTED_VALUE"""),"")</f>
        <v/>
      </c>
      <c r="U1123" t="str">
        <f ca="1">IFERROR(__xludf.DUMMYFUNCTION("""COMPUTED_VALUE"""),"")</f>
        <v/>
      </c>
      <c r="V1123" t="str">
        <f ca="1">IFERROR(__xludf.DUMMYFUNCTION("""COMPUTED_VALUE"""),"")</f>
        <v/>
      </c>
      <c r="W1123" t="str">
        <f ca="1">IFERROR(__xludf.DUMMYFUNCTION("""COMPUTED_VALUE"""),"")</f>
        <v/>
      </c>
      <c r="X1123" t="str">
        <f ca="1">IFERROR(__xludf.DUMMYFUNCTION("""COMPUTED_VALUE"""),"")</f>
        <v/>
      </c>
      <c r="Y1123" t="str">
        <f ca="1">IFERROR(__xludf.DUMMYFUNCTION("""COMPUTED_VALUE"""),"")</f>
        <v/>
      </c>
      <c r="Z1123" t="str">
        <f ca="1">IFERROR(__xludf.DUMMYFUNCTION("""COMPUTED_VALUE"""),"")</f>
        <v/>
      </c>
      <c r="AA1123" t="str">
        <f ca="1">IFERROR(__xludf.DUMMYFUNCTION("""COMPUTED_VALUE"""),"Pas de commande")</f>
        <v>Pas de commande</v>
      </c>
      <c r="AB1123" s="8" t="str">
        <f ca="1">IFERROR(__xludf.DUMMYFUNCTION("""COMPUTED_VALUE"""),"")</f>
        <v/>
      </c>
      <c r="AC1123" s="8" t="str">
        <f ca="1">IFERROR(__xludf.DUMMYFUNCTION("""COMPUTED_VALUE"""),"")</f>
        <v/>
      </c>
      <c r="AD1123" s="11" t="str">
        <f ca="1">IFERROR(__xludf.DUMMYFUNCTION("""COMPUTED_VALUE"""),"")</f>
        <v/>
      </c>
      <c r="AE1123" t="str">
        <f ca="1">IFERROR(__xludf.DUMMYFUNCTION("""COMPUTED_VALUE"""),"")</f>
        <v/>
      </c>
    </row>
    <row r="1124" spans="1:31" ht="12.75" x14ac:dyDescent="0.2">
      <c r="A1124">
        <f ca="1">IFERROR(__xludf.DUMMYFUNCTION("""COMPUTED_VALUE"""),95150)</f>
        <v>95150</v>
      </c>
      <c r="B1124" t="str">
        <f ca="1">IFERROR(__xludf.DUMMYFUNCTION("""COMPUTED_VALUE"""),"YDES")</f>
        <v>YDES</v>
      </c>
      <c r="C1124" t="str">
        <f ca="1">IFERROR(__xludf.DUMMYFUNCTION("""COMPUTED_VALUE"""),"Super U")</f>
        <v>Super U</v>
      </c>
      <c r="D1124" t="str">
        <f ca="1">IFERROR(__xludf.DUMMYFUNCTION("""COMPUTED_VALUE"""),"Coop U Enseigne Sud")</f>
        <v>Coop U Enseigne Sud</v>
      </c>
      <c r="E1124">
        <f ca="1">IFERROR(__xludf.DUMMYFUNCTION("""COMPUTED_VALUE"""),15210)</f>
        <v>15210</v>
      </c>
      <c r="F1124" t="str">
        <f ca="1">IFERROR(__xludf.DUMMYFUNCTION("""COMPUTED_VALUE"""),"AVENUE DE LA REPUBLIQUE")</f>
        <v>AVENUE DE LA REPUBLIQUE</v>
      </c>
      <c r="G1124" t="str">
        <f ca="1">IFERROR(__xludf.DUMMYFUNCTION("""COMPUTED_VALUE"""),"04.71.67.39.85")</f>
        <v>04.71.67.39.85</v>
      </c>
      <c r="H1124" t="str">
        <f ca="1">IFERROR(__xludf.DUMMYFUNCTION("""COMPUTED_VALUE"""),"TURPIN Stéphane-Catherine")</f>
        <v>TURPIN Stéphane-Catherine</v>
      </c>
      <c r="I1124" t="str">
        <f ca="1">IFERROR(__xludf.DUMMYFUNCTION("""COMPUTED_VALUE"""),"stephane.turpin1@systeme-u.fr")</f>
        <v>stephane.turpin1@systeme-u.fr</v>
      </c>
      <c r="J1124" t="str">
        <f ca="1">IFERROR(__xludf.DUMMYFUNCTION("""COMPUTED_VALUE"""),"Stéphane TURPIN")</f>
        <v>Stéphane TURPIN</v>
      </c>
      <c r="K1124" t="str">
        <f ca="1">IFERROR(__xludf.DUMMYFUNCTION("""COMPUTED_VALUE"""),"stephane.turpin1@systeme-u.fr")</f>
        <v>stephane.turpin1@systeme-u.fr</v>
      </c>
      <c r="L1124" t="str">
        <f ca="1">IFERROR(__xludf.DUMMYFUNCTION("""COMPUTED_VALUE"""),"")</f>
        <v/>
      </c>
      <c r="M1124" t="str">
        <f ca="1">IFERROR(__xludf.DUMMYFUNCTION("""COMPUTED_VALUE"""),"99.Hors Périmetre")</f>
        <v>99.Hors Périmetre</v>
      </c>
      <c r="N1124" t="str">
        <f ca="1">IFERROR(__xludf.DUMMYFUNCTION("""COMPUTED_VALUE"""),"")</f>
        <v/>
      </c>
      <c r="O1124" t="str">
        <f ca="1">IFERROR(__xludf.DUMMYFUNCTION("""COMPUTED_VALUE"""),"")</f>
        <v/>
      </c>
      <c r="P1124" t="str">
        <f ca="1">IFERROR(__xludf.DUMMYFUNCTION("""COMPUTED_VALUE"""),"")</f>
        <v/>
      </c>
      <c r="Q1124" s="5" t="str">
        <f ca="1">IFERROR(__xludf.DUMMYFUNCTION("""COMPUTED_VALUE"""),"")</f>
        <v/>
      </c>
      <c r="R1124" s="6" t="str">
        <f ca="1">IFERROR(__xludf.DUMMYFUNCTION("""COMPUTED_VALUE"""),"")</f>
        <v/>
      </c>
      <c r="S1124" t="str">
        <f ca="1">IFERROR(__xludf.DUMMYFUNCTION("""COMPUTED_VALUE"""),"")</f>
        <v/>
      </c>
      <c r="T1124" t="str">
        <f ca="1">IFERROR(__xludf.DUMMYFUNCTION("""COMPUTED_VALUE"""),"")</f>
        <v/>
      </c>
      <c r="U1124" t="str">
        <f ca="1">IFERROR(__xludf.DUMMYFUNCTION("""COMPUTED_VALUE"""),"")</f>
        <v/>
      </c>
      <c r="V1124" t="str">
        <f ca="1">IFERROR(__xludf.DUMMYFUNCTION("""COMPUTED_VALUE"""),"")</f>
        <v/>
      </c>
      <c r="W1124" t="str">
        <f ca="1">IFERROR(__xludf.DUMMYFUNCTION("""COMPUTED_VALUE"""),"")</f>
        <v/>
      </c>
      <c r="X1124" t="str">
        <f ca="1">IFERROR(__xludf.DUMMYFUNCTION("""COMPUTED_VALUE"""),"")</f>
        <v/>
      </c>
      <c r="Y1124" t="str">
        <f ca="1">IFERROR(__xludf.DUMMYFUNCTION("""COMPUTED_VALUE"""),"")</f>
        <v/>
      </c>
      <c r="Z1124" t="str">
        <f ca="1">IFERROR(__xludf.DUMMYFUNCTION("""COMPUTED_VALUE"""),"")</f>
        <v/>
      </c>
      <c r="AA1124" t="str">
        <f ca="1">IFERROR(__xludf.DUMMYFUNCTION("""COMPUTED_VALUE"""),"Pas de commande")</f>
        <v>Pas de commande</v>
      </c>
      <c r="AB1124" s="8" t="str">
        <f ca="1">IFERROR(__xludf.DUMMYFUNCTION("""COMPUTED_VALUE"""),"")</f>
        <v/>
      </c>
      <c r="AC1124" s="8" t="str">
        <f ca="1">IFERROR(__xludf.DUMMYFUNCTION("""COMPUTED_VALUE"""),"")</f>
        <v/>
      </c>
      <c r="AD1124" s="11" t="str">
        <f ca="1">IFERROR(__xludf.DUMMYFUNCTION("""COMPUTED_VALUE"""),"")</f>
        <v/>
      </c>
      <c r="AE1124" t="str">
        <f ca="1">IFERROR(__xludf.DUMMYFUNCTION("""COMPUTED_VALUE"""),"")</f>
        <v/>
      </c>
    </row>
    <row r="1125" spans="1:31" ht="12.75" x14ac:dyDescent="0.2">
      <c r="A1125">
        <f ca="1">IFERROR(__xludf.DUMMYFUNCTION("""COMPUTED_VALUE"""),24308)</f>
        <v>24308</v>
      </c>
      <c r="B1125" t="str">
        <f ca="1">IFERROR(__xludf.DUMMYFUNCTION("""COMPUTED_VALUE"""),"YERVILLE")</f>
        <v>YERVILLE</v>
      </c>
      <c r="C1125" t="str">
        <f ca="1">IFERROR(__xludf.DUMMYFUNCTION("""COMPUTED_VALUE"""),"Super U")</f>
        <v>Super U</v>
      </c>
      <c r="D1125" t="str">
        <f ca="1">IFERROR(__xludf.DUMMYFUNCTION("""COMPUTED_VALUE"""),"Coop U Enseigne NordOuest")</f>
        <v>Coop U Enseigne NordOuest</v>
      </c>
      <c r="E1125">
        <f ca="1">IFERROR(__xludf.DUMMYFUNCTION("""COMPUTED_VALUE"""),76760)</f>
        <v>76760</v>
      </c>
      <c r="F1125" t="str">
        <f ca="1">IFERROR(__xludf.DUMMYFUNCTION("""COMPUTED_VALUE"""),"RUE DE LA MYRE")</f>
        <v>RUE DE LA MYRE</v>
      </c>
      <c r="G1125" t="str">
        <f ca="1">IFERROR(__xludf.DUMMYFUNCTION("""COMPUTED_VALUE"""),"02.35.56.05.88")</f>
        <v>02.35.56.05.88</v>
      </c>
      <c r="H1125" t="str">
        <f ca="1">IFERROR(__xludf.DUMMYFUNCTION("""COMPUTED_VALUE"""),"DIERICK (SUNO) Sébastien")</f>
        <v>DIERICK (SUNO) Sébastien</v>
      </c>
      <c r="I1125" t="str">
        <f ca="1">IFERROR(__xludf.DUMMYFUNCTION("""COMPUTED_VALUE"""),"sebastien.dierick@systeme-u.fr")</f>
        <v>sebastien.dierick@systeme-u.fr</v>
      </c>
      <c r="J1125" t="str">
        <f ca="1">IFERROR(__xludf.DUMMYFUNCTION("""COMPUTED_VALUE"""),"Mme Gunst")</f>
        <v>Mme Gunst</v>
      </c>
      <c r="K1125" t="str">
        <f ca="1">IFERROR(__xludf.DUMMYFUNCTION("""COMPUTED_VALUE"""),"")</f>
        <v/>
      </c>
      <c r="L1125" t="str">
        <f ca="1">IFERROR(__xludf.DUMMYFUNCTION("""COMPUTED_VALUE"""),"")</f>
        <v/>
      </c>
      <c r="M1125" t="str">
        <f ca="1">IFERROR(__xludf.DUMMYFUNCTION("""COMPUTED_VALUE"""),"99.Hors Périmetre")</f>
        <v>99.Hors Périmetre</v>
      </c>
      <c r="N1125" t="str">
        <f ca="1">IFERROR(__xludf.DUMMYFUNCTION("""COMPUTED_VALUE"""),"")</f>
        <v/>
      </c>
      <c r="O1125" t="str">
        <f ca="1">IFERROR(__xludf.DUMMYFUNCTION("""COMPUTED_VALUE"""),"")</f>
        <v/>
      </c>
      <c r="P1125" t="str">
        <f ca="1">IFERROR(__xludf.DUMMYFUNCTION("""COMPUTED_VALUE"""),"")</f>
        <v/>
      </c>
      <c r="Q1125" s="5" t="str">
        <f ca="1">IFERROR(__xludf.DUMMYFUNCTION("""COMPUTED_VALUE"""),"")</f>
        <v/>
      </c>
      <c r="R1125" s="6" t="str">
        <f ca="1">IFERROR(__xludf.DUMMYFUNCTION("""COMPUTED_VALUE"""),"")</f>
        <v/>
      </c>
      <c r="S1125" t="str">
        <f ca="1">IFERROR(__xludf.DUMMYFUNCTION("""COMPUTED_VALUE"""),"")</f>
        <v/>
      </c>
      <c r="T1125" t="str">
        <f ca="1">IFERROR(__xludf.DUMMYFUNCTION("""COMPUTED_VALUE"""),"")</f>
        <v/>
      </c>
      <c r="U1125" t="str">
        <f ca="1">IFERROR(__xludf.DUMMYFUNCTION("""COMPUTED_VALUE"""),"")</f>
        <v/>
      </c>
      <c r="V1125" t="str">
        <f ca="1">IFERROR(__xludf.DUMMYFUNCTION("""COMPUTED_VALUE"""),"")</f>
        <v/>
      </c>
      <c r="W1125" t="str">
        <f ca="1">IFERROR(__xludf.DUMMYFUNCTION("""COMPUTED_VALUE"""),"")</f>
        <v/>
      </c>
      <c r="X1125" t="str">
        <f ca="1">IFERROR(__xludf.DUMMYFUNCTION("""COMPUTED_VALUE"""),"")</f>
        <v/>
      </c>
      <c r="Y1125" t="str">
        <f ca="1">IFERROR(__xludf.DUMMYFUNCTION("""COMPUTED_VALUE"""),"")</f>
        <v/>
      </c>
      <c r="Z1125" t="str">
        <f ca="1">IFERROR(__xludf.DUMMYFUNCTION("""COMPUTED_VALUE"""),"")</f>
        <v/>
      </c>
      <c r="AA1125" t="str">
        <f ca="1">IFERROR(__xludf.DUMMYFUNCTION("""COMPUTED_VALUE"""),"Pas de commande")</f>
        <v>Pas de commande</v>
      </c>
      <c r="AB1125" s="8" t="str">
        <f ca="1">IFERROR(__xludf.DUMMYFUNCTION("""COMPUTED_VALUE"""),"")</f>
        <v/>
      </c>
      <c r="AC1125" s="8" t="str">
        <f ca="1">IFERROR(__xludf.DUMMYFUNCTION("""COMPUTED_VALUE"""),"")</f>
        <v/>
      </c>
      <c r="AD1125" s="11" t="str">
        <f ca="1">IFERROR(__xludf.DUMMYFUNCTION("""COMPUTED_VALUE"""),"")</f>
        <v/>
      </c>
      <c r="AE1125" t="str">
        <f ca="1">IFERROR(__xludf.DUMMYFUNCTION("""COMPUTED_VALUE"""),"")</f>
        <v/>
      </c>
    </row>
    <row r="1126" spans="1:31" ht="12.75" x14ac:dyDescent="0.2">
      <c r="A1126">
        <f ca="1">IFERROR(__xludf.DUMMYFUNCTION("""COMPUTED_VALUE"""),33832)</f>
        <v>33832</v>
      </c>
      <c r="B1126" t="str">
        <f ca="1">IFERROR(__xludf.DUMMYFUNCTION("""COMPUTED_VALUE"""),"YFFINIAC")</f>
        <v>YFFINIAC</v>
      </c>
      <c r="C1126" t="str">
        <f ca="1">IFERROR(__xludf.DUMMYFUNCTION("""COMPUTED_VALUE"""),"Hyper U")</f>
        <v>Hyper U</v>
      </c>
      <c r="D1126" t="str">
        <f ca="1">IFERROR(__xludf.DUMMYFUNCTION("""COMPUTED_VALUE"""),"Coop U Enseigne Ouest")</f>
        <v>Coop U Enseigne Ouest</v>
      </c>
      <c r="E1126">
        <f ca="1">IFERROR(__xludf.DUMMYFUNCTION("""COMPUTED_VALUE"""),22120)</f>
        <v>22120</v>
      </c>
      <c r="F1126" t="str">
        <f ca="1">IFERROR(__xludf.DUMMYFUNCTION("""COMPUTED_VALUE"""),"CENTRE COMMERCIAL DE LA BAIE")</f>
        <v>CENTRE COMMERCIAL DE LA BAIE</v>
      </c>
      <c r="G1126" t="str">
        <f ca="1">IFERROR(__xludf.DUMMYFUNCTION("""COMPUTED_VALUE"""),"02.96.63.36.33")</f>
        <v>02.96.63.36.33</v>
      </c>
      <c r="H1126" t="str">
        <f ca="1">IFERROR(__xludf.DUMMYFUNCTION("""COMPUTED_VALUE"""),"MEDARD RPT SARL FIMED Franck")</f>
        <v>MEDARD RPT SARL FIMED Franck</v>
      </c>
      <c r="I1126" t="str">
        <f ca="1">IFERROR(__xludf.DUMMYFUNCTION("""COMPUTED_VALUE"""),"franck.medard@systeme-u.fr")</f>
        <v>franck.medard@systeme-u.fr</v>
      </c>
      <c r="J1126" t="str">
        <f ca="1">IFERROR(__xludf.DUMMYFUNCTION("""COMPUTED_VALUE"""),"M Bielva José")</f>
        <v>M Bielva José</v>
      </c>
      <c r="K1126" t="str">
        <f ca="1">IFERROR(__xludf.DUMMYFUNCTION("""COMPUTED_VALUE"""),"hyperu.yffiniac.direction@systeme-u.fr")</f>
        <v>hyperu.yffiniac.direction@systeme-u.fr</v>
      </c>
      <c r="L1126" t="str">
        <f ca="1">IFERROR(__xludf.DUMMYFUNCTION("""COMPUTED_VALUE"""),"")</f>
        <v/>
      </c>
      <c r="M1126" t="str">
        <f ca="1">IFERROR(__xludf.DUMMYFUNCTION("""COMPUTED_VALUE"""),"99.Hors Périmetre")</f>
        <v>99.Hors Périmetre</v>
      </c>
      <c r="N1126" t="str">
        <f ca="1">IFERROR(__xludf.DUMMYFUNCTION("""COMPUTED_VALUE"""),"")</f>
        <v/>
      </c>
      <c r="O1126" t="str">
        <f ca="1">IFERROR(__xludf.DUMMYFUNCTION("""COMPUTED_VALUE"""),"")</f>
        <v/>
      </c>
      <c r="P1126" t="str">
        <f ca="1">IFERROR(__xludf.DUMMYFUNCTION("""COMPUTED_VALUE"""),"")</f>
        <v/>
      </c>
      <c r="Q1126" s="5" t="str">
        <f ca="1">IFERROR(__xludf.DUMMYFUNCTION("""COMPUTED_VALUE"""),"")</f>
        <v/>
      </c>
      <c r="R1126" s="6" t="str">
        <f ca="1">IFERROR(__xludf.DUMMYFUNCTION("""COMPUTED_VALUE"""),"")</f>
        <v/>
      </c>
      <c r="S1126" t="str">
        <f ca="1">IFERROR(__xludf.DUMMYFUNCTION("""COMPUTED_VALUE"""),"")</f>
        <v/>
      </c>
      <c r="T1126" t="str">
        <f ca="1">IFERROR(__xludf.DUMMYFUNCTION("""COMPUTED_VALUE"""),"")</f>
        <v/>
      </c>
      <c r="U1126" t="str">
        <f ca="1">IFERROR(__xludf.DUMMYFUNCTION("""COMPUTED_VALUE"""),"")</f>
        <v/>
      </c>
      <c r="V1126" t="str">
        <f ca="1">IFERROR(__xludf.DUMMYFUNCTION("""COMPUTED_VALUE"""),"")</f>
        <v/>
      </c>
      <c r="W1126" t="str">
        <f ca="1">IFERROR(__xludf.DUMMYFUNCTION("""COMPUTED_VALUE"""),"")</f>
        <v/>
      </c>
      <c r="X1126" t="str">
        <f ca="1">IFERROR(__xludf.DUMMYFUNCTION("""COMPUTED_VALUE"""),"")</f>
        <v/>
      </c>
      <c r="Y1126" t="str">
        <f ca="1">IFERROR(__xludf.DUMMYFUNCTION("""COMPUTED_VALUE"""),"")</f>
        <v/>
      </c>
      <c r="Z1126" t="str">
        <f ca="1">IFERROR(__xludf.DUMMYFUNCTION("""COMPUTED_VALUE"""),"")</f>
        <v/>
      </c>
      <c r="AA1126" t="str">
        <f ca="1">IFERROR(__xludf.DUMMYFUNCTION("""COMPUTED_VALUE"""),"Pas de commande")</f>
        <v>Pas de commande</v>
      </c>
      <c r="AB1126" s="8" t="str">
        <f ca="1">IFERROR(__xludf.DUMMYFUNCTION("""COMPUTED_VALUE"""),"")</f>
        <v/>
      </c>
      <c r="AC1126" s="8" t="str">
        <f ca="1">IFERROR(__xludf.DUMMYFUNCTION("""COMPUTED_VALUE"""),"")</f>
        <v/>
      </c>
      <c r="AD1126" s="11" t="str">
        <f ca="1">IFERROR(__xludf.DUMMYFUNCTION("""COMPUTED_VALUE"""),"")</f>
        <v/>
      </c>
      <c r="AE1126" t="str">
        <f ca="1">IFERROR(__xludf.DUMMYFUNCTION("""COMPUTED_VALUE"""),"")</f>
        <v/>
      </c>
    </row>
    <row r="1127" spans="1:31" ht="12.75" x14ac:dyDescent="0.2">
      <c r="A1127">
        <f ca="1">IFERROR(__xludf.DUMMYFUNCTION("""COMPUTED_VALUE"""),66021)</f>
        <v>66021</v>
      </c>
      <c r="B1127" t="str">
        <f ca="1">IFERROR(__xludf.DUMMYFUNCTION("""COMPUTED_VALUE"""),"YSSINGEAUX")</f>
        <v>YSSINGEAUX</v>
      </c>
      <c r="C1127" t="str">
        <f ca="1">IFERROR(__xludf.DUMMYFUNCTION("""COMPUTED_VALUE"""),"Super U")</f>
        <v>Super U</v>
      </c>
      <c r="D1127" t="str">
        <f ca="1">IFERROR(__xludf.DUMMYFUNCTION("""COMPUTED_VALUE"""),"Coop U Enseigne Est")</f>
        <v>Coop U Enseigne Est</v>
      </c>
      <c r="E1127">
        <f ca="1">IFERROR(__xludf.DUMMYFUNCTION("""COMPUTED_VALUE"""),43200)</f>
        <v>43200</v>
      </c>
      <c r="F1127" t="str">
        <f ca="1">IFERROR(__xludf.DUMMYFUNCTION("""COMPUTED_VALUE"""),"-")</f>
        <v>-</v>
      </c>
      <c r="G1127" t="str">
        <f ca="1">IFERROR(__xludf.DUMMYFUNCTION("""COMPUTED_VALUE"""),"04.71.65.55.55")</f>
        <v>04.71.65.55.55</v>
      </c>
      <c r="H1127" t="str">
        <f ca="1">IFERROR(__xludf.DUMMYFUNCTION("""COMPUTED_VALUE"""),"POUYET RPT SAS CLEMADIS Stéphane")</f>
        <v>POUYET RPT SAS CLEMADIS Stéphane</v>
      </c>
      <c r="I1127" t="str">
        <f ca="1">IFERROR(__xludf.DUMMYFUNCTION("""COMPUTED_VALUE"""),"stephane.pouyet@systeme-u.fr")</f>
        <v>stephane.pouyet@systeme-u.fr</v>
      </c>
      <c r="J1127" t="str">
        <f ca="1">IFERROR(__xludf.DUMMYFUNCTION("""COMPUTED_VALUE"""),"BLEU JOSIANE")</f>
        <v>BLEU JOSIANE</v>
      </c>
      <c r="K1127" t="str">
        <f ca="1">IFERROR(__xludf.DUMMYFUNCTION("""COMPUTED_VALUE"""),"superu.yssingeaux@systeme-u.fr")</f>
        <v>superu.yssingeaux@systeme-u.fr</v>
      </c>
      <c r="L1127" t="str">
        <f ca="1">IFERROR(__xludf.DUMMYFUNCTION("""COMPUTED_VALUE"""),"")</f>
        <v/>
      </c>
      <c r="M1127" t="str">
        <f ca="1">IFERROR(__xludf.DUMMYFUNCTION("""COMPUTED_VALUE"""),"99.Hors Périmetre")</f>
        <v>99.Hors Périmetre</v>
      </c>
      <c r="N1127" t="str">
        <f ca="1">IFERROR(__xludf.DUMMYFUNCTION("""COMPUTED_VALUE"""),"")</f>
        <v/>
      </c>
      <c r="O1127" t="str">
        <f ca="1">IFERROR(__xludf.DUMMYFUNCTION("""COMPUTED_VALUE"""),"")</f>
        <v/>
      </c>
      <c r="P1127" t="str">
        <f ca="1">IFERROR(__xludf.DUMMYFUNCTION("""COMPUTED_VALUE"""),"")</f>
        <v/>
      </c>
      <c r="Q1127" s="5" t="str">
        <f ca="1">IFERROR(__xludf.DUMMYFUNCTION("""COMPUTED_VALUE"""),"")</f>
        <v/>
      </c>
      <c r="R1127" s="6" t="str">
        <f ca="1">IFERROR(__xludf.DUMMYFUNCTION("""COMPUTED_VALUE"""),"")</f>
        <v/>
      </c>
      <c r="S1127" t="str">
        <f ca="1">IFERROR(__xludf.DUMMYFUNCTION("""COMPUTED_VALUE"""),"")</f>
        <v/>
      </c>
      <c r="T1127" t="str">
        <f ca="1">IFERROR(__xludf.DUMMYFUNCTION("""COMPUTED_VALUE"""),"")</f>
        <v/>
      </c>
      <c r="U1127" t="str">
        <f ca="1">IFERROR(__xludf.DUMMYFUNCTION("""COMPUTED_VALUE"""),"")</f>
        <v/>
      </c>
      <c r="V1127" t="str">
        <f ca="1">IFERROR(__xludf.DUMMYFUNCTION("""COMPUTED_VALUE"""),"")</f>
        <v/>
      </c>
      <c r="W1127" t="str">
        <f ca="1">IFERROR(__xludf.DUMMYFUNCTION("""COMPUTED_VALUE"""),"")</f>
        <v/>
      </c>
      <c r="X1127" t="str">
        <f ca="1">IFERROR(__xludf.DUMMYFUNCTION("""COMPUTED_VALUE"""),"")</f>
        <v/>
      </c>
      <c r="Y1127" t="str">
        <f ca="1">IFERROR(__xludf.DUMMYFUNCTION("""COMPUTED_VALUE"""),"")</f>
        <v/>
      </c>
      <c r="Z1127" t="str">
        <f ca="1">IFERROR(__xludf.DUMMYFUNCTION("""COMPUTED_VALUE"""),"")</f>
        <v/>
      </c>
      <c r="AA1127" t="str">
        <f ca="1">IFERROR(__xludf.DUMMYFUNCTION("""COMPUTED_VALUE"""),"Pas de commande")</f>
        <v>Pas de commande</v>
      </c>
      <c r="AB1127" s="8" t="str">
        <f ca="1">IFERROR(__xludf.DUMMYFUNCTION("""COMPUTED_VALUE"""),"")</f>
        <v/>
      </c>
      <c r="AC1127" s="8" t="str">
        <f ca="1">IFERROR(__xludf.DUMMYFUNCTION("""COMPUTED_VALUE"""),"")</f>
        <v/>
      </c>
      <c r="AD1127" s="11" t="str">
        <f ca="1">IFERROR(__xludf.DUMMYFUNCTION("""COMPUTED_VALUE"""),"")</f>
        <v/>
      </c>
      <c r="AE1127" t="str">
        <f ca="1">IFERROR(__xludf.DUMMYFUNCTION("""COMPUTED_VALUE"""),"")</f>
        <v/>
      </c>
    </row>
    <row r="1128" spans="1:31" ht="12.75" x14ac:dyDescent="0.2">
      <c r="A1128">
        <f ca="1">IFERROR(__xludf.DUMMYFUNCTION("""COMPUTED_VALUE"""),24758)</f>
        <v>24758</v>
      </c>
      <c r="B1128" t="str">
        <f ca="1">IFERROR(__xludf.DUMMYFUNCTION("""COMPUTED_VALUE"""),"YVETOT")</f>
        <v>YVETOT</v>
      </c>
      <c r="C1128" t="str">
        <f ca="1">IFERROR(__xludf.DUMMYFUNCTION("""COMPUTED_VALUE"""),"U Express")</f>
        <v>U Express</v>
      </c>
      <c r="D1128" t="str">
        <f ca="1">IFERROR(__xludf.DUMMYFUNCTION("""COMPUTED_VALUE"""),"Coop U Enseigne NordOuest")</f>
        <v>Coop U Enseigne NordOuest</v>
      </c>
      <c r="E1128">
        <f ca="1">IFERROR(__xludf.DUMMYFUNCTION("""COMPUTED_VALUE"""),76190)</f>
        <v>76190</v>
      </c>
      <c r="F1128" t="str">
        <f ca="1">IFERROR(__xludf.DUMMYFUNCTION("""COMPUTED_VALUE"""),"20 RUE GUY DE MAUPASSANT")</f>
        <v>20 RUE GUY DE MAUPASSANT</v>
      </c>
      <c r="G1128" t="str">
        <f ca="1">IFERROR(__xludf.DUMMYFUNCTION("""COMPUTED_VALUE"""),"02.35.95.47.54")</f>
        <v>02.35.95.47.54</v>
      </c>
      <c r="H1128" t="str">
        <f ca="1">IFERROR(__xludf.DUMMYFUNCTION("""COMPUTED_VALUE"""),"LEMIERE Philippe")</f>
        <v>LEMIERE Philippe</v>
      </c>
      <c r="I1128" t="str">
        <f ca="1">IFERROR(__xludf.DUMMYFUNCTION("""COMPUTED_VALUE"""),"philippe.lemiere@systeme-u.fr")</f>
        <v>philippe.lemiere@systeme-u.fr</v>
      </c>
      <c r="J1128" t="str">
        <f ca="1">IFERROR(__xludf.DUMMYFUNCTION("""COMPUTED_VALUE"""),"")</f>
        <v/>
      </c>
      <c r="K1128" t="str">
        <f ca="1">IFERROR(__xludf.DUMMYFUNCTION("""COMPUTED_VALUE"""),"")</f>
        <v/>
      </c>
      <c r="L1128" t="str">
        <f ca="1">IFERROR(__xludf.DUMMYFUNCTION("""COMPUTED_VALUE"""),"")</f>
        <v/>
      </c>
      <c r="M1128" t="str">
        <f ca="1">IFERROR(__xludf.DUMMYFUNCTION("""COMPUTED_VALUE"""),"99.Hors Périmetre")</f>
        <v>99.Hors Périmetre</v>
      </c>
      <c r="N1128" t="str">
        <f ca="1">IFERROR(__xludf.DUMMYFUNCTION("""COMPUTED_VALUE"""),"")</f>
        <v/>
      </c>
      <c r="O1128" t="str">
        <f ca="1">IFERROR(__xludf.DUMMYFUNCTION("""COMPUTED_VALUE"""),"")</f>
        <v/>
      </c>
      <c r="P1128" t="str">
        <f ca="1">IFERROR(__xludf.DUMMYFUNCTION("""COMPUTED_VALUE"""),"")</f>
        <v/>
      </c>
      <c r="Q1128" s="5" t="str">
        <f ca="1">IFERROR(__xludf.DUMMYFUNCTION("""COMPUTED_VALUE"""),"")</f>
        <v/>
      </c>
      <c r="R1128" s="6" t="str">
        <f ca="1">IFERROR(__xludf.DUMMYFUNCTION("""COMPUTED_VALUE"""),"")</f>
        <v/>
      </c>
      <c r="S1128" t="str">
        <f ca="1">IFERROR(__xludf.DUMMYFUNCTION("""COMPUTED_VALUE"""),"")</f>
        <v/>
      </c>
      <c r="T1128" t="str">
        <f ca="1">IFERROR(__xludf.DUMMYFUNCTION("""COMPUTED_VALUE"""),"")</f>
        <v/>
      </c>
      <c r="U1128" t="str">
        <f ca="1">IFERROR(__xludf.DUMMYFUNCTION("""COMPUTED_VALUE"""),"")</f>
        <v/>
      </c>
      <c r="V1128" t="str">
        <f ca="1">IFERROR(__xludf.DUMMYFUNCTION("""COMPUTED_VALUE"""),"")</f>
        <v/>
      </c>
      <c r="W1128" t="str">
        <f ca="1">IFERROR(__xludf.DUMMYFUNCTION("""COMPUTED_VALUE"""),"")</f>
        <v/>
      </c>
      <c r="X1128" t="str">
        <f ca="1">IFERROR(__xludf.DUMMYFUNCTION("""COMPUTED_VALUE"""),"")</f>
        <v/>
      </c>
      <c r="Y1128" t="str">
        <f ca="1">IFERROR(__xludf.DUMMYFUNCTION("""COMPUTED_VALUE"""),"")</f>
        <v/>
      </c>
      <c r="Z1128" t="str">
        <f ca="1">IFERROR(__xludf.DUMMYFUNCTION("""COMPUTED_VALUE"""),"")</f>
        <v/>
      </c>
      <c r="AA1128" t="str">
        <f ca="1">IFERROR(__xludf.DUMMYFUNCTION("""COMPUTED_VALUE"""),"Pas de commande")</f>
        <v>Pas de commande</v>
      </c>
      <c r="AB1128" s="8" t="str">
        <f ca="1">IFERROR(__xludf.DUMMYFUNCTION("""COMPUTED_VALUE"""),"")</f>
        <v/>
      </c>
      <c r="AC1128" s="8" t="str">
        <f ca="1">IFERROR(__xludf.DUMMYFUNCTION("""COMPUTED_VALUE"""),"")</f>
        <v/>
      </c>
      <c r="AD1128" s="11" t="str">
        <f ca="1">IFERROR(__xludf.DUMMYFUNCTION("""COMPUTED_VALUE"""),"")</f>
        <v/>
      </c>
      <c r="AE1128" t="str">
        <f ca="1">IFERROR(__xludf.DUMMYFUNCTION("""COMPUTED_VALUE"""),"")</f>
        <v/>
      </c>
    </row>
    <row r="1129" spans="1:31" ht="12.75" x14ac:dyDescent="0.2">
      <c r="A1129">
        <f ca="1">IFERROR(__xludf.DUMMYFUNCTION("""COMPUTED_VALUE"""),68522)</f>
        <v>68522</v>
      </c>
      <c r="B1129" t="str">
        <f ca="1">IFERROR(__xludf.DUMMYFUNCTION("""COMPUTED_VALUE"""),"LYON UNIVERSITE")</f>
        <v>LYON UNIVERSITE</v>
      </c>
      <c r="C1129" t="str">
        <f ca="1">IFERROR(__xludf.DUMMYFUNCTION("""COMPUTED_VALUE"""),"U Express")</f>
        <v>U Express</v>
      </c>
      <c r="D1129" t="str">
        <f ca="1">IFERROR(__xludf.DUMMYFUNCTION("""COMPUTED_VALUE"""),"Coop U Enseigne Est")</f>
        <v>Coop U Enseigne Est</v>
      </c>
      <c r="E1129">
        <f ca="1">IFERROR(__xludf.DUMMYFUNCTION("""COMPUTED_VALUE"""),69007)</f>
        <v>69007</v>
      </c>
      <c r="F1129" t="str">
        <f ca="1">IFERROR(__xludf.DUMMYFUNCTION("""COMPUTED_VALUE"""),"72 RUE DE MARSEILLE")</f>
        <v>72 RUE DE MARSEILLE</v>
      </c>
      <c r="G1129" t="str">
        <f ca="1">IFERROR(__xludf.DUMMYFUNCTION("""COMPUTED_VALUE"""),"04.72.72.13.01")</f>
        <v>04.72.72.13.01</v>
      </c>
      <c r="H1129" t="str">
        <f ca="1">IFERROR(__xludf.DUMMYFUNCTION("""COMPUTED_VALUE"""),"DANCIE Cyprien")</f>
        <v>DANCIE Cyprien</v>
      </c>
      <c r="I1129" t="str">
        <f ca="1">IFERROR(__xludf.DUMMYFUNCTION("""COMPUTED_VALUE"""),"cyprien.dancie@systeme-u.fr")</f>
        <v>cyprien.dancie@systeme-u.fr</v>
      </c>
      <c r="J1129" t="str">
        <f ca="1">IFERROR(__xludf.DUMMYFUNCTION("""COMPUTED_VALUE"""),"")</f>
        <v/>
      </c>
      <c r="K1129" t="str">
        <f ca="1">IFERROR(__xludf.DUMMYFUNCTION("""COMPUTED_VALUE"""),"")</f>
        <v/>
      </c>
      <c r="L1129" t="str">
        <f ca="1">IFERROR(__xludf.DUMMYFUNCTION("""COMPUTED_VALUE"""),"")</f>
        <v/>
      </c>
      <c r="M1129" t="str">
        <f ca="1">IFERROR(__xludf.DUMMYFUNCTION("""COMPUTED_VALUE"""),"99.Hors Périmetre")</f>
        <v>99.Hors Périmetre</v>
      </c>
      <c r="N1129" t="str">
        <f ca="1">IFERROR(__xludf.DUMMYFUNCTION("""COMPUTED_VALUE"""),"")</f>
        <v/>
      </c>
      <c r="O1129" t="str">
        <f ca="1">IFERROR(__xludf.DUMMYFUNCTION("""COMPUTED_VALUE"""),"")</f>
        <v/>
      </c>
      <c r="P1129" t="str">
        <f ca="1">IFERROR(__xludf.DUMMYFUNCTION("""COMPUTED_VALUE"""),"")</f>
        <v/>
      </c>
      <c r="Q1129" s="5" t="str">
        <f ca="1">IFERROR(__xludf.DUMMYFUNCTION("""COMPUTED_VALUE"""),"")</f>
        <v/>
      </c>
      <c r="R1129" s="6" t="str">
        <f ca="1">IFERROR(__xludf.DUMMYFUNCTION("""COMPUTED_VALUE"""),"")</f>
        <v/>
      </c>
      <c r="S1129" t="str">
        <f ca="1">IFERROR(__xludf.DUMMYFUNCTION("""COMPUTED_VALUE"""),"")</f>
        <v/>
      </c>
      <c r="T1129" t="str">
        <f ca="1">IFERROR(__xludf.DUMMYFUNCTION("""COMPUTED_VALUE"""),"")</f>
        <v/>
      </c>
      <c r="U1129" t="str">
        <f ca="1">IFERROR(__xludf.DUMMYFUNCTION("""COMPUTED_VALUE"""),"")</f>
        <v/>
      </c>
      <c r="V1129" t="str">
        <f ca="1">IFERROR(__xludf.DUMMYFUNCTION("""COMPUTED_VALUE"""),"")</f>
        <v/>
      </c>
      <c r="W1129" t="str">
        <f ca="1">IFERROR(__xludf.DUMMYFUNCTION("""COMPUTED_VALUE"""),"")</f>
        <v/>
      </c>
      <c r="X1129" t="str">
        <f ca="1">IFERROR(__xludf.DUMMYFUNCTION("""COMPUTED_VALUE"""),"")</f>
        <v/>
      </c>
      <c r="Y1129" t="str">
        <f ca="1">IFERROR(__xludf.DUMMYFUNCTION("""COMPUTED_VALUE"""),"")</f>
        <v/>
      </c>
      <c r="Z1129" t="str">
        <f ca="1">IFERROR(__xludf.DUMMYFUNCTION("""COMPUTED_VALUE"""),"")</f>
        <v/>
      </c>
      <c r="AA1129" t="str">
        <f ca="1">IFERROR(__xludf.DUMMYFUNCTION("""COMPUTED_VALUE"""),"Pas de commande")</f>
        <v>Pas de commande</v>
      </c>
      <c r="AB1129" s="8" t="str">
        <f ca="1">IFERROR(__xludf.DUMMYFUNCTION("""COMPUTED_VALUE"""),"")</f>
        <v/>
      </c>
      <c r="AC1129" s="8" t="str">
        <f ca="1">IFERROR(__xludf.DUMMYFUNCTION("""COMPUTED_VALUE"""),"")</f>
        <v/>
      </c>
      <c r="AD1129" s="11" t="str">
        <f ca="1">IFERROR(__xludf.DUMMYFUNCTION("""COMPUTED_VALUE"""),"")</f>
        <v/>
      </c>
      <c r="AE1129" t="str">
        <f ca="1">IFERROR(__xludf.DUMMYFUNCTION("""COMPUTED_VALUE"""),"")</f>
        <v/>
      </c>
    </row>
    <row r="1130" spans="1:31" ht="12.75" x14ac:dyDescent="0.2">
      <c r="A1130">
        <f ca="1">IFERROR(__xludf.DUMMYFUNCTION("""COMPUTED_VALUE"""),66212)</f>
        <v>66212</v>
      </c>
      <c r="B1130" t="str">
        <f ca="1">IFERROR(__xludf.DUMMYFUNCTION("""COMPUTED_VALUE"""),"LYON")</f>
        <v>LYON</v>
      </c>
      <c r="C1130" t="str">
        <f ca="1">IFERROR(__xludf.DUMMYFUNCTION("""COMPUTED_VALUE"""),"Sans enseigne")</f>
        <v>Sans enseigne</v>
      </c>
      <c r="D1130" t="str">
        <f ca="1">IFERROR(__xludf.DUMMYFUNCTION("""COMPUTED_VALUE"""),"Coop U Enseigne Est")</f>
        <v>Coop U Enseigne Est</v>
      </c>
      <c r="E1130">
        <f ca="1">IFERROR(__xludf.DUMMYFUNCTION("""COMPUTED_VALUE"""),69003)</f>
        <v>69003</v>
      </c>
      <c r="F1130" t="str">
        <f ca="1">IFERROR(__xludf.DUMMYFUNCTION("""COMPUTED_VALUE"""),"40 AVENUE LACASSAGNE")</f>
        <v>40 AVENUE LACASSAGNE</v>
      </c>
      <c r="G1130" t="str">
        <f ca="1">IFERROR(__xludf.DUMMYFUNCTION("""COMPUTED_VALUE"""),"04.78.53.18.45")</f>
        <v>04.78.53.18.45</v>
      </c>
      <c r="H1130" t="str">
        <f ca="1">IFERROR(__xludf.DUMMYFUNCTION("""COMPUTED_VALUE"""),"ROBERT Stéphane")</f>
        <v>ROBERT Stéphane</v>
      </c>
      <c r="I1130" t="str">
        <f ca="1">IFERROR(__xludf.DUMMYFUNCTION("""COMPUTED_VALUE"""),"")</f>
        <v/>
      </c>
      <c r="J1130" t="str">
        <f ca="1">IFERROR(__xludf.DUMMYFUNCTION("""COMPUTED_VALUE"""),"")</f>
        <v/>
      </c>
      <c r="K1130" t="str">
        <f ca="1">IFERROR(__xludf.DUMMYFUNCTION("""COMPUTED_VALUE"""),"")</f>
        <v/>
      </c>
      <c r="L1130" t="str">
        <f ca="1">IFERROR(__xludf.DUMMYFUNCTION("""COMPUTED_VALUE"""),"")</f>
        <v/>
      </c>
      <c r="M1130" t="str">
        <f ca="1">IFERROR(__xludf.DUMMYFUNCTION("""COMPUTED_VALUE"""),"99.Hors Périmetre")</f>
        <v>99.Hors Périmetre</v>
      </c>
      <c r="N1130" t="str">
        <f ca="1">IFERROR(__xludf.DUMMYFUNCTION("""COMPUTED_VALUE"""),"")</f>
        <v/>
      </c>
      <c r="O1130" t="str">
        <f ca="1">IFERROR(__xludf.DUMMYFUNCTION("""COMPUTED_VALUE"""),"")</f>
        <v/>
      </c>
      <c r="P1130" t="str">
        <f ca="1">IFERROR(__xludf.DUMMYFUNCTION("""COMPUTED_VALUE"""),"")</f>
        <v/>
      </c>
      <c r="Q1130" s="5" t="str">
        <f ca="1">IFERROR(__xludf.DUMMYFUNCTION("""COMPUTED_VALUE"""),"")</f>
        <v/>
      </c>
      <c r="R1130" s="6" t="str">
        <f ca="1">IFERROR(__xludf.DUMMYFUNCTION("""COMPUTED_VALUE"""),"")</f>
        <v/>
      </c>
      <c r="S1130" t="str">
        <f ca="1">IFERROR(__xludf.DUMMYFUNCTION("""COMPUTED_VALUE"""),"")</f>
        <v/>
      </c>
      <c r="T1130" t="str">
        <f ca="1">IFERROR(__xludf.DUMMYFUNCTION("""COMPUTED_VALUE"""),"")</f>
        <v/>
      </c>
      <c r="U1130" t="str">
        <f ca="1">IFERROR(__xludf.DUMMYFUNCTION("""COMPUTED_VALUE"""),"")</f>
        <v/>
      </c>
      <c r="V1130" t="str">
        <f ca="1">IFERROR(__xludf.DUMMYFUNCTION("""COMPUTED_VALUE"""),"")</f>
        <v/>
      </c>
      <c r="W1130" t="str">
        <f ca="1">IFERROR(__xludf.DUMMYFUNCTION("""COMPUTED_VALUE"""),"")</f>
        <v/>
      </c>
      <c r="X1130" t="str">
        <f ca="1">IFERROR(__xludf.DUMMYFUNCTION("""COMPUTED_VALUE"""),"")</f>
        <v/>
      </c>
      <c r="Y1130" t="str">
        <f ca="1">IFERROR(__xludf.DUMMYFUNCTION("""COMPUTED_VALUE"""),"")</f>
        <v/>
      </c>
      <c r="Z1130" t="str">
        <f ca="1">IFERROR(__xludf.DUMMYFUNCTION("""COMPUTED_VALUE"""),"")</f>
        <v/>
      </c>
      <c r="AA1130" t="str">
        <f ca="1">IFERROR(__xludf.DUMMYFUNCTION("""COMPUTED_VALUE"""),"Pas de commande")</f>
        <v>Pas de commande</v>
      </c>
      <c r="AB1130" s="8" t="str">
        <f ca="1">IFERROR(__xludf.DUMMYFUNCTION("""COMPUTED_VALUE"""),"")</f>
        <v/>
      </c>
      <c r="AC1130" s="8" t="str">
        <f ca="1">IFERROR(__xludf.DUMMYFUNCTION("""COMPUTED_VALUE"""),"")</f>
        <v/>
      </c>
      <c r="AD1130" s="11" t="str">
        <f ca="1">IFERROR(__xludf.DUMMYFUNCTION("""COMPUTED_VALUE"""),"")</f>
        <v/>
      </c>
      <c r="AE1130" t="str">
        <f ca="1">IFERROR(__xludf.DUMMYFUNCTION("""COMPUTED_VALUE"""),"")</f>
        <v/>
      </c>
    </row>
    <row r="1131" spans="1:31" ht="12.75" x14ac:dyDescent="0.2">
      <c r="A1131">
        <f ca="1">IFERROR(__xludf.DUMMYFUNCTION("""COMPUTED_VALUE"""),31562)</f>
        <v>31562</v>
      </c>
      <c r="B1131" t="str">
        <f ca="1">IFERROR(__xludf.DUMMYFUNCTION("""COMPUTED_VALUE"""),"BAULE")</f>
        <v>BAULE</v>
      </c>
      <c r="C1131" t="str">
        <f ca="1">IFERROR(__xludf.DUMMYFUNCTION("""COMPUTED_VALUE"""),"Hyper U")</f>
        <v>Hyper U</v>
      </c>
      <c r="D1131" t="str">
        <f ca="1">IFERROR(__xludf.DUMMYFUNCTION("""COMPUTED_VALUE"""),"Coop U Enseigne Ouest")</f>
        <v>Coop U Enseigne Ouest</v>
      </c>
      <c r="E1131">
        <f ca="1">IFERROR(__xludf.DUMMYFUNCTION("""COMPUTED_VALUE"""),45130)</f>
        <v>45130</v>
      </c>
      <c r="F1131" t="str">
        <f ca="1">IFERROR(__xludf.DUMMYFUNCTION("""COMPUTED_VALUE"""),"LES COUTURES")</f>
        <v>LES COUTURES</v>
      </c>
      <c r="G1131" t="str">
        <f ca="1">IFERROR(__xludf.DUMMYFUNCTION("""COMPUTED_VALUE"""),"02.38.45.01.66")</f>
        <v>02.38.45.01.66</v>
      </c>
      <c r="H1131" t="str">
        <f ca="1">IFERROR(__xludf.DUMMYFUNCTION("""COMPUTED_VALUE"""),"BORGET RPT SARL AVENIR 3000 Jean-François")</f>
        <v>BORGET RPT SARL AVENIR 3000 Jean-François</v>
      </c>
      <c r="I1131" t="str">
        <f ca="1">IFERROR(__xludf.DUMMYFUNCTION("""COMPUTED_VALUE"""),"jean-francois.borget@systeme-u.fr")</f>
        <v>jean-francois.borget@systeme-u.fr</v>
      </c>
      <c r="J1131" t="str">
        <f ca="1">IFERROR(__xludf.DUMMYFUNCTION("""COMPUTED_VALUE"""),"Sébastien RIOTTE (directeur), Laëtitia MAJSTROWICZ (UPLV)")</f>
        <v>Sébastien RIOTTE (directeur), Laëtitia MAJSTROWICZ (UPLV)</v>
      </c>
      <c r="K1131" t="str">
        <f ca="1">IFERROR(__xludf.DUMMYFUNCTION("""COMPUTED_VALUE"""),"hyperu.baule.direction@systeme-u.fr, hyperu.baule.affichage@systeme-u.fr")</f>
        <v>hyperu.baule.direction@systeme-u.fr, hyperu.baule.affichage@systeme-u.fr</v>
      </c>
      <c r="L1131" t="str">
        <f ca="1">IFERROR(__xludf.DUMMYFUNCTION("""COMPUTED_VALUE"""),"PiloteTech")</f>
        <v>PiloteTech</v>
      </c>
      <c r="M1131" t="str">
        <f ca="1">IFERROR(__xludf.DUMMYFUNCTION("""COMPUTED_VALUE"""),"3. Migration réalisée")</f>
        <v>3. Migration réalisée</v>
      </c>
      <c r="N1131" t="str">
        <f ca="1">IFERROR(__xludf.DUMMYFUNCTION("""COMPUTED_VALUE"""),"")</f>
        <v/>
      </c>
      <c r="O1131" t="str">
        <f ca="1">IFERROR(__xludf.DUMMYFUNCTION("""COMPUTED_VALUE"""),"")</f>
        <v/>
      </c>
      <c r="P1131" t="str">
        <f ca="1">IFERROR(__xludf.DUMMYFUNCTION("""COMPUTED_VALUE"""),"")</f>
        <v/>
      </c>
      <c r="Q1131" s="5" t="str">
        <f ca="1">IFERROR(__xludf.DUMMYFUNCTION("""COMPUTED_VALUE"""),"")</f>
        <v/>
      </c>
      <c r="R1131" s="6" t="str">
        <f ca="1">IFERROR(__xludf.DUMMYFUNCTION("""COMPUTED_VALUE"""),"")</f>
        <v/>
      </c>
      <c r="S1131" t="str">
        <f ca="1">IFERROR(__xludf.DUMMYFUNCTION("""COMPUTED_VALUE"""),"n/a")</f>
        <v>n/a</v>
      </c>
      <c r="T1131" t="str">
        <f ca="1">IFERROR(__xludf.DUMMYFUNCTION("""COMPUTED_VALUE"""),"n/a")</f>
        <v>n/a</v>
      </c>
      <c r="U1131" t="str">
        <f ca="1">IFERROR(__xludf.DUMMYFUNCTION("""COMPUTED_VALUE"""),"n/a")</f>
        <v>n/a</v>
      </c>
      <c r="V1131" t="str">
        <f ca="1">IFERROR(__xludf.DUMMYFUNCTION("""COMPUTED_VALUE"""),"")</f>
        <v/>
      </c>
      <c r="W1131" t="str">
        <f ca="1">IFERROR(__xludf.DUMMYFUNCTION("""COMPUTED_VALUE"""),"R5")</f>
        <v>R5</v>
      </c>
      <c r="X1131" t="str">
        <f ca="1">IFERROR(__xludf.DUMMYFUNCTION("""COMPUTED_VALUE"""),"U StoreBox")</f>
        <v>U StoreBox</v>
      </c>
      <c r="Y1131" t="str">
        <f ca="1">IFERROR(__xludf.DUMMYFUNCTION("""COMPUTED_VALUE"""),"Primo")</f>
        <v>Primo</v>
      </c>
      <c r="Z1131" t="str">
        <f ca="1">IFERROR(__xludf.DUMMYFUNCTION("""COMPUTED_VALUE"""),"")</f>
        <v/>
      </c>
      <c r="AA1131" t="str">
        <f ca="1">IFERROR(__xludf.DUMMYFUNCTION("""COMPUTED_VALUE"""),"Terminé")</f>
        <v>Terminé</v>
      </c>
      <c r="AB1131" s="8" t="str">
        <f ca="1">IFERROR(__xludf.DUMMYFUNCTION("""COMPUTED_VALUE"""),"")</f>
        <v/>
      </c>
      <c r="AC1131" s="8" t="str">
        <f ca="1">IFERROR(__xludf.DUMMYFUNCTION("""COMPUTED_VALUE"""),"")</f>
        <v/>
      </c>
      <c r="AD1131" s="11" t="str">
        <f ca="1">IFERROR(__xludf.DUMMYFUNCTION("""COMPUTED_VALUE"""),"")</f>
        <v/>
      </c>
      <c r="AE1131" t="str">
        <f ca="1">IFERROR(__xludf.DUMMYFUNCTION("""COMPUTED_VALUE"""),"")</f>
        <v/>
      </c>
    </row>
    <row r="1132" spans="1:31" ht="12.75" x14ac:dyDescent="0.2">
      <c r="A1132">
        <f ca="1">IFERROR(__xludf.DUMMYFUNCTION("""COMPUTED_VALUE"""),33646)</f>
        <v>33646</v>
      </c>
      <c r="B1132" t="str">
        <f ca="1">IFERROR(__xludf.DUMMYFUNCTION("""COMPUTED_VALUE"""),"BEAUNE-LA-ROLANDE")</f>
        <v>BEAUNE-LA-ROLANDE</v>
      </c>
      <c r="C1132" t="str">
        <f ca="1">IFERROR(__xludf.DUMMYFUNCTION("""COMPUTED_VALUE"""),"Super U")</f>
        <v>Super U</v>
      </c>
      <c r="D1132" t="str">
        <f ca="1">IFERROR(__xludf.DUMMYFUNCTION("""COMPUTED_VALUE"""),"Coop U Enseigne Ouest")</f>
        <v>Coop U Enseigne Ouest</v>
      </c>
      <c r="E1132">
        <f ca="1">IFERROR(__xludf.DUMMYFUNCTION("""COMPUTED_VALUE"""),45340)</f>
        <v>45340</v>
      </c>
      <c r="F1132" t="str">
        <f ca="1">IFERROR(__xludf.DUMMYFUNCTION("""COMPUTED_VALUE"""),"ROUTE DU BOISCOMMUN")</f>
        <v>ROUTE DU BOISCOMMUN</v>
      </c>
      <c r="G1132" t="str">
        <f ca="1">IFERROR(__xludf.DUMMYFUNCTION("""COMPUTED_VALUE"""),"02.38.33.23.30")</f>
        <v>02.38.33.23.30</v>
      </c>
      <c r="H1132" t="str">
        <f ca="1">IFERROR(__xludf.DUMMYFUNCTION("""COMPUTED_VALUE"""),"CUNAUD Vincent")</f>
        <v>CUNAUD Vincent</v>
      </c>
      <c r="I1132" t="str">
        <f ca="1">IFERROR(__xludf.DUMMYFUNCTION("""COMPUTED_VALUE"""),"vincent.cunaud@systeme-u.fr")</f>
        <v>vincent.cunaud@systeme-u.fr</v>
      </c>
      <c r="J1132" t="str">
        <f ca="1">IFERROR(__xludf.DUMMYFUNCTION("""COMPUTED_VALUE"""),"CARREAU Corinne")</f>
        <v>CARREAU Corinne</v>
      </c>
      <c r="K1132" t="str">
        <f ca="1">IFERROR(__xludf.DUMMYFUNCTION("""COMPUTED_VALUE"""),"superu.beaunelarolande.gescom@systeme-u.fr")</f>
        <v>superu.beaunelarolande.gescom@systeme-u.fr</v>
      </c>
      <c r="L1132" t="str">
        <f ca="1">IFERROR(__xludf.DUMMYFUNCTION("""COMPUTED_VALUE"""),"PiloteTech")</f>
        <v>PiloteTech</v>
      </c>
      <c r="M1132" t="str">
        <f ca="1">IFERROR(__xludf.DUMMYFUNCTION("""COMPUTED_VALUE"""),"3. Migration réalisée")</f>
        <v>3. Migration réalisée</v>
      </c>
      <c r="N1132" t="str">
        <f ca="1">IFERROR(__xludf.DUMMYFUNCTION("""COMPUTED_VALUE"""),"")</f>
        <v/>
      </c>
      <c r="O1132" t="str">
        <f ca="1">IFERROR(__xludf.DUMMYFUNCTION("""COMPUTED_VALUE"""),"")</f>
        <v/>
      </c>
      <c r="P1132">
        <f ca="1">IFERROR(__xludf.DUMMYFUNCTION("""COMPUTED_VALUE"""),40)</f>
        <v>40</v>
      </c>
      <c r="Q1132" s="5" t="str">
        <f ca="1">IFERROR(__xludf.DUMMYFUNCTION("""COMPUTED_VALUE"""),"")</f>
        <v/>
      </c>
      <c r="R1132" s="6">
        <f ca="1">IFERROR(__xludf.DUMMYFUNCTION("""COMPUTED_VALUE"""),43010)</f>
        <v>43010</v>
      </c>
      <c r="S1132" t="str">
        <f ca="1">IFERROR(__xludf.DUMMYFUNCTION("""COMPUTED_VALUE"""),"MEP8510261")</f>
        <v>MEP8510261</v>
      </c>
      <c r="T1132" t="str">
        <f ca="1">IFERROR(__xludf.DUMMYFUNCTION("""COMPUTED_VALUE"""),"MEP8510262")</f>
        <v>MEP8510262</v>
      </c>
      <c r="U1132" t="str">
        <f ca="1">IFERROR(__xludf.DUMMYFUNCTION("""COMPUTED_VALUE"""),"OK")</f>
        <v>OK</v>
      </c>
      <c r="V1132" t="str">
        <f ca="1">IFERROR(__xludf.DUMMYFUNCTION("""COMPUTED_VALUE"""),"10.191.160.237")</f>
        <v>10.191.160.237</v>
      </c>
      <c r="W1132" t="str">
        <f ca="1">IFERROR(__xludf.DUMMYFUNCTION("""COMPUTED_VALUE"""),"R5")</f>
        <v>R5</v>
      </c>
      <c r="X1132" t="str">
        <f ca="1">IFERROR(__xludf.DUMMYFUNCTION("""COMPUTED_VALUE"""),"U StoreBox")</f>
        <v>U StoreBox</v>
      </c>
      <c r="Y1132" t="str">
        <f ca="1">IFERROR(__xludf.DUMMYFUNCTION("""COMPUTED_VALUE"""),"Primo")</f>
        <v>Primo</v>
      </c>
      <c r="Z1132" t="str">
        <f ca="1">IFERROR(__xludf.DUMMYFUNCTION("""COMPUTED_VALUE"""),"")</f>
        <v/>
      </c>
      <c r="AA1132" t="str">
        <f ca="1">IFERROR(__xludf.DUMMYFUNCTION("""COMPUTED_VALUE"""),"Terminé")</f>
        <v>Terminé</v>
      </c>
      <c r="AB1132" s="8" t="str">
        <f ca="1">IFERROR(__xludf.DUMMYFUNCTION("""COMPUTED_VALUE"""),"")</f>
        <v/>
      </c>
      <c r="AC1132" s="8" t="str">
        <f ca="1">IFERROR(__xludf.DUMMYFUNCTION("""COMPUTED_VALUE"""),"")</f>
        <v/>
      </c>
      <c r="AD1132" s="11" t="str">
        <f ca="1">IFERROR(__xludf.DUMMYFUNCTION("""COMPUTED_VALUE"""),"")</f>
        <v/>
      </c>
      <c r="AE1132" t="str">
        <f ca="1">IFERROR(__xludf.DUMMYFUNCTION("""COMPUTED_VALUE"""),"")</f>
        <v/>
      </c>
    </row>
    <row r="1133" spans="1:31" ht="12.75" x14ac:dyDescent="0.2">
      <c r="A1133">
        <f ca="1">IFERROR(__xludf.DUMMYFUNCTION("""COMPUTED_VALUE"""),32895)</f>
        <v>32895</v>
      </c>
      <c r="B1133" t="str">
        <f ca="1">IFERROR(__xludf.DUMMYFUNCTION("""COMPUTED_VALUE"""),"BELZ")</f>
        <v>BELZ</v>
      </c>
      <c r="C1133" t="str">
        <f ca="1">IFERROR(__xludf.DUMMYFUNCTION("""COMPUTED_VALUE"""),"Super U")</f>
        <v>Super U</v>
      </c>
      <c r="D1133" t="str">
        <f ca="1">IFERROR(__xludf.DUMMYFUNCTION("""COMPUTED_VALUE"""),"Coop U Enseigne Ouest")</f>
        <v>Coop U Enseigne Ouest</v>
      </c>
      <c r="E1133">
        <f ca="1">IFERROR(__xludf.DUMMYFUNCTION("""COMPUTED_VALUE"""),56550)</f>
        <v>56550</v>
      </c>
      <c r="F1133" t="str">
        <f ca="1">IFERROR(__xludf.DUMMYFUNCTION("""COMPUTED_VALUE"""),"RUE DES SPORTS")</f>
        <v>RUE DES SPORTS</v>
      </c>
      <c r="G1133" t="str">
        <f ca="1">IFERROR(__xludf.DUMMYFUNCTION("""COMPUTED_VALUE"""),"02.97.55.33.60")</f>
        <v>02.97.55.33.60</v>
      </c>
      <c r="H1133" t="str">
        <f ca="1">IFERROR(__xludf.DUMMYFUNCTION("""COMPUTED_VALUE"""),"TROADEC RPT SARL ARTRORIA Alexandre")</f>
        <v>TROADEC RPT SARL ARTRORIA Alexandre</v>
      </c>
      <c r="I1133" t="str">
        <f ca="1">IFERROR(__xludf.DUMMYFUNCTION("""COMPUTED_VALUE"""),"alexandre.troadec@systeme-u.fr")</f>
        <v>alexandre.troadec@systeme-u.fr</v>
      </c>
      <c r="J1133" t="str">
        <f ca="1">IFERROR(__xludf.DUMMYFUNCTION("""COMPUTED_VALUE"""),"Sonia CONAN")</f>
        <v>Sonia CONAN</v>
      </c>
      <c r="K1133" t="str">
        <f ca="1">IFERROR(__xludf.DUMMYFUNCTION("""COMPUTED_VALUE"""),"superu.belz.administratif@systeme-u.fr")</f>
        <v>superu.belz.administratif@systeme-u.fr</v>
      </c>
      <c r="L1133" t="str">
        <f ca="1">IFERROR(__xludf.DUMMYFUNCTION("""COMPUTED_VALUE"""),"PiloteDepl")</f>
        <v>PiloteDepl</v>
      </c>
      <c r="M1133" t="str">
        <f ca="1">IFERROR(__xludf.DUMMYFUNCTION("""COMPUTED_VALUE"""),"3. Migration réalisée")</f>
        <v>3. Migration réalisée</v>
      </c>
      <c r="N1133" t="str">
        <f ca="1">IFERROR(__xludf.DUMMYFUNCTION("""COMPUTED_VALUE"""),"")</f>
        <v/>
      </c>
      <c r="O1133" t="str">
        <f ca="1">IFERROR(__xludf.DUMMYFUNCTION("""COMPUTED_VALUE"""),"Migration serait terminée depuis le 07/06
17/07 BBL : Appel de Mr Carvalho, prb de stabilité du poste pricer qui nécéssite de le migrer rapidement sur USB en S30.
18/07 LFO :  Rappeler l'après midi, Mme Conan ne pas disponible
18/07 LFO : Rappeler après 1"&amp;"5h
18/07 LFO : Rappeler vers 16h
18/07 LLA : Migraton PRICER déjà effectué. Erreur avec application planexa")</f>
        <v>Migration serait terminée depuis le 07/06
17/07 BBL : Appel de Mr Carvalho, prb de stabilité du poste pricer qui nécéssite de le migrer rapidement sur USB en S30.
18/07 LFO :  Rappeler l'après midi, Mme Conan ne pas disponible
18/07 LFO : Rappeler après 15h
18/07 LFO : Rappeler vers 16h
18/07 LLA : Migraton PRICER déjà effectué. Erreur avec application planexa</v>
      </c>
      <c r="P1133">
        <f ca="1">IFERROR(__xludf.DUMMYFUNCTION("""COMPUTED_VALUE"""),23)</f>
        <v>23</v>
      </c>
      <c r="Q1133" s="5" t="str">
        <f ca="1">IFERROR(__xludf.DUMMYFUNCTION("""COMPUTED_VALUE"""),"")</f>
        <v/>
      </c>
      <c r="R1133" s="6">
        <f ca="1">IFERROR(__xludf.DUMMYFUNCTION("""COMPUTED_VALUE"""),43258)</f>
        <v>43258</v>
      </c>
      <c r="S1133" t="str">
        <f ca="1">IFERROR(__xludf.DUMMYFUNCTION("""COMPUTED_VALUE"""),"MEP8506841")</f>
        <v>MEP8506841</v>
      </c>
      <c r="T1133" t="str">
        <f ca="1">IFERROR(__xludf.DUMMYFUNCTION("""COMPUTED_VALUE"""),"MEP8506842")</f>
        <v>MEP8506842</v>
      </c>
      <c r="U1133" t="str">
        <f ca="1">IFERROR(__xludf.DUMMYFUNCTION("""COMPUTED_VALUE"""),"OK")</f>
        <v>OK</v>
      </c>
      <c r="V1133" t="str">
        <f ca="1">IFERROR(__xludf.DUMMYFUNCTION("""COMPUTED_VALUE"""),"10.187.184.237")</f>
        <v>10.187.184.237</v>
      </c>
      <c r="W1133" t="str">
        <f ca="1">IFERROR(__xludf.DUMMYFUNCTION("""COMPUTED_VALUE"""),"R5")</f>
        <v>R5</v>
      </c>
      <c r="X1133" t="str">
        <f ca="1">IFERROR(__xludf.DUMMYFUNCTION("""COMPUTED_VALUE"""),"U StoreBox")</f>
        <v>U StoreBox</v>
      </c>
      <c r="Y1133" t="str">
        <f ca="1">IFERROR(__xludf.DUMMYFUNCTION("""COMPUTED_VALUE"""),"Primo")</f>
        <v>Primo</v>
      </c>
      <c r="Z1133" t="str">
        <f ca="1">IFERROR(__xludf.DUMMYFUNCTION("""COMPUTED_VALUE"""),"")</f>
        <v/>
      </c>
      <c r="AA1133" t="str">
        <f ca="1">IFERROR(__xludf.DUMMYFUNCTION("""COMPUTED_VALUE"""),"Terminé")</f>
        <v>Terminé</v>
      </c>
      <c r="AB1133" s="8" t="str">
        <f ca="1">IFERROR(__xludf.DUMMYFUNCTION("""COMPUTED_VALUE"""),"")</f>
        <v/>
      </c>
      <c r="AC1133" s="8" t="str">
        <f ca="1">IFERROR(__xludf.DUMMYFUNCTION("""COMPUTED_VALUE"""),"")</f>
        <v/>
      </c>
      <c r="AD1133" s="11" t="str">
        <f ca="1">IFERROR(__xludf.DUMMYFUNCTION("""COMPUTED_VALUE"""),"")</f>
        <v/>
      </c>
      <c r="AE1133" t="str">
        <f ca="1">IFERROR(__xludf.DUMMYFUNCTION("""COMPUTED_VALUE"""),"")</f>
        <v/>
      </c>
    </row>
    <row r="1134" spans="1:31" ht="12.75" x14ac:dyDescent="0.2">
      <c r="A1134">
        <f ca="1">IFERROR(__xludf.DUMMYFUNCTION("""COMPUTED_VALUE"""),38275)</f>
        <v>38275</v>
      </c>
      <c r="B1134" t="str">
        <f ca="1">IFERROR(__xludf.DUMMYFUNCTION("""COMPUTED_VALUE"""),"CAYENNE")</f>
        <v>CAYENNE</v>
      </c>
      <c r="C1134" t="str">
        <f ca="1">IFERROR(__xludf.DUMMYFUNCTION("""COMPUTED_VALUE"""),"Hyper U")</f>
        <v>Hyper U</v>
      </c>
      <c r="D1134" t="str">
        <f ca="1">IFERROR(__xludf.DUMMYFUNCTION("""COMPUTED_VALUE"""),"Coop U Enseigne Ouest")</f>
        <v>Coop U Enseigne Ouest</v>
      </c>
      <c r="E1134">
        <f ca="1">IFERROR(__xludf.DUMMYFUNCTION("""COMPUTED_VALUE"""),97300)</f>
        <v>97300</v>
      </c>
      <c r="F1134" t="str">
        <f ca="1">IFERROR(__xludf.DUMMYFUNCTION("""COMPUTED_VALUE"""),"10 LOTISSEMENT ZI COLLERY")</f>
        <v>10 LOTISSEMENT ZI COLLERY</v>
      </c>
      <c r="G1134" t="str">
        <f ca="1">IFERROR(__xludf.DUMMYFUNCTION("""COMPUTED_VALUE"""),"05.94.29.81.00")</f>
        <v>05.94.29.81.00</v>
      </c>
      <c r="H1134" t="str">
        <f ca="1">IFERROR(__xludf.DUMMYFUNCTION("""COMPUTED_VALUE"""),"DU RPT SAS JKS FINANCES Jan")</f>
        <v>DU RPT SAS JKS FINANCES Jan</v>
      </c>
      <c r="I1134" t="str">
        <f ca="1">IFERROR(__xludf.DUMMYFUNCTION("""COMPUTED_VALUE"""),"jan.du@systeme-u.fr")</f>
        <v>jan.du@systeme-u.fr</v>
      </c>
      <c r="J1134" t="str">
        <f ca="1">IFERROR(__xludf.DUMMYFUNCTION("""COMPUTED_VALUE"""),"Mr Brotreaud")</f>
        <v>Mr Brotreaud</v>
      </c>
      <c r="K1134" t="str">
        <f ca="1">IFERROR(__xludf.DUMMYFUNCTION("""COMPUTED_VALUE"""),"vincent.brotreaud@uguyane.com")</f>
        <v>vincent.brotreaud@uguyane.com</v>
      </c>
      <c r="L1134" t="str">
        <f ca="1">IFERROR(__xludf.DUMMYFUNCTION("""COMPUTED_VALUE"""),"PiloteTech")</f>
        <v>PiloteTech</v>
      </c>
      <c r="M1134" t="str">
        <f ca="1">IFERROR(__xludf.DUMMYFUNCTION("""COMPUTED_VALUE"""),"3. Migration réalisée")</f>
        <v>3. Migration réalisée</v>
      </c>
      <c r="N1134" t="str">
        <f ca="1">IFERROR(__xludf.DUMMYFUNCTION("""COMPUTED_VALUE"""),"")</f>
        <v/>
      </c>
      <c r="O1134" t="str">
        <f ca="1">IFERROR(__xludf.DUMMYFUNCTION("""COMPUTED_VALUE"""),"")</f>
        <v/>
      </c>
      <c r="P1134">
        <f ca="1">IFERROR(__xludf.DUMMYFUNCTION("""COMPUTED_VALUE"""),18)</f>
        <v>18</v>
      </c>
      <c r="Q1134" s="5" t="str">
        <f ca="1">IFERROR(__xludf.DUMMYFUNCTION("""COMPUTED_VALUE"""),"")</f>
        <v/>
      </c>
      <c r="R1134" s="6">
        <f ca="1">IFERROR(__xludf.DUMMYFUNCTION("""COMPUTED_VALUE"""),43224)</f>
        <v>43224</v>
      </c>
      <c r="S1134" t="str">
        <f ca="1">IFERROR(__xludf.DUMMYFUNCTION("""COMPUTED_VALUE"""),"n/a")</f>
        <v>n/a</v>
      </c>
      <c r="T1134" t="str">
        <f ca="1">IFERROR(__xludf.DUMMYFUNCTION("""COMPUTED_VALUE"""),"n/a")</f>
        <v>n/a</v>
      </c>
      <c r="U1134" t="str">
        <f ca="1">IFERROR(__xludf.DUMMYFUNCTION("""COMPUTED_VALUE"""),"n/a")</f>
        <v>n/a</v>
      </c>
      <c r="V1134" t="str">
        <f ca="1">IFERROR(__xludf.DUMMYFUNCTION("""COMPUTED_VALUE"""),"")</f>
        <v/>
      </c>
      <c r="W1134" t="str">
        <f ca="1">IFERROR(__xludf.DUMMYFUNCTION("""COMPUTED_VALUE"""),"R5")</f>
        <v>R5</v>
      </c>
      <c r="X1134" t="str">
        <f ca="1">IFERROR(__xludf.DUMMYFUNCTION("""COMPUTED_VALUE"""),"U StoreBox")</f>
        <v>U StoreBox</v>
      </c>
      <c r="Y1134" t="str">
        <f ca="1">IFERROR(__xludf.DUMMYFUNCTION("""COMPUTED_VALUE"""),"Primo")</f>
        <v>Primo</v>
      </c>
      <c r="Z1134" t="str">
        <f ca="1">IFERROR(__xludf.DUMMYFUNCTION("""COMPUTED_VALUE"""),"")</f>
        <v/>
      </c>
      <c r="AA1134" t="str">
        <f ca="1">IFERROR(__xludf.DUMMYFUNCTION("""COMPUTED_VALUE"""),"Terminé")</f>
        <v>Terminé</v>
      </c>
      <c r="AB1134" s="8" t="str">
        <f ca="1">IFERROR(__xludf.DUMMYFUNCTION("""COMPUTED_VALUE"""),"")</f>
        <v/>
      </c>
      <c r="AC1134" s="8" t="str">
        <f ca="1">IFERROR(__xludf.DUMMYFUNCTION("""COMPUTED_VALUE"""),"")</f>
        <v/>
      </c>
      <c r="AD1134" s="11" t="str">
        <f ca="1">IFERROR(__xludf.DUMMYFUNCTION("""COMPUTED_VALUE"""),"")</f>
        <v/>
      </c>
      <c r="AE1134" t="str">
        <f ca="1">IFERROR(__xludf.DUMMYFUNCTION("""COMPUTED_VALUE"""),"")</f>
        <v/>
      </c>
    </row>
    <row r="1135" spans="1:31" ht="12.75" x14ac:dyDescent="0.2">
      <c r="A1135">
        <f ca="1">IFERROR(__xludf.DUMMYFUNCTION("""COMPUTED_VALUE"""),35819)</f>
        <v>35819</v>
      </c>
      <c r="B1135" t="str">
        <f ca="1">IFERROR(__xludf.DUMMYFUNCTION("""COMPUTED_VALUE"""),"CHATEAUGIRON")</f>
        <v>CHATEAUGIRON</v>
      </c>
      <c r="C1135" t="str">
        <f ca="1">IFERROR(__xludf.DUMMYFUNCTION("""COMPUTED_VALUE"""),"Hyper U")</f>
        <v>Hyper U</v>
      </c>
      <c r="D1135" t="str">
        <f ca="1">IFERROR(__xludf.DUMMYFUNCTION("""COMPUTED_VALUE"""),"Coop U Enseigne Ouest")</f>
        <v>Coop U Enseigne Ouest</v>
      </c>
      <c r="E1135">
        <f ca="1">IFERROR(__xludf.DUMMYFUNCTION("""COMPUTED_VALUE"""),35410)</f>
        <v>35410</v>
      </c>
      <c r="F1135" t="str">
        <f ca="1">IFERROR(__xludf.DUMMYFUNCTION("""COMPUTED_VALUE"""),"CENTRE COMMERCIAL UNIVER")</f>
        <v>CENTRE COMMERCIAL UNIVER</v>
      </c>
      <c r="G1135" t="str">
        <f ca="1">IFERROR(__xludf.DUMMYFUNCTION("""COMPUTED_VALUE"""),"02.99.37.49.45")</f>
        <v>02.99.37.49.45</v>
      </c>
      <c r="H1135" t="str">
        <f ca="1">IFERROR(__xludf.DUMMYFUNCTION("""COMPUTED_VALUE"""),"CHAUVIRE RPT SARL NEXONDIS Gaétan")</f>
        <v>CHAUVIRE RPT SARL NEXONDIS Gaétan</v>
      </c>
      <c r="I1135" t="str">
        <f ca="1">IFERROR(__xludf.DUMMYFUNCTION("""COMPUTED_VALUE"""),"gaetan.chauvire@systeme-u.fr")</f>
        <v>gaetan.chauvire@systeme-u.fr</v>
      </c>
      <c r="J1135" t="str">
        <f ca="1">IFERROR(__xludf.DUMMYFUNCTION("""COMPUTED_VALUE"""),"LE BOUTEILLER JEROME")</f>
        <v>LE BOUTEILLER JEROME</v>
      </c>
      <c r="K1135" t="str">
        <f ca="1">IFERROR(__xludf.DUMMYFUNCTION("""COMPUTED_VALUE"""),"hyperu.chateaugiron.affichage@systeme-u.fr")</f>
        <v>hyperu.chateaugiron.affichage@systeme-u.fr</v>
      </c>
      <c r="L1135" t="str">
        <f ca="1">IFERROR(__xludf.DUMMYFUNCTION("""COMPUTED_VALUE"""),"PiloteDepl")</f>
        <v>PiloteDepl</v>
      </c>
      <c r="M1135" t="str">
        <f ca="1">IFERROR(__xludf.DUMMYFUNCTION("""COMPUTED_VALUE"""),"3. Migration réalisée")</f>
        <v>3. Migration réalisée</v>
      </c>
      <c r="N1135" t="str">
        <f ca="1">IFERROR(__xludf.DUMMYFUNCTION("""COMPUTED_VALUE"""),"")</f>
        <v/>
      </c>
      <c r="O1135" t="str">
        <f ca="1">IFERROR(__xludf.DUMMYFUNCTION("""COMPUTED_VALUE"""),"24/07 NLA : Demande de MEP + TS
25/07 NLA : Vu avec JP Moreau (Tech PRICER) : il intervient sur site Lundi 30/07 à 09h. PRICER a déjà informé le magasin de cette OP. Il s'agit d'une PRIMO installation , le magasin utilisant une autre solution d'EEG.")</f>
        <v>24/07 NLA : Demande de MEP + TS
25/07 NLA : Vu avec JP Moreau (Tech PRICER) : il intervient sur site Lundi 30/07 à 09h. PRICER a déjà informé le magasin de cette OP. Il s'agit d'une PRIMO installation , le magasin utilisant une autre solution d'EEG.</v>
      </c>
      <c r="P1135">
        <f ca="1">IFERROR(__xludf.DUMMYFUNCTION("""COMPUTED_VALUE"""),31)</f>
        <v>31</v>
      </c>
      <c r="Q1135" s="5" t="str">
        <f ca="1">IFERROR(__xludf.DUMMYFUNCTION("""COMPUTED_VALUE"""),"")</f>
        <v/>
      </c>
      <c r="R1135" s="6">
        <f ca="1">IFERROR(__xludf.DUMMYFUNCTION("""COMPUTED_VALUE"""),43311.375)</f>
        <v>43311.375</v>
      </c>
      <c r="S1135" t="str">
        <f ca="1">IFERROR(__xludf.DUMMYFUNCTION("""COMPUTED_VALUE"""),"MEP8506976")</f>
        <v>MEP8506976</v>
      </c>
      <c r="T1135" t="str">
        <f ca="1">IFERROR(__xludf.DUMMYFUNCTION("""COMPUTED_VALUE"""),"MEP8506977")</f>
        <v>MEP8506977</v>
      </c>
      <c r="U1135" t="str">
        <f ca="1">IFERROR(__xludf.DUMMYFUNCTION("""COMPUTED_VALUE"""),"OK")</f>
        <v>OK</v>
      </c>
      <c r="V1135" t="str">
        <f ca="1">IFERROR(__xludf.DUMMYFUNCTION("""COMPUTED_VALUE"""),"10.191.80.237")</f>
        <v>10.191.80.237</v>
      </c>
      <c r="W1135" t="str">
        <f ca="1">IFERROR(__xludf.DUMMYFUNCTION("""COMPUTED_VALUE"""),"R5")</f>
        <v>R5</v>
      </c>
      <c r="X1135" t="str">
        <f ca="1">IFERROR(__xludf.DUMMYFUNCTION("""COMPUTED_VALUE"""),"U StoreBox")</f>
        <v>U StoreBox</v>
      </c>
      <c r="Y1135" t="str">
        <f ca="1">IFERROR(__xludf.DUMMYFUNCTION("""COMPUTED_VALUE"""),"Primo")</f>
        <v>Primo</v>
      </c>
      <c r="Z1135" t="str">
        <f ca="1">IFERROR(__xludf.DUMMYFUNCTION("""COMPUTED_VALUE"""),"")</f>
        <v/>
      </c>
      <c r="AA1135" t="str">
        <f ca="1">IFERROR(__xludf.DUMMYFUNCTION("""COMPUTED_VALUE"""),"Terminé")</f>
        <v>Terminé</v>
      </c>
      <c r="AB1135" s="8">
        <f ca="1">IFERROR(__xludf.DUMMYFUNCTION("""COMPUTED_VALUE"""),43299)</f>
        <v>43299</v>
      </c>
      <c r="AC1135" s="8">
        <f ca="1">IFERROR(__xludf.DUMMYFUNCTION("""COMPUTED_VALUE"""),43307)</f>
        <v>43307</v>
      </c>
      <c r="AD1135" s="11" t="str">
        <f ca="1">IFERROR(__xludf.DUMMYFUNCTION("""COMPUTED_VALUE"""),"")</f>
        <v/>
      </c>
      <c r="AE1135" t="str">
        <f ca="1">IFERROR(__xludf.DUMMYFUNCTION("""COMPUTED_VALUE"""),"PILOTE Pick to light Réserve (pocpricer.war + prix sur pages gestion)")</f>
        <v>PILOTE Pick to light Réserve (pocpricer.war + prix sur pages gestion)</v>
      </c>
    </row>
    <row r="1136" spans="1:31" ht="12.75" x14ac:dyDescent="0.2">
      <c r="A1136">
        <f ca="1">IFERROR(__xludf.DUMMYFUNCTION("""COMPUTED_VALUE"""),68517)</f>
        <v>68517</v>
      </c>
      <c r="B1136" t="str">
        <f ca="1">IFERROR(__xludf.DUMMYFUNCTION("""COMPUTED_VALUE"""),"CRONENBOURG")</f>
        <v>CRONENBOURG</v>
      </c>
      <c r="C1136" t="str">
        <f ca="1">IFERROR(__xludf.DUMMYFUNCTION("""COMPUTED_VALUE"""),"U Express")</f>
        <v>U Express</v>
      </c>
      <c r="D1136" t="str">
        <f ca="1">IFERROR(__xludf.DUMMYFUNCTION("""COMPUTED_VALUE"""),"Coop U Enseigne Est")</f>
        <v>Coop U Enseigne Est</v>
      </c>
      <c r="E1136">
        <f ca="1">IFERROR(__xludf.DUMMYFUNCTION("""COMPUTED_VALUE"""),67200)</f>
        <v>67200</v>
      </c>
      <c r="F1136" t="str">
        <f ca="1">IFERROR(__xludf.DUMMYFUNCTION("""COMPUTED_VALUE"""),"26 ALLEE DE L'HOUBLONNIERE")</f>
        <v>26 ALLEE DE L'HOUBLONNIERE</v>
      </c>
      <c r="G1136" t="str">
        <f ca="1">IFERROR(__xludf.DUMMYFUNCTION("""COMPUTED_VALUE"""),"03.88.30.54.30")</f>
        <v>03.88.30.54.30</v>
      </c>
      <c r="H1136" t="str">
        <f ca="1">IFERROR(__xludf.DUMMYFUNCTION("""COMPUTED_VALUE"""),"LORENTZ Pierre")</f>
        <v>LORENTZ Pierre</v>
      </c>
      <c r="I1136" t="str">
        <f ca="1">IFERROR(__xludf.DUMMYFUNCTION("""COMPUTED_VALUE"""),"pierre.lorentz@systeme-u.fr")</f>
        <v>pierre.lorentz@systeme-u.fr</v>
      </c>
      <c r="J1136" t="str">
        <f ca="1">IFERROR(__xludf.DUMMYFUNCTION("""COMPUTED_VALUE"""),"Jonathan Sanger")</f>
        <v>Jonathan Sanger</v>
      </c>
      <c r="K1136" t="str">
        <f ca="1">IFERROR(__xludf.DUMMYFUNCTION("""COMPUTED_VALUE"""),"")</f>
        <v/>
      </c>
      <c r="L1136" t="str">
        <f ca="1">IFERROR(__xludf.DUMMYFUNCTION("""COMPUTED_VALUE"""),"PiloteTech")</f>
        <v>PiloteTech</v>
      </c>
      <c r="M1136" t="str">
        <f ca="1">IFERROR(__xludf.DUMMYFUNCTION("""COMPUTED_VALUE"""),"3. Migration réalisée")</f>
        <v>3. Migration réalisée</v>
      </c>
      <c r="N1136" t="str">
        <f ca="1">IFERROR(__xludf.DUMMYFUNCTION("""COMPUTED_VALUE"""),"")</f>
        <v/>
      </c>
      <c r="O1136" t="str">
        <f ca="1">IFERROR(__xludf.DUMMYFUNCTION("""COMPUTED_VALUE"""),"")</f>
        <v/>
      </c>
      <c r="P1136" t="str">
        <f ca="1">IFERROR(__xludf.DUMMYFUNCTION("""COMPUTED_VALUE"""),"")</f>
        <v/>
      </c>
      <c r="Q1136" s="5" t="str">
        <f ca="1">IFERROR(__xludf.DUMMYFUNCTION("""COMPUTED_VALUE"""),"")</f>
        <v/>
      </c>
      <c r="R1136" s="6" t="str">
        <f ca="1">IFERROR(__xludf.DUMMYFUNCTION("""COMPUTED_VALUE"""),"")</f>
        <v/>
      </c>
      <c r="S1136" t="str">
        <f ca="1">IFERROR(__xludf.DUMMYFUNCTION("""COMPUTED_VALUE"""),"n/a")</f>
        <v>n/a</v>
      </c>
      <c r="T1136" t="str">
        <f ca="1">IFERROR(__xludf.DUMMYFUNCTION("""COMPUTED_VALUE"""),"n/a")</f>
        <v>n/a</v>
      </c>
      <c r="U1136" t="str">
        <f ca="1">IFERROR(__xludf.DUMMYFUNCTION("""COMPUTED_VALUE"""),"n/a")</f>
        <v>n/a</v>
      </c>
      <c r="V1136" t="str">
        <f ca="1">IFERROR(__xludf.DUMMYFUNCTION("""COMPUTED_VALUE"""),"")</f>
        <v/>
      </c>
      <c r="W1136" t="str">
        <f ca="1">IFERROR(__xludf.DUMMYFUNCTION("""COMPUTED_VALUE"""),"R5")</f>
        <v>R5</v>
      </c>
      <c r="X1136" t="str">
        <f ca="1">IFERROR(__xludf.DUMMYFUNCTION("""COMPUTED_VALUE"""),"U StoreBox")</f>
        <v>U StoreBox</v>
      </c>
      <c r="Y1136" t="str">
        <f ca="1">IFERROR(__xludf.DUMMYFUNCTION("""COMPUTED_VALUE"""),"Primo")</f>
        <v>Primo</v>
      </c>
      <c r="Z1136" t="str">
        <f ca="1">IFERROR(__xludf.DUMMYFUNCTION("""COMPUTED_VALUE"""),"")</f>
        <v/>
      </c>
      <c r="AA1136" t="str">
        <f ca="1">IFERROR(__xludf.DUMMYFUNCTION("""COMPUTED_VALUE"""),"Terminé")</f>
        <v>Terminé</v>
      </c>
      <c r="AB1136" s="8" t="str">
        <f ca="1">IFERROR(__xludf.DUMMYFUNCTION("""COMPUTED_VALUE"""),"")</f>
        <v/>
      </c>
      <c r="AC1136" s="8" t="str">
        <f ca="1">IFERROR(__xludf.DUMMYFUNCTION("""COMPUTED_VALUE"""),"")</f>
        <v/>
      </c>
      <c r="AD1136" s="11" t="str">
        <f ca="1">IFERROR(__xludf.DUMMYFUNCTION("""COMPUTED_VALUE"""),"")</f>
        <v/>
      </c>
      <c r="AE1136" t="str">
        <f ca="1">IFERROR(__xludf.DUMMYFUNCTION("""COMPUTED_VALUE"""),"")</f>
        <v/>
      </c>
    </row>
    <row r="1137" spans="1:31" ht="12.75" x14ac:dyDescent="0.2">
      <c r="A1137">
        <f ca="1">IFERROR(__xludf.DUMMYFUNCTION("""COMPUTED_VALUE"""),90404)</f>
        <v>90404</v>
      </c>
      <c r="B1137" t="str">
        <f ca="1">IFERROR(__xludf.DUMMYFUNCTION("""COMPUTED_VALUE"""),"FAYENCE")</f>
        <v>FAYENCE</v>
      </c>
      <c r="C1137" t="str">
        <f ca="1">IFERROR(__xludf.DUMMYFUNCTION("""COMPUTED_VALUE"""),"Super U")</f>
        <v>Super U</v>
      </c>
      <c r="D1137" t="str">
        <f ca="1">IFERROR(__xludf.DUMMYFUNCTION("""COMPUTED_VALUE"""),"Coop U Enseigne Sud")</f>
        <v>Coop U Enseigne Sud</v>
      </c>
      <c r="E1137">
        <f ca="1">IFERROR(__xludf.DUMMYFUNCTION("""COMPUTED_VALUE"""),83440)</f>
        <v>83440</v>
      </c>
      <c r="F1137" t="str">
        <f ca="1">IFERROR(__xludf.DUMMYFUNCTION("""COMPUTED_VALUE"""),"86 ROUTE DE FREJUS")</f>
        <v>86 ROUTE DE FREJUS</v>
      </c>
      <c r="G1137" t="str">
        <f ca="1">IFERROR(__xludf.DUMMYFUNCTION("""COMPUTED_VALUE"""),"04.94.76.22.42")</f>
        <v>04.94.76.22.42</v>
      </c>
      <c r="H1137" t="str">
        <f ca="1">IFERROR(__xludf.DUMMYFUNCTION("""COMPUTED_VALUE"""),"PROU Sebastien")</f>
        <v>PROU Sebastien</v>
      </c>
      <c r="I1137" t="str">
        <f ca="1">IFERROR(__xludf.DUMMYFUNCTION("""COMPUTED_VALUE"""),"sebastien.prou@systeme-u.fr")</f>
        <v>sebastien.prou@systeme-u.fr</v>
      </c>
      <c r="J1137" t="str">
        <f ca="1">IFERROR(__xludf.DUMMYFUNCTION("""COMPUTED_VALUE"""),"M. SOTO
Mme HERMANT")</f>
        <v>M. SOTO
Mme HERMANT</v>
      </c>
      <c r="K1137" t="str">
        <f ca="1">IFERROR(__xludf.DUMMYFUNCTION("""COMPUTED_VALUE"""),"superu.fayence.direction@systeme-u.fr,superu.fayence.compta@systeme-u.fr")</f>
        <v>superu.fayence.direction@systeme-u.fr,superu.fayence.compta@systeme-u.fr</v>
      </c>
      <c r="L1137" t="str">
        <f ca="1">IFERROR(__xludf.DUMMYFUNCTION("""COMPUTED_VALUE"""),"PiloteTech")</f>
        <v>PiloteTech</v>
      </c>
      <c r="M1137" t="str">
        <f ca="1">IFERROR(__xludf.DUMMYFUNCTION("""COMPUTED_VALUE"""),"3. Migration réalisée")</f>
        <v>3. Migration réalisée</v>
      </c>
      <c r="N1137" t="str">
        <f ca="1">IFERROR(__xludf.DUMMYFUNCTION("""COMPUTED_VALUE"""),"")</f>
        <v/>
      </c>
      <c r="O1137" t="str">
        <f ca="1">IFERROR(__xludf.DUMMYFUNCTION("""COMPUTED_VALUE"""),"")</f>
        <v/>
      </c>
      <c r="P1137" t="str">
        <f ca="1">IFERROR(__xludf.DUMMYFUNCTION("""COMPUTED_VALUE"""),"")</f>
        <v/>
      </c>
      <c r="Q1137" s="5" t="str">
        <f ca="1">IFERROR(__xludf.DUMMYFUNCTION("""COMPUTED_VALUE"""),"")</f>
        <v/>
      </c>
      <c r="R1137" s="6" t="str">
        <f ca="1">IFERROR(__xludf.DUMMYFUNCTION("""COMPUTED_VALUE"""),"")</f>
        <v/>
      </c>
      <c r="S1137" t="str">
        <f ca="1">IFERROR(__xludf.DUMMYFUNCTION("""COMPUTED_VALUE"""),"n/a")</f>
        <v>n/a</v>
      </c>
      <c r="T1137" t="str">
        <f ca="1">IFERROR(__xludf.DUMMYFUNCTION("""COMPUTED_VALUE"""),"n/a")</f>
        <v>n/a</v>
      </c>
      <c r="U1137" t="str">
        <f ca="1">IFERROR(__xludf.DUMMYFUNCTION("""COMPUTED_VALUE"""),"n/a")</f>
        <v>n/a</v>
      </c>
      <c r="V1137" t="str">
        <f ca="1">IFERROR(__xludf.DUMMYFUNCTION("""COMPUTED_VALUE"""),"")</f>
        <v/>
      </c>
      <c r="W1137" t="str">
        <f ca="1">IFERROR(__xludf.DUMMYFUNCTION("""COMPUTED_VALUE"""),"R5")</f>
        <v>R5</v>
      </c>
      <c r="X1137" t="str">
        <f ca="1">IFERROR(__xludf.DUMMYFUNCTION("""COMPUTED_VALUE"""),"U StoreBox")</f>
        <v>U StoreBox</v>
      </c>
      <c r="Y1137" t="str">
        <f ca="1">IFERROR(__xludf.DUMMYFUNCTION("""COMPUTED_VALUE"""),"Mig_spe")</f>
        <v>Mig_spe</v>
      </c>
      <c r="Z1137" t="str">
        <f ca="1">IFERROR(__xludf.DUMMYFUNCTION("""COMPUTED_VALUE"""),"")</f>
        <v/>
      </c>
      <c r="AA1137" t="str">
        <f ca="1">IFERROR(__xludf.DUMMYFUNCTION("""COMPUTED_VALUE"""),"Terminé")</f>
        <v>Terminé</v>
      </c>
      <c r="AB1137" s="8" t="str">
        <f ca="1">IFERROR(__xludf.DUMMYFUNCTION("""COMPUTED_VALUE"""),"")</f>
        <v/>
      </c>
      <c r="AC1137" s="8" t="str">
        <f ca="1">IFERROR(__xludf.DUMMYFUNCTION("""COMPUTED_VALUE"""),"")</f>
        <v/>
      </c>
      <c r="AD1137" s="11" t="str">
        <f ca="1">IFERROR(__xludf.DUMMYFUNCTION("""COMPUTED_VALUE"""),"")</f>
        <v/>
      </c>
      <c r="AE1137" t="str">
        <f ca="1">IFERROR(__xludf.DUMMYFUNCTION("""COMPUTED_VALUE"""),"")</f>
        <v/>
      </c>
    </row>
    <row r="1138" spans="1:31" ht="12.75" x14ac:dyDescent="0.2">
      <c r="A1138">
        <f ca="1">IFERROR(__xludf.DUMMYFUNCTION("""COMPUTED_VALUE"""),95162)</f>
        <v>95162</v>
      </c>
      <c r="B1138" t="str">
        <f ca="1">IFERROR(__xludf.DUMMYFUNCTION("""COMPUTED_VALUE"""),"FLOURENS")</f>
        <v>FLOURENS</v>
      </c>
      <c r="C1138" t="str">
        <f ca="1">IFERROR(__xludf.DUMMYFUNCTION("""COMPUTED_VALUE"""),"Super U")</f>
        <v>Super U</v>
      </c>
      <c r="D1138" t="str">
        <f ca="1">IFERROR(__xludf.DUMMYFUNCTION("""COMPUTED_VALUE"""),"Coop U Enseigne Sud")</f>
        <v>Coop U Enseigne Sud</v>
      </c>
      <c r="E1138">
        <f ca="1">IFERROR(__xludf.DUMMYFUNCTION("""COMPUTED_VALUE"""),31130)</f>
        <v>31130</v>
      </c>
      <c r="F1138" t="str">
        <f ca="1">IFERROR(__xludf.DUMMYFUNCTION("""COMPUTED_VALUE"""),"D 826 ROUTE DE CASTRES")</f>
        <v>D 826 ROUTE DE CASTRES</v>
      </c>
      <c r="G1138" t="str">
        <f ca="1">IFERROR(__xludf.DUMMYFUNCTION("""COMPUTED_VALUE"""),"05.61.34.31.35")</f>
        <v>05.61.34.31.35</v>
      </c>
      <c r="H1138" t="str">
        <f ca="1">IFERROR(__xludf.DUMMYFUNCTION("""COMPUTED_VALUE"""),"ABOU Bernard")</f>
        <v>ABOU Bernard</v>
      </c>
      <c r="I1138" t="str">
        <f ca="1">IFERROR(__xludf.DUMMYFUNCTION("""COMPUTED_VALUE"""),"bernard.abou@systeme-u.fr")</f>
        <v>bernard.abou@systeme-u.fr</v>
      </c>
      <c r="J1138" t="str">
        <f ca="1">IFERROR(__xludf.DUMMYFUNCTION("""COMPUTED_VALUE"""),"M. Marcotte")</f>
        <v>M. Marcotte</v>
      </c>
      <c r="K1138" t="str">
        <f ca="1">IFERROR(__xludf.DUMMYFUNCTION("""COMPUTED_VALUE"""),"superu.flourens.directeur@systeme-u.fr")</f>
        <v>superu.flourens.directeur@systeme-u.fr</v>
      </c>
      <c r="L1138" t="str">
        <f ca="1">IFERROR(__xludf.DUMMYFUNCTION("""COMPUTED_VALUE"""),"")</f>
        <v/>
      </c>
      <c r="M1138" t="str">
        <f ca="1">IFERROR(__xludf.DUMMYFUNCTION("""COMPUTED_VALUE"""),"0.1 Pre-Planification")</f>
        <v>0.1 Pre-Planification</v>
      </c>
      <c r="N1138" t="str">
        <f ca="1">IFERROR(__xludf.DUMMYFUNCTION("""COMPUTED_VALUE"""),"")</f>
        <v/>
      </c>
      <c r="O1138" t="str">
        <f ca="1">IFERROR(__xludf.DUMMYFUNCTION("""COMPUTED_VALUE"""),"19/09 BBL : Appel de S.Chaneliere =&gt; besoin de précision sur l'abonnement USB
21/09 ERI Refus du directeur de payer un supplément, souhaite l'installer sur son serveur. A rappeler")</f>
        <v>19/09 BBL : Appel de S.Chaneliere =&gt; besoin de précision sur l'abonnement USB
21/09 ERI Refus du directeur de payer un supplément, souhaite l'installer sur son serveur. A rappeler</v>
      </c>
      <c r="P1138" t="str">
        <f ca="1">IFERROR(__xludf.DUMMYFUNCTION("""COMPUTED_VALUE"""),"")</f>
        <v/>
      </c>
      <c r="Q1138" s="5" t="str">
        <f ca="1">IFERROR(__xludf.DUMMYFUNCTION("""COMPUTED_VALUE"""),"")</f>
        <v/>
      </c>
      <c r="R1138" s="6" t="str">
        <f ca="1">IFERROR(__xludf.DUMMYFUNCTION("""COMPUTED_VALUE"""),"")</f>
        <v/>
      </c>
      <c r="S1138" t="str">
        <f ca="1">IFERROR(__xludf.DUMMYFUNCTION("""COMPUTED_VALUE"""),"")</f>
        <v/>
      </c>
      <c r="T1138" t="str">
        <f ca="1">IFERROR(__xludf.DUMMYFUNCTION("""COMPUTED_VALUE"""),"")</f>
        <v/>
      </c>
      <c r="U1138" t="str">
        <f ca="1">IFERROR(__xludf.DUMMYFUNCTION("""COMPUTED_VALUE"""),"")</f>
        <v/>
      </c>
      <c r="V1138" t="str">
        <f ca="1">IFERROR(__xludf.DUMMYFUNCTION("""COMPUTED_VALUE"""),"")</f>
        <v/>
      </c>
      <c r="W1138" t="str">
        <f ca="1">IFERROR(__xludf.DUMMYFUNCTION("""COMPUTED_VALUE"""),"R5")</f>
        <v>R5</v>
      </c>
      <c r="X1138" t="str">
        <f ca="1">IFERROR(__xludf.DUMMYFUNCTION("""COMPUTED_VALUE"""),"VM magasin")</f>
        <v>VM magasin</v>
      </c>
      <c r="Y1138" t="str">
        <f ca="1">IFERROR(__xludf.DUMMYFUNCTION("""COMPUTED_VALUE"""),"Mig_spe")</f>
        <v>Mig_spe</v>
      </c>
      <c r="Z1138" t="str">
        <f ca="1">IFERROR(__xludf.DUMMYFUNCTION("""COMPUTED_VALUE"""),"")</f>
        <v/>
      </c>
      <c r="AA1138" t="str">
        <f ca="1">IFERROR(__xludf.DUMMYFUNCTION("""COMPUTED_VALUE"""),"Terminé")</f>
        <v>Terminé</v>
      </c>
      <c r="AB1138" s="8">
        <f ca="1">IFERROR(__xludf.DUMMYFUNCTION("""COMPUTED_VALUE"""),43391)</f>
        <v>43391</v>
      </c>
      <c r="AC1138" s="8">
        <f ca="1">IFERROR(__xludf.DUMMYFUNCTION("""COMPUTED_VALUE"""),43391)</f>
        <v>43391</v>
      </c>
      <c r="AD1138" s="11">
        <f ca="1">IFERROR(__xludf.DUMMYFUNCTION("""COMPUTED_VALUE"""),43391)</f>
        <v>43391</v>
      </c>
      <c r="AE1138" t="str">
        <f ca="1">IFERROR(__xludf.DUMMYFUNCTION("""COMPUTED_VALUE"""),"Pricer : Migration Toshiba vers VM Magasin (reprise même adresse IP).
OPV Sud : MAJ du flux U103 + envoi base complète par IPV Sud le 18/10.
IRIS Déploiement : Descente des raccourcis pricer sur postes clients.")</f>
        <v>Pricer : Migration Toshiba vers VM Magasin (reprise même adresse IP).
OPV Sud : MAJ du flux U103 + envoi base complète par IPV Sud le 18/10.
IRIS Déploiement : Descente des raccourcis pricer sur postes clients.</v>
      </c>
    </row>
    <row r="1139" spans="1:31" ht="12.75" x14ac:dyDescent="0.2">
      <c r="A1139">
        <f ca="1">IFERROR(__xludf.DUMMYFUNCTION("""COMPUTED_VALUE"""),95190)</f>
        <v>95190</v>
      </c>
      <c r="B1139" t="str">
        <f ca="1">IFERROR(__xludf.DUMMYFUNCTION("""COMPUTED_VALUE"""),"GAGNAC SUR GARONNE")</f>
        <v>GAGNAC SUR GARONNE</v>
      </c>
      <c r="C1139" t="str">
        <f ca="1">IFERROR(__xludf.DUMMYFUNCTION("""COMPUTED_VALUE"""),"Super U")</f>
        <v>Super U</v>
      </c>
      <c r="D1139" t="str">
        <f ca="1">IFERROR(__xludf.DUMMYFUNCTION("""COMPUTED_VALUE"""),"Coop U Enseigne Sud")</f>
        <v>Coop U Enseigne Sud</v>
      </c>
      <c r="E1139">
        <f ca="1">IFERROR(__xludf.DUMMYFUNCTION("""COMPUTED_VALUE"""),31150)</f>
        <v>31150</v>
      </c>
      <c r="F1139" t="str">
        <f ca="1">IFERROR(__xludf.DUMMYFUNCTION("""COMPUTED_VALUE"""),"LIEU DIT DE L ESPAGNOULET")</f>
        <v>LIEU DIT DE L ESPAGNOULET</v>
      </c>
      <c r="G1139" t="str">
        <f ca="1">IFERROR(__xludf.DUMMYFUNCTION("""COMPUTED_VALUE"""),"05.61.37.60.40")</f>
        <v>05.61.37.60.40</v>
      </c>
      <c r="H1139" t="str">
        <f ca="1">IFERROR(__xludf.DUMMYFUNCTION("""COMPUTED_VALUE"""),"LAURENT Sebastien")</f>
        <v>LAURENT Sebastien</v>
      </c>
      <c r="I1139" t="str">
        <f ca="1">IFERROR(__xludf.DUMMYFUNCTION("""COMPUTED_VALUE"""),"sandrine.laurent@systeme-u.fr")</f>
        <v>sandrine.laurent@systeme-u.fr</v>
      </c>
      <c r="J1139" t="str">
        <f ca="1">IFERROR(__xludf.DUMMYFUNCTION("""COMPUTED_VALUE"""),"")</f>
        <v/>
      </c>
      <c r="K1139" t="str">
        <f ca="1">IFERROR(__xludf.DUMMYFUNCTION("""COMPUTED_VALUE"""),"")</f>
        <v/>
      </c>
      <c r="L1139" t="str">
        <f ca="1">IFERROR(__xludf.DUMMYFUNCTION("""COMPUTED_VALUE"""),"PiloteDepl")</f>
        <v>PiloteDepl</v>
      </c>
      <c r="M1139" t="str">
        <f ca="1">IFERROR(__xludf.DUMMYFUNCTION("""COMPUTED_VALUE"""),"3. Migration réalisée")</f>
        <v>3. Migration réalisée</v>
      </c>
      <c r="N1139" t="str">
        <f ca="1">IFERROR(__xludf.DUMMYFUNCTION("""COMPUTED_VALUE"""),"")</f>
        <v/>
      </c>
      <c r="O1139" t="str">
        <f ca="1">IFERROR(__xludf.DUMMYFUNCTION("""COMPUTED_VALUE"""),"27/08 GLO : Vu avec le directeur du PDV, migration planifiée le 11/09/2018 à 14h, VM déjà crée à priori. Mail de retour fait à Sébastien VERDIER pour planification de ce PDV
04/09 NLA : MEP VM+TS déjà créée (vu avec FRI) , MEP exploit OK
11/09 NLA : Migra"&amp;"tion PRICER OK - Déploiement Package sur poste client 10.100.73.9 à finaliser en J+1
12/09 NLA : Déploiement Package sur 10.100.73.9 OK")</f>
        <v>27/08 GLO : Vu avec le directeur du PDV, migration planifiée le 11/09/2018 à 14h, VM déjà crée à priori. Mail de retour fait à Sébastien VERDIER pour planification de ce PDV
04/09 NLA : MEP VM+TS déjà créée (vu avec FRI) , MEP exploit OK
11/09 NLA : Migration PRICER OK - Déploiement Package sur poste client 10.100.73.9 à finaliser en J+1
12/09 NLA : Déploiement Package sur 10.100.73.9 OK</v>
      </c>
      <c r="P1139">
        <f ca="1">IFERROR(__xludf.DUMMYFUNCTION("""COMPUTED_VALUE"""),37)</f>
        <v>37</v>
      </c>
      <c r="Q1139" s="5" t="str">
        <f ca="1">IFERROR(__xludf.DUMMYFUNCTION("""COMPUTED_VALUE"""),"")</f>
        <v/>
      </c>
      <c r="R1139" s="6">
        <f ca="1">IFERROR(__xludf.DUMMYFUNCTION("""COMPUTED_VALUE"""),43354.5833333333)</f>
        <v>43354.583333333299</v>
      </c>
      <c r="S1139" t="str">
        <f ca="1">IFERROR(__xludf.DUMMYFUNCTION("""COMPUTED_VALUE"""),"MEP8500542 ")</f>
        <v xml:space="preserve">MEP8500542 </v>
      </c>
      <c r="T1139" t="str">
        <f ca="1">IFERROR(__xludf.DUMMYFUNCTION("""COMPUTED_VALUE"""),"MEP8508797")</f>
        <v>MEP8508797</v>
      </c>
      <c r="U1139" t="str">
        <f ca="1">IFERROR(__xludf.DUMMYFUNCTION("""COMPUTED_VALUE"""),"OK")</f>
        <v>OK</v>
      </c>
      <c r="V1139" t="str">
        <f ca="1">IFERROR(__xludf.DUMMYFUNCTION("""COMPUTED_VALUE"""),"10.100.72.237")</f>
        <v>10.100.72.237</v>
      </c>
      <c r="W1139" t="str">
        <f ca="1">IFERROR(__xludf.DUMMYFUNCTION("""COMPUTED_VALUE"""),"R5")</f>
        <v>R5</v>
      </c>
      <c r="X1139" t="str">
        <f ca="1">IFERROR(__xludf.DUMMYFUNCTION("""COMPUTED_VALUE"""),"U StoreBox")</f>
        <v>U StoreBox</v>
      </c>
      <c r="Y1139" t="str">
        <f ca="1">IFERROR(__xludf.DUMMYFUNCTION("""COMPUTED_VALUE"""),"Mig_spe")</f>
        <v>Mig_spe</v>
      </c>
      <c r="Z1139" t="str">
        <f ca="1">IFERROR(__xludf.DUMMYFUNCTION("""COMPUTED_VALUE"""),"")</f>
        <v/>
      </c>
      <c r="AA1139" t="str">
        <f ca="1">IFERROR(__xludf.DUMMYFUNCTION("""COMPUTED_VALUE"""),"Terminé")</f>
        <v>Terminé</v>
      </c>
      <c r="AB1139" s="8" t="str">
        <f ca="1">IFERROR(__xludf.DUMMYFUNCTION("""COMPUTED_VALUE"""),"")</f>
        <v/>
      </c>
      <c r="AC1139" s="8">
        <f ca="1">IFERROR(__xludf.DUMMYFUNCTION("""COMPUTED_VALUE"""),43354)</f>
        <v>43354</v>
      </c>
      <c r="AD1139" s="11" t="str">
        <f ca="1">IFERROR(__xludf.DUMMYFUNCTION("""COMPUTED_VALUE"""),"")</f>
        <v/>
      </c>
      <c r="AE1139" t="str">
        <f ca="1">IFERROR(__xludf.DUMMYFUNCTION("""COMPUTED_VALUE"""),"")</f>
        <v/>
      </c>
    </row>
    <row r="1140" spans="1:31" ht="12.75" x14ac:dyDescent="0.2">
      <c r="A1140">
        <f ca="1">IFERROR(__xludf.DUMMYFUNCTION("""COMPUTED_VALUE"""),32585)</f>
        <v>32585</v>
      </c>
      <c r="B1140" t="str">
        <f ca="1">IFERROR(__xludf.DUMMYFUNCTION("""COMPUTED_VALUE"""),"LA CHAPELLE-BASSE-MER")</f>
        <v>LA CHAPELLE-BASSE-MER</v>
      </c>
      <c r="C1140" t="str">
        <f ca="1">IFERROR(__xludf.DUMMYFUNCTION("""COMPUTED_VALUE"""),"Super U")</f>
        <v>Super U</v>
      </c>
      <c r="D1140" t="str">
        <f ca="1">IFERROR(__xludf.DUMMYFUNCTION("""COMPUTED_VALUE"""),"Coop U Enseigne Ouest")</f>
        <v>Coop U Enseigne Ouest</v>
      </c>
      <c r="E1140">
        <f ca="1">IFERROR(__xludf.DUMMYFUNCTION("""COMPUTED_VALUE"""),44450)</f>
        <v>44450</v>
      </c>
      <c r="F1140" t="str">
        <f ca="1">IFERROR(__xludf.DUMMYFUNCTION("""COMPUTED_VALUE"""),"BOULEVARD PASTEUR")</f>
        <v>BOULEVARD PASTEUR</v>
      </c>
      <c r="G1140" t="str">
        <f ca="1">IFERROR(__xludf.DUMMYFUNCTION("""COMPUTED_VALUE"""),"02.40.06.35.92")</f>
        <v>02.40.06.35.92</v>
      </c>
      <c r="H1140" t="str">
        <f ca="1">IFERROR(__xludf.DUMMYFUNCTION("""COMPUTED_VALUE"""),"GRENON RPT MS FINANCES Sébastien")</f>
        <v>GRENON RPT MS FINANCES Sébastien</v>
      </c>
      <c r="I1140" t="str">
        <f ca="1">IFERROR(__xludf.DUMMYFUNCTION("""COMPUTED_VALUE"""),"sebastien.grenon@systeme-u.fr")</f>
        <v>sebastien.grenon@systeme-u.fr</v>
      </c>
      <c r="J1140" t="str">
        <f ca="1">IFERROR(__xludf.DUMMYFUNCTION("""COMPUTED_VALUE"""),"Mr Jeanneau")</f>
        <v>Mr Jeanneau</v>
      </c>
      <c r="K1140" t="str">
        <f ca="1">IFERROR(__xludf.DUMMYFUNCTION("""COMPUTED_VALUE"""),"superu.lachapellebassemer.administratif@systeme-u.fr")</f>
        <v>superu.lachapellebassemer.administratif@systeme-u.fr</v>
      </c>
      <c r="L1140" t="str">
        <f ca="1">IFERROR(__xludf.DUMMYFUNCTION("""COMPUTED_VALUE"""),"PiloteTech")</f>
        <v>PiloteTech</v>
      </c>
      <c r="M1140" t="str">
        <f ca="1">IFERROR(__xludf.DUMMYFUNCTION("""COMPUTED_VALUE"""),"3. Migration réalisée")</f>
        <v>3. Migration réalisée</v>
      </c>
      <c r="N1140" t="str">
        <f ca="1">IFERROR(__xludf.DUMMYFUNCTION("""COMPUTED_VALUE"""),"")</f>
        <v/>
      </c>
      <c r="O1140" t="str">
        <f ca="1">IFERROR(__xludf.DUMMYFUNCTION("""COMPUTED_VALUE"""),"")</f>
        <v/>
      </c>
      <c r="P1140" t="str">
        <f ca="1">IFERROR(__xludf.DUMMYFUNCTION("""COMPUTED_VALUE"""),"")</f>
        <v/>
      </c>
      <c r="Q1140" s="5" t="str">
        <f ca="1">IFERROR(__xludf.DUMMYFUNCTION("""COMPUTED_VALUE"""),"")</f>
        <v/>
      </c>
      <c r="R1140" s="6" t="str">
        <f ca="1">IFERROR(__xludf.DUMMYFUNCTION("""COMPUTED_VALUE"""),"")</f>
        <v/>
      </c>
      <c r="S1140" t="str">
        <f ca="1">IFERROR(__xludf.DUMMYFUNCTION("""COMPUTED_VALUE"""),"n/a")</f>
        <v>n/a</v>
      </c>
      <c r="T1140" t="str">
        <f ca="1">IFERROR(__xludf.DUMMYFUNCTION("""COMPUTED_VALUE"""),"n/a")</f>
        <v>n/a</v>
      </c>
      <c r="U1140" t="str">
        <f ca="1">IFERROR(__xludf.DUMMYFUNCTION("""COMPUTED_VALUE"""),"n/a")</f>
        <v>n/a</v>
      </c>
      <c r="V1140" t="str">
        <f ca="1">IFERROR(__xludf.DUMMYFUNCTION("""COMPUTED_VALUE"""),"")</f>
        <v/>
      </c>
      <c r="W1140" t="str">
        <f ca="1">IFERROR(__xludf.DUMMYFUNCTION("""COMPUTED_VALUE"""),"R5")</f>
        <v>R5</v>
      </c>
      <c r="X1140" t="str">
        <f ca="1">IFERROR(__xludf.DUMMYFUNCTION("""COMPUTED_VALUE"""),"U StoreBox")</f>
        <v>U StoreBox</v>
      </c>
      <c r="Y1140" t="str">
        <f ca="1">IFERROR(__xludf.DUMMYFUNCTION("""COMPUTED_VALUE"""),"Primo")</f>
        <v>Primo</v>
      </c>
      <c r="Z1140" t="str">
        <f ca="1">IFERROR(__xludf.DUMMYFUNCTION("""COMPUTED_VALUE"""),"")</f>
        <v/>
      </c>
      <c r="AA1140" t="str">
        <f ca="1">IFERROR(__xludf.DUMMYFUNCTION("""COMPUTED_VALUE"""),"Terminé")</f>
        <v>Terminé</v>
      </c>
      <c r="AB1140" s="8" t="str">
        <f ca="1">IFERROR(__xludf.DUMMYFUNCTION("""COMPUTED_VALUE"""),"")</f>
        <v/>
      </c>
      <c r="AC1140" s="8" t="str">
        <f ca="1">IFERROR(__xludf.DUMMYFUNCTION("""COMPUTED_VALUE"""),"")</f>
        <v/>
      </c>
      <c r="AD1140" s="11" t="str">
        <f ca="1">IFERROR(__xludf.DUMMYFUNCTION("""COMPUTED_VALUE"""),"")</f>
        <v/>
      </c>
      <c r="AE1140" t="str">
        <f ca="1">IFERROR(__xludf.DUMMYFUNCTION("""COMPUTED_VALUE"""),"")</f>
        <v/>
      </c>
    </row>
    <row r="1141" spans="1:31" ht="12.75" x14ac:dyDescent="0.2">
      <c r="A1141">
        <f ca="1">IFERROR(__xludf.DUMMYFUNCTION("""COMPUTED_VALUE"""),26173)</f>
        <v>26173</v>
      </c>
      <c r="B1141" t="str">
        <f ca="1">IFERROR(__xludf.DUMMYFUNCTION("""COMPUTED_VALUE"""),"LE PLESSIS TREVISE")</f>
        <v>LE PLESSIS TREVISE</v>
      </c>
      <c r="C1141" t="str">
        <f ca="1">IFERROR(__xludf.DUMMYFUNCTION("""COMPUTED_VALUE"""),"Super U")</f>
        <v>Super U</v>
      </c>
      <c r="D1141" t="str">
        <f ca="1">IFERROR(__xludf.DUMMYFUNCTION("""COMPUTED_VALUE"""),"Coop U Enseigne NordOuest")</f>
        <v>Coop U Enseigne NordOuest</v>
      </c>
      <c r="E1141">
        <f ca="1">IFERROR(__xludf.DUMMYFUNCTION("""COMPUTED_VALUE"""),94420)</f>
        <v>94420</v>
      </c>
      <c r="F1141" t="str">
        <f ca="1">IFERROR(__xludf.DUMMYFUNCTION("""COMPUTED_VALUE"""),"8 AVENUE ARDOIN")</f>
        <v>8 AVENUE ARDOIN</v>
      </c>
      <c r="G1141" t="str">
        <f ca="1">IFERROR(__xludf.DUMMYFUNCTION("""COMPUTED_VALUE"""),"01.45.76.66.61")</f>
        <v>01.45.76.66.61</v>
      </c>
      <c r="H1141" t="str">
        <f ca="1">IFERROR(__xludf.DUMMYFUNCTION("""COMPUTED_VALUE"""),"BUR Gérard+Marie-Chantal")</f>
        <v>BUR Gérard+Marie-Chantal</v>
      </c>
      <c r="I1141" t="str">
        <f ca="1">IFERROR(__xludf.DUMMYFUNCTION("""COMPUTED_VALUE"""),"gerard.bur@systeme-u.fr")</f>
        <v>gerard.bur@systeme-u.fr</v>
      </c>
      <c r="J1141" t="str">
        <f ca="1">IFERROR(__xludf.DUMMYFUNCTION("""COMPUTED_VALUE"""),"M. Philippe")</f>
        <v>M. Philippe</v>
      </c>
      <c r="K1141" t="str">
        <f ca="1">IFERROR(__xludf.DUMMYFUNCTION("""COMPUTED_VALUE"""),"superu.leplessistrevise.direction@systeme-u.fr")</f>
        <v>superu.leplessistrevise.direction@systeme-u.fr</v>
      </c>
      <c r="L1141" t="str">
        <f ca="1">IFERROR(__xludf.DUMMYFUNCTION("""COMPUTED_VALUE"""),"PiloteTech")</f>
        <v>PiloteTech</v>
      </c>
      <c r="M1141" t="str">
        <f ca="1">IFERROR(__xludf.DUMMYFUNCTION("""COMPUTED_VALUE"""),"3. Migration réalisée")</f>
        <v>3. Migration réalisée</v>
      </c>
      <c r="N1141" t="str">
        <f ca="1">IFERROR(__xludf.DUMMYFUNCTION("""COMPUTED_VALUE"""),"")</f>
        <v/>
      </c>
      <c r="O1141" t="str">
        <f ca="1">IFERROR(__xludf.DUMMYFUNCTION("""COMPUTED_VALUE"""),"")</f>
        <v/>
      </c>
      <c r="P1141" t="str">
        <f ca="1">IFERROR(__xludf.DUMMYFUNCTION("""COMPUTED_VALUE"""),"")</f>
        <v/>
      </c>
      <c r="Q1141" s="5" t="str">
        <f ca="1">IFERROR(__xludf.DUMMYFUNCTION("""COMPUTED_VALUE"""),"")</f>
        <v/>
      </c>
      <c r="R1141" s="6" t="str">
        <f ca="1">IFERROR(__xludf.DUMMYFUNCTION("""COMPUTED_VALUE"""),"")</f>
        <v/>
      </c>
      <c r="S1141" t="str">
        <f ca="1">IFERROR(__xludf.DUMMYFUNCTION("""COMPUTED_VALUE"""),"n/a")</f>
        <v>n/a</v>
      </c>
      <c r="T1141" t="str">
        <f ca="1">IFERROR(__xludf.DUMMYFUNCTION("""COMPUTED_VALUE"""),"n/a")</f>
        <v>n/a</v>
      </c>
      <c r="U1141" t="str">
        <f ca="1">IFERROR(__xludf.DUMMYFUNCTION("""COMPUTED_VALUE"""),"n/a")</f>
        <v>n/a</v>
      </c>
      <c r="V1141" t="str">
        <f ca="1">IFERROR(__xludf.DUMMYFUNCTION("""COMPUTED_VALUE"""),"")</f>
        <v/>
      </c>
      <c r="W1141" t="str">
        <f ca="1">IFERROR(__xludf.DUMMYFUNCTION("""COMPUTED_VALUE"""),"R5")</f>
        <v>R5</v>
      </c>
      <c r="X1141" t="str">
        <f ca="1">IFERROR(__xludf.DUMMYFUNCTION("""COMPUTED_VALUE"""),"U StoreBox")</f>
        <v>U StoreBox</v>
      </c>
      <c r="Y1141" t="str">
        <f ca="1">IFERROR(__xludf.DUMMYFUNCTION("""COMPUTED_VALUE"""),"Primo")</f>
        <v>Primo</v>
      </c>
      <c r="Z1141" t="str">
        <f ca="1">IFERROR(__xludf.DUMMYFUNCTION("""COMPUTED_VALUE"""),"")</f>
        <v/>
      </c>
      <c r="AA1141" t="str">
        <f ca="1">IFERROR(__xludf.DUMMYFUNCTION("""COMPUTED_VALUE"""),"Terminé")</f>
        <v>Terminé</v>
      </c>
      <c r="AB1141" s="8" t="str">
        <f ca="1">IFERROR(__xludf.DUMMYFUNCTION("""COMPUTED_VALUE"""),"")</f>
        <v/>
      </c>
      <c r="AC1141" s="8" t="str">
        <f ca="1">IFERROR(__xludf.DUMMYFUNCTION("""COMPUTED_VALUE"""),"")</f>
        <v/>
      </c>
      <c r="AD1141" s="11" t="str">
        <f ca="1">IFERROR(__xludf.DUMMYFUNCTION("""COMPUTED_VALUE"""),"")</f>
        <v/>
      </c>
      <c r="AE1141" t="str">
        <f ca="1">IFERROR(__xludf.DUMMYFUNCTION("""COMPUTED_VALUE"""),"")</f>
        <v/>
      </c>
    </row>
    <row r="1142" spans="1:31" ht="12.75" x14ac:dyDescent="0.2">
      <c r="A1142">
        <f ca="1">IFERROR(__xludf.DUMMYFUNCTION("""COMPUTED_VALUE"""),32178)</f>
        <v>32178</v>
      </c>
      <c r="B1142" t="str">
        <f ca="1">IFERROR(__xludf.DUMMYFUNCTION("""COMPUTED_VALUE"""),"LES HERBIERS")</f>
        <v>LES HERBIERS</v>
      </c>
      <c r="C1142" t="str">
        <f ca="1">IFERROR(__xludf.DUMMYFUNCTION("""COMPUTED_VALUE"""),"Hyper U")</f>
        <v>Hyper U</v>
      </c>
      <c r="D1142" t="str">
        <f ca="1">IFERROR(__xludf.DUMMYFUNCTION("""COMPUTED_VALUE"""),"Coop U Enseigne Ouest")</f>
        <v>Coop U Enseigne Ouest</v>
      </c>
      <c r="E1142">
        <f ca="1">IFERROR(__xludf.DUMMYFUNCTION("""COMPUTED_VALUE"""),85500)</f>
        <v>85500</v>
      </c>
      <c r="F1142" t="str">
        <f ca="1">IFERROR(__xludf.DUMMYFUNCTION("""COMPUTED_VALUE"""),"AVENUE DE LA MAINE")</f>
        <v>AVENUE DE LA MAINE</v>
      </c>
      <c r="G1142" t="str">
        <f ca="1">IFERROR(__xludf.DUMMYFUNCTION("""COMPUTED_VALUE"""),"02.51.91.02.97")</f>
        <v>02.51.91.02.97</v>
      </c>
      <c r="H1142" t="str">
        <f ca="1">IFERROR(__xludf.DUMMYFUNCTION("""COMPUTED_VALUE"""),"MORIN Dominique")</f>
        <v>MORIN Dominique</v>
      </c>
      <c r="I1142" t="str">
        <f ca="1">IFERROR(__xludf.DUMMYFUNCTION("""COMPUTED_VALUE"""),"dominique.morin@systeme-u.fr")</f>
        <v>dominique.morin@systeme-u.fr</v>
      </c>
      <c r="J1142" t="str">
        <f ca="1">IFERROR(__xludf.DUMMYFUNCTION("""COMPUTED_VALUE"""),"Mr Murzeau")</f>
        <v>Mr Murzeau</v>
      </c>
      <c r="K1142" t="str">
        <f ca="1">IFERROR(__xludf.DUMMYFUNCTION("""COMPUTED_VALUE"""),"hyperu.lesherbiers@systeme-u.fr")</f>
        <v>hyperu.lesherbiers@systeme-u.fr</v>
      </c>
      <c r="L1142" t="str">
        <f ca="1">IFERROR(__xludf.DUMMYFUNCTION("""COMPUTED_VALUE"""),"PiloteTech")</f>
        <v>PiloteTech</v>
      </c>
      <c r="M1142" t="str">
        <f ca="1">IFERROR(__xludf.DUMMYFUNCTION("""COMPUTED_VALUE"""),"3. Migration réalisée")</f>
        <v>3. Migration réalisée</v>
      </c>
      <c r="N1142" t="str">
        <f ca="1">IFERROR(__xludf.DUMMYFUNCTION("""COMPUTED_VALUE"""),"")</f>
        <v/>
      </c>
      <c r="O1142" t="str">
        <f ca="1">IFERROR(__xludf.DUMMYFUNCTION("""COMPUTED_VALUE"""),"")</f>
        <v/>
      </c>
      <c r="P1142" t="str">
        <f ca="1">IFERROR(__xludf.DUMMYFUNCTION("""COMPUTED_VALUE"""),"")</f>
        <v/>
      </c>
      <c r="Q1142" s="5" t="str">
        <f ca="1">IFERROR(__xludf.DUMMYFUNCTION("""COMPUTED_VALUE"""),"")</f>
        <v/>
      </c>
      <c r="R1142" s="6" t="str">
        <f ca="1">IFERROR(__xludf.DUMMYFUNCTION("""COMPUTED_VALUE"""),"")</f>
        <v/>
      </c>
      <c r="S1142" t="str">
        <f ca="1">IFERROR(__xludf.DUMMYFUNCTION("""COMPUTED_VALUE"""),"n/a")</f>
        <v>n/a</v>
      </c>
      <c r="T1142" t="str">
        <f ca="1">IFERROR(__xludf.DUMMYFUNCTION("""COMPUTED_VALUE"""),"n/a")</f>
        <v>n/a</v>
      </c>
      <c r="U1142" t="str">
        <f ca="1">IFERROR(__xludf.DUMMYFUNCTION("""COMPUTED_VALUE"""),"n/a")</f>
        <v>n/a</v>
      </c>
      <c r="V1142" t="str">
        <f ca="1">IFERROR(__xludf.DUMMYFUNCTION("""COMPUTED_VALUE"""),"")</f>
        <v/>
      </c>
      <c r="W1142" t="str">
        <f ca="1">IFERROR(__xludf.DUMMYFUNCTION("""COMPUTED_VALUE"""),"R5")</f>
        <v>R5</v>
      </c>
      <c r="X1142" t="str">
        <f ca="1">IFERROR(__xludf.DUMMYFUNCTION("""COMPUTED_VALUE"""),"U StoreBox")</f>
        <v>U StoreBox</v>
      </c>
      <c r="Y1142" t="str">
        <f ca="1">IFERROR(__xludf.DUMMYFUNCTION("""COMPUTED_VALUE"""),"Primo")</f>
        <v>Primo</v>
      </c>
      <c r="Z1142" t="str">
        <f ca="1">IFERROR(__xludf.DUMMYFUNCTION("""COMPUTED_VALUE"""),"")</f>
        <v/>
      </c>
      <c r="AA1142" t="str">
        <f ca="1">IFERROR(__xludf.DUMMYFUNCTION("""COMPUTED_VALUE"""),"Terminé")</f>
        <v>Terminé</v>
      </c>
      <c r="AB1142" s="8" t="str">
        <f ca="1">IFERROR(__xludf.DUMMYFUNCTION("""COMPUTED_VALUE"""),"")</f>
        <v/>
      </c>
      <c r="AC1142" s="8" t="str">
        <f ca="1">IFERROR(__xludf.DUMMYFUNCTION("""COMPUTED_VALUE"""),"")</f>
        <v/>
      </c>
      <c r="AD1142" s="11" t="str">
        <f ca="1">IFERROR(__xludf.DUMMYFUNCTION("""COMPUTED_VALUE"""),"")</f>
        <v/>
      </c>
      <c r="AE1142" t="str">
        <f ca="1">IFERROR(__xludf.DUMMYFUNCTION("""COMPUTED_VALUE"""),"")</f>
        <v/>
      </c>
    </row>
    <row r="1143" spans="1:31" ht="12.75" x14ac:dyDescent="0.2">
      <c r="A1143">
        <f ca="1">IFERROR(__xludf.DUMMYFUNCTION("""COMPUTED_VALUE"""),30604)</f>
        <v>30604</v>
      </c>
      <c r="B1143" t="str">
        <f ca="1">IFERROR(__xludf.DUMMYFUNCTION("""COMPUTED_VALUE"""),"MAZE")</f>
        <v>MAZE</v>
      </c>
      <c r="C1143" t="str">
        <f ca="1">IFERROR(__xludf.DUMMYFUNCTION("""COMPUTED_VALUE"""),"Super U")</f>
        <v>Super U</v>
      </c>
      <c r="D1143" t="str">
        <f ca="1">IFERROR(__xludf.DUMMYFUNCTION("""COMPUTED_VALUE"""),"Coop U Enseigne Ouest")</f>
        <v>Coop U Enseigne Ouest</v>
      </c>
      <c r="E1143">
        <f ca="1">IFERROR(__xludf.DUMMYFUNCTION("""COMPUTED_VALUE"""),49630)</f>
        <v>49630</v>
      </c>
      <c r="F1143" t="str">
        <f ca="1">IFERROR(__xludf.DUMMYFUNCTION("""COMPUTED_VALUE"""),"LA MACHEFERRIÈRE")</f>
        <v>LA MACHEFERRIÈRE</v>
      </c>
      <c r="G1143" t="str">
        <f ca="1">IFERROR(__xludf.DUMMYFUNCTION("""COMPUTED_VALUE"""),"02.41.66.13.10")</f>
        <v>02.41.66.13.10</v>
      </c>
      <c r="H1143" t="str">
        <f ca="1">IFERROR(__xludf.DUMMYFUNCTION("""COMPUTED_VALUE"""),"MARCHAND RPT SARL PORROIG Richard")</f>
        <v>MARCHAND RPT SARL PORROIG Richard</v>
      </c>
      <c r="I1143" t="str">
        <f ca="1">IFERROR(__xludf.DUMMYFUNCTION("""COMPUTED_VALUE"""),"richard.marchand@systeme-u.fr")</f>
        <v>richard.marchand@systeme-u.fr</v>
      </c>
      <c r="J1143" t="str">
        <f ca="1">IFERROR(__xludf.DUMMYFUNCTION("""COMPUTED_VALUE"""),"Mme CESBRON")</f>
        <v>Mme CESBRON</v>
      </c>
      <c r="K1143" t="str">
        <f ca="1">IFERROR(__xludf.DUMMYFUNCTION("""COMPUTED_VALUE"""),"superu.maze@systeme-u.fr")</f>
        <v>superu.maze@systeme-u.fr</v>
      </c>
      <c r="L1143" t="str">
        <f ca="1">IFERROR(__xludf.DUMMYFUNCTION("""COMPUTED_VALUE"""),"PiloteTech")</f>
        <v>PiloteTech</v>
      </c>
      <c r="M1143" t="str">
        <f ca="1">IFERROR(__xludf.DUMMYFUNCTION("""COMPUTED_VALUE"""),"3. Migration réalisée")</f>
        <v>3. Migration réalisée</v>
      </c>
      <c r="N1143" t="str">
        <f ca="1">IFERROR(__xludf.DUMMYFUNCTION("""COMPUTED_VALUE"""),"")</f>
        <v/>
      </c>
      <c r="O1143" t="str">
        <f ca="1">IFERROR(__xludf.DUMMYFUNCTION("""COMPUTED_VALUE"""),"")</f>
        <v/>
      </c>
      <c r="P1143">
        <f ca="1">IFERROR(__xludf.DUMMYFUNCTION("""COMPUTED_VALUE"""),9)</f>
        <v>9</v>
      </c>
      <c r="Q1143" s="5" t="str">
        <f ca="1">IFERROR(__xludf.DUMMYFUNCTION("""COMPUTED_VALUE"""),"")</f>
        <v/>
      </c>
      <c r="R1143" s="6">
        <f ca="1">IFERROR(__xludf.DUMMYFUNCTION("""COMPUTED_VALUE"""),43156.375)</f>
        <v>43156.375</v>
      </c>
      <c r="S1143" t="str">
        <f ca="1">IFERROR(__xludf.DUMMYFUNCTION("""COMPUTED_VALUE"""),"n/a")</f>
        <v>n/a</v>
      </c>
      <c r="T1143" t="str">
        <f ca="1">IFERROR(__xludf.DUMMYFUNCTION("""COMPUTED_VALUE"""),"n/a")</f>
        <v>n/a</v>
      </c>
      <c r="U1143" t="str">
        <f ca="1">IFERROR(__xludf.DUMMYFUNCTION("""COMPUTED_VALUE"""),"n/a")</f>
        <v>n/a</v>
      </c>
      <c r="V1143" t="str">
        <f ca="1">IFERROR(__xludf.DUMMYFUNCTION("""COMPUTED_VALUE"""),"")</f>
        <v/>
      </c>
      <c r="W1143" t="str">
        <f ca="1">IFERROR(__xludf.DUMMYFUNCTION("""COMPUTED_VALUE"""),"R5")</f>
        <v>R5</v>
      </c>
      <c r="X1143" t="str">
        <f ca="1">IFERROR(__xludf.DUMMYFUNCTION("""COMPUTED_VALUE"""),"U StoreBox")</f>
        <v>U StoreBox</v>
      </c>
      <c r="Y1143" t="str">
        <f ca="1">IFERROR(__xludf.DUMMYFUNCTION("""COMPUTED_VALUE"""),"Mig_std")</f>
        <v>Mig_std</v>
      </c>
      <c r="Z1143" t="str">
        <f ca="1">IFERROR(__xludf.DUMMYFUNCTION("""COMPUTED_VALUE"""),"")</f>
        <v/>
      </c>
      <c r="AA1143" t="str">
        <f ca="1">IFERROR(__xludf.DUMMYFUNCTION("""COMPUTED_VALUE"""),"Terminé")</f>
        <v>Terminé</v>
      </c>
      <c r="AB1143" s="8" t="str">
        <f ca="1">IFERROR(__xludf.DUMMYFUNCTION("""COMPUTED_VALUE"""),"")</f>
        <v/>
      </c>
      <c r="AC1143" s="8" t="str">
        <f ca="1">IFERROR(__xludf.DUMMYFUNCTION("""COMPUTED_VALUE"""),"")</f>
        <v/>
      </c>
      <c r="AD1143" s="11" t="str">
        <f ca="1">IFERROR(__xludf.DUMMYFUNCTION("""COMPUTED_VALUE"""),"")</f>
        <v/>
      </c>
      <c r="AE1143" t="str">
        <f ca="1">IFERROR(__xludf.DUMMYFUNCTION("""COMPUTED_VALUE"""),"")</f>
        <v/>
      </c>
    </row>
    <row r="1144" spans="1:31" ht="12.75" x14ac:dyDescent="0.2">
      <c r="A1144">
        <f ca="1">IFERROR(__xludf.DUMMYFUNCTION("""COMPUTED_VALUE"""),35649)</f>
        <v>35649</v>
      </c>
      <c r="B1144" t="str">
        <f ca="1">IFERROR(__xludf.DUMMYFUNCTION("""COMPUTED_VALUE"""),"MESCHERS")</f>
        <v>MESCHERS</v>
      </c>
      <c r="C1144" t="str">
        <f ca="1">IFERROR(__xludf.DUMMYFUNCTION("""COMPUTED_VALUE"""),"U Express")</f>
        <v>U Express</v>
      </c>
      <c r="D1144" t="str">
        <f ca="1">IFERROR(__xludf.DUMMYFUNCTION("""COMPUTED_VALUE"""),"Coop U Enseigne Ouest")</f>
        <v>Coop U Enseigne Ouest</v>
      </c>
      <c r="E1144">
        <f ca="1">IFERROR(__xludf.DUMMYFUNCTION("""COMPUTED_VALUE"""),17132)</f>
        <v>17132</v>
      </c>
      <c r="F1144" t="str">
        <f ca="1">IFERROR(__xludf.DUMMYFUNCTION("""COMPUTED_VALUE"""),"47 RUE DE L'EGLISE")</f>
        <v>47 RUE DE L'EGLISE</v>
      </c>
      <c r="G1144" t="str">
        <f ca="1">IFERROR(__xludf.DUMMYFUNCTION("""COMPUTED_VALUE"""),"05.46.02.75.23")</f>
        <v>05.46.02.75.23</v>
      </c>
      <c r="H1144" t="str">
        <f ca="1">IFERROR(__xludf.DUMMYFUNCTION("""COMPUTED_VALUE"""),"STERVINOU Yves")</f>
        <v>STERVINOU Yves</v>
      </c>
      <c r="I1144" t="str">
        <f ca="1">IFERROR(__xludf.DUMMYFUNCTION("""COMPUTED_VALUE"""),"yves.stervinou@systeme-u.fr")</f>
        <v>yves.stervinou@systeme-u.fr</v>
      </c>
      <c r="J1144" t="str">
        <f ca="1">IFERROR(__xludf.DUMMYFUNCTION("""COMPUTED_VALUE"""),"LAMOUREUX Vanessa")</f>
        <v>LAMOUREUX Vanessa</v>
      </c>
      <c r="K1144" t="str">
        <f ca="1">IFERROR(__xludf.DUMMYFUNCTION("""COMPUTED_VALUE"""),"superu.meschers.informatique@systeme-u.fr")</f>
        <v>superu.meschers.informatique@systeme-u.fr</v>
      </c>
      <c r="L1144" t="str">
        <f ca="1">IFERROR(__xludf.DUMMYFUNCTION("""COMPUTED_VALUE"""),"PiloteDepl")</f>
        <v>PiloteDepl</v>
      </c>
      <c r="M1144" t="str">
        <f ca="1">IFERROR(__xludf.DUMMYFUNCTION("""COMPUTED_VALUE"""),"3. Migration réalisée")</f>
        <v>3. Migration réalisée</v>
      </c>
      <c r="N1144" t="str">
        <f ca="1">IFERROR(__xludf.DUMMYFUNCTION("""COMPUTED_VALUE"""),"")</f>
        <v/>
      </c>
      <c r="O1144" t="str">
        <f ca="1">IFERROR(__xludf.DUMMYFUNCTION("""COMPUTED_VALUE"""),"07/08 LFO : statut changé à migration planifié, NLA prend en charge la création des VM
09/10 NLA : Migration réalisée")</f>
        <v>07/08 LFO : statut changé à migration planifié, NLA prend en charge la création des VM
09/10 NLA : Migration réalisée</v>
      </c>
      <c r="P1144">
        <f ca="1">IFERROR(__xludf.DUMMYFUNCTION("""COMPUTED_VALUE"""),41)</f>
        <v>41</v>
      </c>
      <c r="Q1144" s="5" t="str">
        <f ca="1">IFERROR(__xludf.DUMMYFUNCTION("""COMPUTED_VALUE"""),"")</f>
        <v/>
      </c>
      <c r="R1144" s="6">
        <f ca="1">IFERROR(__xludf.DUMMYFUNCTION("""COMPUTED_VALUE"""),43382.375)</f>
        <v>43382.375</v>
      </c>
      <c r="S1144" t="str">
        <f ca="1">IFERROR(__xludf.DUMMYFUNCTION("""COMPUTED_VALUE"""),"MEP8510103")</f>
        <v>MEP8510103</v>
      </c>
      <c r="T1144" t="str">
        <f ca="1">IFERROR(__xludf.DUMMYFUNCTION("""COMPUTED_VALUE"""),"MEP8510107")</f>
        <v>MEP8510107</v>
      </c>
      <c r="U1144" t="str">
        <f ca="1">IFERROR(__xludf.DUMMYFUNCTION("""COMPUTED_VALUE"""),"OK")</f>
        <v>OK</v>
      </c>
      <c r="V1144" t="str">
        <f ca="1">IFERROR(__xludf.DUMMYFUNCTION("""COMPUTED_VALUE"""),"10.188.220.237")</f>
        <v>10.188.220.237</v>
      </c>
      <c r="W1144" t="str">
        <f ca="1">IFERROR(__xludf.DUMMYFUNCTION("""COMPUTED_VALUE"""),"R5")</f>
        <v>R5</v>
      </c>
      <c r="X1144" t="str">
        <f ca="1">IFERROR(__xludf.DUMMYFUNCTION("""COMPUTED_VALUE"""),"U StoreBox")</f>
        <v>U StoreBox</v>
      </c>
      <c r="Y1144" t="str">
        <f ca="1">IFERROR(__xludf.DUMMYFUNCTION("""COMPUTED_VALUE"""),"Primo")</f>
        <v>Primo</v>
      </c>
      <c r="Z1144" t="str">
        <f ca="1">IFERROR(__xludf.DUMMYFUNCTION("""COMPUTED_VALUE"""),"")</f>
        <v/>
      </c>
      <c r="AA1144" t="str">
        <f ca="1">IFERROR(__xludf.DUMMYFUNCTION("""COMPUTED_VALUE"""),"Terminé")</f>
        <v>Terminé</v>
      </c>
      <c r="AB1144" s="8">
        <f ca="1">IFERROR(__xludf.DUMMYFUNCTION("""COMPUTED_VALUE"""),43367)</f>
        <v>43367</v>
      </c>
      <c r="AC1144" s="8">
        <f ca="1">IFERROR(__xludf.DUMMYFUNCTION("""COMPUTED_VALUE"""),43374)</f>
        <v>43374</v>
      </c>
      <c r="AD1144" s="11" t="str">
        <f ca="1">IFERROR(__xludf.DUMMYFUNCTION("""COMPUTED_VALUE"""),"")</f>
        <v/>
      </c>
      <c r="AE1144" t="str">
        <f ca="1">IFERROR(__xludf.DUMMYFUNCTION("""COMPUTED_VALUE"""),"utilise des 3 Smart poster.")</f>
        <v>utilise des 3 Smart poster.</v>
      </c>
    </row>
    <row r="1145" spans="1:31" ht="12.75" x14ac:dyDescent="0.2">
      <c r="A1145">
        <f ca="1">IFERROR(__xludf.DUMMYFUNCTION("""COMPUTED_VALUE"""),32127)</f>
        <v>32127</v>
      </c>
      <c r="B1145" t="str">
        <f ca="1">IFERROR(__xludf.DUMMYFUNCTION("""COMPUTED_VALUE"""),"NANTES DALBY")</f>
        <v>NANTES DALBY</v>
      </c>
      <c r="C1145" t="str">
        <f ca="1">IFERROR(__xludf.DUMMYFUNCTION("""COMPUTED_VALUE"""),"Super U")</f>
        <v>Super U</v>
      </c>
      <c r="D1145" t="str">
        <f ca="1">IFERROR(__xludf.DUMMYFUNCTION("""COMPUTED_VALUE"""),"Coop U Enseigne Ouest")</f>
        <v>Coop U Enseigne Ouest</v>
      </c>
      <c r="E1145">
        <f ca="1">IFERROR(__xludf.DUMMYFUNCTION("""COMPUTED_VALUE"""),44000)</f>
        <v>44000</v>
      </c>
      <c r="F1145" t="str">
        <f ca="1">IFERROR(__xludf.DUMMYFUNCTION("""COMPUTED_VALUE"""),"66 BOULEVARD DALBY")</f>
        <v>66 BOULEVARD DALBY</v>
      </c>
      <c r="G1145" t="str">
        <f ca="1">IFERROR(__xludf.DUMMYFUNCTION("""COMPUTED_VALUE"""),"02.40.14.53.00")</f>
        <v>02.40.14.53.00</v>
      </c>
      <c r="H1145" t="str">
        <f ca="1">IFERROR(__xludf.DUMMYFUNCTION("""COMPUTED_VALUE"""),"LEROYER Jean")</f>
        <v>LEROYER Jean</v>
      </c>
      <c r="I1145" t="str">
        <f ca="1">IFERROR(__xludf.DUMMYFUNCTION("""COMPUTED_VALUE"""),"jean.leroyer@systeme-u.fr")</f>
        <v>jean.leroyer@systeme-u.fr</v>
      </c>
      <c r="J1145" t="str">
        <f ca="1">IFERROR(__xludf.DUMMYFUNCTION("""COMPUTED_VALUE"""),"Mme DUPEYROUX")</f>
        <v>Mme DUPEYROUX</v>
      </c>
      <c r="K1145" t="str">
        <f ca="1">IFERROR(__xludf.DUMMYFUNCTION("""COMPUTED_VALUE"""),"superu.nantesdalby.administratif@systeme-u.fr")</f>
        <v>superu.nantesdalby.administratif@systeme-u.fr</v>
      </c>
      <c r="L1145" t="str">
        <f ca="1">IFERROR(__xludf.DUMMYFUNCTION("""COMPUTED_VALUE"""),"PiloteTech")</f>
        <v>PiloteTech</v>
      </c>
      <c r="M1145" t="str">
        <f ca="1">IFERROR(__xludf.DUMMYFUNCTION("""COMPUTED_VALUE"""),"3. Migration réalisée")</f>
        <v>3. Migration réalisée</v>
      </c>
      <c r="N1145" t="str">
        <f ca="1">IFERROR(__xludf.DUMMYFUNCTION("""COMPUTED_VALUE"""),"")</f>
        <v/>
      </c>
      <c r="O1145" t="str">
        <f ca="1">IFERROR(__xludf.DUMMYFUNCTION("""COMPUTED_VALUE"""),"04/07 LLA: Demande de MEP + Mail acces TS gateway OK.
09/07 LLA: Installation effectuée + Package Postes OK
16/07 NLA : Assistance technicien PRICER et IPV sur site : la VM pricer ne remonte pas dans le contrôle de flux.
17/07 NLA : Attente FX pour REX su"&amp;"r pb tech PRICER sur site")</f>
        <v>04/07 LLA: Demande de MEP + Mail acces TS gateway OK.
09/07 LLA: Installation effectuée + Package Postes OK
16/07 NLA : Assistance technicien PRICER et IPV sur site : la VM pricer ne remonte pas dans le contrôle de flux.
17/07 NLA : Attente FX pour REX sur pb tech PRICER sur site</v>
      </c>
      <c r="P1145" t="str">
        <f ca="1">IFERROR(__xludf.DUMMYFUNCTION("""COMPUTED_VALUE"""),"")</f>
        <v/>
      </c>
      <c r="Q1145" s="5" t="str">
        <f ca="1">IFERROR(__xludf.DUMMYFUNCTION("""COMPUTED_VALUE"""),"")</f>
        <v/>
      </c>
      <c r="R1145" s="6" t="str">
        <f ca="1">IFERROR(__xludf.DUMMYFUNCTION("""COMPUTED_VALUE"""),"")</f>
        <v/>
      </c>
      <c r="S1145" t="str">
        <f ca="1">IFERROR(__xludf.DUMMYFUNCTION("""COMPUTED_VALUE"""),"MEP8506206")</f>
        <v>MEP8506206</v>
      </c>
      <c r="T1145" t="str">
        <f ca="1">IFERROR(__xludf.DUMMYFUNCTION("""COMPUTED_VALUE"""),"MEP8506207")</f>
        <v>MEP8506207</v>
      </c>
      <c r="U1145" t="str">
        <f ca="1">IFERROR(__xludf.DUMMYFUNCTION("""COMPUTED_VALUE"""),"OK")</f>
        <v>OK</v>
      </c>
      <c r="V1145" t="str">
        <f ca="1">IFERROR(__xludf.DUMMYFUNCTION("""COMPUTED_VALUE"""),"10.190.88.237")</f>
        <v>10.190.88.237</v>
      </c>
      <c r="W1145" t="str">
        <f ca="1">IFERROR(__xludf.DUMMYFUNCTION("""COMPUTED_VALUE"""),"R5")</f>
        <v>R5</v>
      </c>
      <c r="X1145" t="str">
        <f ca="1">IFERROR(__xludf.DUMMYFUNCTION("""COMPUTED_VALUE"""),"U StoreBox")</f>
        <v>U StoreBox</v>
      </c>
      <c r="Y1145" t="str">
        <f ca="1">IFERROR(__xludf.DUMMYFUNCTION("""COMPUTED_VALUE"""),"Primo")</f>
        <v>Primo</v>
      </c>
      <c r="Z1145" t="str">
        <f ca="1">IFERROR(__xludf.DUMMYFUNCTION("""COMPUTED_VALUE"""),"")</f>
        <v/>
      </c>
      <c r="AA1145" t="str">
        <f ca="1">IFERROR(__xludf.DUMMYFUNCTION("""COMPUTED_VALUE"""),"Terminé")</f>
        <v>Terminé</v>
      </c>
      <c r="AB1145" s="8">
        <f ca="1">IFERROR(__xludf.DUMMYFUNCTION("""COMPUTED_VALUE"""),43283)</f>
        <v>43283</v>
      </c>
      <c r="AC1145" s="8">
        <f ca="1">IFERROR(__xludf.DUMMYFUNCTION("""COMPUTED_VALUE"""),43297)</f>
        <v>43297</v>
      </c>
      <c r="AD1145" s="11" t="str">
        <f ca="1">IFERROR(__xludf.DUMMYFUNCTION("""COMPUTED_VALUE"""),"")</f>
        <v/>
      </c>
      <c r="AE1145" t="str">
        <f ca="1">IFERROR(__xludf.DUMMYFUNCTION("""COMPUTED_VALUE"""),"")</f>
        <v/>
      </c>
    </row>
    <row r="1146" spans="1:31" ht="12.75" x14ac:dyDescent="0.2">
      <c r="A1146">
        <f ca="1">IFERROR(__xludf.DUMMYFUNCTION("""COMPUTED_VALUE"""),35231)</f>
        <v>35231</v>
      </c>
      <c r="B1146" t="str">
        <f ca="1">IFERROR(__xludf.DUMMYFUNCTION("""COMPUTED_VALUE"""),"NANTES ST JACQUES")</f>
        <v>NANTES ST JACQUES</v>
      </c>
      <c r="C1146" t="str">
        <f ca="1">IFERROR(__xludf.DUMMYFUNCTION("""COMPUTED_VALUE"""),"Super U")</f>
        <v>Super U</v>
      </c>
      <c r="D1146" t="str">
        <f ca="1">IFERROR(__xludf.DUMMYFUNCTION("""COMPUTED_VALUE"""),"Coop U Enseigne Ouest")</f>
        <v>Coop U Enseigne Ouest</v>
      </c>
      <c r="E1146">
        <f ca="1">IFERROR(__xludf.DUMMYFUNCTION("""COMPUTED_VALUE"""),44200)</f>
        <v>44200</v>
      </c>
      <c r="F1146" t="str">
        <f ca="1">IFERROR(__xludf.DUMMYFUNCTION("""COMPUTED_VALUE"""),"75 BD JOLIOT CURIE")</f>
        <v>75 BD JOLIOT CURIE</v>
      </c>
      <c r="G1146" t="str">
        <f ca="1">IFERROR(__xludf.DUMMYFUNCTION("""COMPUTED_VALUE"""),"02.40.13.15.25")</f>
        <v>02.40.13.15.25</v>
      </c>
      <c r="H1146" t="str">
        <f ca="1">IFERROR(__xludf.DUMMYFUNCTION("""COMPUTED_VALUE"""),"GRENON RPT AM FINANCES Sandrine")</f>
        <v>GRENON RPT AM FINANCES Sandrine</v>
      </c>
      <c r="I1146" t="str">
        <f ca="1">IFERROR(__xludf.DUMMYFUNCTION("""COMPUTED_VALUE"""),"sandrine.grenon@systeme-u.fr")</f>
        <v>sandrine.grenon@systeme-u.fr</v>
      </c>
      <c r="J1146" t="str">
        <f ca="1">IFERROR(__xludf.DUMMYFUNCTION("""COMPUTED_VALUE"""),"Odile Pabois
Grenon Sandrine")</f>
        <v>Odile Pabois
Grenon Sandrine</v>
      </c>
      <c r="K1146" t="str">
        <f ca="1">IFERROR(__xludf.DUMMYFUNCTION("""COMPUTED_VALUE"""),"sandrine.grenon@systeme-u.fr")</f>
        <v>sandrine.grenon@systeme-u.fr</v>
      </c>
      <c r="L1146" t="str">
        <f ca="1">IFERROR(__xludf.DUMMYFUNCTION("""COMPUTED_VALUE"""),"")</f>
        <v/>
      </c>
      <c r="M1146" t="str">
        <f ca="1">IFERROR(__xludf.DUMMYFUNCTION("""COMPUTED_VALUE"""),"3. Migration réalisée")</f>
        <v>3. Migration réalisée</v>
      </c>
      <c r="N1146" t="str">
        <f ca="1">IFERROR(__xludf.DUMMYFUNCTION("""COMPUTED_VALUE"""),"")</f>
        <v/>
      </c>
      <c r="O1146" t="str">
        <f ca="1">IFERROR(__xludf.DUMMYFUNCTION("""COMPUTED_VALUE"""),"25/09 ERI MP le 04/10/2018 - Ref Mme Chesnin (Mme Grenon normalement absente)
04/10 NLA : Migration réalisée - Action DI OK , retour de PRICER/Sébastien Verdier : Pb avec les PDAs --&gt; En cours avec l'équipe WIFI
04/10 NLA : Retour de l'équipe wifi : IPV a"&amp;" traité le pb (INC9663617)")</f>
        <v>25/09 ERI MP le 04/10/2018 - Ref Mme Chesnin (Mme Grenon normalement absente)
04/10 NLA : Migration réalisée - Action DI OK , retour de PRICER/Sébastien Verdier : Pb avec les PDAs --&gt; En cours avec l'équipe WIFI
04/10 NLA : Retour de l'équipe wifi : IPV a traité le pb (INC9663617)</v>
      </c>
      <c r="P1146">
        <f ca="1">IFERROR(__xludf.DUMMYFUNCTION("""COMPUTED_VALUE"""),40)</f>
        <v>40</v>
      </c>
      <c r="Q1146" s="5" t="str">
        <f ca="1">IFERROR(__xludf.DUMMYFUNCTION("""COMPUTED_VALUE"""),"")</f>
        <v/>
      </c>
      <c r="R1146" s="6">
        <f ca="1">IFERROR(__xludf.DUMMYFUNCTION("""COMPUTED_VALUE"""),43377.4166666666)</f>
        <v>43377.416666666599</v>
      </c>
      <c r="S1146" t="str">
        <f ca="1">IFERROR(__xludf.DUMMYFUNCTION("""COMPUTED_VALUE"""),"MEP8510087")</f>
        <v>MEP8510087</v>
      </c>
      <c r="T1146" t="str">
        <f ca="1">IFERROR(__xludf.DUMMYFUNCTION("""COMPUTED_VALUE"""),"MEP8510089")</f>
        <v>MEP8510089</v>
      </c>
      <c r="U1146" t="str">
        <f ca="1">IFERROR(__xludf.DUMMYFUNCTION("""COMPUTED_VALUE"""),"OK")</f>
        <v>OK</v>
      </c>
      <c r="V1146" t="str">
        <f ca="1">IFERROR(__xludf.DUMMYFUNCTION("""COMPUTED_VALUE"""),"10.190.68.237")</f>
        <v>10.190.68.237</v>
      </c>
      <c r="W1146" t="str">
        <f ca="1">IFERROR(__xludf.DUMMYFUNCTION("""COMPUTED_VALUE"""),"R5")</f>
        <v>R5</v>
      </c>
      <c r="X1146" t="str">
        <f ca="1">IFERROR(__xludf.DUMMYFUNCTION("""COMPUTED_VALUE"""),"U StoreBox")</f>
        <v>U StoreBox</v>
      </c>
      <c r="Y1146" t="str">
        <f ca="1">IFERROR(__xludf.DUMMYFUNCTION("""COMPUTED_VALUE"""),"Primo")</f>
        <v>Primo</v>
      </c>
      <c r="Z1146" t="str">
        <f ca="1">IFERROR(__xludf.DUMMYFUNCTION("""COMPUTED_VALUE"""),"")</f>
        <v/>
      </c>
      <c r="AA1146" t="str">
        <f ca="1">IFERROR(__xludf.DUMMYFUNCTION("""COMPUTED_VALUE"""),"Terminé")</f>
        <v>Terminé</v>
      </c>
      <c r="AB1146" s="8">
        <f ca="1">IFERROR(__xludf.DUMMYFUNCTION("""COMPUTED_VALUE"""),43368)</f>
        <v>43368</v>
      </c>
      <c r="AC1146" s="8">
        <f ca="1">IFERROR(__xludf.DUMMYFUNCTION("""COMPUTED_VALUE"""),43377)</f>
        <v>43377</v>
      </c>
      <c r="AD1146" s="11">
        <f ca="1">IFERROR(__xludf.DUMMYFUNCTION("""COMPUTED_VALUE"""),43389)</f>
        <v>43389</v>
      </c>
      <c r="AE1146" t="str">
        <f ca="1">IFERROR(__xludf.DUMMYFUNCTION("""COMPUTED_VALUE"""),"Formation décalée au 16/10/2018 car problème Wifi en magasin (en cours de résolution par l'OPV)")</f>
        <v>Formation décalée au 16/10/2018 car problème Wifi en magasin (en cours de résolution par l'OPV)</v>
      </c>
    </row>
    <row r="1147" spans="1:31" ht="12.75" x14ac:dyDescent="0.2">
      <c r="A1147">
        <f ca="1">IFERROR(__xludf.DUMMYFUNCTION("""COMPUTED_VALUE"""),95168)</f>
        <v>95168</v>
      </c>
      <c r="B1147" t="str">
        <f ca="1">IFERROR(__xludf.DUMMYFUNCTION("""COMPUTED_VALUE"""),"NOE")</f>
        <v>NOE</v>
      </c>
      <c r="C1147" t="str">
        <f ca="1">IFERROR(__xludf.DUMMYFUNCTION("""COMPUTED_VALUE"""),"Super U")</f>
        <v>Super U</v>
      </c>
      <c r="D1147" t="str">
        <f ca="1">IFERROR(__xludf.DUMMYFUNCTION("""COMPUTED_VALUE"""),"Coop U Enseigne Sud")</f>
        <v>Coop U Enseigne Sud</v>
      </c>
      <c r="E1147">
        <f ca="1">IFERROR(__xludf.DUMMYFUNCTION("""COMPUTED_VALUE"""),31410)</f>
        <v>31410</v>
      </c>
      <c r="F1147" t="str">
        <f ca="1">IFERROR(__xludf.DUMMYFUNCTION("""COMPUTED_VALUE"""),"RD 617 LA MALADRERIE")</f>
        <v>RD 617 LA MALADRERIE</v>
      </c>
      <c r="G1147" t="str">
        <f ca="1">IFERROR(__xludf.DUMMYFUNCTION("""COMPUTED_VALUE"""),"05.61.87.71.30")</f>
        <v>05.61.87.71.30</v>
      </c>
      <c r="H1147" t="str">
        <f ca="1">IFERROR(__xludf.DUMMYFUNCTION("""COMPUTED_VALUE"""),"BERNOIS Laurent")</f>
        <v>BERNOIS Laurent</v>
      </c>
      <c r="I1147" t="str">
        <f ca="1">IFERROR(__xludf.DUMMYFUNCTION("""COMPUTED_VALUE"""),"laurent.bernois@systeme-u.fr")</f>
        <v>laurent.bernois@systeme-u.fr</v>
      </c>
      <c r="J1147" t="str">
        <f ca="1">IFERROR(__xludf.DUMMYFUNCTION("""COMPUTED_VALUE"""),"Mathilde (UPLV)")</f>
        <v>Mathilde (UPLV)</v>
      </c>
      <c r="K1147" t="str">
        <f ca="1">IFERROR(__xludf.DUMMYFUNCTION("""COMPUTED_VALUE"""),"superu.noe@systeme-u.fr")</f>
        <v>superu.noe@systeme-u.fr</v>
      </c>
      <c r="L1147" t="str">
        <f ca="1">IFERROR(__xludf.DUMMYFUNCTION("""COMPUTED_VALUE"""),"PiloteTech")</f>
        <v>PiloteTech</v>
      </c>
      <c r="M1147" t="str">
        <f ca="1">IFERROR(__xludf.DUMMYFUNCTION("""COMPUTED_VALUE"""),"3. Migration réalisée")</f>
        <v>3. Migration réalisée</v>
      </c>
      <c r="N1147" t="str">
        <f ca="1">IFERROR(__xludf.DUMMYFUNCTION("""COMPUTED_VALUE"""),"")</f>
        <v/>
      </c>
      <c r="O1147" t="str">
        <f ca="1">IFERROR(__xludf.DUMMYFUNCTION("""COMPUTED_VALUE"""),"")</f>
        <v/>
      </c>
      <c r="P1147">
        <f ca="1">IFERROR(__xludf.DUMMYFUNCTION("""COMPUTED_VALUE"""),27)</f>
        <v>27</v>
      </c>
      <c r="Q1147" s="5" t="str">
        <f ca="1">IFERROR(__xludf.DUMMYFUNCTION("""COMPUTED_VALUE"""),"")</f>
        <v/>
      </c>
      <c r="R1147" s="6">
        <f ca="1">IFERROR(__xludf.DUMMYFUNCTION("""COMPUTED_VALUE"""),43283)</f>
        <v>43283</v>
      </c>
      <c r="S1147" t="str">
        <f ca="1">IFERROR(__xludf.DUMMYFUNCTION("""COMPUTED_VALUE"""),"n/a")</f>
        <v>n/a</v>
      </c>
      <c r="T1147" t="str">
        <f ca="1">IFERROR(__xludf.DUMMYFUNCTION("""COMPUTED_VALUE"""),"n/a")</f>
        <v>n/a</v>
      </c>
      <c r="U1147" t="str">
        <f ca="1">IFERROR(__xludf.DUMMYFUNCTION("""COMPUTED_VALUE"""),"n/a")</f>
        <v>n/a</v>
      </c>
      <c r="V1147" t="str">
        <f ca="1">IFERROR(__xludf.DUMMYFUNCTION("""COMPUTED_VALUE"""),"")</f>
        <v/>
      </c>
      <c r="W1147" t="str">
        <f ca="1">IFERROR(__xludf.DUMMYFUNCTION("""COMPUTED_VALUE"""),"R5")</f>
        <v>R5</v>
      </c>
      <c r="X1147" t="str">
        <f ca="1">IFERROR(__xludf.DUMMYFUNCTION("""COMPUTED_VALUE"""),"U StoreBox")</f>
        <v>U StoreBox</v>
      </c>
      <c r="Y1147" t="str">
        <f ca="1">IFERROR(__xludf.DUMMYFUNCTION("""COMPUTED_VALUE"""),"Mig_spe")</f>
        <v>Mig_spe</v>
      </c>
      <c r="Z1147" t="str">
        <f ca="1">IFERROR(__xludf.DUMMYFUNCTION("""COMPUTED_VALUE"""),"")</f>
        <v/>
      </c>
      <c r="AA1147" t="str">
        <f ca="1">IFERROR(__xludf.DUMMYFUNCTION("""COMPUTED_VALUE"""),"Terminé")</f>
        <v>Terminé</v>
      </c>
      <c r="AB1147" s="8" t="str">
        <f ca="1">IFERROR(__xludf.DUMMYFUNCTION("""COMPUTED_VALUE"""),"")</f>
        <v/>
      </c>
      <c r="AC1147" s="8" t="str">
        <f ca="1">IFERROR(__xludf.DUMMYFUNCTION("""COMPUTED_VALUE"""),"")</f>
        <v/>
      </c>
      <c r="AD1147" s="11" t="str">
        <f ca="1">IFERROR(__xludf.DUMMYFUNCTION("""COMPUTED_VALUE"""),"")</f>
        <v/>
      </c>
      <c r="AE1147" t="str">
        <f ca="1">IFERROR(__xludf.DUMMYFUNCTION("""COMPUTED_VALUE"""),"")</f>
        <v/>
      </c>
    </row>
    <row r="1148" spans="1:31" ht="12.75" x14ac:dyDescent="0.2">
      <c r="A1148">
        <f ca="1">IFERROR(__xludf.DUMMYFUNCTION("""COMPUTED_VALUE"""),24642)</f>
        <v>24642</v>
      </c>
      <c r="B1148" t="str">
        <f ca="1">IFERROR(__xludf.DUMMYFUNCTION("""COMPUTED_VALUE"""),"PARIS OBERKAMPF")</f>
        <v>PARIS OBERKAMPF</v>
      </c>
      <c r="C1148" t="str">
        <f ca="1">IFERROR(__xludf.DUMMYFUNCTION("""COMPUTED_VALUE"""),"U Express")</f>
        <v>U Express</v>
      </c>
      <c r="D1148" t="str">
        <f ca="1">IFERROR(__xludf.DUMMYFUNCTION("""COMPUTED_VALUE"""),"Coop U Enseigne NordOuest")</f>
        <v>Coop U Enseigne NordOuest</v>
      </c>
      <c r="E1148">
        <f ca="1">IFERROR(__xludf.DUMMYFUNCTION("""COMPUTED_VALUE"""),75011)</f>
        <v>75011</v>
      </c>
      <c r="F1148" t="str">
        <f ca="1">IFERROR(__xludf.DUMMYFUNCTION("""COMPUTED_VALUE"""),"46-48 RUE OBERKAMPF")</f>
        <v>46-48 RUE OBERKAMPF</v>
      </c>
      <c r="G1148" t="str">
        <f ca="1">IFERROR(__xludf.DUMMYFUNCTION("""COMPUTED_VALUE"""),"01.43.57.38.80")</f>
        <v>01.43.57.38.80</v>
      </c>
      <c r="H1148" t="str">
        <f ca="1">IFERROR(__xludf.DUMMYFUNCTION("""COMPUTED_VALUE"""),"LACAVE Gilles")</f>
        <v>LACAVE Gilles</v>
      </c>
      <c r="I1148" t="str">
        <f ca="1">IFERROR(__xludf.DUMMYFUNCTION("""COMPUTED_VALUE"""),"gilles.lacave@systeme-u.fr")</f>
        <v>gilles.lacave@systeme-u.fr</v>
      </c>
      <c r="J1148" t="str">
        <f ca="1">IFERROR(__xludf.DUMMYFUNCTION("""COMPUTED_VALUE"""),"Mr BURGUET Bernard")</f>
        <v>Mr BURGUET Bernard</v>
      </c>
      <c r="K1148" t="str">
        <f ca="1">IFERROR(__xludf.DUMMYFUNCTION("""COMPUTED_VALUE"""),"uexpress.paris.oberkampf@systeme-u.fr")</f>
        <v>uexpress.paris.oberkampf@systeme-u.fr</v>
      </c>
      <c r="L1148" t="str">
        <f ca="1">IFERROR(__xludf.DUMMYFUNCTION("""COMPUTED_VALUE"""),"PiloteTech")</f>
        <v>PiloteTech</v>
      </c>
      <c r="M1148" t="str">
        <f ca="1">IFERROR(__xludf.DUMMYFUNCTION("""COMPUTED_VALUE"""),"3. Migration réalisée")</f>
        <v>3. Migration réalisée</v>
      </c>
      <c r="N1148" t="str">
        <f ca="1">IFERROR(__xludf.DUMMYFUNCTION("""COMPUTED_VALUE"""),"")</f>
        <v/>
      </c>
      <c r="O1148" t="str">
        <f ca="1">IFERROR(__xludf.DUMMYFUNCTION("""COMPUTED_VALUE"""),"")</f>
        <v/>
      </c>
      <c r="P1148" t="str">
        <f ca="1">IFERROR(__xludf.DUMMYFUNCTION("""COMPUTED_VALUE"""),"")</f>
        <v/>
      </c>
      <c r="Q1148" s="5" t="str">
        <f ca="1">IFERROR(__xludf.DUMMYFUNCTION("""COMPUTED_VALUE"""),"")</f>
        <v/>
      </c>
      <c r="R1148" s="6" t="str">
        <f ca="1">IFERROR(__xludf.DUMMYFUNCTION("""COMPUTED_VALUE"""),"")</f>
        <v/>
      </c>
      <c r="S1148" t="str">
        <f ca="1">IFERROR(__xludf.DUMMYFUNCTION("""COMPUTED_VALUE"""),"n/a")</f>
        <v>n/a</v>
      </c>
      <c r="T1148" t="str">
        <f ca="1">IFERROR(__xludf.DUMMYFUNCTION("""COMPUTED_VALUE"""),"n/a")</f>
        <v>n/a</v>
      </c>
      <c r="U1148" t="str">
        <f ca="1">IFERROR(__xludf.DUMMYFUNCTION("""COMPUTED_VALUE"""),"n/a")</f>
        <v>n/a</v>
      </c>
      <c r="V1148" t="str">
        <f ca="1">IFERROR(__xludf.DUMMYFUNCTION("""COMPUTED_VALUE"""),"")</f>
        <v/>
      </c>
      <c r="W1148" t="str">
        <f ca="1">IFERROR(__xludf.DUMMYFUNCTION("""COMPUTED_VALUE"""),"R5")</f>
        <v>R5</v>
      </c>
      <c r="X1148" t="str">
        <f ca="1">IFERROR(__xludf.DUMMYFUNCTION("""COMPUTED_VALUE"""),"U StoreBox")</f>
        <v>U StoreBox</v>
      </c>
      <c r="Y1148" t="str">
        <f ca="1">IFERROR(__xludf.DUMMYFUNCTION("""COMPUTED_VALUE"""),"Primo")</f>
        <v>Primo</v>
      </c>
      <c r="Z1148" t="str">
        <f ca="1">IFERROR(__xludf.DUMMYFUNCTION("""COMPUTED_VALUE"""),"")</f>
        <v/>
      </c>
      <c r="AA1148" t="str">
        <f ca="1">IFERROR(__xludf.DUMMYFUNCTION("""COMPUTED_VALUE"""),"Terminé")</f>
        <v>Terminé</v>
      </c>
      <c r="AB1148" s="8" t="str">
        <f ca="1">IFERROR(__xludf.DUMMYFUNCTION("""COMPUTED_VALUE"""),"")</f>
        <v/>
      </c>
      <c r="AC1148" s="8" t="str">
        <f ca="1">IFERROR(__xludf.DUMMYFUNCTION("""COMPUTED_VALUE"""),"")</f>
        <v/>
      </c>
      <c r="AD1148" s="11" t="str">
        <f ca="1">IFERROR(__xludf.DUMMYFUNCTION("""COMPUTED_VALUE"""),"")</f>
        <v/>
      </c>
      <c r="AE1148" t="str">
        <f ca="1">IFERROR(__xludf.DUMMYFUNCTION("""COMPUTED_VALUE"""),"")</f>
        <v/>
      </c>
    </row>
    <row r="1149" spans="1:31" ht="12.75" x14ac:dyDescent="0.2">
      <c r="A1149">
        <f ca="1">IFERROR(__xludf.DUMMYFUNCTION("""COMPUTED_VALUE"""),90168)</f>
        <v>90168</v>
      </c>
      <c r="B1149" t="str">
        <f ca="1">IFERROR(__xludf.DUMMYFUNCTION("""COMPUTED_VALUE"""),"PLASCASSIER DE GRASSE")</f>
        <v>PLASCASSIER DE GRASSE</v>
      </c>
      <c r="C1149" t="str">
        <f ca="1">IFERROR(__xludf.DUMMYFUNCTION("""COMPUTED_VALUE"""),"Super U")</f>
        <v>Super U</v>
      </c>
      <c r="D1149" t="str">
        <f ca="1">IFERROR(__xludf.DUMMYFUNCTION("""COMPUTED_VALUE"""),"Coop U Enseigne Sud")</f>
        <v>Coop U Enseigne Sud</v>
      </c>
      <c r="E1149">
        <f ca="1">IFERROR(__xludf.DUMMYFUNCTION("""COMPUTED_VALUE"""),6130)</f>
        <v>6130</v>
      </c>
      <c r="F1149" t="str">
        <f ca="1">IFERROR(__xludf.DUMMYFUNCTION("""COMPUTED_VALUE"""),"28 ROUTE DE VALBONNE")</f>
        <v>28 ROUTE DE VALBONNE</v>
      </c>
      <c r="G1149" t="str">
        <f ca="1">IFERROR(__xludf.DUMMYFUNCTION("""COMPUTED_VALUE"""),"04.93.40.57.00")</f>
        <v>04.93.40.57.00</v>
      </c>
      <c r="H1149" t="str">
        <f ca="1">IFERROR(__xludf.DUMMYFUNCTION("""COMPUTED_VALUE"""),"BOURASSIN Benoit")</f>
        <v>BOURASSIN Benoit</v>
      </c>
      <c r="I1149" t="str">
        <f ca="1">IFERROR(__xludf.DUMMYFUNCTION("""COMPUTED_VALUE"""),"clement.bourassin@systeme-u.fr")</f>
        <v>clement.bourassin@systeme-u.fr</v>
      </c>
      <c r="J1149" t="str">
        <f ca="1">IFERROR(__xludf.DUMMYFUNCTION("""COMPUTED_VALUE"""),"Thomas BOQUET")</f>
        <v>Thomas BOQUET</v>
      </c>
      <c r="K1149" t="str">
        <f ca="1">IFERROR(__xludf.DUMMYFUNCTION("""COMPUTED_VALUE"""),"superu.plascassier@systeme-u.fr")</f>
        <v>superu.plascassier@systeme-u.fr</v>
      </c>
      <c r="L1149" t="str">
        <f ca="1">IFERROR(__xludf.DUMMYFUNCTION("""COMPUTED_VALUE"""),"PiloteDepl")</f>
        <v>PiloteDepl</v>
      </c>
      <c r="M1149" t="str">
        <f ca="1">IFERROR(__xludf.DUMMYFUNCTION("""COMPUTED_VALUE"""),"3. Migration réalisée")</f>
        <v>3. Migration réalisée</v>
      </c>
      <c r="N1149" t="str">
        <f ca="1">IFERROR(__xludf.DUMMYFUNCTION("""COMPUTED_VALUE"""),"")</f>
        <v/>
      </c>
      <c r="O1149" t="str">
        <f ca="1">IFERROR(__xludf.DUMMYFUNCTION("""COMPUTED_VALUE"""),"25/07 BBL : Mail de S.Chaneliere sur commande primo de ce pdv.
10/08 LFO : Nous avons reçu la liste de pre réquis, date d'intallation 10/09, Primo donc je passe à migration planifié
06/09 NLA : Création de la VM en urgence suite à la demande de la cellule"&amp;" projet
11/09 BBL : Information de l'équipe projet PDV, MAKE IP de ce pDV le 16/10, l'IP de la VM Pricer changera.
17/09 NLA : Demande de recette d'exploit.
18/09 NLA : Initialisation migration
19/09 NLA : Retour PRICER Migration OK 
09/10 NLA : Appel de "&amp;"Steeve / Technicien PRICER pour déployer les raccourcis sur les postes clients en fonction du nouveau fichier de prérequis (05/10)")</f>
        <v>25/07 BBL : Mail de S.Chaneliere sur commande primo de ce pdv.
10/08 LFO : Nous avons reçu la liste de pre réquis, date d'intallation 10/09, Primo donc je passe à migration planifié
06/09 NLA : Création de la VM en urgence suite à la demande de la cellule projet
11/09 BBL : Information de l'équipe projet PDV, MAKE IP de ce pDV le 16/10, l'IP de la VM Pricer changera.
17/09 NLA : Demande de recette d'exploit.
18/09 NLA : Initialisation migration
19/09 NLA : Retour PRICER Migration OK 
09/10 NLA : Appel de Steeve / Technicien PRICER pour déployer les raccourcis sur les postes clients en fonction du nouveau fichier de prérequis (05/10)</v>
      </c>
      <c r="P1149">
        <f ca="1">IFERROR(__xludf.DUMMYFUNCTION("""COMPUTED_VALUE"""),38)</f>
        <v>38</v>
      </c>
      <c r="Q1149" s="5" t="str">
        <f ca="1">IFERROR(__xludf.DUMMYFUNCTION("""COMPUTED_VALUE"""),"")</f>
        <v/>
      </c>
      <c r="R1149" s="6">
        <f ca="1">IFERROR(__xludf.DUMMYFUNCTION("""COMPUTED_VALUE"""),43361.375)</f>
        <v>43361.375</v>
      </c>
      <c r="S1149" t="str">
        <f ca="1">IFERROR(__xludf.DUMMYFUNCTION("""COMPUTED_VALUE"""),"MEP8508885")</f>
        <v>MEP8508885</v>
      </c>
      <c r="T1149" t="str">
        <f ca="1">IFERROR(__xludf.DUMMYFUNCTION("""COMPUTED_VALUE"""),"MEP8509470")</f>
        <v>MEP8509470</v>
      </c>
      <c r="U1149" t="str">
        <f ca="1">IFERROR(__xludf.DUMMYFUNCTION("""COMPUTED_VALUE"""),"OK")</f>
        <v>OK</v>
      </c>
      <c r="V1149" t="str">
        <f ca="1">IFERROR(__xludf.DUMMYFUNCTION("""COMPUTED_VALUE"""),"10.161.33.237")</f>
        <v>10.161.33.237</v>
      </c>
      <c r="W1149" t="str">
        <f ca="1">IFERROR(__xludf.DUMMYFUNCTION("""COMPUTED_VALUE"""),"R5")</f>
        <v>R5</v>
      </c>
      <c r="X1149" t="str">
        <f ca="1">IFERROR(__xludf.DUMMYFUNCTION("""COMPUTED_VALUE"""),"U StoreBox")</f>
        <v>U StoreBox</v>
      </c>
      <c r="Y1149" t="str">
        <f ca="1">IFERROR(__xludf.DUMMYFUNCTION("""COMPUTED_VALUE"""),"Primo")</f>
        <v>Primo</v>
      </c>
      <c r="Z1149" t="str">
        <f ca="1">IFERROR(__xludf.DUMMYFUNCTION("""COMPUTED_VALUE"""),"")</f>
        <v/>
      </c>
      <c r="AA1149" t="str">
        <f ca="1">IFERROR(__xludf.DUMMYFUNCTION("""COMPUTED_VALUE"""),"Terminé")</f>
        <v>Terminé</v>
      </c>
      <c r="AB1149" s="8">
        <f ca="1">IFERROR(__xludf.DUMMYFUNCTION("""COMPUTED_VALUE"""),43361)</f>
        <v>43361</v>
      </c>
      <c r="AC1149" s="8">
        <f ca="1">IFERROR(__xludf.DUMMYFUNCTION("""COMPUTED_VALUE"""),43362)</f>
        <v>43362</v>
      </c>
      <c r="AD1149" s="11" t="str">
        <f ca="1">IFERROR(__xludf.DUMMYFUNCTION("""COMPUTED_VALUE"""),"")</f>
        <v/>
      </c>
      <c r="AE1149" t="str">
        <f ca="1">IFERROR(__xludf.DUMMYFUNCTION("""COMPUTED_VALUE"""),"Retard chantier bureaux mise en service et formation début octobre à confirmer.
05/10 SVE : Bascule nouvelle norme réseau (10.161.33.237 /24  &gt; 10.103.28.237 /22) le 16/10. IPV informé pour DNS basestation + config export Ulis
18/10 SVE : Changement effec"&amp;"tué, infra OK, MAJ OK.
31/10 SVE : Demande d'ajout de raccourcis client sur 2 postes :
-	PC DIR 90168-FRAIS IP 10.103.29.1 raccourcis Pricer Client
-	PC ACCEUIL PLASCASSIER-ACC IP 10.103.29.4 raccourcis Pricer simple et Vidage Scanflash
")</f>
        <v xml:space="preserve">Retard chantier bureaux mise en service et formation début octobre à confirmer.
05/10 SVE : Bascule nouvelle norme réseau (10.161.33.237 /24  &gt; 10.103.28.237 /22) le 16/10. IPV informé pour DNS basestation + config export Ulis
18/10 SVE : Changement effectué, infra OK, MAJ OK.
31/10 SVE : Demande d'ajout de raccourcis client sur 2 postes :
-	PC DIR 90168-FRAIS IP 10.103.29.1 raccourcis Pricer Client
-	PC ACCEUIL PLASCASSIER-ACC IP 10.103.29.4 raccourcis Pricer simple et Vidage Scanflash
</v>
      </c>
    </row>
    <row r="1150" spans="1:31" ht="12.75" x14ac:dyDescent="0.2">
      <c r="A1150">
        <f ca="1">IFERROR(__xludf.DUMMYFUNCTION("""COMPUTED_VALUE"""),68533)</f>
        <v>68533</v>
      </c>
      <c r="B1150" t="str">
        <f ca="1">IFERROR(__xludf.DUMMYFUNCTION("""COMPUTED_VALUE"""),"REIMS VILLAGE")</f>
        <v>REIMS VILLAGE</v>
      </c>
      <c r="C1150" t="str">
        <f ca="1">IFERROR(__xludf.DUMMYFUNCTION("""COMPUTED_VALUE"""),"Hyper U")</f>
        <v>Hyper U</v>
      </c>
      <c r="D1150" t="str">
        <f ca="1">IFERROR(__xludf.DUMMYFUNCTION("""COMPUTED_VALUE"""),"Coop U Enseigne Est")</f>
        <v>Coop U Enseigne Est</v>
      </c>
      <c r="E1150">
        <f ca="1">IFERROR(__xludf.DUMMYFUNCTION("""COMPUTED_VALUE"""),51100)</f>
        <v>51100</v>
      </c>
      <c r="F1150" t="str">
        <f ca="1">IFERROR(__xludf.DUMMYFUNCTION("""COMPUTED_VALUE"""),"RUE JACQUES DE LA GIRAUDIERE")</f>
        <v>RUE JACQUES DE LA GIRAUDIERE</v>
      </c>
      <c r="G1150" t="str">
        <f ca="1">IFERROR(__xludf.DUMMYFUNCTION("""COMPUTED_VALUE"""),"03.52.62.62.72")</f>
        <v>03.52.62.62.72</v>
      </c>
      <c r="H1150" t="str">
        <f ca="1">IFERROR(__xludf.DUMMYFUNCTION("""COMPUTED_VALUE"""),"MACHET Alexandre")</f>
        <v>MACHET Alexandre</v>
      </c>
      <c r="I1150" t="str">
        <f ca="1">IFERROR(__xludf.DUMMYFUNCTION("""COMPUTED_VALUE"""),"alexandre.machet@systeme-u.fr")</f>
        <v>alexandre.machet@systeme-u.fr</v>
      </c>
      <c r="J1150" t="str">
        <f ca="1">IFERROR(__xludf.DUMMYFUNCTION("""COMPUTED_VALUE"""),"Mme Machet")</f>
        <v>Mme Machet</v>
      </c>
      <c r="K1150" t="str">
        <f ca="1">IFERROR(__xludf.DUMMYFUNCTION("""COMPUTED_VALUE"""),"sylvie.machet@systeme-u.fr")</f>
        <v>sylvie.machet@systeme-u.fr</v>
      </c>
      <c r="L1150" t="str">
        <f ca="1">IFERROR(__xludf.DUMMYFUNCTION("""COMPUTED_VALUE"""),"Standard")</f>
        <v>Standard</v>
      </c>
      <c r="M1150" t="str">
        <f ca="1">IFERROR(__xludf.DUMMYFUNCTION("""COMPUTED_VALUE"""),"0. Non démarré")</f>
        <v>0. Non démarré</v>
      </c>
      <c r="N1150" t="str">
        <f ca="1">IFERROR(__xludf.DUMMYFUNCTION("""COMPUTED_VALUE"""),"")</f>
        <v/>
      </c>
      <c r="O1150" t="str">
        <f ca="1">IFERROR(__xludf.DUMMYFUNCTION("""COMPUTED_VALUE"""),"")</f>
        <v/>
      </c>
      <c r="P1150" t="str">
        <f ca="1">IFERROR(__xludf.DUMMYFUNCTION("""COMPUTED_VALUE"""),"")</f>
        <v/>
      </c>
      <c r="Q1150" s="5" t="str">
        <f ca="1">IFERROR(__xludf.DUMMYFUNCTION("""COMPUTED_VALUE"""),"")</f>
        <v/>
      </c>
      <c r="R1150" s="6" t="str">
        <f ca="1">IFERROR(__xludf.DUMMYFUNCTION("""COMPUTED_VALUE"""),"")</f>
        <v/>
      </c>
      <c r="S1150" t="str">
        <f ca="1">IFERROR(__xludf.DUMMYFUNCTION("""COMPUTED_VALUE"""),"")</f>
        <v/>
      </c>
      <c r="T1150" t="str">
        <f ca="1">IFERROR(__xludf.DUMMYFUNCTION("""COMPUTED_VALUE"""),"")</f>
        <v/>
      </c>
      <c r="U1150" t="str">
        <f ca="1">IFERROR(__xludf.DUMMYFUNCTION("""COMPUTED_VALUE"""),"")</f>
        <v/>
      </c>
      <c r="V1150" t="str">
        <f ca="1">IFERROR(__xludf.DUMMYFUNCTION("""COMPUTED_VALUE"""),"")</f>
        <v/>
      </c>
      <c r="W1150" t="str">
        <f ca="1">IFERROR(__xludf.DUMMYFUNCTION("""COMPUTED_VALUE"""),"R5")</f>
        <v>R5</v>
      </c>
      <c r="X1150" t="str">
        <f ca="1">IFERROR(__xludf.DUMMYFUNCTION("""COMPUTED_VALUE"""),"Pricer")</f>
        <v>Pricer</v>
      </c>
      <c r="Y1150" t="str">
        <f ca="1">IFERROR(__xludf.DUMMYFUNCTION("""COMPUTED_VALUE"""),"Primo")</f>
        <v>Primo</v>
      </c>
      <c r="Z1150" t="str">
        <f ca="1">IFERROR(__xludf.DUMMYFUNCTION("""COMPUTED_VALUE"""),"")</f>
        <v/>
      </c>
      <c r="AA1150" t="str">
        <f ca="1">IFERROR(__xludf.DUMMYFUNCTION("""COMPUTED_VALUE"""),"Terminé")</f>
        <v>Terminé</v>
      </c>
      <c r="AB1150" s="8" t="str">
        <f ca="1">IFERROR(__xludf.DUMMYFUNCTION("""COMPUTED_VALUE"""),"")</f>
        <v/>
      </c>
      <c r="AC1150" s="8" t="str">
        <f ca="1">IFERROR(__xludf.DUMMYFUNCTION("""COMPUTED_VALUE"""),"")</f>
        <v/>
      </c>
      <c r="AD1150" s="11" t="str">
        <f ca="1">IFERROR(__xludf.DUMMYFUNCTION("""COMPUTED_VALUE"""),"")</f>
        <v/>
      </c>
      <c r="AE1150" t="str">
        <f ca="1">IFERROR(__xludf.DUMMYFUNCTION("""COMPUTED_VALUE"""),"")</f>
        <v/>
      </c>
    </row>
    <row r="1151" spans="1:31" ht="12.75" x14ac:dyDescent="0.2">
      <c r="A1151">
        <f ca="1">IFERROR(__xludf.DUMMYFUNCTION("""COMPUTED_VALUE"""),32267)</f>
        <v>32267</v>
      </c>
      <c r="B1151" t="str">
        <f ca="1">IFERROR(__xludf.DUMMYFUNCTION("""COMPUTED_VALUE"""),"SAUZE-VAUSSAIS")</f>
        <v>SAUZE-VAUSSAIS</v>
      </c>
      <c r="C1151" t="str">
        <f ca="1">IFERROR(__xludf.DUMMYFUNCTION("""COMPUTED_VALUE"""),"Super U")</f>
        <v>Super U</v>
      </c>
      <c r="D1151" t="str">
        <f ca="1">IFERROR(__xludf.DUMMYFUNCTION("""COMPUTED_VALUE"""),"Coop U Enseigne Ouest")</f>
        <v>Coop U Enseigne Ouest</v>
      </c>
      <c r="E1151">
        <f ca="1">IFERROR(__xludf.DUMMYFUNCTION("""COMPUTED_VALUE"""),79190)</f>
        <v>79190</v>
      </c>
      <c r="F1151" t="str">
        <f ca="1">IFERROR(__xludf.DUMMYFUNCTION("""COMPUTED_VALUE"""),"2, ROUTE DE MONTALEMBERT")</f>
        <v>2, ROUTE DE MONTALEMBERT</v>
      </c>
      <c r="G1151" t="str">
        <f ca="1">IFERROR(__xludf.DUMMYFUNCTION("""COMPUTED_VALUE"""),"05.49.07.77.70")</f>
        <v>05.49.07.77.70</v>
      </c>
      <c r="H1151" t="str">
        <f ca="1">IFERROR(__xludf.DUMMYFUNCTION("""COMPUTED_VALUE"""),"DIGUET RPT SARL DIFT GESTION Thierry")</f>
        <v>DIGUET RPT SARL DIFT GESTION Thierry</v>
      </c>
      <c r="I1151" t="str">
        <f ca="1">IFERROR(__xludf.DUMMYFUNCTION("""COMPUTED_VALUE"""),"francoise.diguet@systeme-u.fr")</f>
        <v>francoise.diguet@systeme-u.fr</v>
      </c>
      <c r="J1151" t="str">
        <f ca="1">IFERROR(__xludf.DUMMYFUNCTION("""COMPUTED_VALUE"""),"EMERY Emmanuelle")</f>
        <v>EMERY Emmanuelle</v>
      </c>
      <c r="K1151" t="str">
        <f ca="1">IFERROR(__xludf.DUMMYFUNCTION("""COMPUTED_VALUE"""),"superu.sauzevaussais.informatique@systeme-u.fr")</f>
        <v>superu.sauzevaussais.informatique@systeme-u.fr</v>
      </c>
      <c r="L1151" t="str">
        <f ca="1">IFERROR(__xludf.DUMMYFUNCTION("""COMPUTED_VALUE"""),"PiloteDepl")</f>
        <v>PiloteDepl</v>
      </c>
      <c r="M1151" t="str">
        <f ca="1">IFERROR(__xludf.DUMMYFUNCTION("""COMPUTED_VALUE"""),"3. Migration réalisée")</f>
        <v>3. Migration réalisée</v>
      </c>
      <c r="N1151" t="str">
        <f ca="1">IFERROR(__xludf.DUMMYFUNCTION("""COMPUTED_VALUE"""),"")</f>
        <v/>
      </c>
      <c r="O1151" t="str">
        <f ca="1">IFERROR(__xludf.DUMMYFUNCTION("""COMPUTED_VALUE"""),"07/08 LFO : statut changé à migration planifié, NLA prend en charge la création des VM
27/08 NLA : Demande de MEP + TS : OK 
04/09 JPE: Configuration DNS, installation de la licence et packages envoyés .")</f>
        <v>07/08 LFO : statut changé à migration planifié, NLA prend en charge la création des VM
27/08 NLA : Demande de MEP + TS : OK 
04/09 JPE: Configuration DNS, installation de la licence et packages envoyés .</v>
      </c>
      <c r="P1151">
        <f ca="1">IFERROR(__xludf.DUMMYFUNCTION("""COMPUTED_VALUE"""),36)</f>
        <v>36</v>
      </c>
      <c r="Q1151" s="5" t="str">
        <f ca="1">IFERROR(__xludf.DUMMYFUNCTION("""COMPUTED_VALUE"""),"")</f>
        <v/>
      </c>
      <c r="R1151" s="6">
        <f ca="1">IFERROR(__xludf.DUMMYFUNCTION("""COMPUTED_VALUE"""),43347.375)</f>
        <v>43347.375</v>
      </c>
      <c r="S1151" t="str">
        <f ca="1">IFERROR(__xludf.DUMMYFUNCTION("""COMPUTED_VALUE"""),"MEP8508271")</f>
        <v>MEP8508271</v>
      </c>
      <c r="T1151" t="str">
        <f ca="1">IFERROR(__xludf.DUMMYFUNCTION("""COMPUTED_VALUE"""),"MEP8508272")</f>
        <v>MEP8508272</v>
      </c>
      <c r="U1151" t="str">
        <f ca="1">IFERROR(__xludf.DUMMYFUNCTION("""COMPUTED_VALUE"""),"OK")</f>
        <v>OK</v>
      </c>
      <c r="V1151" t="str">
        <f ca="1">IFERROR(__xludf.DUMMYFUNCTION("""COMPUTED_VALUE"""),"10.188.4.237")</f>
        <v>10.188.4.237</v>
      </c>
      <c r="W1151" t="str">
        <f ca="1">IFERROR(__xludf.DUMMYFUNCTION("""COMPUTED_VALUE"""),"R5")</f>
        <v>R5</v>
      </c>
      <c r="X1151" t="str">
        <f ca="1">IFERROR(__xludf.DUMMYFUNCTION("""COMPUTED_VALUE"""),"U StoreBox")</f>
        <v>U StoreBox</v>
      </c>
      <c r="Y1151" t="str">
        <f ca="1">IFERROR(__xludf.DUMMYFUNCTION("""COMPUTED_VALUE"""),"Primo")</f>
        <v>Primo</v>
      </c>
      <c r="Z1151" t="str">
        <f ca="1">IFERROR(__xludf.DUMMYFUNCTION("""COMPUTED_VALUE"""),"")</f>
        <v/>
      </c>
      <c r="AA1151" t="str">
        <f ca="1">IFERROR(__xludf.DUMMYFUNCTION("""COMPUTED_VALUE"""),"Terminé")</f>
        <v>Terminé</v>
      </c>
      <c r="AB1151" s="8">
        <f ca="1">IFERROR(__xludf.DUMMYFUNCTION("""COMPUTED_VALUE"""),43339)</f>
        <v>43339</v>
      </c>
      <c r="AC1151" s="8">
        <f ca="1">IFERROR(__xludf.DUMMYFUNCTION("""COMPUTED_VALUE"""),43347)</f>
        <v>43347</v>
      </c>
      <c r="AD1151" s="11">
        <f ca="1">IFERROR(__xludf.DUMMYFUNCTION("""COMPUTED_VALUE"""),43349)</f>
        <v>43349</v>
      </c>
      <c r="AE1151" t="str">
        <f ca="1">IFERROR(__xludf.DUMMYFUNCTION("""COMPUTED_VALUE"""),"")</f>
        <v/>
      </c>
    </row>
    <row r="1152" spans="1:31" ht="12.75" x14ac:dyDescent="0.2">
      <c r="A1152">
        <f ca="1">IFERROR(__xludf.DUMMYFUNCTION("""COMPUTED_VALUE"""),30264)</f>
        <v>30264</v>
      </c>
      <c r="B1152" t="str">
        <f ca="1">IFERROR(__xludf.DUMMYFUNCTION("""COMPUTED_VALUE"""),"SAVENAY")</f>
        <v>SAVENAY</v>
      </c>
      <c r="C1152" t="str">
        <f ca="1">IFERROR(__xludf.DUMMYFUNCTION("""COMPUTED_VALUE"""),"Hyper U")</f>
        <v>Hyper U</v>
      </c>
      <c r="D1152" t="str">
        <f ca="1">IFERROR(__xludf.DUMMYFUNCTION("""COMPUTED_VALUE"""),"Coop U Enseigne Ouest")</f>
        <v>Coop U Enseigne Ouest</v>
      </c>
      <c r="E1152">
        <f ca="1">IFERROR(__xludf.DUMMYFUNCTION("""COMPUTED_VALUE"""),44260)</f>
        <v>44260</v>
      </c>
      <c r="F1152" t="str">
        <f ca="1">IFERROR(__xludf.DUMMYFUNCTION("""COMPUTED_VALUE"""),"ZAC DE LA COLLERAYE")</f>
        <v>ZAC DE LA COLLERAYE</v>
      </c>
      <c r="G1152" t="str">
        <f ca="1">IFERROR(__xludf.DUMMYFUNCTION("""COMPUTED_VALUE"""),"02.40.58.83.00")</f>
        <v>02.40.58.83.00</v>
      </c>
      <c r="H1152" t="str">
        <f ca="1">IFERROR(__xludf.DUMMYFUNCTION("""COMPUTED_VALUE"""),"BESNARD RPT SARL DISTRISAV Stéphane")</f>
        <v>BESNARD RPT SARL DISTRISAV Stéphane</v>
      </c>
      <c r="I1152" t="str">
        <f ca="1">IFERROR(__xludf.DUMMYFUNCTION("""COMPUTED_VALUE"""),"stephane.besnard@systeme-u.fr")</f>
        <v>stephane.besnard@systeme-u.fr</v>
      </c>
      <c r="J1152" t="str">
        <f ca="1">IFERROR(__xludf.DUMMYFUNCTION("""COMPUTED_VALUE"""),"Martin Olivier")</f>
        <v>Martin Olivier</v>
      </c>
      <c r="K1152" t="str">
        <f ca="1">IFERROR(__xludf.DUMMYFUNCTION("""COMPUTED_VALUE"""),"hyperu.savenay.administratif1@systeme-u.fr")</f>
        <v>hyperu.savenay.administratif1@systeme-u.fr</v>
      </c>
      <c r="L1152" t="str">
        <f ca="1">IFERROR(__xludf.DUMMYFUNCTION("""COMPUTED_VALUE"""),"PiloteTech")</f>
        <v>PiloteTech</v>
      </c>
      <c r="M1152" t="str">
        <f ca="1">IFERROR(__xludf.DUMMYFUNCTION("""COMPUTED_VALUE"""),"3. Migration réalisée")</f>
        <v>3. Migration réalisée</v>
      </c>
      <c r="N1152" t="str">
        <f ca="1">IFERROR(__xludf.DUMMYFUNCTION("""COMPUTED_VALUE"""),"")</f>
        <v/>
      </c>
      <c r="O1152" t="str">
        <f ca="1">IFERROR(__xludf.DUMMYFUNCTION("""COMPUTED_VALUE"""),"")</f>
        <v/>
      </c>
      <c r="P1152" t="str">
        <f ca="1">IFERROR(__xludf.DUMMYFUNCTION("""COMPUTED_VALUE"""),"")</f>
        <v/>
      </c>
      <c r="Q1152" s="5" t="str">
        <f ca="1">IFERROR(__xludf.DUMMYFUNCTION("""COMPUTED_VALUE"""),"")</f>
        <v/>
      </c>
      <c r="R1152" s="6" t="str">
        <f ca="1">IFERROR(__xludf.DUMMYFUNCTION("""COMPUTED_VALUE"""),"")</f>
        <v/>
      </c>
      <c r="S1152" t="str">
        <f ca="1">IFERROR(__xludf.DUMMYFUNCTION("""COMPUTED_VALUE"""),"n/a")</f>
        <v>n/a</v>
      </c>
      <c r="T1152" t="str">
        <f ca="1">IFERROR(__xludf.DUMMYFUNCTION("""COMPUTED_VALUE"""),"n/a")</f>
        <v>n/a</v>
      </c>
      <c r="U1152" t="str">
        <f ca="1">IFERROR(__xludf.DUMMYFUNCTION("""COMPUTED_VALUE"""),"n/a")</f>
        <v>n/a</v>
      </c>
      <c r="V1152" t="str">
        <f ca="1">IFERROR(__xludf.DUMMYFUNCTION("""COMPUTED_VALUE"""),"")</f>
        <v/>
      </c>
      <c r="W1152" t="str">
        <f ca="1">IFERROR(__xludf.DUMMYFUNCTION("""COMPUTED_VALUE"""),"R5")</f>
        <v>R5</v>
      </c>
      <c r="X1152" t="str">
        <f ca="1">IFERROR(__xludf.DUMMYFUNCTION("""COMPUTED_VALUE"""),"U StoreBox")</f>
        <v>U StoreBox</v>
      </c>
      <c r="Y1152" t="str">
        <f ca="1">IFERROR(__xludf.DUMMYFUNCTION("""COMPUTED_VALUE"""),"Mig_std")</f>
        <v>Mig_std</v>
      </c>
      <c r="Z1152" t="str">
        <f ca="1">IFERROR(__xludf.DUMMYFUNCTION("""COMPUTED_VALUE"""),"")</f>
        <v/>
      </c>
      <c r="AA1152" t="str">
        <f ca="1">IFERROR(__xludf.DUMMYFUNCTION("""COMPUTED_VALUE"""),"Terminé")</f>
        <v>Terminé</v>
      </c>
      <c r="AB1152" s="8" t="str">
        <f ca="1">IFERROR(__xludf.DUMMYFUNCTION("""COMPUTED_VALUE"""),"")</f>
        <v/>
      </c>
      <c r="AC1152" s="8" t="str">
        <f ca="1">IFERROR(__xludf.DUMMYFUNCTION("""COMPUTED_VALUE"""),"")</f>
        <v/>
      </c>
      <c r="AD1152" s="11" t="str">
        <f ca="1">IFERROR(__xludf.DUMMYFUNCTION("""COMPUTED_VALUE"""),"")</f>
        <v/>
      </c>
      <c r="AE1152" t="str">
        <f ca="1">IFERROR(__xludf.DUMMYFUNCTION("""COMPUTED_VALUE"""),"PILOTE Pick to light Réserve (pocpricer.war + prix sur pages gestion)")</f>
        <v>PILOTE Pick to light Réserve (pocpricer.war + prix sur pages gestion)</v>
      </c>
    </row>
    <row r="1153" spans="1:31" ht="12.75" x14ac:dyDescent="0.2">
      <c r="A1153">
        <f ca="1">IFERROR(__xludf.DUMMYFUNCTION("""COMPUTED_VALUE"""),60513)</f>
        <v>60513</v>
      </c>
      <c r="B1153" t="str">
        <f ca="1">IFERROR(__xludf.DUMMYFUNCTION("""COMPUTED_VALUE"""),"SIERENTZ")</f>
        <v>SIERENTZ</v>
      </c>
      <c r="C1153" t="str">
        <f ca="1">IFERROR(__xludf.DUMMYFUNCTION("""COMPUTED_VALUE"""),"Hyper U")</f>
        <v>Hyper U</v>
      </c>
      <c r="D1153" t="str">
        <f ca="1">IFERROR(__xludf.DUMMYFUNCTION("""COMPUTED_VALUE"""),"Coop U Enseigne Est")</f>
        <v>Coop U Enseigne Est</v>
      </c>
      <c r="E1153">
        <f ca="1">IFERROR(__xludf.DUMMYFUNCTION("""COMPUTED_VALUE"""),68510)</f>
        <v>68510</v>
      </c>
      <c r="F1153" t="str">
        <f ca="1">IFERROR(__xludf.DUMMYFUNCTION("""COMPUTED_VALUE"""),"12 Rue du Capitain Dreyfus")</f>
        <v>12 Rue du Capitain Dreyfus</v>
      </c>
      <c r="G1153" t="str">
        <f ca="1">IFERROR(__xludf.DUMMYFUNCTION("""COMPUTED_VALUE"""),"03.89.83.99.00")</f>
        <v>03.89.83.99.00</v>
      </c>
      <c r="H1153" t="str">
        <f ca="1">IFERROR(__xludf.DUMMYFUNCTION("""COMPUTED_VALUE"""),"BOLTZ Thierry")</f>
        <v>BOLTZ Thierry</v>
      </c>
      <c r="I1153" t="str">
        <f ca="1">IFERROR(__xludf.DUMMYFUNCTION("""COMPUTED_VALUE"""),"thierry.boltz@systeme-u.fr")</f>
        <v>thierry.boltz@systeme-u.fr</v>
      </c>
      <c r="J1153" t="str">
        <f ca="1">IFERROR(__xludf.DUMMYFUNCTION("""COMPUTED_VALUE"""),"Gregory Schlauder")</f>
        <v>Gregory Schlauder</v>
      </c>
      <c r="K1153" t="str">
        <f ca="1">IFERROR(__xludf.DUMMYFUNCTION("""COMPUTED_VALUE"""),"hyperu.sierentz.bazarservice@systeme-u.fr")</f>
        <v>hyperu.sierentz.bazarservice@systeme-u.fr</v>
      </c>
      <c r="L1153" t="str">
        <f ca="1">IFERROR(__xludf.DUMMYFUNCTION("""COMPUTED_VALUE"""),"PiloteTech")</f>
        <v>PiloteTech</v>
      </c>
      <c r="M1153" t="str">
        <f ca="1">IFERROR(__xludf.DUMMYFUNCTION("""COMPUTED_VALUE"""),"3. Migration réalisée")</f>
        <v>3. Migration réalisée</v>
      </c>
      <c r="N1153" t="str">
        <f ca="1">IFERROR(__xludf.DUMMYFUNCTION("""COMPUTED_VALUE"""),"")</f>
        <v/>
      </c>
      <c r="O1153" t="str">
        <f ca="1">IFERROR(__xludf.DUMMYFUNCTION("""COMPUTED_VALUE"""),"")</f>
        <v/>
      </c>
      <c r="P1153" t="str">
        <f ca="1">IFERROR(__xludf.DUMMYFUNCTION("""COMPUTED_VALUE"""),"")</f>
        <v/>
      </c>
      <c r="Q1153" s="5" t="str">
        <f ca="1">IFERROR(__xludf.DUMMYFUNCTION("""COMPUTED_VALUE"""),"")</f>
        <v/>
      </c>
      <c r="R1153" s="6" t="str">
        <f ca="1">IFERROR(__xludf.DUMMYFUNCTION("""COMPUTED_VALUE"""),"")</f>
        <v/>
      </c>
      <c r="S1153" t="str">
        <f ca="1">IFERROR(__xludf.DUMMYFUNCTION("""COMPUTED_VALUE"""),"n/a")</f>
        <v>n/a</v>
      </c>
      <c r="T1153" t="str">
        <f ca="1">IFERROR(__xludf.DUMMYFUNCTION("""COMPUTED_VALUE"""),"n/a")</f>
        <v>n/a</v>
      </c>
      <c r="U1153" t="str">
        <f ca="1">IFERROR(__xludf.DUMMYFUNCTION("""COMPUTED_VALUE"""),"n/a")</f>
        <v>n/a</v>
      </c>
      <c r="V1153" t="str">
        <f ca="1">IFERROR(__xludf.DUMMYFUNCTION("""COMPUTED_VALUE"""),"")</f>
        <v/>
      </c>
      <c r="W1153" t="str">
        <f ca="1">IFERROR(__xludf.DUMMYFUNCTION("""COMPUTED_VALUE"""),"R5")</f>
        <v>R5</v>
      </c>
      <c r="X1153" t="str">
        <f ca="1">IFERROR(__xludf.DUMMYFUNCTION("""COMPUTED_VALUE"""),"U StoreBox")</f>
        <v>U StoreBox</v>
      </c>
      <c r="Y1153" t="str">
        <f ca="1">IFERROR(__xludf.DUMMYFUNCTION("""COMPUTED_VALUE"""),"Primo")</f>
        <v>Primo</v>
      </c>
      <c r="Z1153" t="str">
        <f ca="1">IFERROR(__xludf.DUMMYFUNCTION("""COMPUTED_VALUE"""),"")</f>
        <v/>
      </c>
      <c r="AA1153" t="str">
        <f ca="1">IFERROR(__xludf.DUMMYFUNCTION("""COMPUTED_VALUE"""),"Terminé")</f>
        <v>Terminé</v>
      </c>
      <c r="AB1153" s="8" t="str">
        <f ca="1">IFERROR(__xludf.DUMMYFUNCTION("""COMPUTED_VALUE"""),"")</f>
        <v/>
      </c>
      <c r="AC1153" s="8" t="str">
        <f ca="1">IFERROR(__xludf.DUMMYFUNCTION("""COMPUTED_VALUE"""),"")</f>
        <v/>
      </c>
      <c r="AD1153" s="11" t="str">
        <f ca="1">IFERROR(__xludf.DUMMYFUNCTION("""COMPUTED_VALUE"""),"")</f>
        <v/>
      </c>
      <c r="AE1153" t="str">
        <f ca="1">IFERROR(__xludf.DUMMYFUNCTION("""COMPUTED_VALUE"""),"")</f>
        <v/>
      </c>
    </row>
    <row r="1154" spans="1:31" ht="12.75" x14ac:dyDescent="0.2">
      <c r="A1154">
        <f ca="1">IFERROR(__xludf.DUMMYFUNCTION("""COMPUTED_VALUE"""),95161)</f>
        <v>95161</v>
      </c>
      <c r="B1154" t="str">
        <f ca="1">IFERROR(__xludf.DUMMYFUNCTION("""COMPUTED_VALUE"""),"SOUAL")</f>
        <v>SOUAL</v>
      </c>
      <c r="C1154" t="str">
        <f ca="1">IFERROR(__xludf.DUMMYFUNCTION("""COMPUTED_VALUE"""),"Super U")</f>
        <v>Super U</v>
      </c>
      <c r="D1154" t="str">
        <f ca="1">IFERROR(__xludf.DUMMYFUNCTION("""COMPUTED_VALUE"""),"Coop U Enseigne Sud")</f>
        <v>Coop U Enseigne Sud</v>
      </c>
      <c r="E1154">
        <f ca="1">IFERROR(__xludf.DUMMYFUNCTION("""COMPUTED_VALUE"""),81580)</f>
        <v>81580</v>
      </c>
      <c r="F1154" t="str">
        <f ca="1">IFERROR(__xludf.DUMMYFUNCTION("""COMPUTED_VALUE"""),"ZA DE LA PRADE")</f>
        <v>ZA DE LA PRADE</v>
      </c>
      <c r="G1154" t="str">
        <f ca="1">IFERROR(__xludf.DUMMYFUNCTION("""COMPUTED_VALUE"""),"05.63.74.47.47")</f>
        <v>05.63.74.47.47</v>
      </c>
      <c r="H1154" t="str">
        <f ca="1">IFERROR(__xludf.DUMMYFUNCTION("""COMPUTED_VALUE"""),"MITTOU Thierry")</f>
        <v>MITTOU Thierry</v>
      </c>
      <c r="I1154" t="str">
        <f ca="1">IFERROR(__xludf.DUMMYFUNCTION("""COMPUTED_VALUE"""),"thierry.mittou@systeme-u.fr")</f>
        <v>thierry.mittou@systeme-u.fr</v>
      </c>
      <c r="J1154" t="str">
        <f ca="1">IFERROR(__xludf.DUMMYFUNCTION("""COMPUTED_VALUE"""),"MITTOU Marie")</f>
        <v>MITTOU Marie</v>
      </c>
      <c r="K1154" t="str">
        <f ca="1">IFERROR(__xludf.DUMMYFUNCTION("""COMPUTED_VALUE"""),"marie.mittou@systeme-u.fr")</f>
        <v>marie.mittou@systeme-u.fr</v>
      </c>
      <c r="L1154" t="str">
        <f ca="1">IFERROR(__xludf.DUMMYFUNCTION("""COMPUTED_VALUE"""),"Standard")</f>
        <v>Standard</v>
      </c>
      <c r="M1154" t="str">
        <f ca="1">IFERROR(__xludf.DUMMYFUNCTION("""COMPUTED_VALUE"""),"0. Non démarré")</f>
        <v>0. Non démarré</v>
      </c>
      <c r="N1154" t="str">
        <f ca="1">IFERROR(__xludf.DUMMYFUNCTION("""COMPUTED_VALUE"""),"")</f>
        <v/>
      </c>
      <c r="O1154" t="str">
        <f ca="1">IFERROR(__xludf.DUMMYFUNCTION("""COMPUTED_VALUE"""),"")</f>
        <v/>
      </c>
      <c r="P1154" t="str">
        <f ca="1">IFERROR(__xludf.DUMMYFUNCTION("""COMPUTED_VALUE"""),"")</f>
        <v/>
      </c>
      <c r="Q1154" s="5" t="str">
        <f ca="1">IFERROR(__xludf.DUMMYFUNCTION("""COMPUTED_VALUE"""),"")</f>
        <v/>
      </c>
      <c r="R1154" s="6" t="str">
        <f ca="1">IFERROR(__xludf.DUMMYFUNCTION("""COMPUTED_VALUE"""),"")</f>
        <v/>
      </c>
      <c r="S1154" t="str">
        <f ca="1">IFERROR(__xludf.DUMMYFUNCTION("""COMPUTED_VALUE"""),"")</f>
        <v/>
      </c>
      <c r="T1154" t="str">
        <f ca="1">IFERROR(__xludf.DUMMYFUNCTION("""COMPUTED_VALUE"""),"")</f>
        <v/>
      </c>
      <c r="U1154" t="str">
        <f ca="1">IFERROR(__xludf.DUMMYFUNCTION("""COMPUTED_VALUE"""),"")</f>
        <v/>
      </c>
      <c r="V1154" t="str">
        <f ca="1">IFERROR(__xludf.DUMMYFUNCTION("""COMPUTED_VALUE"""),"")</f>
        <v/>
      </c>
      <c r="W1154" t="str">
        <f ca="1">IFERROR(__xludf.DUMMYFUNCTION("""COMPUTED_VALUE"""),"R5")</f>
        <v>R5</v>
      </c>
      <c r="X1154" t="str">
        <f ca="1">IFERROR(__xludf.DUMMYFUNCTION("""COMPUTED_VALUE"""),"VM magasin")</f>
        <v>VM magasin</v>
      </c>
      <c r="Y1154" t="str">
        <f ca="1">IFERROR(__xludf.DUMMYFUNCTION("""COMPUTED_VALUE"""),"Mig_spe")</f>
        <v>Mig_spe</v>
      </c>
      <c r="Z1154" t="str">
        <f ca="1">IFERROR(__xludf.DUMMYFUNCTION("""COMPUTED_VALUE"""),"")</f>
        <v/>
      </c>
      <c r="AA1154" t="str">
        <f ca="1">IFERROR(__xludf.DUMMYFUNCTION("""COMPUTED_VALUE"""),"Terminé")</f>
        <v>Terminé</v>
      </c>
      <c r="AB1154" s="8" t="str">
        <f ca="1">IFERROR(__xludf.DUMMYFUNCTION("""COMPUTED_VALUE"""),"")</f>
        <v/>
      </c>
      <c r="AC1154" s="8" t="str">
        <f ca="1">IFERROR(__xludf.DUMMYFUNCTION("""COMPUTED_VALUE"""),"")</f>
        <v/>
      </c>
      <c r="AD1154" s="11" t="str">
        <f ca="1">IFERROR(__xludf.DUMMYFUNCTION("""COMPUTED_VALUE"""),"")</f>
        <v/>
      </c>
      <c r="AE1154" t="str">
        <f ca="1">IFERROR(__xludf.DUMMYFUNCTION("""COMPUTED_VALUE"""),"")</f>
        <v/>
      </c>
    </row>
    <row r="1155" spans="1:31" ht="12.75" x14ac:dyDescent="0.2">
      <c r="A1155">
        <f ca="1">IFERROR(__xludf.DUMMYFUNCTION("""COMPUTED_VALUE"""),22291)</f>
        <v>22291</v>
      </c>
      <c r="B1155" t="str">
        <f ca="1">IFERROR(__xludf.DUMMYFUNCTION("""COMPUTED_VALUE"""),"ST CONTEST")</f>
        <v>ST CONTEST</v>
      </c>
      <c r="C1155" t="str">
        <f ca="1">IFERROR(__xludf.DUMMYFUNCTION("""COMPUTED_VALUE"""),"Super U")</f>
        <v>Super U</v>
      </c>
      <c r="D1155" t="str">
        <f ca="1">IFERROR(__xludf.DUMMYFUNCTION("""COMPUTED_VALUE"""),"Coop U Enseigne NordOuest")</f>
        <v>Coop U Enseigne NordOuest</v>
      </c>
      <c r="E1155">
        <f ca="1">IFERROR(__xludf.DUMMYFUNCTION("""COMPUTED_VALUE"""),14280)</f>
        <v>14280</v>
      </c>
      <c r="F1155" t="str">
        <f ca="1">IFERROR(__xludf.DUMMYFUNCTION("""COMPUTED_VALUE"""),"LE CLOS BARBEY")</f>
        <v>LE CLOS BARBEY</v>
      </c>
      <c r="G1155" t="str">
        <f ca="1">IFERROR(__xludf.DUMMYFUNCTION("""COMPUTED_VALUE"""),"02.31.73.00.77")</f>
        <v>02.31.73.00.77</v>
      </c>
      <c r="H1155" t="str">
        <f ca="1">IFERROR(__xludf.DUMMYFUNCTION("""COMPUTED_VALUE"""),"LECOMTE Damien")</f>
        <v>LECOMTE Damien</v>
      </c>
      <c r="I1155" t="str">
        <f ca="1">IFERROR(__xludf.DUMMYFUNCTION("""COMPUTED_VALUE"""),"damien.lecomte@systeme-u.fr")</f>
        <v>damien.lecomte@systeme-u.fr</v>
      </c>
      <c r="J1155" t="str">
        <f ca="1">IFERROR(__xludf.DUMMYFUNCTION("""COMPUTED_VALUE"""),"Mr Lecornu")</f>
        <v>Mr Lecornu</v>
      </c>
      <c r="K1155" t="str">
        <f ca="1">IFERROR(__xludf.DUMMYFUNCTION("""COMPUTED_VALUE"""),"superu.saintcontest.direction@systeme-u.fr")</f>
        <v>superu.saintcontest.direction@systeme-u.fr</v>
      </c>
      <c r="L1155" t="str">
        <f ca="1">IFERROR(__xludf.DUMMYFUNCTION("""COMPUTED_VALUE"""),"PiloteTech")</f>
        <v>PiloteTech</v>
      </c>
      <c r="M1155" t="str">
        <f ca="1">IFERROR(__xludf.DUMMYFUNCTION("""COMPUTED_VALUE"""),"3. Migration réalisée")</f>
        <v>3. Migration réalisée</v>
      </c>
      <c r="N1155" t="str">
        <f ca="1">IFERROR(__xludf.DUMMYFUNCTION("""COMPUTED_VALUE"""),"")</f>
        <v/>
      </c>
      <c r="O1155" t="str">
        <f ca="1">IFERROR(__xludf.DUMMYFUNCTION("""COMPUTED_VALUE"""),"effectuée par Gael Papin")</f>
        <v>effectuée par Gael Papin</v>
      </c>
      <c r="P1155" t="str">
        <f ca="1">IFERROR(__xludf.DUMMYFUNCTION("""COMPUTED_VALUE"""),"")</f>
        <v/>
      </c>
      <c r="Q1155" s="5" t="str">
        <f ca="1">IFERROR(__xludf.DUMMYFUNCTION("""COMPUTED_VALUE"""),"")</f>
        <v/>
      </c>
      <c r="R1155" s="6" t="str">
        <f ca="1">IFERROR(__xludf.DUMMYFUNCTION("""COMPUTED_VALUE"""),"")</f>
        <v/>
      </c>
      <c r="S1155" t="str">
        <f ca="1">IFERROR(__xludf.DUMMYFUNCTION("""COMPUTED_VALUE"""),"n/a")</f>
        <v>n/a</v>
      </c>
      <c r="T1155" t="str">
        <f ca="1">IFERROR(__xludf.DUMMYFUNCTION("""COMPUTED_VALUE"""),"n/a")</f>
        <v>n/a</v>
      </c>
      <c r="U1155" t="str">
        <f ca="1">IFERROR(__xludf.DUMMYFUNCTION("""COMPUTED_VALUE"""),"n/a")</f>
        <v>n/a</v>
      </c>
      <c r="V1155" t="str">
        <f ca="1">IFERROR(__xludf.DUMMYFUNCTION("""COMPUTED_VALUE"""),"")</f>
        <v/>
      </c>
      <c r="W1155" t="str">
        <f ca="1">IFERROR(__xludf.DUMMYFUNCTION("""COMPUTED_VALUE"""),"R5")</f>
        <v>R5</v>
      </c>
      <c r="X1155" t="str">
        <f ca="1">IFERROR(__xludf.DUMMYFUNCTION("""COMPUTED_VALUE"""),"U StoreBox")</f>
        <v>U StoreBox</v>
      </c>
      <c r="Y1155" t="str">
        <f ca="1">IFERROR(__xludf.DUMMYFUNCTION("""COMPUTED_VALUE"""),"Primo")</f>
        <v>Primo</v>
      </c>
      <c r="Z1155" t="str">
        <f ca="1">IFERROR(__xludf.DUMMYFUNCTION("""COMPUTED_VALUE"""),"")</f>
        <v/>
      </c>
      <c r="AA1155" t="str">
        <f ca="1">IFERROR(__xludf.DUMMYFUNCTION("""COMPUTED_VALUE"""),"Terminé")</f>
        <v>Terminé</v>
      </c>
      <c r="AB1155" s="8" t="str">
        <f ca="1">IFERROR(__xludf.DUMMYFUNCTION("""COMPUTED_VALUE"""),"")</f>
        <v/>
      </c>
      <c r="AC1155" s="8" t="str">
        <f ca="1">IFERROR(__xludf.DUMMYFUNCTION("""COMPUTED_VALUE"""),"")</f>
        <v/>
      </c>
      <c r="AD1155" s="11" t="str">
        <f ca="1">IFERROR(__xludf.DUMMYFUNCTION("""COMPUTED_VALUE"""),"")</f>
        <v/>
      </c>
      <c r="AE1155" t="str">
        <f ca="1">IFERROR(__xludf.DUMMYFUNCTION("""COMPUTED_VALUE"""),"")</f>
        <v/>
      </c>
    </row>
    <row r="1156" spans="1:31" ht="12.75" x14ac:dyDescent="0.2">
      <c r="A1156">
        <f ca="1">IFERROR(__xludf.DUMMYFUNCTION("""COMPUTED_VALUE"""),20930)</f>
        <v>20930</v>
      </c>
      <c r="B1156" t="str">
        <f ca="1">IFERROR(__xludf.DUMMYFUNCTION("""COMPUTED_VALUE"""),"ST LO")</f>
        <v>ST LO</v>
      </c>
      <c r="C1156" t="str">
        <f ca="1">IFERROR(__xludf.DUMMYFUNCTION("""COMPUTED_VALUE"""),"U Express")</f>
        <v>U Express</v>
      </c>
      <c r="D1156" t="str">
        <f ca="1">IFERROR(__xludf.DUMMYFUNCTION("""COMPUTED_VALUE"""),"Coop U Enseigne NordOuest")</f>
        <v>Coop U Enseigne NordOuest</v>
      </c>
      <c r="E1156">
        <f ca="1">IFERROR(__xludf.DUMMYFUNCTION("""COMPUTED_VALUE"""),50000)</f>
        <v>50000</v>
      </c>
      <c r="F1156" t="str">
        <f ca="1">IFERROR(__xludf.DUMMYFUNCTION("""COMPUTED_VALUE"""),"PLACE DE L'HÔTEL DE VILLE")</f>
        <v>PLACE DE L'HÔTEL DE VILLE</v>
      </c>
      <c r="G1156" t="str">
        <f ca="1">IFERROR(__xludf.DUMMYFUNCTION("""COMPUTED_VALUE"""),"02.33.55.47.13")</f>
        <v>02.33.55.47.13</v>
      </c>
      <c r="H1156" t="str">
        <f ca="1">IFERROR(__xludf.DUMMYFUNCTION("""COMPUTED_VALUE"""),"LEROY Christian")</f>
        <v>LEROY Christian</v>
      </c>
      <c r="I1156" t="str">
        <f ca="1">IFERROR(__xludf.DUMMYFUNCTION("""COMPUTED_VALUE"""),"christian.leroy@systeme-u.fr")</f>
        <v>christian.leroy@systeme-u.fr</v>
      </c>
      <c r="J1156" t="str">
        <f ca="1">IFERROR(__xludf.DUMMYFUNCTION("""COMPUTED_VALUE"""),"")</f>
        <v/>
      </c>
      <c r="K1156" t="str">
        <f ca="1">IFERROR(__xludf.DUMMYFUNCTION("""COMPUTED_VALUE"""),"")</f>
        <v/>
      </c>
      <c r="L1156" t="str">
        <f ca="1">IFERROR(__xludf.DUMMYFUNCTION("""COMPUTED_VALUE"""),"")</f>
        <v/>
      </c>
      <c r="M1156" t="str">
        <f ca="1">IFERROR(__xludf.DUMMYFUNCTION("""COMPUTED_VALUE"""),"3. Migration réalisée")</f>
        <v>3. Migration réalisée</v>
      </c>
      <c r="N1156" t="str">
        <f ca="1">IFERROR(__xludf.DUMMYFUNCTION("""COMPUTED_VALUE"""),"")</f>
        <v/>
      </c>
      <c r="O1156" t="str">
        <f ca="1">IFERROR(__xludf.DUMMYFUNCTION("""COMPUTED_VALUE"""),"Contact Mr Florent Leroy
08/10 NLA : Action DI OK - Pricer intervient le 09/10
09/10 NLA : Appel de Mr LEROY, il voudrait installer les raccourci PRICER sur son PC portable afin de pouvoir accéder à PRICER depuis son domicile 20930-SLO80001P
00122311 / 1"&amp;"0.148.61.4 --&gt; A rapeller 10/10
10/10 NLA : Poste présent sur IVANTI - déploiement Package PRICER OK")</f>
        <v>Contact Mr Florent Leroy
08/10 NLA : Action DI OK - Pricer intervient le 09/10
09/10 NLA : Appel de Mr LEROY, il voudrait installer les raccourci PRICER sur son PC portable afin de pouvoir accéder à PRICER depuis son domicile 20930-SLO80001P
00122311 / 10.148.61.4 --&gt; A rapeller 10/10
10/10 NLA : Poste présent sur IVANTI - déploiement Package PRICER OK</v>
      </c>
      <c r="P1156">
        <f ca="1">IFERROR(__xludf.DUMMYFUNCTION("""COMPUTED_VALUE"""),41)</f>
        <v>41</v>
      </c>
      <c r="Q1156" s="5" t="str">
        <f ca="1">IFERROR(__xludf.DUMMYFUNCTION("""COMPUTED_VALUE"""),"")</f>
        <v/>
      </c>
      <c r="R1156" s="6">
        <f ca="1">IFERROR(__xludf.DUMMYFUNCTION("""COMPUTED_VALUE"""),43381.4166666666)</f>
        <v>43381.416666666599</v>
      </c>
      <c r="S1156" t="str">
        <f ca="1">IFERROR(__xludf.DUMMYFUNCTION("""COMPUTED_VALUE"""),"MEP8510666")</f>
        <v>MEP8510666</v>
      </c>
      <c r="T1156" t="str">
        <f ca="1">IFERROR(__xludf.DUMMYFUNCTION("""COMPUTED_VALUE"""),"MEP8510668")</f>
        <v>MEP8510668</v>
      </c>
      <c r="U1156" t="str">
        <f ca="1">IFERROR(__xludf.DUMMYFUNCTION("""COMPUTED_VALUE"""),"OK")</f>
        <v>OK</v>
      </c>
      <c r="V1156" t="str">
        <f ca="1">IFERROR(__xludf.DUMMYFUNCTION("""COMPUTED_VALUE"""),"10.148.60.237")</f>
        <v>10.148.60.237</v>
      </c>
      <c r="W1156" t="str">
        <f ca="1">IFERROR(__xludf.DUMMYFUNCTION("""COMPUTED_VALUE"""),"R5")</f>
        <v>R5</v>
      </c>
      <c r="X1156" t="str">
        <f ca="1">IFERROR(__xludf.DUMMYFUNCTION("""COMPUTED_VALUE"""),"U StoreBox")</f>
        <v>U StoreBox</v>
      </c>
      <c r="Y1156" t="str">
        <f ca="1">IFERROR(__xludf.DUMMYFUNCTION("""COMPUTED_VALUE"""),"Primo")</f>
        <v>Primo</v>
      </c>
      <c r="Z1156" t="str">
        <f ca="1">IFERROR(__xludf.DUMMYFUNCTION("""COMPUTED_VALUE"""),"")</f>
        <v/>
      </c>
      <c r="AA1156" t="str">
        <f ca="1">IFERROR(__xludf.DUMMYFUNCTION("""COMPUTED_VALUE"""),"Terminé")</f>
        <v>Terminé</v>
      </c>
      <c r="AB1156" s="8">
        <f ca="1">IFERROR(__xludf.DUMMYFUNCTION("""COMPUTED_VALUE"""),43370)</f>
        <v>43370</v>
      </c>
      <c r="AC1156" s="8">
        <f ca="1">IFERROR(__xludf.DUMMYFUNCTION("""COMPUTED_VALUE"""),43381)</f>
        <v>43381</v>
      </c>
      <c r="AD1156" s="11">
        <f ca="1">IFERROR(__xludf.DUMMYFUNCTION("""COMPUTED_VALUE"""),43383)</f>
        <v>43383</v>
      </c>
      <c r="AE1156" t="str">
        <f ca="1">IFERROR(__xludf.DUMMYFUNCTION("""COMPUTED_VALUE"""),"")</f>
        <v/>
      </c>
    </row>
    <row r="1157" spans="1:31" ht="12.75" x14ac:dyDescent="0.2">
      <c r="A1157">
        <f ca="1">IFERROR(__xludf.DUMMYFUNCTION("""COMPUTED_VALUE"""),90510)</f>
        <v>90510</v>
      </c>
      <c r="B1157" t="str">
        <f ca="1">IFERROR(__xludf.DUMMYFUNCTION("""COMPUTED_VALUE"""),"ST MAXIMIN BAUME")</f>
        <v>ST MAXIMIN BAUME</v>
      </c>
      <c r="C1157" t="str">
        <f ca="1">IFERROR(__xludf.DUMMYFUNCTION("""COMPUTED_VALUE"""),"Hyper U")</f>
        <v>Hyper U</v>
      </c>
      <c r="D1157" t="str">
        <f ca="1">IFERROR(__xludf.DUMMYFUNCTION("""COMPUTED_VALUE"""),"Coop U Enseigne Sud")</f>
        <v>Coop U Enseigne Sud</v>
      </c>
      <c r="E1157">
        <f ca="1">IFERROR(__xludf.DUMMYFUNCTION("""COMPUTED_VALUE"""),83470)</f>
        <v>83470</v>
      </c>
      <c r="F1157" t="str">
        <f ca="1">IFERROR(__xludf.DUMMYFUNCTION("""COMPUTED_VALUE"""),"RTE D AIX LES GARNIERS")</f>
        <v>RTE D AIX LES GARNIERS</v>
      </c>
      <c r="G1157" t="str">
        <f ca="1">IFERROR(__xludf.DUMMYFUNCTION("""COMPUTED_VALUE"""),"04.94.78.04.80")</f>
        <v>04.94.78.04.80</v>
      </c>
      <c r="H1157" t="str">
        <f ca="1">IFERROR(__xludf.DUMMYFUNCTION("""COMPUTED_VALUE"""),"APKARIAN Andre")</f>
        <v>APKARIAN Andre</v>
      </c>
      <c r="I1157" t="str">
        <f ca="1">IFERROR(__xludf.DUMMYFUNCTION("""COMPUTED_VALUE"""),"andre.apkarian@systeme-u.fr")</f>
        <v>andre.apkarian@systeme-u.fr</v>
      </c>
      <c r="J1157" t="str">
        <f ca="1">IFERROR(__xludf.DUMMYFUNCTION("""COMPUTED_VALUE"""),"patrice mangematin")</f>
        <v>patrice mangematin</v>
      </c>
      <c r="K1157" t="str">
        <f ca="1">IFERROR(__xludf.DUMMYFUNCTION("""COMPUTED_VALUE"""),"hyperu.saintmaximin.pgc@systeme-u.fr")</f>
        <v>hyperu.saintmaximin.pgc@systeme-u.fr</v>
      </c>
      <c r="L1157" t="str">
        <f ca="1">IFERROR(__xludf.DUMMYFUNCTION("""COMPUTED_VALUE"""),"PiloteTech")</f>
        <v>PiloteTech</v>
      </c>
      <c r="M1157" t="str">
        <f ca="1">IFERROR(__xludf.DUMMYFUNCTION("""COMPUTED_VALUE"""),"3. Migration réalisée")</f>
        <v>3. Migration réalisée</v>
      </c>
      <c r="N1157" t="str">
        <f ca="1">IFERROR(__xludf.DUMMYFUNCTION("""COMPUTED_VALUE"""),"")</f>
        <v/>
      </c>
      <c r="O1157" t="str">
        <f ca="1">IFERROR(__xludf.DUMMYFUNCTION("""COMPUTED_VALUE"""),"")</f>
        <v/>
      </c>
      <c r="P1157" t="str">
        <f ca="1">IFERROR(__xludf.DUMMYFUNCTION("""COMPUTED_VALUE"""),"")</f>
        <v/>
      </c>
      <c r="Q1157" s="5" t="str">
        <f ca="1">IFERROR(__xludf.DUMMYFUNCTION("""COMPUTED_VALUE"""),"")</f>
        <v/>
      </c>
      <c r="R1157" s="6" t="str">
        <f ca="1">IFERROR(__xludf.DUMMYFUNCTION("""COMPUTED_VALUE"""),"")</f>
        <v/>
      </c>
      <c r="S1157" t="str">
        <f ca="1">IFERROR(__xludf.DUMMYFUNCTION("""COMPUTED_VALUE"""),"n/a")</f>
        <v>n/a</v>
      </c>
      <c r="T1157" t="str">
        <f ca="1">IFERROR(__xludf.DUMMYFUNCTION("""COMPUTED_VALUE"""),"n/a")</f>
        <v>n/a</v>
      </c>
      <c r="U1157" t="str">
        <f ca="1">IFERROR(__xludf.DUMMYFUNCTION("""COMPUTED_VALUE"""),"n/a")</f>
        <v>n/a</v>
      </c>
      <c r="V1157" t="str">
        <f ca="1">IFERROR(__xludf.DUMMYFUNCTION("""COMPUTED_VALUE"""),"")</f>
        <v/>
      </c>
      <c r="W1157" t="str">
        <f ca="1">IFERROR(__xludf.DUMMYFUNCTION("""COMPUTED_VALUE"""),"R5")</f>
        <v>R5</v>
      </c>
      <c r="X1157" t="str">
        <f ca="1">IFERROR(__xludf.DUMMYFUNCTION("""COMPUTED_VALUE"""),"U StoreBox")</f>
        <v>U StoreBox</v>
      </c>
      <c r="Y1157" t="str">
        <f ca="1">IFERROR(__xludf.DUMMYFUNCTION("""COMPUTED_VALUE"""),"Mig_spe")</f>
        <v>Mig_spe</v>
      </c>
      <c r="Z1157" t="str">
        <f ca="1">IFERROR(__xludf.DUMMYFUNCTION("""COMPUTED_VALUE"""),"")</f>
        <v/>
      </c>
      <c r="AA1157" t="str">
        <f ca="1">IFERROR(__xludf.DUMMYFUNCTION("""COMPUTED_VALUE"""),"Terminé")</f>
        <v>Terminé</v>
      </c>
      <c r="AB1157" s="8" t="str">
        <f ca="1">IFERROR(__xludf.DUMMYFUNCTION("""COMPUTED_VALUE"""),"")</f>
        <v/>
      </c>
      <c r="AC1157" s="8" t="str">
        <f ca="1">IFERROR(__xludf.DUMMYFUNCTION("""COMPUTED_VALUE"""),"")</f>
        <v/>
      </c>
      <c r="AD1157" s="11" t="str">
        <f ca="1">IFERROR(__xludf.DUMMYFUNCTION("""COMPUTED_VALUE"""),"")</f>
        <v/>
      </c>
      <c r="AE1157" t="str">
        <f ca="1">IFERROR(__xludf.DUMMYFUNCTION("""COMPUTED_VALUE"""),"")</f>
        <v/>
      </c>
    </row>
    <row r="1158" spans="1:31" ht="12.75" x14ac:dyDescent="0.2">
      <c r="A1158">
        <f ca="1">IFERROR(__xludf.DUMMYFUNCTION("""COMPUTED_VALUE"""),30310)</f>
        <v>30310</v>
      </c>
      <c r="B1158" t="str">
        <f ca="1">IFERROR(__xludf.DUMMYFUNCTION("""COMPUTED_VALUE"""),"ST-LEGER-DE-LA MARTINIERE")</f>
        <v>ST-LEGER-DE-LA MARTINIERE</v>
      </c>
      <c r="C1158" t="str">
        <f ca="1">IFERROR(__xludf.DUMMYFUNCTION("""COMPUTED_VALUE"""),"Super U")</f>
        <v>Super U</v>
      </c>
      <c r="D1158" t="str">
        <f ca="1">IFERROR(__xludf.DUMMYFUNCTION("""COMPUTED_VALUE"""),"Coop U Enseigne Ouest")</f>
        <v>Coop U Enseigne Ouest</v>
      </c>
      <c r="E1158">
        <f ca="1">IFERROR(__xludf.DUMMYFUNCTION("""COMPUTED_VALUE"""),79500)</f>
        <v>79500</v>
      </c>
      <c r="F1158" t="str">
        <f ca="1">IFERROR(__xludf.DUMMYFUNCTION("""COMPUTED_VALUE"""),"AVENUE CLÉMENT PINEAU")</f>
        <v>AVENUE CLÉMENT PINEAU</v>
      </c>
      <c r="G1158" t="str">
        <f ca="1">IFERROR(__xludf.DUMMYFUNCTION("""COMPUTED_VALUE"""),"05.49.27.12.49")</f>
        <v>05.49.27.12.49</v>
      </c>
      <c r="H1158" t="str">
        <f ca="1">IFERROR(__xludf.DUMMYFUNCTION("""COMPUTED_VALUE"""),"POUPELIN Eric")</f>
        <v>POUPELIN Eric</v>
      </c>
      <c r="I1158" t="str">
        <f ca="1">IFERROR(__xludf.DUMMYFUNCTION("""COMPUTED_VALUE"""),"eric.poupelin@systeme-u.fr")</f>
        <v>eric.poupelin@systeme-u.fr</v>
      </c>
      <c r="J1158" t="str">
        <f ca="1">IFERROR(__xludf.DUMMYFUNCTION("""COMPUTED_VALUE"""),"ROBIN Etienne")</f>
        <v>ROBIN Etienne</v>
      </c>
      <c r="K1158" t="str">
        <f ca="1">IFERROR(__xludf.DUMMYFUNCTION("""COMPUTED_VALUE"""),"superu.saintlegerdelamartiniere@systeme-u.fr")</f>
        <v>superu.saintlegerdelamartiniere@systeme-u.fr</v>
      </c>
      <c r="L1158" t="str">
        <f ca="1">IFERROR(__xludf.DUMMYFUNCTION("""COMPUTED_VALUE"""),"PiloteDepl")</f>
        <v>PiloteDepl</v>
      </c>
      <c r="M1158" t="str">
        <f ca="1">IFERROR(__xludf.DUMMYFUNCTION("""COMPUTED_VALUE"""),"3. Migration réalisée")</f>
        <v>3. Migration réalisée</v>
      </c>
      <c r="N1158" t="str">
        <f ca="1">IFERROR(__xludf.DUMMYFUNCTION("""COMPUTED_VALUE"""),"")</f>
        <v/>
      </c>
      <c r="O1158" t="str">
        <f ca="1">IFERROR(__xludf.DUMMYFUNCTION("""COMPUTED_VALUE"""),"07/08 LFO : statut changé à migration planifié, NLA prend en charge la création des VM
27/08 NLA : Demande de MEP + TS : OK 
04/09 JPE: Configuration DNS, installation de la licence et packages envoyés .")</f>
        <v>07/08 LFO : statut changé à migration planifié, NLA prend en charge la création des VM
27/08 NLA : Demande de MEP + TS : OK 
04/09 JPE: Configuration DNS, installation de la licence et packages envoyés .</v>
      </c>
      <c r="P1158">
        <f ca="1">IFERROR(__xludf.DUMMYFUNCTION("""COMPUTED_VALUE"""),36)</f>
        <v>36</v>
      </c>
      <c r="Q1158" s="5" t="str">
        <f ca="1">IFERROR(__xludf.DUMMYFUNCTION("""COMPUTED_VALUE"""),"")</f>
        <v/>
      </c>
      <c r="R1158" s="6">
        <f ca="1">IFERROR(__xludf.DUMMYFUNCTION("""COMPUTED_VALUE"""),43347.375)</f>
        <v>43347.375</v>
      </c>
      <c r="S1158" t="str">
        <f ca="1">IFERROR(__xludf.DUMMYFUNCTION("""COMPUTED_VALUE"""),"MEP8508250")</f>
        <v>MEP8508250</v>
      </c>
      <c r="T1158" t="str">
        <f ca="1">IFERROR(__xludf.DUMMYFUNCTION("""COMPUTED_VALUE"""),"MEP8508267")</f>
        <v>MEP8508267</v>
      </c>
      <c r="U1158" t="str">
        <f ca="1">IFERROR(__xludf.DUMMYFUNCTION("""COMPUTED_VALUE"""),"OK")</f>
        <v>OK</v>
      </c>
      <c r="V1158" t="str">
        <f ca="1">IFERROR(__xludf.DUMMYFUNCTION("""COMPUTED_VALUE"""),"10.189.164.237")</f>
        <v>10.189.164.237</v>
      </c>
      <c r="W1158" t="str">
        <f ca="1">IFERROR(__xludf.DUMMYFUNCTION("""COMPUTED_VALUE"""),"R5")</f>
        <v>R5</v>
      </c>
      <c r="X1158" t="str">
        <f ca="1">IFERROR(__xludf.DUMMYFUNCTION("""COMPUTED_VALUE"""),"U StoreBox")</f>
        <v>U StoreBox</v>
      </c>
      <c r="Y1158" t="str">
        <f ca="1">IFERROR(__xludf.DUMMYFUNCTION("""COMPUTED_VALUE"""),"Primo")</f>
        <v>Primo</v>
      </c>
      <c r="Z1158" t="str">
        <f ca="1">IFERROR(__xludf.DUMMYFUNCTION("""COMPUTED_VALUE"""),"")</f>
        <v/>
      </c>
      <c r="AA1158" t="str">
        <f ca="1">IFERROR(__xludf.DUMMYFUNCTION("""COMPUTED_VALUE"""),"Terminé")</f>
        <v>Terminé</v>
      </c>
      <c r="AB1158" s="8">
        <f ca="1">IFERROR(__xludf.DUMMYFUNCTION("""COMPUTED_VALUE"""),43341)</f>
        <v>43341</v>
      </c>
      <c r="AC1158" s="8">
        <f ca="1">IFERROR(__xludf.DUMMYFUNCTION("""COMPUTED_VALUE"""),43347)</f>
        <v>43347</v>
      </c>
      <c r="AD1158" s="11">
        <f ca="1">IFERROR(__xludf.DUMMYFUNCTION("""COMPUTED_VALUE"""),43349)</f>
        <v>43349</v>
      </c>
      <c r="AE1158" t="str">
        <f ca="1">IFERROR(__xludf.DUMMYFUNCTION("""COMPUTED_VALUE"""),"mise en service sur site le 6/09 OK.Formation du personnel le 14/09 à 10h30 à la demande de l'associé.")</f>
        <v>mise en service sur site le 6/09 OK.Formation du personnel le 14/09 à 10h30 à la demande de l'associé.</v>
      </c>
    </row>
    <row r="1159" spans="1:31" ht="12.75" x14ac:dyDescent="0.2">
      <c r="A1159">
        <f ca="1">IFERROR(__xludf.DUMMYFUNCTION("""COMPUTED_VALUE"""),32569)</f>
        <v>32569</v>
      </c>
      <c r="B1159" t="str">
        <f ca="1">IFERROR(__xludf.DUMMYFUNCTION("""COMPUTED_VALUE"""),"ST-PERE-SUR-LOIRE")</f>
        <v>ST-PERE-SUR-LOIRE</v>
      </c>
      <c r="C1159" t="str">
        <f ca="1">IFERROR(__xludf.DUMMYFUNCTION("""COMPUTED_VALUE"""),"Super U")</f>
        <v>Super U</v>
      </c>
      <c r="D1159" t="str">
        <f ca="1">IFERROR(__xludf.DUMMYFUNCTION("""COMPUTED_VALUE"""),"Coop U Enseigne Ouest")</f>
        <v>Coop U Enseigne Ouest</v>
      </c>
      <c r="E1159">
        <f ca="1">IFERROR(__xludf.DUMMYFUNCTION("""COMPUTED_VALUE"""),45600)</f>
        <v>45600</v>
      </c>
      <c r="F1159" t="str">
        <f ca="1">IFERROR(__xludf.DUMMYFUNCTION("""COMPUTED_VALUE"""),"RUE DE SAVOIE")</f>
        <v>RUE DE SAVOIE</v>
      </c>
      <c r="G1159" t="str">
        <f ca="1">IFERROR(__xludf.DUMMYFUNCTION("""COMPUTED_VALUE"""),"02.38.29.59.29")</f>
        <v>02.38.29.59.29</v>
      </c>
      <c r="H1159" t="str">
        <f ca="1">IFERROR(__xludf.DUMMYFUNCTION("""COMPUTED_VALUE"""),"AUBE RPT FINANCIERE PERDIS Denis")</f>
        <v>AUBE RPT FINANCIERE PERDIS Denis</v>
      </c>
      <c r="I1159" t="str">
        <f ca="1">IFERROR(__xludf.DUMMYFUNCTION("""COMPUTED_VALUE"""),"denis.aube@systeme-u.fr")</f>
        <v>denis.aube@systeme-u.fr</v>
      </c>
      <c r="J1159" t="str">
        <f ca="1">IFERROR(__xludf.DUMMYFUNCTION("""COMPUTED_VALUE"""),"GUISET CHANTAL")</f>
        <v>GUISET CHANTAL</v>
      </c>
      <c r="K1159" t="str">
        <f ca="1">IFERROR(__xludf.DUMMYFUNCTION("""COMPUTED_VALUE"""),"superu.saintperesurloire.informatique@systeme-u.fr")</f>
        <v>superu.saintperesurloire.informatique@systeme-u.fr</v>
      </c>
      <c r="L1159" t="str">
        <f ca="1">IFERROR(__xludf.DUMMYFUNCTION("""COMPUTED_VALUE"""),"")</f>
        <v/>
      </c>
      <c r="M1159" t="str">
        <f ca="1">IFERROR(__xludf.DUMMYFUNCTION("""COMPUTED_VALUE"""),"3. Migration réalisée")</f>
        <v>3. Migration réalisée</v>
      </c>
      <c r="N1159" t="str">
        <f ca="1">IFERROR(__xludf.DUMMYFUNCTION("""COMPUTED_VALUE"""),"")</f>
        <v/>
      </c>
      <c r="O1159" t="str">
        <f ca="1">IFERROR(__xludf.DUMMYFUNCTION("""COMPUTED_VALUE"""),"03/10 ERI Rappeler Mme Guiset le 04/10 pour planif date au 16/10 AM
04/10 ERI OK pour le 16/10 AM
10/10 NLA Migration - Opération DI OK 
11/10 NLA Vu avec Sébastien VERDIER : Migartion réalisée")</f>
        <v>03/10 ERI Rappeler Mme Guiset le 04/10 pour planif date au 16/10 AM
04/10 ERI OK pour le 16/10 AM
10/10 NLA Migration - Opération DI OK 
11/10 NLA Vu avec Sébastien VERDIER : Migartion réalisée</v>
      </c>
      <c r="P1159">
        <f ca="1">IFERROR(__xludf.DUMMYFUNCTION("""COMPUTED_VALUE"""),41)</f>
        <v>41</v>
      </c>
      <c r="Q1159" s="5" t="str">
        <f ca="1">IFERROR(__xludf.DUMMYFUNCTION("""COMPUTED_VALUE"""),"")</f>
        <v/>
      </c>
      <c r="R1159" s="6">
        <f ca="1">IFERROR(__xludf.DUMMYFUNCTION("""COMPUTED_VALUE"""),43384)</f>
        <v>43384</v>
      </c>
      <c r="S1159" t="str">
        <f ca="1">IFERROR(__xludf.DUMMYFUNCTION("""COMPUTED_VALUE"""),"MEP8510687")</f>
        <v>MEP8510687</v>
      </c>
      <c r="T1159" t="str">
        <f ca="1">IFERROR(__xludf.DUMMYFUNCTION("""COMPUTED_VALUE"""),"MEP8510688")</f>
        <v>MEP8510688</v>
      </c>
      <c r="U1159" t="str">
        <f ca="1">IFERROR(__xludf.DUMMYFUNCTION("""COMPUTED_VALUE"""),"ok")</f>
        <v>ok</v>
      </c>
      <c r="V1159" t="str">
        <f ca="1">IFERROR(__xludf.DUMMYFUNCTION("""COMPUTED_VALUE"""),"10.189.136.237")</f>
        <v>10.189.136.237</v>
      </c>
      <c r="W1159" t="str">
        <f ca="1">IFERROR(__xludf.DUMMYFUNCTION("""COMPUTED_VALUE"""),"R5")</f>
        <v>R5</v>
      </c>
      <c r="X1159" t="str">
        <f ca="1">IFERROR(__xludf.DUMMYFUNCTION("""COMPUTED_VALUE"""),"U StoreBox")</f>
        <v>U StoreBox</v>
      </c>
      <c r="Y1159" t="str">
        <f ca="1">IFERROR(__xludf.DUMMYFUNCTION("""COMPUTED_VALUE"""),"Primo")</f>
        <v>Primo</v>
      </c>
      <c r="Z1159" t="str">
        <f ca="1">IFERROR(__xludf.DUMMYFUNCTION("""COMPUTED_VALUE"""),"")</f>
        <v/>
      </c>
      <c r="AA1159" t="str">
        <f ca="1">IFERROR(__xludf.DUMMYFUNCTION("""COMPUTED_VALUE"""),"Terminé")</f>
        <v>Terminé</v>
      </c>
      <c r="AB1159" s="8">
        <f ca="1">IFERROR(__xludf.DUMMYFUNCTION("""COMPUTED_VALUE"""),43382)</f>
        <v>43382</v>
      </c>
      <c r="AC1159" s="8">
        <f ca="1">IFERROR(__xludf.DUMMYFUNCTION("""COMPUTED_VALUE"""),43384)</f>
        <v>43384</v>
      </c>
      <c r="AD1159" s="11">
        <f ca="1">IFERROR(__xludf.DUMMYFUNCTION("""COMPUTED_VALUE"""),43389)</f>
        <v>43389</v>
      </c>
      <c r="AE1159" t="str">
        <f ca="1">IFERROR(__xludf.DUMMYFUNCTION("""COMPUTED_VALUE"""),"Pré visite réalisé le 27/09 CR et fiche de pré requis déposée")</f>
        <v>Pré visite réalisé le 27/09 CR et fiche de pré requis déposée</v>
      </c>
    </row>
    <row r="1160" spans="1:31" ht="12.75" x14ac:dyDescent="0.2">
      <c r="A1160">
        <f ca="1">IFERROR(__xludf.DUMMYFUNCTION("""COMPUTED_VALUE"""),32844)</f>
        <v>32844</v>
      </c>
      <c r="B1160" t="str">
        <f ca="1">IFERROR(__xludf.DUMMYFUNCTION("""COMPUTED_VALUE"""),"ST-PHILBERT-DE-GRANDLIEU")</f>
        <v>ST-PHILBERT-DE-GRANDLIEU</v>
      </c>
      <c r="C1160" t="str">
        <f ca="1">IFERROR(__xludf.DUMMYFUNCTION("""COMPUTED_VALUE"""),"Hyper U")</f>
        <v>Hyper U</v>
      </c>
      <c r="D1160" t="str">
        <f ca="1">IFERROR(__xludf.DUMMYFUNCTION("""COMPUTED_VALUE"""),"Coop U Enseigne Ouest")</f>
        <v>Coop U Enseigne Ouest</v>
      </c>
      <c r="E1160">
        <f ca="1">IFERROR(__xludf.DUMMYFUNCTION("""COMPUTED_VALUE"""),44310)</f>
        <v>44310</v>
      </c>
      <c r="F1160" t="str">
        <f ca="1">IFERROR(__xludf.DUMMYFUNCTION("""COMPUTED_VALUE"""),"ESPACE COMMERCIAL GRAND LAC")</f>
        <v>ESPACE COMMERCIAL GRAND LAC</v>
      </c>
      <c r="G1160" t="str">
        <f ca="1">IFERROR(__xludf.DUMMYFUNCTION("""COMPUTED_VALUE"""),"02.40.78.73.84")</f>
        <v>02.40.78.73.84</v>
      </c>
      <c r="H1160" t="str">
        <f ca="1">IFERROR(__xludf.DUMMYFUNCTION("""COMPUTED_VALUE"""),"MASSON Claude")</f>
        <v>MASSON Claude</v>
      </c>
      <c r="I1160" t="str">
        <f ca="1">IFERROR(__xludf.DUMMYFUNCTION("""COMPUTED_VALUE"""),"claude.masson@systeme-u.fr")</f>
        <v>claude.masson@systeme-u.fr</v>
      </c>
      <c r="J1160" t="str">
        <f ca="1">IFERROR(__xludf.DUMMYFUNCTION("""COMPUTED_VALUE"""),"Mr Brisson Jean-Pierre")</f>
        <v>Mr Brisson Jean-Pierre</v>
      </c>
      <c r="K1160" t="str">
        <f ca="1">IFERROR(__xludf.DUMMYFUNCTION("""COMPUTED_VALUE"""),"hyperu.saintphilbertdegrandlieu.administratif@systeme-u.fr")</f>
        <v>hyperu.saintphilbertdegrandlieu.administratif@systeme-u.fr</v>
      </c>
      <c r="L1160" t="str">
        <f ca="1">IFERROR(__xludf.DUMMYFUNCTION("""COMPUTED_VALUE"""),"PiloteTech")</f>
        <v>PiloteTech</v>
      </c>
      <c r="M1160" t="str">
        <f ca="1">IFERROR(__xludf.DUMMYFUNCTION("""COMPUTED_VALUE"""),"3. Migration réalisée")</f>
        <v>3. Migration réalisée</v>
      </c>
      <c r="N1160" t="str">
        <f ca="1">IFERROR(__xludf.DUMMYFUNCTION("""COMPUTED_VALUE"""),"")</f>
        <v/>
      </c>
      <c r="O1160" t="str">
        <f ca="1">IFERROR(__xludf.DUMMYFUNCTION("""COMPUTED_VALUE"""),"")</f>
        <v/>
      </c>
      <c r="P1160">
        <f ca="1">IFERROR(__xludf.DUMMYFUNCTION("""COMPUTED_VALUE"""),47)</f>
        <v>47</v>
      </c>
      <c r="Q1160" s="5" t="str">
        <f ca="1">IFERROR(__xludf.DUMMYFUNCTION("""COMPUTED_VALUE"""),"")</f>
        <v/>
      </c>
      <c r="R1160" s="6">
        <f ca="1">IFERROR(__xludf.DUMMYFUNCTION("""COMPUTED_VALUE"""),43062)</f>
        <v>43062</v>
      </c>
      <c r="S1160" t="str">
        <f ca="1">IFERROR(__xludf.DUMMYFUNCTION("""COMPUTED_VALUE"""),"n/a")</f>
        <v>n/a</v>
      </c>
      <c r="T1160" t="str">
        <f ca="1">IFERROR(__xludf.DUMMYFUNCTION("""COMPUTED_VALUE"""),"n/a")</f>
        <v>n/a</v>
      </c>
      <c r="U1160" t="str">
        <f ca="1">IFERROR(__xludf.DUMMYFUNCTION("""COMPUTED_VALUE"""),"n/a")</f>
        <v>n/a</v>
      </c>
      <c r="V1160" t="str">
        <f ca="1">IFERROR(__xludf.DUMMYFUNCTION("""COMPUTED_VALUE"""),"")</f>
        <v/>
      </c>
      <c r="W1160" t="str">
        <f ca="1">IFERROR(__xludf.DUMMYFUNCTION("""COMPUTED_VALUE"""),"R5")</f>
        <v>R5</v>
      </c>
      <c r="X1160" t="str">
        <f ca="1">IFERROR(__xludf.DUMMYFUNCTION("""COMPUTED_VALUE"""),"U StoreBox")</f>
        <v>U StoreBox</v>
      </c>
      <c r="Y1160" t="str">
        <f ca="1">IFERROR(__xludf.DUMMYFUNCTION("""COMPUTED_VALUE"""),"Mig_std")</f>
        <v>Mig_std</v>
      </c>
      <c r="Z1160" t="str">
        <f ca="1">IFERROR(__xludf.DUMMYFUNCTION("""COMPUTED_VALUE"""),"")</f>
        <v/>
      </c>
      <c r="AA1160" t="str">
        <f ca="1">IFERROR(__xludf.DUMMYFUNCTION("""COMPUTED_VALUE"""),"Terminé")</f>
        <v>Terminé</v>
      </c>
      <c r="AB1160" s="8" t="str">
        <f ca="1">IFERROR(__xludf.DUMMYFUNCTION("""COMPUTED_VALUE"""),"")</f>
        <v/>
      </c>
      <c r="AC1160" s="8" t="str">
        <f ca="1">IFERROR(__xludf.DUMMYFUNCTION("""COMPUTED_VALUE"""),"")</f>
        <v/>
      </c>
      <c r="AD1160" s="11" t="str">
        <f ca="1">IFERROR(__xludf.DUMMYFUNCTION("""COMPUTED_VALUE"""),"")</f>
        <v/>
      </c>
      <c r="AE1160" t="str">
        <f ca="1">IFERROR(__xludf.DUMMYFUNCTION("""COMPUTED_VALUE"""),"")</f>
        <v/>
      </c>
    </row>
    <row r="1161" spans="1:31" ht="12.75" x14ac:dyDescent="0.2">
      <c r="A1161">
        <f ca="1">IFERROR(__xludf.DUMMYFUNCTION("""COMPUTED_VALUE"""),38210)</f>
        <v>38210</v>
      </c>
      <c r="B1161" t="str">
        <f ca="1">IFERROR(__xludf.DUMMYFUNCTION("""COMPUTED_VALUE"""),"ST-PRYVE-ST-MESMIN")</f>
        <v>ST-PRYVE-ST-MESMIN</v>
      </c>
      <c r="C1161" t="str">
        <f ca="1">IFERROR(__xludf.DUMMYFUNCTION("""COMPUTED_VALUE"""),"Super U")</f>
        <v>Super U</v>
      </c>
      <c r="D1161" t="str">
        <f ca="1">IFERROR(__xludf.DUMMYFUNCTION("""COMPUTED_VALUE"""),"Coop U Enseigne Ouest")</f>
        <v>Coop U Enseigne Ouest</v>
      </c>
      <c r="E1161">
        <f ca="1">IFERROR(__xludf.DUMMYFUNCTION("""COMPUTED_VALUE"""),45750)</f>
        <v>45750</v>
      </c>
      <c r="F1161" t="str">
        <f ca="1">IFERROR(__xludf.DUMMYFUNCTION("""COMPUTED_VALUE"""),"AVENUE DU TRAITÉ DE ROME")</f>
        <v>AVENUE DU TRAITÉ DE ROME</v>
      </c>
      <c r="G1161" t="str">
        <f ca="1">IFERROR(__xludf.DUMMYFUNCTION("""COMPUTED_VALUE"""),"02.38.14.30.10")</f>
        <v>02.38.14.30.10</v>
      </c>
      <c r="H1161" t="str">
        <f ca="1">IFERROR(__xludf.DUMMYFUNCTION("""COMPUTED_VALUE"""),"BROSSARD Jean Paul")</f>
        <v>BROSSARD Jean Paul</v>
      </c>
      <c r="I1161" t="str">
        <f ca="1">IFERROR(__xludf.DUMMYFUNCTION("""COMPUTED_VALUE"""),"jean-paul.brossard@systeme-u.fr")</f>
        <v>jean-paul.brossard@systeme-u.fr</v>
      </c>
      <c r="J1161" t="str">
        <f ca="1">IFERROR(__xludf.DUMMYFUNCTION("""COMPUTED_VALUE"""),"DE LIMA Nathalie")</f>
        <v>DE LIMA Nathalie</v>
      </c>
      <c r="K1161" t="str">
        <f ca="1">IFERROR(__xludf.DUMMYFUNCTION("""COMPUTED_VALUE"""),"superu.saintpryvesaintmesmin.compta@systeme-u.fr")</f>
        <v>superu.saintpryvesaintmesmin.compta@systeme-u.fr</v>
      </c>
      <c r="L1161" t="str">
        <f ca="1">IFERROR(__xludf.DUMMYFUNCTION("""COMPUTED_VALUE"""),"Standard")</f>
        <v>Standard</v>
      </c>
      <c r="M1161" t="str">
        <f ca="1">IFERROR(__xludf.DUMMYFUNCTION("""COMPUTED_VALUE"""),"0. Non démarré")</f>
        <v>0. Non démarré</v>
      </c>
      <c r="N1161" t="str">
        <f ca="1">IFERROR(__xludf.DUMMYFUNCTION("""COMPUTED_VALUE"""),"")</f>
        <v/>
      </c>
      <c r="O1161" t="str">
        <f ca="1">IFERROR(__xludf.DUMMYFUNCTION("""COMPUTED_VALUE"""),"")</f>
        <v/>
      </c>
      <c r="P1161" t="str">
        <f ca="1">IFERROR(__xludf.DUMMYFUNCTION("""COMPUTED_VALUE"""),"")</f>
        <v/>
      </c>
      <c r="Q1161" s="5" t="str">
        <f ca="1">IFERROR(__xludf.DUMMYFUNCTION("""COMPUTED_VALUE"""),"")</f>
        <v/>
      </c>
      <c r="R1161" s="6" t="str">
        <f ca="1">IFERROR(__xludf.DUMMYFUNCTION("""COMPUTED_VALUE"""),"")</f>
        <v/>
      </c>
      <c r="S1161" t="str">
        <f ca="1">IFERROR(__xludf.DUMMYFUNCTION("""COMPUTED_VALUE"""),"")</f>
        <v/>
      </c>
      <c r="T1161" t="str">
        <f ca="1">IFERROR(__xludf.DUMMYFUNCTION("""COMPUTED_VALUE"""),"")</f>
        <v/>
      </c>
      <c r="U1161" t="str">
        <f ca="1">IFERROR(__xludf.DUMMYFUNCTION("""COMPUTED_VALUE"""),"")</f>
        <v/>
      </c>
      <c r="V1161" t="str">
        <f ca="1">IFERROR(__xludf.DUMMYFUNCTION("""COMPUTED_VALUE"""),"")</f>
        <v/>
      </c>
      <c r="W1161" t="str">
        <f ca="1">IFERROR(__xludf.DUMMYFUNCTION("""COMPUTED_VALUE"""),"R5")</f>
        <v>R5</v>
      </c>
      <c r="X1161" t="str">
        <f ca="1">IFERROR(__xludf.DUMMYFUNCTION("""COMPUTED_VALUE"""),"Pricer")</f>
        <v>Pricer</v>
      </c>
      <c r="Y1161" t="str">
        <f ca="1">IFERROR(__xludf.DUMMYFUNCTION("""COMPUTED_VALUE"""),"")</f>
        <v/>
      </c>
      <c r="Z1161" t="str">
        <f ca="1">IFERROR(__xludf.DUMMYFUNCTION("""COMPUTED_VALUE"""),"")</f>
        <v/>
      </c>
      <c r="AA1161" t="str">
        <f ca="1">IFERROR(__xludf.DUMMYFUNCTION("""COMPUTED_VALUE"""),"Terminé")</f>
        <v>Terminé</v>
      </c>
      <c r="AB1161" s="8" t="str">
        <f ca="1">IFERROR(__xludf.DUMMYFUNCTION("""COMPUTED_VALUE"""),"")</f>
        <v/>
      </c>
      <c r="AC1161" s="8" t="str">
        <f ca="1">IFERROR(__xludf.DUMMYFUNCTION("""COMPUTED_VALUE"""),"")</f>
        <v/>
      </c>
      <c r="AD1161" s="11" t="str">
        <f ca="1">IFERROR(__xludf.DUMMYFUNCTION("""COMPUTED_VALUE"""),"")</f>
        <v/>
      </c>
      <c r="AE1161" t="str">
        <f ca="1">IFERROR(__xludf.DUMMYFUNCTION("""COMPUTED_VALUE"""),"")</f>
        <v/>
      </c>
    </row>
    <row r="1162" spans="1:31" ht="12.75" x14ac:dyDescent="0.2">
      <c r="A1162">
        <f ca="1">IFERROR(__xludf.DUMMYFUNCTION("""COMPUTED_VALUE"""),38753)</f>
        <v>38753</v>
      </c>
      <c r="B1162" t="str">
        <f ca="1">IFERROR(__xludf.DUMMYFUNCTION("""COMPUTED_VALUE"""),"ST-REMY-DE-SILLE")</f>
        <v>ST-REMY-DE-SILLE</v>
      </c>
      <c r="C1162" t="str">
        <f ca="1">IFERROR(__xludf.DUMMYFUNCTION("""COMPUTED_VALUE"""),"Super U")</f>
        <v>Super U</v>
      </c>
      <c r="D1162" t="str">
        <f ca="1">IFERROR(__xludf.DUMMYFUNCTION("""COMPUTED_VALUE"""),"Coop U Enseigne Ouest")</f>
        <v>Coop U Enseigne Ouest</v>
      </c>
      <c r="E1162">
        <f ca="1">IFERROR(__xludf.DUMMYFUNCTION("""COMPUTED_VALUE"""),72140)</f>
        <v>72140</v>
      </c>
      <c r="F1162" t="str">
        <f ca="1">IFERROR(__xludf.DUMMYFUNCTION("""COMPUTED_VALUE"""),"ROUTE DU MANS")</f>
        <v>ROUTE DU MANS</v>
      </c>
      <c r="G1162" t="str">
        <f ca="1">IFERROR(__xludf.DUMMYFUNCTION("""COMPUTED_VALUE"""),"02.43.20.29.80")</f>
        <v>02.43.20.29.80</v>
      </c>
      <c r="H1162" t="str">
        <f ca="1">IFERROR(__xludf.DUMMYFUNCTION("""COMPUTED_VALUE"""),"LE CORNEC BERTRAND")</f>
        <v>LE CORNEC BERTRAND</v>
      </c>
      <c r="I1162" t="str">
        <f ca="1">IFERROR(__xludf.DUMMYFUNCTION("""COMPUTED_VALUE"""),"bertrand.lecornec@systeme-u.fr")</f>
        <v>bertrand.lecornec@systeme-u.fr</v>
      </c>
      <c r="J1162" t="str">
        <f ca="1">IFERROR(__xludf.DUMMYFUNCTION("""COMPUTED_VALUE"""),"
Guillaume CAPAYROUX")</f>
        <v xml:space="preserve">
Guillaume CAPAYROUX</v>
      </c>
      <c r="K1162" t="str">
        <f ca="1">IFERROR(__xludf.DUMMYFUNCTION("""COMPUTED_VALUE"""),"
guillaume.capayroux@systeme-u.fr")</f>
        <v xml:space="preserve">
guillaume.capayroux@systeme-u.fr</v>
      </c>
      <c r="L1162" t="str">
        <f ca="1">IFERROR(__xludf.DUMMYFUNCTION("""COMPUTED_VALUE"""),"")</f>
        <v/>
      </c>
      <c r="M1162" t="str">
        <f ca="1">IFERROR(__xludf.DUMMYFUNCTION("""COMPUTED_VALUE"""),"3. Migration réalisée")</f>
        <v>3. Migration réalisée</v>
      </c>
      <c r="N1162" t="str">
        <f ca="1">IFERROR(__xludf.DUMMYFUNCTION("""COMPUTED_VALUE"""),"")</f>
        <v/>
      </c>
      <c r="O1162" t="str">
        <f ca="1">IFERROR(__xludf.DUMMYFUNCTION("""COMPUTED_VALUE"""),"31/08 GLO : Vu avec Mr CAPAYROUX (remplace Mr RAGOT), validation de la migration le 12/09 AM. Formation prévu le 13/09 avec installation PDV par PRICER
04/09 NLA : Demande de MEP VM+ TS OK
13/09 GLO : Décalage formation et mise en service au 25/09 pour at"&amp;"tente PDA WiFi le 19/09")</f>
        <v>31/08 GLO : Vu avec Mr CAPAYROUX (remplace Mr RAGOT), validation de la migration le 12/09 AM. Formation prévu le 13/09 avec installation PDV par PRICER
04/09 NLA : Demande de MEP VM+ TS OK
13/09 GLO : Décalage formation et mise en service au 25/09 pour attente PDA WiFi le 19/09</v>
      </c>
      <c r="P1162">
        <f ca="1">IFERROR(__xludf.DUMMYFUNCTION("""COMPUTED_VALUE"""),37)</f>
        <v>37</v>
      </c>
      <c r="Q1162" s="5" t="str">
        <f ca="1">IFERROR(__xludf.DUMMYFUNCTION("""COMPUTED_VALUE"""),"")</f>
        <v/>
      </c>
      <c r="R1162" s="6">
        <f ca="1">IFERROR(__xludf.DUMMYFUNCTION("""COMPUTED_VALUE"""),43355.375)</f>
        <v>43355.375</v>
      </c>
      <c r="S1162" t="str">
        <f ca="1">IFERROR(__xludf.DUMMYFUNCTION("""COMPUTED_VALUE"""),"MEP8508798")</f>
        <v>MEP8508798</v>
      </c>
      <c r="T1162" t="str">
        <f ca="1">IFERROR(__xludf.DUMMYFUNCTION("""COMPUTED_VALUE"""),"MEP8508799")</f>
        <v>MEP8508799</v>
      </c>
      <c r="U1162" t="str">
        <f ca="1">IFERROR(__xludf.DUMMYFUNCTION("""COMPUTED_VALUE"""),"OK")</f>
        <v>OK</v>
      </c>
      <c r="V1162" t="str">
        <f ca="1">IFERROR(__xludf.DUMMYFUNCTION("""COMPUTED_VALUE"""),"10.188.124.237")</f>
        <v>10.188.124.237</v>
      </c>
      <c r="W1162" t="str">
        <f ca="1">IFERROR(__xludf.DUMMYFUNCTION("""COMPUTED_VALUE"""),"R5")</f>
        <v>R5</v>
      </c>
      <c r="X1162" t="str">
        <f ca="1">IFERROR(__xludf.DUMMYFUNCTION("""COMPUTED_VALUE"""),"U StoreBox")</f>
        <v>U StoreBox</v>
      </c>
      <c r="Y1162" t="str">
        <f ca="1">IFERROR(__xludf.DUMMYFUNCTION("""COMPUTED_VALUE"""),"Primo")</f>
        <v>Primo</v>
      </c>
      <c r="Z1162" t="str">
        <f ca="1">IFERROR(__xludf.DUMMYFUNCTION("""COMPUTED_VALUE"""),"")</f>
        <v/>
      </c>
      <c r="AA1162" t="str">
        <f ca="1">IFERROR(__xludf.DUMMYFUNCTION("""COMPUTED_VALUE"""),"Terminé")</f>
        <v>Terminé</v>
      </c>
      <c r="AB1162" s="8">
        <f ca="1">IFERROR(__xludf.DUMMYFUNCTION("""COMPUTED_VALUE"""),43353)</f>
        <v>43353</v>
      </c>
      <c r="AC1162" s="8">
        <f ca="1">IFERROR(__xludf.DUMMYFUNCTION("""COMPUTED_VALUE"""),43368)</f>
        <v>43368</v>
      </c>
      <c r="AD1162" s="11">
        <f ca="1">IFERROR(__xludf.DUMMYFUNCTION("""COMPUTED_VALUE"""),43368)</f>
        <v>43368</v>
      </c>
      <c r="AE1162" t="str">
        <f ca="1">IFERROR(__xludf.DUMMYFUNCTION("""COMPUTED_VALUE"""),"3 scanflash de Prêt")</f>
        <v>3 scanflash de Prêt</v>
      </c>
    </row>
    <row r="1163" spans="1:31" ht="12.75" x14ac:dyDescent="0.2">
      <c r="A1163">
        <f ca="1">IFERROR(__xludf.DUMMYFUNCTION("""COMPUTED_VALUE"""),30639)</f>
        <v>30639</v>
      </c>
      <c r="B1163" t="str">
        <f ca="1">IFERROR(__xludf.DUMMYFUNCTION("""COMPUTED_VALUE"""),"ST-SYLVAIN-D'ANJOU")</f>
        <v>ST-SYLVAIN-D'ANJOU</v>
      </c>
      <c r="C1163" t="str">
        <f ca="1">IFERROR(__xludf.DUMMYFUNCTION("""COMPUTED_VALUE"""),"Super U")</f>
        <v>Super U</v>
      </c>
      <c r="D1163" t="str">
        <f ca="1">IFERROR(__xludf.DUMMYFUNCTION("""COMPUTED_VALUE"""),"Coop U Enseigne Ouest")</f>
        <v>Coop U Enseigne Ouest</v>
      </c>
      <c r="E1163">
        <f ca="1">IFERROR(__xludf.DUMMYFUNCTION("""COMPUTED_VALUE"""),49480)</f>
        <v>49480</v>
      </c>
      <c r="F1163" t="str">
        <f ca="1">IFERROR(__xludf.DUMMYFUNCTION("""COMPUTED_VALUE"""),"LA MAISON BLANCHE")</f>
        <v>LA MAISON BLANCHE</v>
      </c>
      <c r="G1163" t="str">
        <f ca="1">IFERROR(__xludf.DUMMYFUNCTION("""COMPUTED_VALUE"""),"02.41.76.82.80")</f>
        <v>02.41.76.82.80</v>
      </c>
      <c r="H1163" t="str">
        <f ca="1">IFERROR(__xludf.DUMMYFUNCTION("""COMPUTED_VALUE"""),"TAUDON Sébastien")</f>
        <v>TAUDON Sébastien</v>
      </c>
      <c r="I1163" t="str">
        <f ca="1">IFERROR(__xludf.DUMMYFUNCTION("""COMPUTED_VALUE"""),"sebastien.taudon@systeme-u.fr")</f>
        <v>sebastien.taudon@systeme-u.fr</v>
      </c>
      <c r="J1163" t="str">
        <f ca="1">IFERROR(__xludf.DUMMYFUNCTION("""COMPUTED_VALUE"""),"Mme Raimbault")</f>
        <v>Mme Raimbault</v>
      </c>
      <c r="K1163" t="str">
        <f ca="1">IFERROR(__xludf.DUMMYFUNCTION("""COMPUTED_VALUE"""),"veronique.raimbault@systeme-u.fr")</f>
        <v>veronique.raimbault@systeme-u.fr</v>
      </c>
      <c r="L1163" t="str">
        <f ca="1">IFERROR(__xludf.DUMMYFUNCTION("""COMPUTED_VALUE"""),"PiloteTech")</f>
        <v>PiloteTech</v>
      </c>
      <c r="M1163" t="str">
        <f ca="1">IFERROR(__xludf.DUMMYFUNCTION("""COMPUTED_VALUE"""),"3. Migration réalisée")</f>
        <v>3. Migration réalisée</v>
      </c>
      <c r="N1163" t="str">
        <f ca="1">IFERROR(__xludf.DUMMYFUNCTION("""COMPUTED_VALUE"""),"")</f>
        <v/>
      </c>
      <c r="O1163" t="str">
        <f ca="1">IFERROR(__xludf.DUMMYFUNCTION("""COMPUTED_VALUE"""),"effectuée par FX RIBOT")</f>
        <v>effectuée par FX RIBOT</v>
      </c>
      <c r="P1163" t="str">
        <f ca="1">IFERROR(__xludf.DUMMYFUNCTION("""COMPUTED_VALUE"""),"")</f>
        <v/>
      </c>
      <c r="Q1163" s="5" t="str">
        <f ca="1">IFERROR(__xludf.DUMMYFUNCTION("""COMPUTED_VALUE"""),"")</f>
        <v/>
      </c>
      <c r="R1163" s="6" t="str">
        <f ca="1">IFERROR(__xludf.DUMMYFUNCTION("""COMPUTED_VALUE"""),"")</f>
        <v/>
      </c>
      <c r="S1163" t="str">
        <f ca="1">IFERROR(__xludf.DUMMYFUNCTION("""COMPUTED_VALUE"""),"n/a")</f>
        <v>n/a</v>
      </c>
      <c r="T1163" t="str">
        <f ca="1">IFERROR(__xludf.DUMMYFUNCTION("""COMPUTED_VALUE"""),"n/a")</f>
        <v>n/a</v>
      </c>
      <c r="U1163" t="str">
        <f ca="1">IFERROR(__xludf.DUMMYFUNCTION("""COMPUTED_VALUE"""),"n/a")</f>
        <v>n/a</v>
      </c>
      <c r="V1163" t="str">
        <f ca="1">IFERROR(__xludf.DUMMYFUNCTION("""COMPUTED_VALUE"""),"")</f>
        <v/>
      </c>
      <c r="W1163" t="str">
        <f ca="1">IFERROR(__xludf.DUMMYFUNCTION("""COMPUTED_VALUE"""),"R5")</f>
        <v>R5</v>
      </c>
      <c r="X1163" t="str">
        <f ca="1">IFERROR(__xludf.DUMMYFUNCTION("""COMPUTED_VALUE"""),"U StoreBox")</f>
        <v>U StoreBox</v>
      </c>
      <c r="Y1163" t="str">
        <f ca="1">IFERROR(__xludf.DUMMYFUNCTION("""COMPUTED_VALUE"""),"Primo")</f>
        <v>Primo</v>
      </c>
      <c r="Z1163" t="str">
        <f ca="1">IFERROR(__xludf.DUMMYFUNCTION("""COMPUTED_VALUE"""),"")</f>
        <v/>
      </c>
      <c r="AA1163" t="str">
        <f ca="1">IFERROR(__xludf.DUMMYFUNCTION("""COMPUTED_VALUE"""),"Terminé")</f>
        <v>Terminé</v>
      </c>
      <c r="AB1163" s="8" t="str">
        <f ca="1">IFERROR(__xludf.DUMMYFUNCTION("""COMPUTED_VALUE"""),"")</f>
        <v/>
      </c>
      <c r="AC1163" s="8" t="str">
        <f ca="1">IFERROR(__xludf.DUMMYFUNCTION("""COMPUTED_VALUE"""),"")</f>
        <v/>
      </c>
      <c r="AD1163" s="11" t="str">
        <f ca="1">IFERROR(__xludf.DUMMYFUNCTION("""COMPUTED_VALUE"""),"")</f>
        <v/>
      </c>
      <c r="AE1163" t="str">
        <f ca="1">IFERROR(__xludf.DUMMYFUNCTION("""COMPUTED_VALUE"""),"")</f>
        <v/>
      </c>
    </row>
    <row r="1164" spans="1:31" ht="12.75" x14ac:dyDescent="0.2">
      <c r="A1164">
        <f ca="1">IFERROR(__xludf.DUMMYFUNCTION("""COMPUTED_VALUE"""),62035)</f>
        <v>62035</v>
      </c>
      <c r="B1164" t="str">
        <f ca="1">IFERROR(__xludf.DUMMYFUNCTION("""COMPUTED_VALUE"""),"TALANT BELVEDERE")</f>
        <v>TALANT BELVEDERE</v>
      </c>
      <c r="C1164" t="str">
        <f ca="1">IFERROR(__xludf.DUMMYFUNCTION("""COMPUTED_VALUE"""),"Super U")</f>
        <v>Super U</v>
      </c>
      <c r="D1164" t="str">
        <f ca="1">IFERROR(__xludf.DUMMYFUNCTION("""COMPUTED_VALUE"""),"Coop U Enseigne Est")</f>
        <v>Coop U Enseigne Est</v>
      </c>
      <c r="E1164">
        <f ca="1">IFERROR(__xludf.DUMMYFUNCTION("""COMPUTED_VALUE"""),21240)</f>
        <v>21240</v>
      </c>
      <c r="F1164" t="str">
        <f ca="1">IFERROR(__xludf.DUMMYFUNCTION("""COMPUTED_VALUE"""),"C.C. DU BELVÉDÈRE")</f>
        <v>C.C. DU BELVÉDÈRE</v>
      </c>
      <c r="G1164" t="str">
        <f ca="1">IFERROR(__xludf.DUMMYFUNCTION("""COMPUTED_VALUE"""),"03.80.58.29.39")</f>
        <v>03.80.58.29.39</v>
      </c>
      <c r="H1164" t="str">
        <f ca="1">IFERROR(__xludf.DUMMYFUNCTION("""COMPUTED_VALUE"""),"ALVES Pierre")</f>
        <v>ALVES Pierre</v>
      </c>
      <c r="I1164" t="str">
        <f ca="1">IFERROR(__xludf.DUMMYFUNCTION("""COMPUTED_VALUE"""),"pierre.alves@systeme-u.fr")</f>
        <v>pierre.alves@systeme-u.fr</v>
      </c>
      <c r="J1164" t="str">
        <f ca="1">IFERROR(__xludf.DUMMYFUNCTION("""COMPUTED_VALUE"""),"ALVES Christel, LEREUIL Vincent	")</f>
        <v xml:space="preserve">ALVES Christel, LEREUIL Vincent	</v>
      </c>
      <c r="K1164" t="str">
        <f ca="1">IFERROR(__xludf.DUMMYFUNCTION("""COMPUTED_VALUE"""),"christel.alves@gmail.com,superu.talantzac@systeme-u.fr        ")</f>
        <v xml:space="preserve">christel.alves@gmail.com,superu.talantzac@systeme-u.fr        </v>
      </c>
      <c r="L1164" t="str">
        <f ca="1">IFERROR(__xludf.DUMMYFUNCTION("""COMPUTED_VALUE"""),"PiloteDepl")</f>
        <v>PiloteDepl</v>
      </c>
      <c r="M1164" t="str">
        <f ca="1">IFERROR(__xludf.DUMMYFUNCTION("""COMPUTED_VALUE"""),"3. Migration réalisée")</f>
        <v>3. Migration réalisée</v>
      </c>
      <c r="N1164" t="str">
        <f ca="1">IFERROR(__xludf.DUMMYFUNCTION("""COMPUTED_VALUE"""),"PRICER")</f>
        <v>PRICER</v>
      </c>
      <c r="O1164" t="str">
        <f ca="1">IFERROR(__xludf.DUMMYFUNCTION("""COMPUTED_VALUE"""),"19/07 NLA : Créations des MEP + @ TS
24/07 BBL : Date de disponibilité au plus tard le 16/08. contact région E.Guillet.
21/08 NLA : Vu avec Cdp PRICER : La MEC courant faible n'a pas été faite (Création d'une prise réseau pour la BStation). Toutes la migr"&amp;"ation a été faite, il ne manque que la validation de la BaseStation pour valider la migration. PRICER a vu avec le PDV : pas d'impact car ils ne vont pas utiliser les EEG avant 1 mois.")</f>
        <v>19/07 NLA : Créations des MEP + @ TS
24/07 BBL : Date de disponibilité au plus tard le 16/08. contact région E.Guillet.
21/08 NLA : Vu avec Cdp PRICER : La MEC courant faible n'a pas été faite (Création d'une prise réseau pour la BStation). Toutes la migration a été faite, il ne manque que la validation de la BaseStation pour valider la migration. PRICER a vu avec le PDV : pas d'impact car ils ne vont pas utiliser les EEG avant 1 mois.</v>
      </c>
      <c r="P1164">
        <f ca="1">IFERROR(__xludf.DUMMYFUNCTION("""COMPUTED_VALUE"""),34)</f>
        <v>34</v>
      </c>
      <c r="Q1164" s="5" t="str">
        <f ca="1">IFERROR(__xludf.DUMMYFUNCTION("""COMPUTED_VALUE"""),"")</f>
        <v/>
      </c>
      <c r="R1164" s="6">
        <f ca="1">IFERROR(__xludf.DUMMYFUNCTION("""COMPUTED_VALUE"""),43333.375)</f>
        <v>43333.375</v>
      </c>
      <c r="S1164" t="str">
        <f ca="1">IFERROR(__xludf.DUMMYFUNCTION("""COMPUTED_VALUE"""),"MEP8506888")</f>
        <v>MEP8506888</v>
      </c>
      <c r="T1164" t="str">
        <f ca="1">IFERROR(__xludf.DUMMYFUNCTION("""COMPUTED_VALUE"""),"MEP8506890")</f>
        <v>MEP8506890</v>
      </c>
      <c r="U1164" t="str">
        <f ca="1">IFERROR(__xludf.DUMMYFUNCTION("""COMPUTED_VALUE"""),"OK")</f>
        <v>OK</v>
      </c>
      <c r="V1164" t="str">
        <f ca="1">IFERROR(__xludf.DUMMYFUNCTION("""COMPUTED_VALUE"""),"10.128.112.237")</f>
        <v>10.128.112.237</v>
      </c>
      <c r="W1164" t="str">
        <f ca="1">IFERROR(__xludf.DUMMYFUNCTION("""COMPUTED_VALUE"""),"R5")</f>
        <v>R5</v>
      </c>
      <c r="X1164" t="str">
        <f ca="1">IFERROR(__xludf.DUMMYFUNCTION("""COMPUTED_VALUE"""),"U StoreBox")</f>
        <v>U StoreBox</v>
      </c>
      <c r="Y1164" t="str">
        <f ca="1">IFERROR(__xludf.DUMMYFUNCTION("""COMPUTED_VALUE"""),"Primo")</f>
        <v>Primo</v>
      </c>
      <c r="Z1164" t="str">
        <f ca="1">IFERROR(__xludf.DUMMYFUNCTION("""COMPUTED_VALUE"""),"")</f>
        <v/>
      </c>
      <c r="AA1164" t="str">
        <f ca="1">IFERROR(__xludf.DUMMYFUNCTION("""COMPUTED_VALUE"""),"Terminé")</f>
        <v>Terminé</v>
      </c>
      <c r="AB1164" s="8">
        <f ca="1">IFERROR(__xludf.DUMMYFUNCTION("""COMPUTED_VALUE"""),43320)</f>
        <v>43320</v>
      </c>
      <c r="AC1164" s="8">
        <f ca="1">IFERROR(__xludf.DUMMYFUNCTION("""COMPUTED_VALUE"""),43333)</f>
        <v>43333</v>
      </c>
      <c r="AD1164" s="11" t="str">
        <f ca="1">IFERROR(__xludf.DUMMYFUNCTION("""COMPUTED_VALUE"""),"")</f>
        <v/>
      </c>
      <c r="AE1164" t="str">
        <f ca="1">IFERROR(__xludf.DUMMYFUNCTION("""COMPUTED_VALUE"""),"Mise en service effectuée. reste date formation à confirmer")</f>
        <v>Mise en service effectuée. reste date formation à confirmer</v>
      </c>
    </row>
    <row r="1165" spans="1:31" ht="12.75" x14ac:dyDescent="0.2">
      <c r="A1165">
        <f ca="1">IFERROR(__xludf.DUMMYFUNCTION("""COMPUTED_VALUE"""),90550)</f>
        <v>90550</v>
      </c>
      <c r="B1165" t="str">
        <f ca="1">IFERROR(__xludf.DUMMYFUNCTION("""COMPUTED_VALUE"""),"THUIR LES ASPRES")</f>
        <v>THUIR LES ASPRES</v>
      </c>
      <c r="C1165" t="str">
        <f ca="1">IFERROR(__xludf.DUMMYFUNCTION("""COMPUTED_VALUE"""),"Super U")</f>
        <v>Super U</v>
      </c>
      <c r="D1165" t="str">
        <f ca="1">IFERROR(__xludf.DUMMYFUNCTION("""COMPUTED_VALUE"""),"Coop U Enseigne Sud")</f>
        <v>Coop U Enseigne Sud</v>
      </c>
      <c r="E1165">
        <f ca="1">IFERROR(__xludf.DUMMYFUNCTION("""COMPUTED_VALUE"""),66300)</f>
        <v>66300</v>
      </c>
      <c r="F1165" t="str">
        <f ca="1">IFERROR(__xludf.DUMMYFUNCTION("""COMPUTED_VALUE"""),"9 AVENUE DE LA PRADOUZE")</f>
        <v>9 AVENUE DE LA PRADOUZE</v>
      </c>
      <c r="G1165" t="str">
        <f ca="1">IFERROR(__xludf.DUMMYFUNCTION("""COMPUTED_VALUE"""),"04.68.52.52.52")</f>
        <v>04.68.52.52.52</v>
      </c>
      <c r="H1165" t="str">
        <f ca="1">IFERROR(__xludf.DUMMYFUNCTION("""COMPUTED_VALUE"""),"ROSELLO Laurent")</f>
        <v>ROSELLO Laurent</v>
      </c>
      <c r="I1165" t="str">
        <f ca="1">IFERROR(__xludf.DUMMYFUNCTION("""COMPUTED_VALUE"""),"laurent.rosello@systeme-u.fr")</f>
        <v>laurent.rosello@systeme-u.fr</v>
      </c>
      <c r="J1165" t="str">
        <f ca="1">IFERROR(__xludf.DUMMYFUNCTION("""COMPUTED_VALUE"""),"")</f>
        <v/>
      </c>
      <c r="K1165" t="str">
        <f ca="1">IFERROR(__xludf.DUMMYFUNCTION("""COMPUTED_VALUE"""),"")</f>
        <v/>
      </c>
      <c r="L1165" t="str">
        <f ca="1">IFERROR(__xludf.DUMMYFUNCTION("""COMPUTED_VALUE"""),"Standard")</f>
        <v>Standard</v>
      </c>
      <c r="M1165" t="str">
        <f ca="1">IFERROR(__xludf.DUMMYFUNCTION("""COMPUTED_VALUE"""),"4. Refus PDV")</f>
        <v>4. Refus PDV</v>
      </c>
      <c r="N1165" t="str">
        <f ca="1">IFERROR(__xludf.DUMMYFUNCTION("""COMPUTED_VALUE"""),"")</f>
        <v/>
      </c>
      <c r="O1165" t="str">
        <f ca="1">IFERROR(__xludf.DUMMYFUNCTION("""COMPUTED_VALUE"""),"")</f>
        <v/>
      </c>
      <c r="P1165" t="str">
        <f ca="1">IFERROR(__xludf.DUMMYFUNCTION("""COMPUTED_VALUE"""),"")</f>
        <v/>
      </c>
      <c r="Q1165" s="5" t="str">
        <f ca="1">IFERROR(__xludf.DUMMYFUNCTION("""COMPUTED_VALUE"""),"")</f>
        <v/>
      </c>
      <c r="R1165" s="6" t="str">
        <f ca="1">IFERROR(__xludf.DUMMYFUNCTION("""COMPUTED_VALUE"""),"")</f>
        <v/>
      </c>
      <c r="S1165" t="str">
        <f ca="1">IFERROR(__xludf.DUMMYFUNCTION("""COMPUTED_VALUE"""),"")</f>
        <v/>
      </c>
      <c r="T1165" t="str">
        <f ca="1">IFERROR(__xludf.DUMMYFUNCTION("""COMPUTED_VALUE"""),"")</f>
        <v/>
      </c>
      <c r="U1165" t="str">
        <f ca="1">IFERROR(__xludf.DUMMYFUNCTION("""COMPUTED_VALUE"""),"")</f>
        <v/>
      </c>
      <c r="V1165" t="str">
        <f ca="1">IFERROR(__xludf.DUMMYFUNCTION("""COMPUTED_VALUE"""),"")</f>
        <v/>
      </c>
      <c r="W1165" t="str">
        <f ca="1">IFERROR(__xludf.DUMMYFUNCTION("""COMPUTED_VALUE"""),"R5")</f>
        <v>R5</v>
      </c>
      <c r="X1165" t="str">
        <f ca="1">IFERROR(__xludf.DUMMYFUNCTION("""COMPUTED_VALUE"""),"VM magasin")</f>
        <v>VM magasin</v>
      </c>
      <c r="Y1165" t="str">
        <f ca="1">IFERROR(__xludf.DUMMYFUNCTION("""COMPUTED_VALUE"""),"Mig_spe")</f>
        <v>Mig_spe</v>
      </c>
      <c r="Z1165" t="str">
        <f ca="1">IFERROR(__xludf.DUMMYFUNCTION("""COMPUTED_VALUE"""),"")</f>
        <v/>
      </c>
      <c r="AA1165" t="str">
        <f ca="1">IFERROR(__xludf.DUMMYFUNCTION("""COMPUTED_VALUE"""),"Terminé")</f>
        <v>Terminé</v>
      </c>
      <c r="AB1165" s="8" t="str">
        <f ca="1">IFERROR(__xludf.DUMMYFUNCTION("""COMPUTED_VALUE"""),"")</f>
        <v/>
      </c>
      <c r="AC1165" s="8" t="str">
        <f ca="1">IFERROR(__xludf.DUMMYFUNCTION("""COMPUTED_VALUE"""),"")</f>
        <v/>
      </c>
      <c r="AD1165" s="11" t="str">
        <f ca="1">IFERROR(__xludf.DUMMYFUNCTION("""COMPUTED_VALUE"""),"")</f>
        <v/>
      </c>
      <c r="AE1165" t="str">
        <f ca="1">IFERROR(__xludf.DUMMYFUNCTION("""COMPUTED_VALUE"""),"")</f>
        <v/>
      </c>
    </row>
    <row r="1166" spans="1:31" ht="12.75" x14ac:dyDescent="0.2">
      <c r="A1166">
        <f ca="1">IFERROR(__xludf.DUMMYFUNCTION("""COMPUTED_VALUE"""),63004)</f>
        <v>63004</v>
      </c>
      <c r="B1166" t="str">
        <f ca="1">IFERROR(__xludf.DUMMYFUNCTION("""COMPUTED_VALUE"""),"VESOUL")</f>
        <v>VESOUL</v>
      </c>
      <c r="C1166" t="str">
        <f ca="1">IFERROR(__xludf.DUMMYFUNCTION("""COMPUTED_VALUE"""),"Super U")</f>
        <v>Super U</v>
      </c>
      <c r="D1166" t="str">
        <f ca="1">IFERROR(__xludf.DUMMYFUNCTION("""COMPUTED_VALUE"""),"Coop U Enseigne Est")</f>
        <v>Coop U Enseigne Est</v>
      </c>
      <c r="E1166">
        <f ca="1">IFERROR(__xludf.DUMMYFUNCTION("""COMPUTED_VALUE"""),70000)</f>
        <v>70000</v>
      </c>
      <c r="F1166" t="str">
        <f ca="1">IFERROR(__xludf.DUMMYFUNCTION("""COMPUTED_VALUE"""),"Rue de Pontarcher")</f>
        <v>Rue de Pontarcher</v>
      </c>
      <c r="G1166" t="str">
        <f ca="1">IFERROR(__xludf.DUMMYFUNCTION("""COMPUTED_VALUE"""),"03.84.97.10.30")</f>
        <v>03.84.97.10.30</v>
      </c>
      <c r="H1166" t="str">
        <f ca="1">IFERROR(__xludf.DUMMYFUNCTION("""COMPUTED_VALUE"""),"FAYET Pierre")</f>
        <v>FAYET Pierre</v>
      </c>
      <c r="I1166" t="str">
        <f ca="1">IFERROR(__xludf.DUMMYFUNCTION("""COMPUTED_VALUE"""),"pierre.fayet@systeme-u.fr")</f>
        <v>pierre.fayet@systeme-u.fr</v>
      </c>
      <c r="J1166" t="str">
        <f ca="1">IFERROR(__xludf.DUMMYFUNCTION("""COMPUTED_VALUE"""),"M. BAUER")</f>
        <v>M. BAUER</v>
      </c>
      <c r="K1166" t="str">
        <f ca="1">IFERROR(__xludf.DUMMYFUNCTION("""COMPUTED_VALUE"""),"superu.vesoul.filiale@systeme-u.fr")</f>
        <v>superu.vesoul.filiale@systeme-u.fr</v>
      </c>
      <c r="L1166" t="str">
        <f ca="1">IFERROR(__xludf.DUMMYFUNCTION("""COMPUTED_VALUE"""),"PiloteDepl")</f>
        <v>PiloteDepl</v>
      </c>
      <c r="M1166" t="str">
        <f ca="1">IFERROR(__xludf.DUMMYFUNCTION("""COMPUTED_VALUE"""),"3. Migration réalisée")</f>
        <v>3. Migration réalisée</v>
      </c>
      <c r="N1166" t="str">
        <f ca="1">IFERROR(__xludf.DUMMYFUNCTION("""COMPUTED_VALUE"""),"")</f>
        <v/>
      </c>
      <c r="O1166" t="str">
        <f ca="1">IFERROR(__xludf.DUMMYFUNCTION("""COMPUTED_VALUE"""),"BBL : La VM doit être disponible pour le 16/08 (mail. E.Guillet)
31/07 LFO : NLA demande de passer à Migration planifié, il gêre les demarches à faire
31/07 NLA : E.Guillet demande une date au 16/08 , Pricer dans son prérequis indique le 28/08 ...(Mail à "&amp;"BBL pour + d'infos) 
27/08 NLA : Paramétrage DNS VM PRICER + BS01 OK - Diffusion Package IVANTI sur poste client OK - PRICER intervient Jeudi 30/08 sur site pour l'installation.")</f>
        <v>BBL : La VM doit être disponible pour le 16/08 (mail. E.Guillet)
31/07 LFO : NLA demande de passer à Migration planifié, il gêre les demarches à faire
31/07 NLA : E.Guillet demande une date au 16/08 , Pricer dans son prérequis indique le 28/08 ...(Mail à BBL pour + d'infos) 
27/08 NLA : Paramétrage DNS VM PRICER + BS01 OK - Diffusion Package IVANTI sur poste client OK - PRICER intervient Jeudi 30/08 sur site pour l'installation.</v>
      </c>
      <c r="P1166">
        <f ca="1">IFERROR(__xludf.DUMMYFUNCTION("""COMPUTED_VALUE"""),35)</f>
        <v>35</v>
      </c>
      <c r="Q1166" s="5" t="str">
        <f ca="1">IFERROR(__xludf.DUMMYFUNCTION("""COMPUTED_VALUE"""),"")</f>
        <v/>
      </c>
      <c r="R1166" s="6">
        <f ca="1">IFERROR(__xludf.DUMMYFUNCTION("""COMPUTED_VALUE"""),43342.4166666666)</f>
        <v>43342.416666666599</v>
      </c>
      <c r="S1166" t="str">
        <f ca="1">IFERROR(__xludf.DUMMYFUNCTION("""COMPUTED_VALUE"""),"MEP8507220")</f>
        <v>MEP8507220</v>
      </c>
      <c r="T1166" t="str">
        <f ca="1">IFERROR(__xludf.DUMMYFUNCTION("""COMPUTED_VALUE"""),"MEP8507221")</f>
        <v>MEP8507221</v>
      </c>
      <c r="U1166" t="str">
        <f ca="1">IFERROR(__xludf.DUMMYFUNCTION("""COMPUTED_VALUE"""),"OK")</f>
        <v>OK</v>
      </c>
      <c r="V1166" t="str">
        <f ca="1">IFERROR(__xludf.DUMMYFUNCTION("""COMPUTED_VALUE"""),"10.129.80.237")</f>
        <v>10.129.80.237</v>
      </c>
      <c r="W1166" t="str">
        <f ca="1">IFERROR(__xludf.DUMMYFUNCTION("""COMPUTED_VALUE"""),"R5")</f>
        <v>R5</v>
      </c>
      <c r="X1166" t="str">
        <f ca="1">IFERROR(__xludf.DUMMYFUNCTION("""COMPUTED_VALUE"""),"U StoreBox")</f>
        <v>U StoreBox</v>
      </c>
      <c r="Y1166" t="str">
        <f ca="1">IFERROR(__xludf.DUMMYFUNCTION("""COMPUTED_VALUE"""),"Primo")</f>
        <v>Primo</v>
      </c>
      <c r="Z1166" t="str">
        <f ca="1">IFERROR(__xludf.DUMMYFUNCTION("""COMPUTED_VALUE"""),"")</f>
        <v/>
      </c>
      <c r="AA1166" t="str">
        <f ca="1">IFERROR(__xludf.DUMMYFUNCTION("""COMPUTED_VALUE"""),"Terminé")</f>
        <v>Terminé</v>
      </c>
      <c r="AB1166" s="8">
        <f ca="1">IFERROR(__xludf.DUMMYFUNCTION("""COMPUTED_VALUE"""),43332)</f>
        <v>43332</v>
      </c>
      <c r="AC1166" s="8">
        <f ca="1">IFERROR(__xludf.DUMMYFUNCTION("""COMPUTED_VALUE"""),43342)</f>
        <v>43342</v>
      </c>
      <c r="AD1166" s="11" t="str">
        <f ca="1">IFERROR(__xludf.DUMMYFUNCTION("""COMPUTED_VALUE"""),"")</f>
        <v/>
      </c>
      <c r="AE1166" t="str">
        <f ca="1">IFERROR(__xludf.DUMMYFUNCTION("""COMPUTED_VALUE"""),"mise en service et formation effectuée")</f>
        <v>mise en service et formation effectuée</v>
      </c>
    </row>
    <row r="1167" spans="1:31" ht="12.75" x14ac:dyDescent="0.2">
      <c r="A1167">
        <f ca="1">IFERROR(__xludf.DUMMYFUNCTION("""COMPUTED_VALUE"""),91278)</f>
        <v>91278</v>
      </c>
      <c r="B1167" t="str">
        <f ca="1">IFERROR(__xludf.DUMMYFUNCTION("""COMPUTED_VALUE"""),"ST CANNAT")</f>
        <v>ST CANNAT</v>
      </c>
      <c r="C1167" t="str">
        <f ca="1">IFERROR(__xludf.DUMMYFUNCTION("""COMPUTED_VALUE"""),"U Express")</f>
        <v>U Express</v>
      </c>
      <c r="D1167" t="str">
        <f ca="1">IFERROR(__xludf.DUMMYFUNCTION("""COMPUTED_VALUE"""),"Coop U Enseigne Sud")</f>
        <v>Coop U Enseigne Sud</v>
      </c>
      <c r="E1167" t="str">
        <f ca="1">IFERROR(__xludf.DUMMYFUNCTION("""COMPUTED_VALUE"""),"")</f>
        <v/>
      </c>
      <c r="F1167" t="str">
        <f ca="1">IFERROR(__xludf.DUMMYFUNCTION("""COMPUTED_VALUE"""),"")</f>
        <v/>
      </c>
      <c r="G1167" t="str">
        <f ca="1">IFERROR(__xludf.DUMMYFUNCTION("""COMPUTED_VALUE"""),"0442993804")</f>
        <v>0442993804</v>
      </c>
      <c r="H1167" t="str">
        <f ca="1">IFERROR(__xludf.DUMMYFUNCTION("""COMPUTED_VALUE"""),"")</f>
        <v/>
      </c>
      <c r="I1167" t="str">
        <f ca="1">IFERROR(__xludf.DUMMYFUNCTION("""COMPUTED_VALUE"""),"")</f>
        <v/>
      </c>
      <c r="J1167" t="str">
        <f ca="1">IFERROR(__xludf.DUMMYFUNCTION("""COMPUTED_VALUE"""),"")</f>
        <v/>
      </c>
      <c r="K1167" t="str">
        <f ca="1">IFERROR(__xludf.DUMMYFUNCTION("""COMPUTED_VALUE"""),"")</f>
        <v/>
      </c>
      <c r="L1167" t="str">
        <f ca="1">IFERROR(__xludf.DUMMYFUNCTION("""COMPUTED_VALUE"""),"")</f>
        <v/>
      </c>
      <c r="M1167" t="str">
        <f ca="1">IFERROR(__xludf.DUMMYFUNCTION("""COMPUTED_VALUE"""),"3.3 Migration hors USB")</f>
        <v>3.3 Migration hors USB</v>
      </c>
      <c r="N1167" t="str">
        <f ca="1">IFERROR(__xludf.DUMMYFUNCTION("""COMPUTED_VALUE"""),"")</f>
        <v/>
      </c>
      <c r="O1167" t="str">
        <f ca="1">IFERROR(__xludf.DUMMYFUNCTION("""COMPUTED_VALUE"""),"28/12/18 GLE : 91278PRICER11 non présent sur isilog")</f>
        <v>28/12/18 GLE : 91278PRICER11 non présent sur isilog</v>
      </c>
      <c r="P1167" t="str">
        <f ca="1">IFERROR(__xludf.DUMMYFUNCTION("""COMPUTED_VALUE"""),"")</f>
        <v/>
      </c>
      <c r="Q1167" s="5" t="str">
        <f ca="1">IFERROR(__xludf.DUMMYFUNCTION("""COMPUTED_VALUE"""),"")</f>
        <v/>
      </c>
      <c r="R1167" s="6" t="str">
        <f ca="1">IFERROR(__xludf.DUMMYFUNCTION("""COMPUTED_VALUE"""),"")</f>
        <v/>
      </c>
      <c r="S1167" t="str">
        <f ca="1">IFERROR(__xludf.DUMMYFUNCTION("""COMPUTED_VALUE"""),"")</f>
        <v/>
      </c>
      <c r="T1167" t="str">
        <f ca="1">IFERROR(__xludf.DUMMYFUNCTION("""COMPUTED_VALUE"""),"")</f>
        <v/>
      </c>
      <c r="U1167" t="str">
        <f ca="1">IFERROR(__xludf.DUMMYFUNCTION("""COMPUTED_VALUE"""),"")</f>
        <v/>
      </c>
      <c r="V1167" t="str">
        <f ca="1">IFERROR(__xludf.DUMMYFUNCTION("""COMPUTED_VALUE"""),"")</f>
        <v/>
      </c>
      <c r="W1167" t="str">
        <f ca="1">IFERROR(__xludf.DUMMYFUNCTION("""COMPUTED_VALUE"""),"R5")</f>
        <v>R5</v>
      </c>
      <c r="X1167" t="str">
        <f ca="1">IFERROR(__xludf.DUMMYFUNCTION("""COMPUTED_VALUE"""),"Pricer")</f>
        <v>Pricer</v>
      </c>
      <c r="Y1167" t="str">
        <f ca="1">IFERROR(__xludf.DUMMYFUNCTION("""COMPUTED_VALUE"""),"Primo")</f>
        <v>Primo</v>
      </c>
      <c r="Z1167" t="str">
        <f ca="1">IFERROR(__xludf.DUMMYFUNCTION("""COMPUTED_VALUE"""),"")</f>
        <v/>
      </c>
      <c r="AA1167" t="str">
        <f ca="1">IFERROR(__xludf.DUMMYFUNCTION("""COMPUTED_VALUE"""),"Terminé")</f>
        <v>Terminé</v>
      </c>
      <c r="AB1167" s="8">
        <f ca="1">IFERROR(__xludf.DUMMYFUNCTION("""COMPUTED_VALUE"""),43388)</f>
        <v>43388</v>
      </c>
      <c r="AC1167" s="8">
        <f ca="1">IFERROR(__xludf.DUMMYFUNCTION("""COMPUTED_VALUE"""),43395)</f>
        <v>43395</v>
      </c>
      <c r="AD1167" s="11">
        <f ca="1">IFERROR(__xludf.DUMMYFUNCTION("""COMPUTED_VALUE"""),43395)</f>
        <v>43395</v>
      </c>
      <c r="AE1167" t="str">
        <f ca="1">IFERROR(__xludf.DUMMYFUNCTION("""COMPUTED_VALUE"""),"Installation effectuée par Pricer, pas besoin de VM ni de raccourcis client.
En revanche, afin de faire fonctionner les PDA et que l'infra respecte les mêmes normes, il faudrait ajouter les DNS suivant (si possible pour lundi 22/10) :
10.101.240.51 = pric"&amp;"erbs01
10.101.240.52 = pricer01
23/10 SVE Fait par NLA")</f>
        <v>Installation effectuée par Pricer, pas besoin de VM ni de raccourcis client.
En revanche, afin de faire fonctionner les PDA et que l'infra respecte les mêmes normes, il faudrait ajouter les DNS suivant (si possible pour lundi 22/10) :
10.101.240.51 = pricerbs01
10.101.240.52 = pricer01
23/10 SVE Fait par NLA</v>
      </c>
    </row>
    <row r="1168" spans="1:31" ht="12.75" x14ac:dyDescent="0.2">
      <c r="A1168">
        <f ca="1">IFERROR(__xludf.DUMMYFUNCTION("""COMPUTED_VALUE"""),38298)</f>
        <v>38298</v>
      </c>
      <c r="B1168" t="str">
        <f ca="1">IFERROR(__xludf.DUMMYFUNCTION("""COMPUTED_VALUE"""),"NANTES CHENAIE Bottière")</f>
        <v>NANTES CHENAIE Bottière</v>
      </c>
      <c r="C1168" t="str">
        <f ca="1">IFERROR(__xludf.DUMMYFUNCTION("""COMPUTED_VALUE"""),"Super U")</f>
        <v>Super U</v>
      </c>
      <c r="D1168" t="str">
        <f ca="1">IFERROR(__xludf.DUMMYFUNCTION("""COMPUTED_VALUE"""),"Coop U Enseigne Ouest")</f>
        <v>Coop U Enseigne Ouest</v>
      </c>
      <c r="E1168" t="str">
        <f ca="1">IFERROR(__xludf.DUMMYFUNCTION("""COMPUTED_VALUE"""),"")</f>
        <v/>
      </c>
      <c r="F1168" t="str">
        <f ca="1">IFERROR(__xludf.DUMMYFUNCTION("""COMPUTED_VALUE"""),"")</f>
        <v/>
      </c>
      <c r="G1168" t="str">
        <f ca="1">IFERROR(__xludf.DUMMYFUNCTION("""COMPUTED_VALUE"""),"")</f>
        <v/>
      </c>
      <c r="H1168" t="str">
        <f ca="1">IFERROR(__xludf.DUMMYFUNCTION("""COMPUTED_VALUE"""),"")</f>
        <v/>
      </c>
      <c r="I1168" t="str">
        <f ca="1">IFERROR(__xludf.DUMMYFUNCTION("""COMPUTED_VALUE"""),"")</f>
        <v/>
      </c>
      <c r="J1168" t="str">
        <f ca="1">IFERROR(__xludf.DUMMYFUNCTION("""COMPUTED_VALUE"""),"")</f>
        <v/>
      </c>
      <c r="K1168" t="str">
        <f ca="1">IFERROR(__xludf.DUMMYFUNCTION("""COMPUTED_VALUE"""),"")</f>
        <v/>
      </c>
      <c r="L1168" t="str">
        <f ca="1">IFERROR(__xludf.DUMMYFUNCTION("""COMPUTED_VALUE"""),"Crea/ralliement")</f>
        <v>Crea/ralliement</v>
      </c>
      <c r="M1168" t="str">
        <f ca="1">IFERROR(__xludf.DUMMYFUNCTION("""COMPUTED_VALUE"""),"3. Migration réalisée")</f>
        <v>3. Migration réalisée</v>
      </c>
      <c r="N1168" t="str">
        <f ca="1">IFERROR(__xludf.DUMMYFUNCTION("""COMPUTED_VALUE"""),"")</f>
        <v/>
      </c>
      <c r="O1168" t="str">
        <f ca="1">IFERROR(__xludf.DUMMYFUNCTION("""COMPUTED_VALUE"""),"27/02 FMR :  M Conan : 06 62 67 44 80 : informé de l'installation de Pricer le 01/03 
pour la formation prévue le 05/3 et envoi mail récap.
MPle 01/03 09h
01/03 RLO : Migration réalisée  Mr Conan n'a pas le temp pour effectuer les vérifications, il nous r"&amp;"econtactera en cas de problème")</f>
        <v>27/02 FMR :  M Conan : 06 62 67 44 80 : informé de l'installation de Pricer le 01/03 
pour la formation prévue le 05/3 et envoi mail récap.
MPle 01/03 09h
01/03 RLO : Migration réalisée  Mr Conan n'a pas le temp pour effectuer les vérifications, il nous recontactera en cas de problème</v>
      </c>
      <c r="P1168">
        <f ca="1">IFERROR(__xludf.DUMMYFUNCTION("""COMPUTED_VALUE"""),9)</f>
        <v>9</v>
      </c>
      <c r="Q1168" s="5" t="str">
        <f ca="1">IFERROR(__xludf.DUMMYFUNCTION("""COMPUTED_VALUE"""),"")</f>
        <v/>
      </c>
      <c r="R1168" s="6">
        <f ca="1">IFERROR(__xludf.DUMMYFUNCTION("""COMPUTED_VALUE"""),43525.375)</f>
        <v>43525.375</v>
      </c>
      <c r="S1168" t="str">
        <f ca="1">IFERROR(__xludf.DUMMYFUNCTION("""COMPUTED_VALUE"""),"MEP8520520")</f>
        <v>MEP8520520</v>
      </c>
      <c r="T1168" t="str">
        <f ca="1">IFERROR(__xludf.DUMMYFUNCTION("""COMPUTED_VALUE"""),"MEP8520521")</f>
        <v>MEP8520521</v>
      </c>
      <c r="U1168" t="str">
        <f ca="1">IFERROR(__xludf.DUMMYFUNCTION("""COMPUTED_VALUE"""),"")</f>
        <v/>
      </c>
      <c r="V1168" t="str">
        <f ca="1">IFERROR(__xludf.DUMMYFUNCTION("""COMPUTED_VALUE"""),"10.97.240.237")</f>
        <v>10.97.240.237</v>
      </c>
      <c r="W1168" t="str">
        <f ca="1">IFERROR(__xludf.DUMMYFUNCTION("""COMPUTED_VALUE"""),"R5")</f>
        <v>R5</v>
      </c>
      <c r="X1168" t="str">
        <f ca="1">IFERROR(__xludf.DUMMYFUNCTION("""COMPUTED_VALUE"""),"U StoreBox")</f>
        <v>U StoreBox</v>
      </c>
      <c r="Y1168" t="str">
        <f ca="1">IFERROR(__xludf.DUMMYFUNCTION("""COMPUTED_VALUE"""),"Primo")</f>
        <v>Primo</v>
      </c>
      <c r="Z1168" t="str">
        <f ca="1">IFERROR(__xludf.DUMMYFUNCTION("""COMPUTED_VALUE"""),"")</f>
        <v/>
      </c>
      <c r="AA1168" t="str">
        <f ca="1">IFERROR(__xludf.DUMMYFUNCTION("""COMPUTED_VALUE"""),"Terminé")</f>
        <v>Terminé</v>
      </c>
      <c r="AB1168" s="8">
        <f ca="1">IFERROR(__xludf.DUMMYFUNCTION("""COMPUTED_VALUE"""),43508)</f>
        <v>43508</v>
      </c>
      <c r="AC1168" s="8">
        <f ca="1">IFERROR(__xludf.DUMMYFUNCTION("""COMPUTED_VALUE"""),43528)</f>
        <v>43528</v>
      </c>
      <c r="AD1168" s="11">
        <f ca="1">IFERROR(__xludf.DUMMYFUNCTION("""COMPUTED_VALUE"""),-613908)</f>
        <v>-613908</v>
      </c>
      <c r="AE1168" t="str">
        <f ca="1">IFERROR(__xludf.DUMMYFUNCTION("""COMPUTED_VALUE"""),"")</f>
        <v/>
      </c>
    </row>
    <row r="1169" spans="1:31" ht="12.75" x14ac:dyDescent="0.2">
      <c r="A1169">
        <f ca="1">IFERROR(__xludf.DUMMYFUNCTION("""COMPUTED_VALUE"""),25999)</f>
        <v>25999</v>
      </c>
      <c r="B1169" t="str">
        <f ca="1">IFERROR(__xludf.DUMMYFUNCTION("""COMPUTED_VALUE"""),"CAMPHIN EN PEVELE")</f>
        <v>CAMPHIN EN PEVELE</v>
      </c>
      <c r="C1169" t="str">
        <f ca="1">IFERROR(__xludf.DUMMYFUNCTION("""COMPUTED_VALUE"""),"")</f>
        <v/>
      </c>
      <c r="D1169" t="str">
        <f ca="1">IFERROR(__xludf.DUMMYFUNCTION("""COMPUTED_VALUE"""),"")</f>
        <v/>
      </c>
      <c r="E1169">
        <f ca="1">IFERROR(__xludf.DUMMYFUNCTION("""COMPUTED_VALUE"""),59780)</f>
        <v>59780</v>
      </c>
      <c r="F1169" t="str">
        <f ca="1">IFERROR(__xludf.DUMMYFUNCTION("""COMPUTED_VALUE"""),"RD93 Grande Rue")</f>
        <v>RD93 Grande Rue</v>
      </c>
      <c r="G1169" t="str">
        <f ca="1">IFERROR(__xludf.DUMMYFUNCTION("""COMPUTED_VALUE"""),"")</f>
        <v/>
      </c>
      <c r="H1169" t="str">
        <f ca="1">IFERROR(__xludf.DUMMYFUNCTION("""COMPUTED_VALUE"""),"")</f>
        <v/>
      </c>
      <c r="I1169" t="str">
        <f ca="1">IFERROR(__xludf.DUMMYFUNCTION("""COMPUTED_VALUE"""),"")</f>
        <v/>
      </c>
      <c r="J1169" t="str">
        <f ca="1">IFERROR(__xludf.DUMMYFUNCTION("""COMPUTED_VALUE"""),"")</f>
        <v/>
      </c>
      <c r="K1169" t="str">
        <f ca="1">IFERROR(__xludf.DUMMYFUNCTION("""COMPUTED_VALUE"""),"")</f>
        <v/>
      </c>
      <c r="L1169" t="str">
        <f ca="1">IFERROR(__xludf.DUMMYFUNCTION("""COMPUTED_VALUE"""),"Crea/ralliement")</f>
        <v>Crea/ralliement</v>
      </c>
      <c r="M1169" t="str">
        <f ca="1">IFERROR(__xludf.DUMMYFUNCTION("""COMPUTED_VALUE"""),"3. Migration réalisée")</f>
        <v>3. Migration réalisée</v>
      </c>
      <c r="N1169" t="str">
        <f ca="1">IFERROR(__xludf.DUMMYFUNCTION("""COMPUTED_VALUE"""),"")</f>
        <v/>
      </c>
      <c r="O1169" t="str">
        <f ca="1">IFERROR(__xludf.DUMMYFUNCTION("""COMPUTED_VALUE"""),"21/03/2019 CMA : La MEP de recette sera faite quand l'USB sera installée en magasin
25/03/2019 CMA : Diffusion VM sera créée à la préparation de l'USB par le GIE IRIS
09/04/2019 GPA Migré ce jour ")</f>
        <v xml:space="preserve">21/03/2019 CMA : La MEP de recette sera faite quand l'USB sera installée en magasin
25/03/2019 CMA : Diffusion VM sera créée à la préparation de l'USB par le GIE IRIS
09/04/2019 GPA Migré ce jour </v>
      </c>
      <c r="P1169">
        <f ca="1">IFERROR(__xludf.DUMMYFUNCTION("""COMPUTED_VALUE"""),15)</f>
        <v>15</v>
      </c>
      <c r="Q1169" s="5" t="str">
        <f ca="1">IFERROR(__xludf.DUMMYFUNCTION("""COMPUTED_VALUE"""),"")</f>
        <v/>
      </c>
      <c r="R1169" s="6">
        <f ca="1">IFERROR(__xludf.DUMMYFUNCTION("""COMPUTED_VALUE"""),43564)</f>
        <v>43564</v>
      </c>
      <c r="S1169" t="str">
        <f ca="1">IFERROR(__xludf.DUMMYFUNCTION("""COMPUTED_VALUE"""),"/")</f>
        <v>/</v>
      </c>
      <c r="T1169" t="str">
        <f ca="1">IFERROR(__xludf.DUMMYFUNCTION("""COMPUTED_VALUE"""),"MEP8522025")</f>
        <v>MEP8522025</v>
      </c>
      <c r="U1169" t="str">
        <f ca="1">IFERROR(__xludf.DUMMYFUNCTION("""COMPUTED_VALUE"""),"")</f>
        <v/>
      </c>
      <c r="V1169" t="str">
        <f ca="1">IFERROR(__xludf.DUMMYFUNCTION("""COMPUTED_VALUE"""),"10.149.124.237")</f>
        <v>10.149.124.237</v>
      </c>
      <c r="W1169" t="str">
        <f ca="1">IFERROR(__xludf.DUMMYFUNCTION("""COMPUTED_VALUE"""),"R5")</f>
        <v>R5</v>
      </c>
      <c r="X1169" t="str">
        <f ca="1">IFERROR(__xludf.DUMMYFUNCTION("""COMPUTED_VALUE"""),"U StoreBox")</f>
        <v>U StoreBox</v>
      </c>
      <c r="Y1169" t="str">
        <f ca="1">IFERROR(__xludf.DUMMYFUNCTION("""COMPUTED_VALUE"""),"Primo")</f>
        <v>Primo</v>
      </c>
      <c r="Z1169" t="str">
        <f ca="1">IFERROR(__xludf.DUMMYFUNCTION("""COMPUTED_VALUE"""),"")</f>
        <v/>
      </c>
      <c r="AA1169" t="str">
        <f ca="1">IFERROR(__xludf.DUMMYFUNCTION("""COMPUTED_VALUE"""),"Prérequis déposés")</f>
        <v>Prérequis déposés</v>
      </c>
      <c r="AB1169" s="8">
        <f ca="1">IFERROR(__xludf.DUMMYFUNCTION("""COMPUTED_VALUE"""),43559)</f>
        <v>43559</v>
      </c>
      <c r="AC1169" s="8">
        <f ca="1">IFERROR(__xludf.DUMMYFUNCTION("""COMPUTED_VALUE"""),43563)</f>
        <v>43563</v>
      </c>
      <c r="AD1169" s="11">
        <f ca="1">IFERROR(__xludf.DUMMYFUNCTION("""COMPUTED_VALUE"""),43563)</f>
        <v>43563</v>
      </c>
      <c r="AE1169" t="str">
        <f ca="1">IFERROR(__xludf.DUMMYFUNCTION("""COMPUTED_VALUE"""),"magasin en ouverture attente plan d'adressage IP M Montferrand")</f>
        <v>magasin en ouverture attente plan d'adressage IP M Montferrand</v>
      </c>
    </row>
    <row r="1170" spans="1:31" ht="12.75" x14ac:dyDescent="0.2">
      <c r="A1170">
        <f ca="1">IFERROR(__xludf.DUMMYFUNCTION("""COMPUTED_VALUE"""),90597)</f>
        <v>90597</v>
      </c>
      <c r="B1170" t="str">
        <f ca="1">IFERROR(__xludf.DUMMYFUNCTION("""COMPUTED_VALUE"""),"REMOLLON")</f>
        <v>REMOLLON</v>
      </c>
      <c r="C1170" t="str">
        <f ca="1">IFERROR(__xludf.DUMMYFUNCTION("""COMPUTED_VALUE"""),"Super U")</f>
        <v>Super U</v>
      </c>
      <c r="D1170" t="str">
        <f ca="1">IFERROR(__xludf.DUMMYFUNCTION("""COMPUTED_VALUE"""),"Coop U Enseigne Sud")</f>
        <v>Coop U Enseigne Sud</v>
      </c>
      <c r="E1170">
        <f ca="1">IFERROR(__xludf.DUMMYFUNCTION("""COMPUTED_VALUE"""),34740)</f>
        <v>34740</v>
      </c>
      <c r="F1170" t="str">
        <f ca="1">IFERROR(__xludf.DUMMYFUNCTION("""COMPUTED_VALUE"""),"CONTACT : JJ LAPLEAU")</f>
        <v>CONTACT : JJ LAPLEAU</v>
      </c>
      <c r="G1170" t="str">
        <f ca="1">IFERROR(__xludf.DUMMYFUNCTION("""COMPUTED_VALUE"""),"0")</f>
        <v>0</v>
      </c>
      <c r="H1170" t="str">
        <f ca="1">IFERROR(__xludf.DUMMYFUNCTION("""COMPUTED_VALUE"""),"X X")</f>
        <v>X X</v>
      </c>
      <c r="I1170" t="str">
        <f ca="1">IFERROR(__xludf.DUMMYFUNCTION("""COMPUTED_VALUE"""),"")</f>
        <v/>
      </c>
      <c r="J1170" t="str">
        <f ca="1">IFERROR(__xludf.DUMMYFUNCTION("""COMPUTED_VALUE"""),"")</f>
        <v/>
      </c>
      <c r="K1170" t="str">
        <f ca="1">IFERROR(__xludf.DUMMYFUNCTION("""COMPUTED_VALUE"""),"")</f>
        <v/>
      </c>
      <c r="L1170" t="str">
        <f ca="1">IFERROR(__xludf.DUMMYFUNCTION("""COMPUTED_VALUE"""),"")</f>
        <v/>
      </c>
      <c r="M1170" t="str">
        <f ca="1">IFERROR(__xludf.DUMMYFUNCTION("""COMPUTED_VALUE"""),"")</f>
        <v/>
      </c>
      <c r="N1170" t="str">
        <f ca="1">IFERROR(__xludf.DUMMYFUNCTION("""COMPUTED_VALUE"""),"")</f>
        <v/>
      </c>
      <c r="O1170" t="str">
        <f ca="1">IFERROR(__xludf.DUMMYFUNCTION("""COMPUTED_VALUE"""),"")</f>
        <v/>
      </c>
      <c r="P1170" t="str">
        <f ca="1">IFERROR(__xludf.DUMMYFUNCTION("""COMPUTED_VALUE"""),"")</f>
        <v/>
      </c>
      <c r="Q1170" s="5" t="str">
        <f ca="1">IFERROR(__xludf.DUMMYFUNCTION("""COMPUTED_VALUE"""),"")</f>
        <v/>
      </c>
      <c r="R1170" s="6" t="str">
        <f ca="1">IFERROR(__xludf.DUMMYFUNCTION("""COMPUTED_VALUE"""),"")</f>
        <v/>
      </c>
      <c r="S1170" t="str">
        <f ca="1">IFERROR(__xludf.DUMMYFUNCTION("""COMPUTED_VALUE"""),"")</f>
        <v/>
      </c>
      <c r="T1170" t="str">
        <f ca="1">IFERROR(__xludf.DUMMYFUNCTION("""COMPUTED_VALUE"""),"")</f>
        <v/>
      </c>
      <c r="U1170" t="str">
        <f ca="1">IFERROR(__xludf.DUMMYFUNCTION("""COMPUTED_VALUE"""),"")</f>
        <v/>
      </c>
      <c r="V1170" t="str">
        <f ca="1">IFERROR(__xludf.DUMMYFUNCTION("""COMPUTED_VALUE"""),"")</f>
        <v/>
      </c>
      <c r="W1170" t="str">
        <f ca="1">IFERROR(__xludf.DUMMYFUNCTION("""COMPUTED_VALUE"""),"")</f>
        <v/>
      </c>
      <c r="X1170" t="str">
        <f ca="1">IFERROR(__xludf.DUMMYFUNCTION("""COMPUTED_VALUE"""),"")</f>
        <v/>
      </c>
      <c r="Y1170" t="str">
        <f ca="1">IFERROR(__xludf.DUMMYFUNCTION("""COMPUTED_VALUE"""),"")</f>
        <v/>
      </c>
      <c r="Z1170" t="str">
        <f ca="1">IFERROR(__xludf.DUMMYFUNCTION("""COMPUTED_VALUE"""),"")</f>
        <v/>
      </c>
      <c r="AA1170" t="str">
        <f ca="1">IFERROR(__xludf.DUMMYFUNCTION("""COMPUTED_VALUE"""),"")</f>
        <v/>
      </c>
      <c r="AB1170" s="8" t="str">
        <f ca="1">IFERROR(__xludf.DUMMYFUNCTION("""COMPUTED_VALUE"""),"")</f>
        <v/>
      </c>
      <c r="AC1170" s="8" t="str">
        <f ca="1">IFERROR(__xludf.DUMMYFUNCTION("""COMPUTED_VALUE"""),"")</f>
        <v/>
      </c>
      <c r="AD1170" s="11" t="str">
        <f ca="1">IFERROR(__xludf.DUMMYFUNCTION("""COMPUTED_VALUE"""),"")</f>
        <v/>
      </c>
      <c r="AE1170" t="str">
        <f ca="1">IFERROR(__xludf.DUMMYFUNCTION("""COMPUTED_VALUE"""),"")</f>
        <v/>
      </c>
    </row>
    <row r="1171" spans="1:31" ht="12.75" x14ac:dyDescent="0.2">
      <c r="A1171" t="str">
        <f ca="1">IFERROR(__xludf.DUMMYFUNCTION("""COMPUTED_VALUE"""),"")</f>
        <v/>
      </c>
      <c r="B1171" t="str">
        <f ca="1">IFERROR(__xludf.DUMMYFUNCTION("""COMPUTED_VALUE"""),"")</f>
        <v/>
      </c>
      <c r="C1171" t="str">
        <f ca="1">IFERROR(__xludf.DUMMYFUNCTION("""COMPUTED_VALUE"""),"")</f>
        <v/>
      </c>
      <c r="D1171" t="str">
        <f ca="1">IFERROR(__xludf.DUMMYFUNCTION("""COMPUTED_VALUE"""),"")</f>
        <v/>
      </c>
      <c r="E1171" t="str">
        <f ca="1">IFERROR(__xludf.DUMMYFUNCTION("""COMPUTED_VALUE"""),"")</f>
        <v/>
      </c>
      <c r="F1171" t="str">
        <f ca="1">IFERROR(__xludf.DUMMYFUNCTION("""COMPUTED_VALUE"""),"")</f>
        <v/>
      </c>
      <c r="G1171" t="str">
        <f ca="1">IFERROR(__xludf.DUMMYFUNCTION("""COMPUTED_VALUE"""),"")</f>
        <v/>
      </c>
      <c r="H1171" t="str">
        <f ca="1">IFERROR(__xludf.DUMMYFUNCTION("""COMPUTED_VALUE"""),"")</f>
        <v/>
      </c>
      <c r="I1171" t="str">
        <f ca="1">IFERROR(__xludf.DUMMYFUNCTION("""COMPUTED_VALUE"""),"")</f>
        <v/>
      </c>
      <c r="J1171" t="str">
        <f ca="1">IFERROR(__xludf.DUMMYFUNCTION("""COMPUTED_VALUE"""),"")</f>
        <v/>
      </c>
      <c r="K1171" t="str">
        <f ca="1">IFERROR(__xludf.DUMMYFUNCTION("""COMPUTED_VALUE"""),"")</f>
        <v/>
      </c>
      <c r="L1171" t="str">
        <f ca="1">IFERROR(__xludf.DUMMYFUNCTION("""COMPUTED_VALUE"""),"")</f>
        <v/>
      </c>
      <c r="M1171" t="str">
        <f ca="1">IFERROR(__xludf.DUMMYFUNCTION("""COMPUTED_VALUE"""),"")</f>
        <v/>
      </c>
      <c r="N1171" t="str">
        <f ca="1">IFERROR(__xludf.DUMMYFUNCTION("""COMPUTED_VALUE"""),"")</f>
        <v/>
      </c>
      <c r="O1171" t="str">
        <f ca="1">IFERROR(__xludf.DUMMYFUNCTION("""COMPUTED_VALUE"""),"")</f>
        <v/>
      </c>
      <c r="P1171" t="str">
        <f ca="1">IFERROR(__xludf.DUMMYFUNCTION("""COMPUTED_VALUE"""),"")</f>
        <v/>
      </c>
      <c r="Q1171" s="5" t="str">
        <f ca="1">IFERROR(__xludf.DUMMYFUNCTION("""COMPUTED_VALUE"""),"")</f>
        <v/>
      </c>
      <c r="R1171" s="6" t="str">
        <f ca="1">IFERROR(__xludf.DUMMYFUNCTION("""COMPUTED_VALUE"""),"")</f>
        <v/>
      </c>
      <c r="S1171" t="str">
        <f ca="1">IFERROR(__xludf.DUMMYFUNCTION("""COMPUTED_VALUE"""),"")</f>
        <v/>
      </c>
      <c r="T1171" t="str">
        <f ca="1">IFERROR(__xludf.DUMMYFUNCTION("""COMPUTED_VALUE"""),"")</f>
        <v/>
      </c>
      <c r="U1171" t="str">
        <f ca="1">IFERROR(__xludf.DUMMYFUNCTION("""COMPUTED_VALUE"""),"")</f>
        <v/>
      </c>
      <c r="V1171" t="str">
        <f ca="1">IFERROR(__xludf.DUMMYFUNCTION("""COMPUTED_VALUE"""),"")</f>
        <v/>
      </c>
      <c r="W1171" t="str">
        <f ca="1">IFERROR(__xludf.DUMMYFUNCTION("""COMPUTED_VALUE"""),"")</f>
        <v/>
      </c>
      <c r="X1171" t="str">
        <f ca="1">IFERROR(__xludf.DUMMYFUNCTION("""COMPUTED_VALUE"""),"")</f>
        <v/>
      </c>
      <c r="Y1171" t="str">
        <f ca="1">IFERROR(__xludf.DUMMYFUNCTION("""COMPUTED_VALUE"""),"")</f>
        <v/>
      </c>
      <c r="Z1171" t="str">
        <f ca="1">IFERROR(__xludf.DUMMYFUNCTION("""COMPUTED_VALUE"""),"")</f>
        <v/>
      </c>
      <c r="AA1171" t="str">
        <f ca="1">IFERROR(__xludf.DUMMYFUNCTION("""COMPUTED_VALUE"""),"")</f>
        <v/>
      </c>
      <c r="AB1171" s="8" t="str">
        <f ca="1">IFERROR(__xludf.DUMMYFUNCTION("""COMPUTED_VALUE"""),"")</f>
        <v/>
      </c>
      <c r="AC1171" s="8" t="str">
        <f ca="1">IFERROR(__xludf.DUMMYFUNCTION("""COMPUTED_VALUE"""),"")</f>
        <v/>
      </c>
      <c r="AD1171" s="11" t="str">
        <f ca="1">IFERROR(__xludf.DUMMYFUNCTION("""COMPUTED_VALUE"""),"")</f>
        <v/>
      </c>
      <c r="AE1171" t="str">
        <f ca="1">IFERROR(__xludf.DUMMYFUNCTION("""COMPUTED_VALUE"""),"")</f>
        <v/>
      </c>
    </row>
    <row r="1172" spans="1:31" ht="12.75" x14ac:dyDescent="0.2">
      <c r="A1172" t="str">
        <f ca="1">IFERROR(__xludf.DUMMYFUNCTION("""COMPUTED_VALUE"""),"")</f>
        <v/>
      </c>
      <c r="B1172" t="str">
        <f ca="1">IFERROR(__xludf.DUMMYFUNCTION("""COMPUTED_VALUE"""),"")</f>
        <v/>
      </c>
      <c r="C1172" t="str">
        <f ca="1">IFERROR(__xludf.DUMMYFUNCTION("""COMPUTED_VALUE"""),"")</f>
        <v/>
      </c>
      <c r="D1172" t="str">
        <f ca="1">IFERROR(__xludf.DUMMYFUNCTION("""COMPUTED_VALUE"""),"")</f>
        <v/>
      </c>
      <c r="E1172" t="str">
        <f ca="1">IFERROR(__xludf.DUMMYFUNCTION("""COMPUTED_VALUE"""),"")</f>
        <v/>
      </c>
      <c r="F1172" t="str">
        <f ca="1">IFERROR(__xludf.DUMMYFUNCTION("""COMPUTED_VALUE"""),"")</f>
        <v/>
      </c>
      <c r="G1172" t="str">
        <f ca="1">IFERROR(__xludf.DUMMYFUNCTION("""COMPUTED_VALUE"""),"")</f>
        <v/>
      </c>
      <c r="H1172" t="str">
        <f ca="1">IFERROR(__xludf.DUMMYFUNCTION("""COMPUTED_VALUE"""),"")</f>
        <v/>
      </c>
      <c r="I1172" t="str">
        <f ca="1">IFERROR(__xludf.DUMMYFUNCTION("""COMPUTED_VALUE"""),"")</f>
        <v/>
      </c>
      <c r="J1172" t="str">
        <f ca="1">IFERROR(__xludf.DUMMYFUNCTION("""COMPUTED_VALUE"""),"")</f>
        <v/>
      </c>
      <c r="K1172" t="str">
        <f ca="1">IFERROR(__xludf.DUMMYFUNCTION("""COMPUTED_VALUE"""),"")</f>
        <v/>
      </c>
      <c r="L1172" t="str">
        <f ca="1">IFERROR(__xludf.DUMMYFUNCTION("""COMPUTED_VALUE"""),"")</f>
        <v/>
      </c>
      <c r="M1172" t="str">
        <f ca="1">IFERROR(__xludf.DUMMYFUNCTION("""COMPUTED_VALUE"""),"")</f>
        <v/>
      </c>
      <c r="N1172" t="str">
        <f ca="1">IFERROR(__xludf.DUMMYFUNCTION("""COMPUTED_VALUE"""),"")</f>
        <v/>
      </c>
      <c r="O1172" t="str">
        <f ca="1">IFERROR(__xludf.DUMMYFUNCTION("""COMPUTED_VALUE"""),"")</f>
        <v/>
      </c>
      <c r="P1172" t="str">
        <f ca="1">IFERROR(__xludf.DUMMYFUNCTION("""COMPUTED_VALUE"""),"")</f>
        <v/>
      </c>
      <c r="Q1172" s="5" t="str">
        <f ca="1">IFERROR(__xludf.DUMMYFUNCTION("""COMPUTED_VALUE"""),"")</f>
        <v/>
      </c>
      <c r="R1172" s="6" t="str">
        <f ca="1">IFERROR(__xludf.DUMMYFUNCTION("""COMPUTED_VALUE"""),"")</f>
        <v/>
      </c>
      <c r="S1172" t="str">
        <f ca="1">IFERROR(__xludf.DUMMYFUNCTION("""COMPUTED_VALUE"""),"")</f>
        <v/>
      </c>
      <c r="T1172" t="str">
        <f ca="1">IFERROR(__xludf.DUMMYFUNCTION("""COMPUTED_VALUE"""),"")</f>
        <v/>
      </c>
      <c r="U1172" t="str">
        <f ca="1">IFERROR(__xludf.DUMMYFUNCTION("""COMPUTED_VALUE"""),"")</f>
        <v/>
      </c>
      <c r="V1172" t="str">
        <f ca="1">IFERROR(__xludf.DUMMYFUNCTION("""COMPUTED_VALUE"""),"")</f>
        <v/>
      </c>
      <c r="W1172" t="str">
        <f ca="1">IFERROR(__xludf.DUMMYFUNCTION("""COMPUTED_VALUE"""),"")</f>
        <v/>
      </c>
      <c r="X1172" t="str">
        <f ca="1">IFERROR(__xludf.DUMMYFUNCTION("""COMPUTED_VALUE"""),"")</f>
        <v/>
      </c>
      <c r="Y1172" t="str">
        <f ca="1">IFERROR(__xludf.DUMMYFUNCTION("""COMPUTED_VALUE"""),"")</f>
        <v/>
      </c>
      <c r="Z1172" t="str">
        <f ca="1">IFERROR(__xludf.DUMMYFUNCTION("""COMPUTED_VALUE"""),"")</f>
        <v/>
      </c>
      <c r="AA1172" t="str">
        <f ca="1">IFERROR(__xludf.DUMMYFUNCTION("""COMPUTED_VALUE"""),"")</f>
        <v/>
      </c>
      <c r="AB1172" s="8" t="str">
        <f ca="1">IFERROR(__xludf.DUMMYFUNCTION("""COMPUTED_VALUE"""),"")</f>
        <v/>
      </c>
      <c r="AC1172" s="8" t="str">
        <f ca="1">IFERROR(__xludf.DUMMYFUNCTION("""COMPUTED_VALUE"""),"")</f>
        <v/>
      </c>
      <c r="AD1172" s="11" t="str">
        <f ca="1">IFERROR(__xludf.DUMMYFUNCTION("""COMPUTED_VALUE"""),"")</f>
        <v/>
      </c>
      <c r="AE1172" t="str">
        <f ca="1">IFERROR(__xludf.DUMMYFUNCTION("""COMPUTED_VALUE"""),"")</f>
        <v/>
      </c>
    </row>
    <row r="1173" spans="1:31" ht="12.75" x14ac:dyDescent="0.2">
      <c r="A1173" t="str">
        <f ca="1">IFERROR(__xludf.DUMMYFUNCTION("""COMPUTED_VALUE"""),"")</f>
        <v/>
      </c>
      <c r="B1173" t="str">
        <f ca="1">IFERROR(__xludf.DUMMYFUNCTION("""COMPUTED_VALUE"""),"")</f>
        <v/>
      </c>
      <c r="C1173" t="str">
        <f ca="1">IFERROR(__xludf.DUMMYFUNCTION("""COMPUTED_VALUE"""),"")</f>
        <v/>
      </c>
      <c r="D1173" t="str">
        <f ca="1">IFERROR(__xludf.DUMMYFUNCTION("""COMPUTED_VALUE"""),"")</f>
        <v/>
      </c>
      <c r="E1173" t="str">
        <f ca="1">IFERROR(__xludf.DUMMYFUNCTION("""COMPUTED_VALUE"""),"")</f>
        <v/>
      </c>
      <c r="F1173" t="str">
        <f ca="1">IFERROR(__xludf.DUMMYFUNCTION("""COMPUTED_VALUE"""),"")</f>
        <v/>
      </c>
      <c r="G1173" t="str">
        <f ca="1">IFERROR(__xludf.DUMMYFUNCTION("""COMPUTED_VALUE"""),"")</f>
        <v/>
      </c>
      <c r="H1173" t="str">
        <f ca="1">IFERROR(__xludf.DUMMYFUNCTION("""COMPUTED_VALUE"""),"")</f>
        <v/>
      </c>
      <c r="I1173" t="str">
        <f ca="1">IFERROR(__xludf.DUMMYFUNCTION("""COMPUTED_VALUE"""),"")</f>
        <v/>
      </c>
      <c r="J1173" t="str">
        <f ca="1">IFERROR(__xludf.DUMMYFUNCTION("""COMPUTED_VALUE"""),"")</f>
        <v/>
      </c>
      <c r="K1173" t="str">
        <f ca="1">IFERROR(__xludf.DUMMYFUNCTION("""COMPUTED_VALUE"""),"")</f>
        <v/>
      </c>
      <c r="L1173" t="str">
        <f ca="1">IFERROR(__xludf.DUMMYFUNCTION("""COMPUTED_VALUE"""),"")</f>
        <v/>
      </c>
      <c r="M1173" t="str">
        <f ca="1">IFERROR(__xludf.DUMMYFUNCTION("""COMPUTED_VALUE"""),"")</f>
        <v/>
      </c>
      <c r="N1173" t="str">
        <f ca="1">IFERROR(__xludf.DUMMYFUNCTION("""COMPUTED_VALUE"""),"")</f>
        <v/>
      </c>
      <c r="O1173" t="str">
        <f ca="1">IFERROR(__xludf.DUMMYFUNCTION("""COMPUTED_VALUE"""),"")</f>
        <v/>
      </c>
      <c r="P1173" t="str">
        <f ca="1">IFERROR(__xludf.DUMMYFUNCTION("""COMPUTED_VALUE"""),"")</f>
        <v/>
      </c>
      <c r="Q1173" s="5" t="str">
        <f ca="1">IFERROR(__xludf.DUMMYFUNCTION("""COMPUTED_VALUE"""),"")</f>
        <v/>
      </c>
      <c r="R1173" s="6" t="str">
        <f ca="1">IFERROR(__xludf.DUMMYFUNCTION("""COMPUTED_VALUE"""),"")</f>
        <v/>
      </c>
      <c r="S1173" t="str">
        <f ca="1">IFERROR(__xludf.DUMMYFUNCTION("""COMPUTED_VALUE"""),"")</f>
        <v/>
      </c>
      <c r="T1173" t="str">
        <f ca="1">IFERROR(__xludf.DUMMYFUNCTION("""COMPUTED_VALUE"""),"")</f>
        <v/>
      </c>
      <c r="U1173" t="str">
        <f ca="1">IFERROR(__xludf.DUMMYFUNCTION("""COMPUTED_VALUE"""),"")</f>
        <v/>
      </c>
      <c r="V1173" t="str">
        <f ca="1">IFERROR(__xludf.DUMMYFUNCTION("""COMPUTED_VALUE"""),"")</f>
        <v/>
      </c>
      <c r="W1173" t="str">
        <f ca="1">IFERROR(__xludf.DUMMYFUNCTION("""COMPUTED_VALUE"""),"")</f>
        <v/>
      </c>
      <c r="X1173" t="str">
        <f ca="1">IFERROR(__xludf.DUMMYFUNCTION("""COMPUTED_VALUE"""),"")</f>
        <v/>
      </c>
      <c r="Y1173" t="str">
        <f ca="1">IFERROR(__xludf.DUMMYFUNCTION("""COMPUTED_VALUE"""),"")</f>
        <v/>
      </c>
      <c r="Z1173" t="str">
        <f ca="1">IFERROR(__xludf.DUMMYFUNCTION("""COMPUTED_VALUE"""),"")</f>
        <v/>
      </c>
      <c r="AA1173" t="str">
        <f ca="1">IFERROR(__xludf.DUMMYFUNCTION("""COMPUTED_VALUE"""),"")</f>
        <v/>
      </c>
      <c r="AB1173" s="8" t="str">
        <f ca="1">IFERROR(__xludf.DUMMYFUNCTION("""COMPUTED_VALUE"""),"")</f>
        <v/>
      </c>
      <c r="AC1173" s="8" t="str">
        <f ca="1">IFERROR(__xludf.DUMMYFUNCTION("""COMPUTED_VALUE"""),"")</f>
        <v/>
      </c>
      <c r="AD1173" s="11" t="str">
        <f ca="1">IFERROR(__xludf.DUMMYFUNCTION("""COMPUTED_VALUE"""),"")</f>
        <v/>
      </c>
      <c r="AE1173" t="str">
        <f ca="1">IFERROR(__xludf.DUMMYFUNCTION("""COMPUTED_VALUE"""),"")</f>
        <v/>
      </c>
    </row>
    <row r="1174" spans="1:31" ht="12.75" x14ac:dyDescent="0.2">
      <c r="A1174" t="str">
        <f ca="1">IFERROR(__xludf.DUMMYFUNCTION("""COMPUTED_VALUE"""),"")</f>
        <v/>
      </c>
      <c r="B1174" t="str">
        <f ca="1">IFERROR(__xludf.DUMMYFUNCTION("""COMPUTED_VALUE"""),"")</f>
        <v/>
      </c>
      <c r="C1174" t="str">
        <f ca="1">IFERROR(__xludf.DUMMYFUNCTION("""COMPUTED_VALUE"""),"")</f>
        <v/>
      </c>
      <c r="D1174" t="str">
        <f ca="1">IFERROR(__xludf.DUMMYFUNCTION("""COMPUTED_VALUE"""),"")</f>
        <v/>
      </c>
      <c r="E1174" t="str">
        <f ca="1">IFERROR(__xludf.DUMMYFUNCTION("""COMPUTED_VALUE"""),"")</f>
        <v/>
      </c>
      <c r="F1174" t="str">
        <f ca="1">IFERROR(__xludf.DUMMYFUNCTION("""COMPUTED_VALUE"""),"")</f>
        <v/>
      </c>
      <c r="G1174" t="str">
        <f ca="1">IFERROR(__xludf.DUMMYFUNCTION("""COMPUTED_VALUE"""),"")</f>
        <v/>
      </c>
      <c r="H1174" t="str">
        <f ca="1">IFERROR(__xludf.DUMMYFUNCTION("""COMPUTED_VALUE"""),"")</f>
        <v/>
      </c>
      <c r="I1174" t="str">
        <f ca="1">IFERROR(__xludf.DUMMYFUNCTION("""COMPUTED_VALUE"""),"")</f>
        <v/>
      </c>
      <c r="J1174" t="str">
        <f ca="1">IFERROR(__xludf.DUMMYFUNCTION("""COMPUTED_VALUE"""),"")</f>
        <v/>
      </c>
      <c r="K1174" t="str">
        <f ca="1">IFERROR(__xludf.DUMMYFUNCTION("""COMPUTED_VALUE"""),"")</f>
        <v/>
      </c>
      <c r="L1174" t="str">
        <f ca="1">IFERROR(__xludf.DUMMYFUNCTION("""COMPUTED_VALUE"""),"")</f>
        <v/>
      </c>
      <c r="M1174" t="str">
        <f ca="1">IFERROR(__xludf.DUMMYFUNCTION("""COMPUTED_VALUE"""),"")</f>
        <v/>
      </c>
      <c r="N1174" t="str">
        <f ca="1">IFERROR(__xludf.DUMMYFUNCTION("""COMPUTED_VALUE"""),"")</f>
        <v/>
      </c>
      <c r="O1174" t="str">
        <f ca="1">IFERROR(__xludf.DUMMYFUNCTION("""COMPUTED_VALUE"""),"")</f>
        <v/>
      </c>
      <c r="P1174" t="str">
        <f ca="1">IFERROR(__xludf.DUMMYFUNCTION("""COMPUTED_VALUE"""),"")</f>
        <v/>
      </c>
      <c r="Q1174" s="5" t="str">
        <f ca="1">IFERROR(__xludf.DUMMYFUNCTION("""COMPUTED_VALUE"""),"")</f>
        <v/>
      </c>
      <c r="R1174" s="6" t="str">
        <f ca="1">IFERROR(__xludf.DUMMYFUNCTION("""COMPUTED_VALUE"""),"")</f>
        <v/>
      </c>
      <c r="S1174" t="str">
        <f ca="1">IFERROR(__xludf.DUMMYFUNCTION("""COMPUTED_VALUE"""),"")</f>
        <v/>
      </c>
      <c r="T1174" t="str">
        <f ca="1">IFERROR(__xludf.DUMMYFUNCTION("""COMPUTED_VALUE"""),"")</f>
        <v/>
      </c>
      <c r="U1174" t="str">
        <f ca="1">IFERROR(__xludf.DUMMYFUNCTION("""COMPUTED_VALUE"""),"")</f>
        <v/>
      </c>
      <c r="V1174" t="str">
        <f ca="1">IFERROR(__xludf.DUMMYFUNCTION("""COMPUTED_VALUE"""),"")</f>
        <v/>
      </c>
      <c r="W1174" t="str">
        <f ca="1">IFERROR(__xludf.DUMMYFUNCTION("""COMPUTED_VALUE"""),"")</f>
        <v/>
      </c>
      <c r="X1174" t="str">
        <f ca="1">IFERROR(__xludf.DUMMYFUNCTION("""COMPUTED_VALUE"""),"")</f>
        <v/>
      </c>
      <c r="Y1174" t="str">
        <f ca="1">IFERROR(__xludf.DUMMYFUNCTION("""COMPUTED_VALUE"""),"")</f>
        <v/>
      </c>
      <c r="Z1174" t="str">
        <f ca="1">IFERROR(__xludf.DUMMYFUNCTION("""COMPUTED_VALUE"""),"")</f>
        <v/>
      </c>
      <c r="AA1174" t="str">
        <f ca="1">IFERROR(__xludf.DUMMYFUNCTION("""COMPUTED_VALUE"""),"")</f>
        <v/>
      </c>
      <c r="AB1174" s="8" t="str">
        <f ca="1">IFERROR(__xludf.DUMMYFUNCTION("""COMPUTED_VALUE"""),"")</f>
        <v/>
      </c>
      <c r="AC1174" s="8" t="str">
        <f ca="1">IFERROR(__xludf.DUMMYFUNCTION("""COMPUTED_VALUE"""),"")</f>
        <v/>
      </c>
      <c r="AD1174" s="11" t="str">
        <f ca="1">IFERROR(__xludf.DUMMYFUNCTION("""COMPUTED_VALUE"""),"")</f>
        <v/>
      </c>
      <c r="AE1174" t="str">
        <f ca="1">IFERROR(__xludf.DUMMYFUNCTION("""COMPUTED_VALUE"""),"")</f>
        <v/>
      </c>
    </row>
    <row r="1175" spans="1:31" ht="12.75" x14ac:dyDescent="0.2">
      <c r="A1175" t="str">
        <f ca="1">IFERROR(__xludf.DUMMYFUNCTION("""COMPUTED_VALUE"""),"")</f>
        <v/>
      </c>
      <c r="B1175" t="str">
        <f ca="1">IFERROR(__xludf.DUMMYFUNCTION("""COMPUTED_VALUE"""),"")</f>
        <v/>
      </c>
      <c r="C1175" t="str">
        <f ca="1">IFERROR(__xludf.DUMMYFUNCTION("""COMPUTED_VALUE"""),"")</f>
        <v/>
      </c>
      <c r="D1175" t="str">
        <f ca="1">IFERROR(__xludf.DUMMYFUNCTION("""COMPUTED_VALUE"""),"")</f>
        <v/>
      </c>
      <c r="E1175" t="str">
        <f ca="1">IFERROR(__xludf.DUMMYFUNCTION("""COMPUTED_VALUE"""),"")</f>
        <v/>
      </c>
      <c r="F1175" t="str">
        <f ca="1">IFERROR(__xludf.DUMMYFUNCTION("""COMPUTED_VALUE"""),"")</f>
        <v/>
      </c>
      <c r="G1175" t="str">
        <f ca="1">IFERROR(__xludf.DUMMYFUNCTION("""COMPUTED_VALUE"""),"")</f>
        <v/>
      </c>
      <c r="H1175" t="str">
        <f ca="1">IFERROR(__xludf.DUMMYFUNCTION("""COMPUTED_VALUE"""),"")</f>
        <v/>
      </c>
      <c r="I1175" t="str">
        <f ca="1">IFERROR(__xludf.DUMMYFUNCTION("""COMPUTED_VALUE"""),"")</f>
        <v/>
      </c>
      <c r="J1175" t="str">
        <f ca="1">IFERROR(__xludf.DUMMYFUNCTION("""COMPUTED_VALUE"""),"")</f>
        <v/>
      </c>
      <c r="K1175" t="str">
        <f ca="1">IFERROR(__xludf.DUMMYFUNCTION("""COMPUTED_VALUE"""),"")</f>
        <v/>
      </c>
      <c r="L1175" t="str">
        <f ca="1">IFERROR(__xludf.DUMMYFUNCTION("""COMPUTED_VALUE"""),"")</f>
        <v/>
      </c>
      <c r="M1175" t="str">
        <f ca="1">IFERROR(__xludf.DUMMYFUNCTION("""COMPUTED_VALUE"""),"")</f>
        <v/>
      </c>
      <c r="N1175" t="str">
        <f ca="1">IFERROR(__xludf.DUMMYFUNCTION("""COMPUTED_VALUE"""),"")</f>
        <v/>
      </c>
      <c r="O1175" t="str">
        <f ca="1">IFERROR(__xludf.DUMMYFUNCTION("""COMPUTED_VALUE"""),"")</f>
        <v/>
      </c>
      <c r="P1175" t="str">
        <f ca="1">IFERROR(__xludf.DUMMYFUNCTION("""COMPUTED_VALUE"""),"")</f>
        <v/>
      </c>
      <c r="Q1175" s="5" t="str">
        <f ca="1">IFERROR(__xludf.DUMMYFUNCTION("""COMPUTED_VALUE"""),"")</f>
        <v/>
      </c>
      <c r="R1175" s="6" t="str">
        <f ca="1">IFERROR(__xludf.DUMMYFUNCTION("""COMPUTED_VALUE"""),"")</f>
        <v/>
      </c>
      <c r="S1175" t="str">
        <f ca="1">IFERROR(__xludf.DUMMYFUNCTION("""COMPUTED_VALUE"""),"")</f>
        <v/>
      </c>
      <c r="T1175" t="str">
        <f ca="1">IFERROR(__xludf.DUMMYFUNCTION("""COMPUTED_VALUE"""),"")</f>
        <v/>
      </c>
      <c r="U1175" t="str">
        <f ca="1">IFERROR(__xludf.DUMMYFUNCTION("""COMPUTED_VALUE"""),"")</f>
        <v/>
      </c>
      <c r="V1175" t="str">
        <f ca="1">IFERROR(__xludf.DUMMYFUNCTION("""COMPUTED_VALUE"""),"")</f>
        <v/>
      </c>
      <c r="W1175" t="str">
        <f ca="1">IFERROR(__xludf.DUMMYFUNCTION("""COMPUTED_VALUE"""),"")</f>
        <v/>
      </c>
      <c r="X1175" t="str">
        <f ca="1">IFERROR(__xludf.DUMMYFUNCTION("""COMPUTED_VALUE"""),"")</f>
        <v/>
      </c>
      <c r="Y1175" t="str">
        <f ca="1">IFERROR(__xludf.DUMMYFUNCTION("""COMPUTED_VALUE"""),"")</f>
        <v/>
      </c>
      <c r="Z1175" t="str">
        <f ca="1">IFERROR(__xludf.DUMMYFUNCTION("""COMPUTED_VALUE"""),"")</f>
        <v/>
      </c>
      <c r="AA1175" t="str">
        <f ca="1">IFERROR(__xludf.DUMMYFUNCTION("""COMPUTED_VALUE"""),"")</f>
        <v/>
      </c>
      <c r="AB1175" s="8" t="str">
        <f ca="1">IFERROR(__xludf.DUMMYFUNCTION("""COMPUTED_VALUE"""),"")</f>
        <v/>
      </c>
      <c r="AC1175" s="8" t="str">
        <f ca="1">IFERROR(__xludf.DUMMYFUNCTION("""COMPUTED_VALUE"""),"")</f>
        <v/>
      </c>
      <c r="AD1175" s="11" t="str">
        <f ca="1">IFERROR(__xludf.DUMMYFUNCTION("""COMPUTED_VALUE"""),"")</f>
        <v/>
      </c>
      <c r="AE1175" t="str">
        <f ca="1">IFERROR(__xludf.DUMMYFUNCTION("""COMPUTED_VALUE"""),"")</f>
        <v/>
      </c>
    </row>
    <row r="1176" spans="1:31" ht="12.75" x14ac:dyDescent="0.2">
      <c r="A1176" t="str">
        <f ca="1">IFERROR(__xludf.DUMMYFUNCTION("""COMPUTED_VALUE"""),"")</f>
        <v/>
      </c>
      <c r="B1176" t="str">
        <f ca="1">IFERROR(__xludf.DUMMYFUNCTION("""COMPUTED_VALUE"""),"")</f>
        <v/>
      </c>
      <c r="C1176" t="str">
        <f ca="1">IFERROR(__xludf.DUMMYFUNCTION("""COMPUTED_VALUE"""),"")</f>
        <v/>
      </c>
      <c r="D1176" t="str">
        <f ca="1">IFERROR(__xludf.DUMMYFUNCTION("""COMPUTED_VALUE"""),"")</f>
        <v/>
      </c>
      <c r="E1176" t="str">
        <f ca="1">IFERROR(__xludf.DUMMYFUNCTION("""COMPUTED_VALUE"""),"")</f>
        <v/>
      </c>
      <c r="F1176" t="str">
        <f ca="1">IFERROR(__xludf.DUMMYFUNCTION("""COMPUTED_VALUE"""),"")</f>
        <v/>
      </c>
      <c r="G1176" t="str">
        <f ca="1">IFERROR(__xludf.DUMMYFUNCTION("""COMPUTED_VALUE"""),"")</f>
        <v/>
      </c>
      <c r="H1176" t="str">
        <f ca="1">IFERROR(__xludf.DUMMYFUNCTION("""COMPUTED_VALUE"""),"")</f>
        <v/>
      </c>
      <c r="I1176" t="str">
        <f ca="1">IFERROR(__xludf.DUMMYFUNCTION("""COMPUTED_VALUE"""),"")</f>
        <v/>
      </c>
      <c r="J1176" t="str">
        <f ca="1">IFERROR(__xludf.DUMMYFUNCTION("""COMPUTED_VALUE"""),"")</f>
        <v/>
      </c>
      <c r="K1176" t="str">
        <f ca="1">IFERROR(__xludf.DUMMYFUNCTION("""COMPUTED_VALUE"""),"")</f>
        <v/>
      </c>
      <c r="L1176" t="str">
        <f ca="1">IFERROR(__xludf.DUMMYFUNCTION("""COMPUTED_VALUE"""),"")</f>
        <v/>
      </c>
      <c r="M1176" t="str">
        <f ca="1">IFERROR(__xludf.DUMMYFUNCTION("""COMPUTED_VALUE"""),"")</f>
        <v/>
      </c>
      <c r="N1176" t="str">
        <f ca="1">IFERROR(__xludf.DUMMYFUNCTION("""COMPUTED_VALUE"""),"")</f>
        <v/>
      </c>
      <c r="O1176" t="str">
        <f ca="1">IFERROR(__xludf.DUMMYFUNCTION("""COMPUTED_VALUE"""),"")</f>
        <v/>
      </c>
      <c r="P1176" t="str">
        <f ca="1">IFERROR(__xludf.DUMMYFUNCTION("""COMPUTED_VALUE"""),"")</f>
        <v/>
      </c>
      <c r="Q1176" s="5" t="str">
        <f ca="1">IFERROR(__xludf.DUMMYFUNCTION("""COMPUTED_VALUE"""),"")</f>
        <v/>
      </c>
      <c r="R1176" s="6" t="str">
        <f ca="1">IFERROR(__xludf.DUMMYFUNCTION("""COMPUTED_VALUE"""),"")</f>
        <v/>
      </c>
      <c r="S1176" t="str">
        <f ca="1">IFERROR(__xludf.DUMMYFUNCTION("""COMPUTED_VALUE"""),"")</f>
        <v/>
      </c>
      <c r="T1176" t="str">
        <f ca="1">IFERROR(__xludf.DUMMYFUNCTION("""COMPUTED_VALUE"""),"")</f>
        <v/>
      </c>
      <c r="U1176" t="str">
        <f ca="1">IFERROR(__xludf.DUMMYFUNCTION("""COMPUTED_VALUE"""),"")</f>
        <v/>
      </c>
      <c r="V1176" t="str">
        <f ca="1">IFERROR(__xludf.DUMMYFUNCTION("""COMPUTED_VALUE"""),"")</f>
        <v/>
      </c>
      <c r="W1176" t="str">
        <f ca="1">IFERROR(__xludf.DUMMYFUNCTION("""COMPUTED_VALUE"""),"")</f>
        <v/>
      </c>
      <c r="X1176" t="str">
        <f ca="1">IFERROR(__xludf.DUMMYFUNCTION("""COMPUTED_VALUE"""),"")</f>
        <v/>
      </c>
      <c r="Y1176" t="str">
        <f ca="1">IFERROR(__xludf.DUMMYFUNCTION("""COMPUTED_VALUE"""),"")</f>
        <v/>
      </c>
      <c r="Z1176" t="str">
        <f ca="1">IFERROR(__xludf.DUMMYFUNCTION("""COMPUTED_VALUE"""),"")</f>
        <v/>
      </c>
      <c r="AA1176" t="str">
        <f ca="1">IFERROR(__xludf.DUMMYFUNCTION("""COMPUTED_VALUE"""),"")</f>
        <v/>
      </c>
      <c r="AB1176" s="8" t="str">
        <f ca="1">IFERROR(__xludf.DUMMYFUNCTION("""COMPUTED_VALUE"""),"")</f>
        <v/>
      </c>
      <c r="AC1176" s="8" t="str">
        <f ca="1">IFERROR(__xludf.DUMMYFUNCTION("""COMPUTED_VALUE"""),"")</f>
        <v/>
      </c>
      <c r="AD1176" s="11" t="str">
        <f ca="1">IFERROR(__xludf.DUMMYFUNCTION("""COMPUTED_VALUE"""),"")</f>
        <v/>
      </c>
      <c r="AE1176" t="str">
        <f ca="1">IFERROR(__xludf.DUMMYFUNCTION("""COMPUTED_VALUE"""),"")</f>
        <v/>
      </c>
    </row>
    <row r="1177" spans="1:31" ht="12.75" x14ac:dyDescent="0.2">
      <c r="A1177" t="str">
        <f ca="1">IFERROR(__xludf.DUMMYFUNCTION("""COMPUTED_VALUE"""),"")</f>
        <v/>
      </c>
      <c r="B1177" t="str">
        <f ca="1">IFERROR(__xludf.DUMMYFUNCTION("""COMPUTED_VALUE"""),"")</f>
        <v/>
      </c>
      <c r="C1177" t="str">
        <f ca="1">IFERROR(__xludf.DUMMYFUNCTION("""COMPUTED_VALUE"""),"")</f>
        <v/>
      </c>
      <c r="D1177" t="str">
        <f ca="1">IFERROR(__xludf.DUMMYFUNCTION("""COMPUTED_VALUE"""),"")</f>
        <v/>
      </c>
      <c r="E1177" t="str">
        <f ca="1">IFERROR(__xludf.DUMMYFUNCTION("""COMPUTED_VALUE"""),"")</f>
        <v/>
      </c>
      <c r="F1177" t="str">
        <f ca="1">IFERROR(__xludf.DUMMYFUNCTION("""COMPUTED_VALUE"""),"")</f>
        <v/>
      </c>
      <c r="G1177" t="str">
        <f ca="1">IFERROR(__xludf.DUMMYFUNCTION("""COMPUTED_VALUE"""),"")</f>
        <v/>
      </c>
      <c r="H1177" t="str">
        <f ca="1">IFERROR(__xludf.DUMMYFUNCTION("""COMPUTED_VALUE"""),"")</f>
        <v/>
      </c>
      <c r="I1177" t="str">
        <f ca="1">IFERROR(__xludf.DUMMYFUNCTION("""COMPUTED_VALUE"""),"")</f>
        <v/>
      </c>
      <c r="J1177" t="str">
        <f ca="1">IFERROR(__xludf.DUMMYFUNCTION("""COMPUTED_VALUE"""),"")</f>
        <v/>
      </c>
      <c r="K1177" t="str">
        <f ca="1">IFERROR(__xludf.DUMMYFUNCTION("""COMPUTED_VALUE"""),"")</f>
        <v/>
      </c>
      <c r="L1177" t="str">
        <f ca="1">IFERROR(__xludf.DUMMYFUNCTION("""COMPUTED_VALUE"""),"")</f>
        <v/>
      </c>
      <c r="M1177" t="str">
        <f ca="1">IFERROR(__xludf.DUMMYFUNCTION("""COMPUTED_VALUE"""),"")</f>
        <v/>
      </c>
      <c r="N1177" t="str">
        <f ca="1">IFERROR(__xludf.DUMMYFUNCTION("""COMPUTED_VALUE"""),"")</f>
        <v/>
      </c>
      <c r="O1177" t="str">
        <f ca="1">IFERROR(__xludf.DUMMYFUNCTION("""COMPUTED_VALUE"""),"")</f>
        <v/>
      </c>
      <c r="P1177" t="str">
        <f ca="1">IFERROR(__xludf.DUMMYFUNCTION("""COMPUTED_VALUE"""),"")</f>
        <v/>
      </c>
      <c r="Q1177" s="5" t="str">
        <f ca="1">IFERROR(__xludf.DUMMYFUNCTION("""COMPUTED_VALUE"""),"")</f>
        <v/>
      </c>
      <c r="R1177" s="6" t="str">
        <f ca="1">IFERROR(__xludf.DUMMYFUNCTION("""COMPUTED_VALUE"""),"")</f>
        <v/>
      </c>
      <c r="S1177" t="str">
        <f ca="1">IFERROR(__xludf.DUMMYFUNCTION("""COMPUTED_VALUE"""),"")</f>
        <v/>
      </c>
      <c r="T1177" t="str">
        <f ca="1">IFERROR(__xludf.DUMMYFUNCTION("""COMPUTED_VALUE"""),"")</f>
        <v/>
      </c>
      <c r="U1177" t="str">
        <f ca="1">IFERROR(__xludf.DUMMYFUNCTION("""COMPUTED_VALUE"""),"")</f>
        <v/>
      </c>
      <c r="V1177" t="str">
        <f ca="1">IFERROR(__xludf.DUMMYFUNCTION("""COMPUTED_VALUE"""),"")</f>
        <v/>
      </c>
      <c r="W1177" t="str">
        <f ca="1">IFERROR(__xludf.DUMMYFUNCTION("""COMPUTED_VALUE"""),"")</f>
        <v/>
      </c>
      <c r="X1177" t="str">
        <f ca="1">IFERROR(__xludf.DUMMYFUNCTION("""COMPUTED_VALUE"""),"")</f>
        <v/>
      </c>
      <c r="Y1177" t="str">
        <f ca="1">IFERROR(__xludf.DUMMYFUNCTION("""COMPUTED_VALUE"""),"")</f>
        <v/>
      </c>
      <c r="Z1177" t="str">
        <f ca="1">IFERROR(__xludf.DUMMYFUNCTION("""COMPUTED_VALUE"""),"")</f>
        <v/>
      </c>
      <c r="AA1177" t="str">
        <f ca="1">IFERROR(__xludf.DUMMYFUNCTION("""COMPUTED_VALUE"""),"")</f>
        <v/>
      </c>
      <c r="AB1177" s="8" t="str">
        <f ca="1">IFERROR(__xludf.DUMMYFUNCTION("""COMPUTED_VALUE"""),"")</f>
        <v/>
      </c>
      <c r="AC1177" s="8" t="str">
        <f ca="1">IFERROR(__xludf.DUMMYFUNCTION("""COMPUTED_VALUE"""),"")</f>
        <v/>
      </c>
      <c r="AD1177" s="11" t="str">
        <f ca="1">IFERROR(__xludf.DUMMYFUNCTION("""COMPUTED_VALUE"""),"")</f>
        <v/>
      </c>
      <c r="AE1177" t="str">
        <f ca="1">IFERROR(__xludf.DUMMYFUNCTION("""COMPUTED_VALUE"""),"")</f>
        <v/>
      </c>
    </row>
    <row r="1178" spans="1:31" ht="12.75" x14ac:dyDescent="0.2">
      <c r="A1178" t="str">
        <f ca="1">IFERROR(__xludf.DUMMYFUNCTION("""COMPUTED_VALUE"""),"")</f>
        <v/>
      </c>
      <c r="B1178" t="str">
        <f ca="1">IFERROR(__xludf.DUMMYFUNCTION("""COMPUTED_VALUE"""),"")</f>
        <v/>
      </c>
      <c r="C1178" t="str">
        <f ca="1">IFERROR(__xludf.DUMMYFUNCTION("""COMPUTED_VALUE"""),"")</f>
        <v/>
      </c>
      <c r="D1178" t="str">
        <f ca="1">IFERROR(__xludf.DUMMYFUNCTION("""COMPUTED_VALUE"""),"")</f>
        <v/>
      </c>
      <c r="E1178" t="str">
        <f ca="1">IFERROR(__xludf.DUMMYFUNCTION("""COMPUTED_VALUE"""),"")</f>
        <v/>
      </c>
      <c r="F1178" t="str">
        <f ca="1">IFERROR(__xludf.DUMMYFUNCTION("""COMPUTED_VALUE"""),"")</f>
        <v/>
      </c>
      <c r="G1178" t="str">
        <f ca="1">IFERROR(__xludf.DUMMYFUNCTION("""COMPUTED_VALUE"""),"")</f>
        <v/>
      </c>
      <c r="H1178" t="str">
        <f ca="1">IFERROR(__xludf.DUMMYFUNCTION("""COMPUTED_VALUE"""),"")</f>
        <v/>
      </c>
      <c r="I1178" t="str">
        <f ca="1">IFERROR(__xludf.DUMMYFUNCTION("""COMPUTED_VALUE"""),"")</f>
        <v/>
      </c>
      <c r="J1178" t="str">
        <f ca="1">IFERROR(__xludf.DUMMYFUNCTION("""COMPUTED_VALUE"""),"")</f>
        <v/>
      </c>
      <c r="K1178" t="str">
        <f ca="1">IFERROR(__xludf.DUMMYFUNCTION("""COMPUTED_VALUE"""),"")</f>
        <v/>
      </c>
      <c r="L1178" t="str">
        <f ca="1">IFERROR(__xludf.DUMMYFUNCTION("""COMPUTED_VALUE"""),"")</f>
        <v/>
      </c>
      <c r="M1178" t="str">
        <f ca="1">IFERROR(__xludf.DUMMYFUNCTION("""COMPUTED_VALUE"""),"")</f>
        <v/>
      </c>
      <c r="N1178" t="str">
        <f ca="1">IFERROR(__xludf.DUMMYFUNCTION("""COMPUTED_VALUE"""),"")</f>
        <v/>
      </c>
      <c r="O1178" t="str">
        <f ca="1">IFERROR(__xludf.DUMMYFUNCTION("""COMPUTED_VALUE"""),"")</f>
        <v/>
      </c>
      <c r="P1178" t="str">
        <f ca="1">IFERROR(__xludf.DUMMYFUNCTION("""COMPUTED_VALUE"""),"")</f>
        <v/>
      </c>
      <c r="Q1178" s="5" t="str">
        <f ca="1">IFERROR(__xludf.DUMMYFUNCTION("""COMPUTED_VALUE"""),"")</f>
        <v/>
      </c>
      <c r="R1178" s="6" t="str">
        <f ca="1">IFERROR(__xludf.DUMMYFUNCTION("""COMPUTED_VALUE"""),"")</f>
        <v/>
      </c>
      <c r="S1178" t="str">
        <f ca="1">IFERROR(__xludf.DUMMYFUNCTION("""COMPUTED_VALUE"""),"")</f>
        <v/>
      </c>
      <c r="T1178" t="str">
        <f ca="1">IFERROR(__xludf.DUMMYFUNCTION("""COMPUTED_VALUE"""),"")</f>
        <v/>
      </c>
      <c r="U1178" t="str">
        <f ca="1">IFERROR(__xludf.DUMMYFUNCTION("""COMPUTED_VALUE"""),"")</f>
        <v/>
      </c>
      <c r="V1178" t="str">
        <f ca="1">IFERROR(__xludf.DUMMYFUNCTION("""COMPUTED_VALUE"""),"")</f>
        <v/>
      </c>
      <c r="W1178" t="str">
        <f ca="1">IFERROR(__xludf.DUMMYFUNCTION("""COMPUTED_VALUE"""),"")</f>
        <v/>
      </c>
      <c r="X1178" t="str">
        <f ca="1">IFERROR(__xludf.DUMMYFUNCTION("""COMPUTED_VALUE"""),"")</f>
        <v/>
      </c>
      <c r="Y1178" t="str">
        <f ca="1">IFERROR(__xludf.DUMMYFUNCTION("""COMPUTED_VALUE"""),"")</f>
        <v/>
      </c>
      <c r="Z1178" t="str">
        <f ca="1">IFERROR(__xludf.DUMMYFUNCTION("""COMPUTED_VALUE"""),"")</f>
        <v/>
      </c>
      <c r="AA1178" t="str">
        <f ca="1">IFERROR(__xludf.DUMMYFUNCTION("""COMPUTED_VALUE"""),"")</f>
        <v/>
      </c>
      <c r="AB1178" s="8" t="str">
        <f ca="1">IFERROR(__xludf.DUMMYFUNCTION("""COMPUTED_VALUE"""),"")</f>
        <v/>
      </c>
      <c r="AC1178" s="8" t="str">
        <f ca="1">IFERROR(__xludf.DUMMYFUNCTION("""COMPUTED_VALUE"""),"")</f>
        <v/>
      </c>
      <c r="AD1178" s="11" t="str">
        <f ca="1">IFERROR(__xludf.DUMMYFUNCTION("""COMPUTED_VALUE"""),"")</f>
        <v/>
      </c>
      <c r="AE1178" t="str">
        <f ca="1">IFERROR(__xludf.DUMMYFUNCTION("""COMPUTED_VALUE"""),"")</f>
        <v/>
      </c>
    </row>
    <row r="1179" spans="1:31" ht="12.75" x14ac:dyDescent="0.2">
      <c r="A1179" t="str">
        <f ca="1">IFERROR(__xludf.DUMMYFUNCTION("""COMPUTED_VALUE"""),"")</f>
        <v/>
      </c>
      <c r="B1179" t="str">
        <f ca="1">IFERROR(__xludf.DUMMYFUNCTION("""COMPUTED_VALUE"""),"")</f>
        <v/>
      </c>
      <c r="C1179" t="str">
        <f ca="1">IFERROR(__xludf.DUMMYFUNCTION("""COMPUTED_VALUE"""),"")</f>
        <v/>
      </c>
      <c r="D1179" t="str">
        <f ca="1">IFERROR(__xludf.DUMMYFUNCTION("""COMPUTED_VALUE"""),"")</f>
        <v/>
      </c>
      <c r="E1179" t="str">
        <f ca="1">IFERROR(__xludf.DUMMYFUNCTION("""COMPUTED_VALUE"""),"")</f>
        <v/>
      </c>
      <c r="F1179" t="str">
        <f ca="1">IFERROR(__xludf.DUMMYFUNCTION("""COMPUTED_VALUE"""),"")</f>
        <v/>
      </c>
      <c r="G1179" t="str">
        <f ca="1">IFERROR(__xludf.DUMMYFUNCTION("""COMPUTED_VALUE"""),"")</f>
        <v/>
      </c>
      <c r="H1179" t="str">
        <f ca="1">IFERROR(__xludf.DUMMYFUNCTION("""COMPUTED_VALUE"""),"")</f>
        <v/>
      </c>
      <c r="I1179" t="str">
        <f ca="1">IFERROR(__xludf.DUMMYFUNCTION("""COMPUTED_VALUE"""),"")</f>
        <v/>
      </c>
      <c r="J1179" t="str">
        <f ca="1">IFERROR(__xludf.DUMMYFUNCTION("""COMPUTED_VALUE"""),"")</f>
        <v/>
      </c>
      <c r="K1179" t="str">
        <f ca="1">IFERROR(__xludf.DUMMYFUNCTION("""COMPUTED_VALUE"""),"")</f>
        <v/>
      </c>
      <c r="L1179" t="str">
        <f ca="1">IFERROR(__xludf.DUMMYFUNCTION("""COMPUTED_VALUE"""),"")</f>
        <v/>
      </c>
      <c r="M1179" t="str">
        <f ca="1">IFERROR(__xludf.DUMMYFUNCTION("""COMPUTED_VALUE"""),"")</f>
        <v/>
      </c>
      <c r="N1179" t="str">
        <f ca="1">IFERROR(__xludf.DUMMYFUNCTION("""COMPUTED_VALUE"""),"")</f>
        <v/>
      </c>
      <c r="O1179" t="str">
        <f ca="1">IFERROR(__xludf.DUMMYFUNCTION("""COMPUTED_VALUE"""),"")</f>
        <v/>
      </c>
      <c r="P1179" t="str">
        <f ca="1">IFERROR(__xludf.DUMMYFUNCTION("""COMPUTED_VALUE"""),"")</f>
        <v/>
      </c>
      <c r="Q1179" s="5" t="str">
        <f ca="1">IFERROR(__xludf.DUMMYFUNCTION("""COMPUTED_VALUE"""),"")</f>
        <v/>
      </c>
      <c r="R1179" s="6" t="str">
        <f ca="1">IFERROR(__xludf.DUMMYFUNCTION("""COMPUTED_VALUE"""),"")</f>
        <v/>
      </c>
      <c r="S1179" t="str">
        <f ca="1">IFERROR(__xludf.DUMMYFUNCTION("""COMPUTED_VALUE"""),"")</f>
        <v/>
      </c>
      <c r="T1179" t="str">
        <f ca="1">IFERROR(__xludf.DUMMYFUNCTION("""COMPUTED_VALUE"""),"")</f>
        <v/>
      </c>
      <c r="U1179" t="str">
        <f ca="1">IFERROR(__xludf.DUMMYFUNCTION("""COMPUTED_VALUE"""),"")</f>
        <v/>
      </c>
      <c r="V1179" t="str">
        <f ca="1">IFERROR(__xludf.DUMMYFUNCTION("""COMPUTED_VALUE"""),"")</f>
        <v/>
      </c>
      <c r="W1179" t="str">
        <f ca="1">IFERROR(__xludf.DUMMYFUNCTION("""COMPUTED_VALUE"""),"")</f>
        <v/>
      </c>
      <c r="X1179" t="str">
        <f ca="1">IFERROR(__xludf.DUMMYFUNCTION("""COMPUTED_VALUE"""),"")</f>
        <v/>
      </c>
      <c r="Y1179" t="str">
        <f ca="1">IFERROR(__xludf.DUMMYFUNCTION("""COMPUTED_VALUE"""),"")</f>
        <v/>
      </c>
      <c r="Z1179" t="str">
        <f ca="1">IFERROR(__xludf.DUMMYFUNCTION("""COMPUTED_VALUE"""),"")</f>
        <v/>
      </c>
      <c r="AA1179" t="str">
        <f ca="1">IFERROR(__xludf.DUMMYFUNCTION("""COMPUTED_VALUE"""),"")</f>
        <v/>
      </c>
      <c r="AB1179" s="8" t="str">
        <f ca="1">IFERROR(__xludf.DUMMYFUNCTION("""COMPUTED_VALUE"""),"")</f>
        <v/>
      </c>
      <c r="AC1179" s="8" t="str">
        <f ca="1">IFERROR(__xludf.DUMMYFUNCTION("""COMPUTED_VALUE"""),"")</f>
        <v/>
      </c>
      <c r="AD1179" s="11" t="str">
        <f ca="1">IFERROR(__xludf.DUMMYFUNCTION("""COMPUTED_VALUE"""),"")</f>
        <v/>
      </c>
      <c r="AE1179" t="str">
        <f ca="1">IFERROR(__xludf.DUMMYFUNCTION("""COMPUTED_VALUE"""),"")</f>
        <v/>
      </c>
    </row>
    <row r="1180" spans="1:31" ht="12.75" x14ac:dyDescent="0.2">
      <c r="A1180" t="str">
        <f ca="1">IFERROR(__xludf.DUMMYFUNCTION("""COMPUTED_VALUE"""),"")</f>
        <v/>
      </c>
      <c r="B1180" t="str">
        <f ca="1">IFERROR(__xludf.DUMMYFUNCTION("""COMPUTED_VALUE"""),"")</f>
        <v/>
      </c>
      <c r="C1180" t="str">
        <f ca="1">IFERROR(__xludf.DUMMYFUNCTION("""COMPUTED_VALUE"""),"")</f>
        <v/>
      </c>
      <c r="D1180" t="str">
        <f ca="1">IFERROR(__xludf.DUMMYFUNCTION("""COMPUTED_VALUE"""),"")</f>
        <v/>
      </c>
      <c r="E1180" t="str">
        <f ca="1">IFERROR(__xludf.DUMMYFUNCTION("""COMPUTED_VALUE"""),"")</f>
        <v/>
      </c>
      <c r="F1180" t="str">
        <f ca="1">IFERROR(__xludf.DUMMYFUNCTION("""COMPUTED_VALUE"""),"")</f>
        <v/>
      </c>
      <c r="G1180" t="str">
        <f ca="1">IFERROR(__xludf.DUMMYFUNCTION("""COMPUTED_VALUE"""),"")</f>
        <v/>
      </c>
      <c r="H1180" t="str">
        <f ca="1">IFERROR(__xludf.DUMMYFUNCTION("""COMPUTED_VALUE"""),"")</f>
        <v/>
      </c>
      <c r="I1180" t="str">
        <f ca="1">IFERROR(__xludf.DUMMYFUNCTION("""COMPUTED_VALUE"""),"")</f>
        <v/>
      </c>
      <c r="J1180" t="str">
        <f ca="1">IFERROR(__xludf.DUMMYFUNCTION("""COMPUTED_VALUE"""),"")</f>
        <v/>
      </c>
      <c r="K1180" t="str">
        <f ca="1">IFERROR(__xludf.DUMMYFUNCTION("""COMPUTED_VALUE"""),"")</f>
        <v/>
      </c>
      <c r="L1180" t="str">
        <f ca="1">IFERROR(__xludf.DUMMYFUNCTION("""COMPUTED_VALUE"""),"")</f>
        <v/>
      </c>
      <c r="M1180" t="str">
        <f ca="1">IFERROR(__xludf.DUMMYFUNCTION("""COMPUTED_VALUE"""),"")</f>
        <v/>
      </c>
      <c r="N1180" t="str">
        <f ca="1">IFERROR(__xludf.DUMMYFUNCTION("""COMPUTED_VALUE"""),"")</f>
        <v/>
      </c>
      <c r="O1180" t="str">
        <f ca="1">IFERROR(__xludf.DUMMYFUNCTION("""COMPUTED_VALUE"""),"")</f>
        <v/>
      </c>
      <c r="P1180" t="str">
        <f ca="1">IFERROR(__xludf.DUMMYFUNCTION("""COMPUTED_VALUE"""),"")</f>
        <v/>
      </c>
      <c r="Q1180" s="5" t="str">
        <f ca="1">IFERROR(__xludf.DUMMYFUNCTION("""COMPUTED_VALUE"""),"")</f>
        <v/>
      </c>
      <c r="R1180" s="6" t="str">
        <f ca="1">IFERROR(__xludf.DUMMYFUNCTION("""COMPUTED_VALUE"""),"")</f>
        <v/>
      </c>
      <c r="S1180" t="str">
        <f ca="1">IFERROR(__xludf.DUMMYFUNCTION("""COMPUTED_VALUE"""),"")</f>
        <v/>
      </c>
      <c r="T1180" t="str">
        <f ca="1">IFERROR(__xludf.DUMMYFUNCTION("""COMPUTED_VALUE"""),"")</f>
        <v/>
      </c>
      <c r="U1180" t="str">
        <f ca="1">IFERROR(__xludf.DUMMYFUNCTION("""COMPUTED_VALUE"""),"")</f>
        <v/>
      </c>
      <c r="V1180" t="str">
        <f ca="1">IFERROR(__xludf.DUMMYFUNCTION("""COMPUTED_VALUE"""),"")</f>
        <v/>
      </c>
      <c r="W1180" t="str">
        <f ca="1">IFERROR(__xludf.DUMMYFUNCTION("""COMPUTED_VALUE"""),"")</f>
        <v/>
      </c>
      <c r="X1180" t="str">
        <f ca="1">IFERROR(__xludf.DUMMYFUNCTION("""COMPUTED_VALUE"""),"")</f>
        <v/>
      </c>
      <c r="Y1180" t="str">
        <f ca="1">IFERROR(__xludf.DUMMYFUNCTION("""COMPUTED_VALUE"""),"")</f>
        <v/>
      </c>
      <c r="Z1180" t="str">
        <f ca="1">IFERROR(__xludf.DUMMYFUNCTION("""COMPUTED_VALUE"""),"")</f>
        <v/>
      </c>
      <c r="AA1180" t="str">
        <f ca="1">IFERROR(__xludf.DUMMYFUNCTION("""COMPUTED_VALUE"""),"")</f>
        <v/>
      </c>
      <c r="AB1180" s="8" t="str">
        <f ca="1">IFERROR(__xludf.DUMMYFUNCTION("""COMPUTED_VALUE"""),"")</f>
        <v/>
      </c>
      <c r="AC1180" s="8" t="str">
        <f ca="1">IFERROR(__xludf.DUMMYFUNCTION("""COMPUTED_VALUE"""),"")</f>
        <v/>
      </c>
      <c r="AD1180" s="11" t="str">
        <f ca="1">IFERROR(__xludf.DUMMYFUNCTION("""COMPUTED_VALUE"""),"")</f>
        <v/>
      </c>
      <c r="AE1180" t="str">
        <f ca="1">IFERROR(__xludf.DUMMYFUNCTION("""COMPUTED_VALUE"""),"")</f>
        <v/>
      </c>
    </row>
    <row r="1181" spans="1:31" ht="12.75" x14ac:dyDescent="0.2">
      <c r="A1181" t="str">
        <f ca="1">IFERROR(__xludf.DUMMYFUNCTION("""COMPUTED_VALUE"""),"")</f>
        <v/>
      </c>
      <c r="B1181" t="str">
        <f ca="1">IFERROR(__xludf.DUMMYFUNCTION("""COMPUTED_VALUE"""),"")</f>
        <v/>
      </c>
      <c r="C1181" t="str">
        <f ca="1">IFERROR(__xludf.DUMMYFUNCTION("""COMPUTED_VALUE"""),"")</f>
        <v/>
      </c>
      <c r="D1181" t="str">
        <f ca="1">IFERROR(__xludf.DUMMYFUNCTION("""COMPUTED_VALUE"""),"")</f>
        <v/>
      </c>
      <c r="E1181" t="str">
        <f ca="1">IFERROR(__xludf.DUMMYFUNCTION("""COMPUTED_VALUE"""),"")</f>
        <v/>
      </c>
      <c r="F1181" t="str">
        <f ca="1">IFERROR(__xludf.DUMMYFUNCTION("""COMPUTED_VALUE"""),"")</f>
        <v/>
      </c>
      <c r="G1181" t="str">
        <f ca="1">IFERROR(__xludf.DUMMYFUNCTION("""COMPUTED_VALUE"""),"")</f>
        <v/>
      </c>
      <c r="H1181" t="str">
        <f ca="1">IFERROR(__xludf.DUMMYFUNCTION("""COMPUTED_VALUE"""),"")</f>
        <v/>
      </c>
      <c r="I1181" t="str">
        <f ca="1">IFERROR(__xludf.DUMMYFUNCTION("""COMPUTED_VALUE"""),"")</f>
        <v/>
      </c>
      <c r="J1181" t="str">
        <f ca="1">IFERROR(__xludf.DUMMYFUNCTION("""COMPUTED_VALUE"""),"")</f>
        <v/>
      </c>
      <c r="K1181" t="str">
        <f ca="1">IFERROR(__xludf.DUMMYFUNCTION("""COMPUTED_VALUE"""),"")</f>
        <v/>
      </c>
      <c r="L1181" t="str">
        <f ca="1">IFERROR(__xludf.DUMMYFUNCTION("""COMPUTED_VALUE"""),"")</f>
        <v/>
      </c>
      <c r="M1181" t="str">
        <f ca="1">IFERROR(__xludf.DUMMYFUNCTION("""COMPUTED_VALUE"""),"")</f>
        <v/>
      </c>
      <c r="N1181" t="str">
        <f ca="1">IFERROR(__xludf.DUMMYFUNCTION("""COMPUTED_VALUE"""),"")</f>
        <v/>
      </c>
      <c r="O1181" t="str">
        <f ca="1">IFERROR(__xludf.DUMMYFUNCTION("""COMPUTED_VALUE"""),"")</f>
        <v/>
      </c>
      <c r="P1181" t="str">
        <f ca="1">IFERROR(__xludf.DUMMYFUNCTION("""COMPUTED_VALUE"""),"")</f>
        <v/>
      </c>
      <c r="Q1181" s="5" t="str">
        <f ca="1">IFERROR(__xludf.DUMMYFUNCTION("""COMPUTED_VALUE"""),"")</f>
        <v/>
      </c>
      <c r="R1181" s="6" t="str">
        <f ca="1">IFERROR(__xludf.DUMMYFUNCTION("""COMPUTED_VALUE"""),"")</f>
        <v/>
      </c>
      <c r="S1181" t="str">
        <f ca="1">IFERROR(__xludf.DUMMYFUNCTION("""COMPUTED_VALUE"""),"")</f>
        <v/>
      </c>
      <c r="T1181" t="str">
        <f ca="1">IFERROR(__xludf.DUMMYFUNCTION("""COMPUTED_VALUE"""),"")</f>
        <v/>
      </c>
      <c r="U1181" t="str">
        <f ca="1">IFERROR(__xludf.DUMMYFUNCTION("""COMPUTED_VALUE"""),"")</f>
        <v/>
      </c>
      <c r="V1181" t="str">
        <f ca="1">IFERROR(__xludf.DUMMYFUNCTION("""COMPUTED_VALUE"""),"")</f>
        <v/>
      </c>
      <c r="W1181" t="str">
        <f ca="1">IFERROR(__xludf.DUMMYFUNCTION("""COMPUTED_VALUE"""),"")</f>
        <v/>
      </c>
      <c r="X1181" t="str">
        <f ca="1">IFERROR(__xludf.DUMMYFUNCTION("""COMPUTED_VALUE"""),"")</f>
        <v/>
      </c>
      <c r="Y1181" t="str">
        <f ca="1">IFERROR(__xludf.DUMMYFUNCTION("""COMPUTED_VALUE"""),"")</f>
        <v/>
      </c>
      <c r="Z1181" t="str">
        <f ca="1">IFERROR(__xludf.DUMMYFUNCTION("""COMPUTED_VALUE"""),"")</f>
        <v/>
      </c>
      <c r="AA1181" t="str">
        <f ca="1">IFERROR(__xludf.DUMMYFUNCTION("""COMPUTED_VALUE"""),"")</f>
        <v/>
      </c>
      <c r="AB1181" s="8" t="str">
        <f ca="1">IFERROR(__xludf.DUMMYFUNCTION("""COMPUTED_VALUE"""),"")</f>
        <v/>
      </c>
      <c r="AC1181" s="8" t="str">
        <f ca="1">IFERROR(__xludf.DUMMYFUNCTION("""COMPUTED_VALUE"""),"")</f>
        <v/>
      </c>
      <c r="AD1181" s="11" t="str">
        <f ca="1">IFERROR(__xludf.DUMMYFUNCTION("""COMPUTED_VALUE"""),"")</f>
        <v/>
      </c>
      <c r="AE1181" t="str">
        <f ca="1">IFERROR(__xludf.DUMMYFUNCTION("""COMPUTED_VALUE"""),"")</f>
        <v/>
      </c>
    </row>
    <row r="1182" spans="1:31" ht="12.75" x14ac:dyDescent="0.2">
      <c r="A1182" t="str">
        <f ca="1">IFERROR(__xludf.DUMMYFUNCTION("""COMPUTED_VALUE"""),"")</f>
        <v/>
      </c>
      <c r="B1182" t="str">
        <f ca="1">IFERROR(__xludf.DUMMYFUNCTION("""COMPUTED_VALUE"""),"")</f>
        <v/>
      </c>
      <c r="C1182" t="str">
        <f ca="1">IFERROR(__xludf.DUMMYFUNCTION("""COMPUTED_VALUE"""),"")</f>
        <v/>
      </c>
      <c r="D1182" t="str">
        <f ca="1">IFERROR(__xludf.DUMMYFUNCTION("""COMPUTED_VALUE"""),"")</f>
        <v/>
      </c>
      <c r="E1182" t="str">
        <f ca="1">IFERROR(__xludf.DUMMYFUNCTION("""COMPUTED_VALUE"""),"")</f>
        <v/>
      </c>
      <c r="F1182" t="str">
        <f ca="1">IFERROR(__xludf.DUMMYFUNCTION("""COMPUTED_VALUE"""),"")</f>
        <v/>
      </c>
      <c r="G1182" t="str">
        <f ca="1">IFERROR(__xludf.DUMMYFUNCTION("""COMPUTED_VALUE"""),"")</f>
        <v/>
      </c>
      <c r="H1182" t="str">
        <f ca="1">IFERROR(__xludf.DUMMYFUNCTION("""COMPUTED_VALUE"""),"")</f>
        <v/>
      </c>
      <c r="I1182" t="str">
        <f ca="1">IFERROR(__xludf.DUMMYFUNCTION("""COMPUTED_VALUE"""),"")</f>
        <v/>
      </c>
      <c r="J1182" t="str">
        <f ca="1">IFERROR(__xludf.DUMMYFUNCTION("""COMPUTED_VALUE"""),"")</f>
        <v/>
      </c>
      <c r="K1182" t="str">
        <f ca="1">IFERROR(__xludf.DUMMYFUNCTION("""COMPUTED_VALUE"""),"")</f>
        <v/>
      </c>
      <c r="L1182" t="str">
        <f ca="1">IFERROR(__xludf.DUMMYFUNCTION("""COMPUTED_VALUE"""),"")</f>
        <v/>
      </c>
      <c r="M1182" t="str">
        <f ca="1">IFERROR(__xludf.DUMMYFUNCTION("""COMPUTED_VALUE"""),"")</f>
        <v/>
      </c>
      <c r="N1182" t="str">
        <f ca="1">IFERROR(__xludf.DUMMYFUNCTION("""COMPUTED_VALUE"""),"")</f>
        <v/>
      </c>
      <c r="O1182" t="str">
        <f ca="1">IFERROR(__xludf.DUMMYFUNCTION("""COMPUTED_VALUE"""),"")</f>
        <v/>
      </c>
      <c r="P1182" t="str">
        <f ca="1">IFERROR(__xludf.DUMMYFUNCTION("""COMPUTED_VALUE"""),"")</f>
        <v/>
      </c>
      <c r="Q1182" s="5" t="str">
        <f ca="1">IFERROR(__xludf.DUMMYFUNCTION("""COMPUTED_VALUE"""),"")</f>
        <v/>
      </c>
      <c r="R1182" s="6" t="str">
        <f ca="1">IFERROR(__xludf.DUMMYFUNCTION("""COMPUTED_VALUE"""),"")</f>
        <v/>
      </c>
      <c r="S1182" t="str">
        <f ca="1">IFERROR(__xludf.DUMMYFUNCTION("""COMPUTED_VALUE"""),"")</f>
        <v/>
      </c>
      <c r="T1182" t="str">
        <f ca="1">IFERROR(__xludf.DUMMYFUNCTION("""COMPUTED_VALUE"""),"")</f>
        <v/>
      </c>
      <c r="U1182" t="str">
        <f ca="1">IFERROR(__xludf.DUMMYFUNCTION("""COMPUTED_VALUE"""),"")</f>
        <v/>
      </c>
      <c r="V1182" t="str">
        <f ca="1">IFERROR(__xludf.DUMMYFUNCTION("""COMPUTED_VALUE"""),"")</f>
        <v/>
      </c>
      <c r="W1182" t="str">
        <f ca="1">IFERROR(__xludf.DUMMYFUNCTION("""COMPUTED_VALUE"""),"")</f>
        <v/>
      </c>
      <c r="X1182" t="str">
        <f ca="1">IFERROR(__xludf.DUMMYFUNCTION("""COMPUTED_VALUE"""),"")</f>
        <v/>
      </c>
      <c r="Y1182" t="str">
        <f ca="1">IFERROR(__xludf.DUMMYFUNCTION("""COMPUTED_VALUE"""),"")</f>
        <v/>
      </c>
      <c r="Z1182" t="str">
        <f ca="1">IFERROR(__xludf.DUMMYFUNCTION("""COMPUTED_VALUE"""),"")</f>
        <v/>
      </c>
      <c r="AA1182" t="str">
        <f ca="1">IFERROR(__xludf.DUMMYFUNCTION("""COMPUTED_VALUE"""),"")</f>
        <v/>
      </c>
      <c r="AB1182" s="8" t="str">
        <f ca="1">IFERROR(__xludf.DUMMYFUNCTION("""COMPUTED_VALUE"""),"")</f>
        <v/>
      </c>
      <c r="AC1182" s="8" t="str">
        <f ca="1">IFERROR(__xludf.DUMMYFUNCTION("""COMPUTED_VALUE"""),"")</f>
        <v/>
      </c>
      <c r="AD1182" s="11" t="str">
        <f ca="1">IFERROR(__xludf.DUMMYFUNCTION("""COMPUTED_VALUE"""),"")</f>
        <v/>
      </c>
      <c r="AE1182" t="str">
        <f ca="1">IFERROR(__xludf.DUMMYFUNCTION("""COMPUTED_VALUE"""),"")</f>
        <v/>
      </c>
    </row>
    <row r="1183" spans="1:31" ht="12.75" x14ac:dyDescent="0.2">
      <c r="A1183" t="str">
        <f ca="1">IFERROR(__xludf.DUMMYFUNCTION("""COMPUTED_VALUE"""),"")</f>
        <v/>
      </c>
      <c r="B1183" t="str">
        <f ca="1">IFERROR(__xludf.DUMMYFUNCTION("""COMPUTED_VALUE"""),"")</f>
        <v/>
      </c>
      <c r="C1183" t="str">
        <f ca="1">IFERROR(__xludf.DUMMYFUNCTION("""COMPUTED_VALUE"""),"")</f>
        <v/>
      </c>
      <c r="D1183" t="str">
        <f ca="1">IFERROR(__xludf.DUMMYFUNCTION("""COMPUTED_VALUE"""),"")</f>
        <v/>
      </c>
      <c r="E1183" t="str">
        <f ca="1">IFERROR(__xludf.DUMMYFUNCTION("""COMPUTED_VALUE"""),"")</f>
        <v/>
      </c>
      <c r="F1183" t="str">
        <f ca="1">IFERROR(__xludf.DUMMYFUNCTION("""COMPUTED_VALUE"""),"")</f>
        <v/>
      </c>
      <c r="G1183" t="str">
        <f ca="1">IFERROR(__xludf.DUMMYFUNCTION("""COMPUTED_VALUE"""),"")</f>
        <v/>
      </c>
      <c r="H1183" t="str">
        <f ca="1">IFERROR(__xludf.DUMMYFUNCTION("""COMPUTED_VALUE"""),"")</f>
        <v/>
      </c>
      <c r="I1183" t="str">
        <f ca="1">IFERROR(__xludf.DUMMYFUNCTION("""COMPUTED_VALUE"""),"")</f>
        <v/>
      </c>
      <c r="J1183" t="str">
        <f ca="1">IFERROR(__xludf.DUMMYFUNCTION("""COMPUTED_VALUE"""),"")</f>
        <v/>
      </c>
      <c r="K1183" t="str">
        <f ca="1">IFERROR(__xludf.DUMMYFUNCTION("""COMPUTED_VALUE"""),"")</f>
        <v/>
      </c>
      <c r="L1183" t="str">
        <f ca="1">IFERROR(__xludf.DUMMYFUNCTION("""COMPUTED_VALUE"""),"")</f>
        <v/>
      </c>
      <c r="M1183" t="str">
        <f ca="1">IFERROR(__xludf.DUMMYFUNCTION("""COMPUTED_VALUE"""),"")</f>
        <v/>
      </c>
      <c r="N1183" t="str">
        <f ca="1">IFERROR(__xludf.DUMMYFUNCTION("""COMPUTED_VALUE"""),"")</f>
        <v/>
      </c>
      <c r="O1183" t="str">
        <f ca="1">IFERROR(__xludf.DUMMYFUNCTION("""COMPUTED_VALUE"""),"")</f>
        <v/>
      </c>
      <c r="P1183" t="str">
        <f ca="1">IFERROR(__xludf.DUMMYFUNCTION("""COMPUTED_VALUE"""),"")</f>
        <v/>
      </c>
      <c r="Q1183" s="5" t="str">
        <f ca="1">IFERROR(__xludf.DUMMYFUNCTION("""COMPUTED_VALUE"""),"")</f>
        <v/>
      </c>
      <c r="R1183" s="6" t="str">
        <f ca="1">IFERROR(__xludf.DUMMYFUNCTION("""COMPUTED_VALUE"""),"")</f>
        <v/>
      </c>
      <c r="S1183" t="str">
        <f ca="1">IFERROR(__xludf.DUMMYFUNCTION("""COMPUTED_VALUE"""),"")</f>
        <v/>
      </c>
      <c r="T1183" t="str">
        <f ca="1">IFERROR(__xludf.DUMMYFUNCTION("""COMPUTED_VALUE"""),"")</f>
        <v/>
      </c>
      <c r="U1183" t="str">
        <f ca="1">IFERROR(__xludf.DUMMYFUNCTION("""COMPUTED_VALUE"""),"")</f>
        <v/>
      </c>
      <c r="V1183" t="str">
        <f ca="1">IFERROR(__xludf.DUMMYFUNCTION("""COMPUTED_VALUE"""),"")</f>
        <v/>
      </c>
      <c r="W1183" t="str">
        <f ca="1">IFERROR(__xludf.DUMMYFUNCTION("""COMPUTED_VALUE"""),"")</f>
        <v/>
      </c>
      <c r="X1183" t="str">
        <f ca="1">IFERROR(__xludf.DUMMYFUNCTION("""COMPUTED_VALUE"""),"")</f>
        <v/>
      </c>
      <c r="Y1183" t="str">
        <f ca="1">IFERROR(__xludf.DUMMYFUNCTION("""COMPUTED_VALUE"""),"")</f>
        <v/>
      </c>
      <c r="Z1183" t="str">
        <f ca="1">IFERROR(__xludf.DUMMYFUNCTION("""COMPUTED_VALUE"""),"")</f>
        <v/>
      </c>
      <c r="AA1183" t="str">
        <f ca="1">IFERROR(__xludf.DUMMYFUNCTION("""COMPUTED_VALUE"""),"")</f>
        <v/>
      </c>
      <c r="AB1183" s="8" t="str">
        <f ca="1">IFERROR(__xludf.DUMMYFUNCTION("""COMPUTED_VALUE"""),"")</f>
        <v/>
      </c>
      <c r="AC1183" s="8" t="str">
        <f ca="1">IFERROR(__xludf.DUMMYFUNCTION("""COMPUTED_VALUE"""),"")</f>
        <v/>
      </c>
      <c r="AD1183" s="11" t="str">
        <f ca="1">IFERROR(__xludf.DUMMYFUNCTION("""COMPUTED_VALUE"""),"")</f>
        <v/>
      </c>
      <c r="AE1183" t="str">
        <f ca="1">IFERROR(__xludf.DUMMYFUNCTION("""COMPUTED_VALUE"""),"")</f>
        <v/>
      </c>
    </row>
    <row r="1184" spans="1:31" ht="12.75" x14ac:dyDescent="0.2">
      <c r="A1184" t="str">
        <f ca="1">IFERROR(__xludf.DUMMYFUNCTION("""COMPUTED_VALUE"""),"")</f>
        <v/>
      </c>
      <c r="B1184" t="str">
        <f ca="1">IFERROR(__xludf.DUMMYFUNCTION("""COMPUTED_VALUE"""),"")</f>
        <v/>
      </c>
      <c r="C1184" t="str">
        <f ca="1">IFERROR(__xludf.DUMMYFUNCTION("""COMPUTED_VALUE"""),"")</f>
        <v/>
      </c>
      <c r="D1184" t="str">
        <f ca="1">IFERROR(__xludf.DUMMYFUNCTION("""COMPUTED_VALUE"""),"")</f>
        <v/>
      </c>
      <c r="E1184" t="str">
        <f ca="1">IFERROR(__xludf.DUMMYFUNCTION("""COMPUTED_VALUE"""),"")</f>
        <v/>
      </c>
      <c r="F1184" t="str">
        <f ca="1">IFERROR(__xludf.DUMMYFUNCTION("""COMPUTED_VALUE"""),"")</f>
        <v/>
      </c>
      <c r="G1184" t="str">
        <f ca="1">IFERROR(__xludf.DUMMYFUNCTION("""COMPUTED_VALUE"""),"")</f>
        <v/>
      </c>
      <c r="H1184" t="str">
        <f ca="1">IFERROR(__xludf.DUMMYFUNCTION("""COMPUTED_VALUE"""),"")</f>
        <v/>
      </c>
      <c r="I1184" t="str">
        <f ca="1">IFERROR(__xludf.DUMMYFUNCTION("""COMPUTED_VALUE"""),"")</f>
        <v/>
      </c>
      <c r="J1184" t="str">
        <f ca="1">IFERROR(__xludf.DUMMYFUNCTION("""COMPUTED_VALUE"""),"")</f>
        <v/>
      </c>
      <c r="K1184" t="str">
        <f ca="1">IFERROR(__xludf.DUMMYFUNCTION("""COMPUTED_VALUE"""),"")</f>
        <v/>
      </c>
      <c r="L1184" t="str">
        <f ca="1">IFERROR(__xludf.DUMMYFUNCTION("""COMPUTED_VALUE"""),"")</f>
        <v/>
      </c>
      <c r="M1184" t="str">
        <f ca="1">IFERROR(__xludf.DUMMYFUNCTION("""COMPUTED_VALUE"""),"")</f>
        <v/>
      </c>
      <c r="N1184" t="str">
        <f ca="1">IFERROR(__xludf.DUMMYFUNCTION("""COMPUTED_VALUE"""),"")</f>
        <v/>
      </c>
      <c r="O1184" t="str">
        <f ca="1">IFERROR(__xludf.DUMMYFUNCTION("""COMPUTED_VALUE"""),"")</f>
        <v/>
      </c>
      <c r="P1184" t="str">
        <f ca="1">IFERROR(__xludf.DUMMYFUNCTION("""COMPUTED_VALUE"""),"")</f>
        <v/>
      </c>
      <c r="Q1184" s="5" t="str">
        <f ca="1">IFERROR(__xludf.DUMMYFUNCTION("""COMPUTED_VALUE"""),"")</f>
        <v/>
      </c>
      <c r="R1184" s="6" t="str">
        <f ca="1">IFERROR(__xludf.DUMMYFUNCTION("""COMPUTED_VALUE"""),"")</f>
        <v/>
      </c>
      <c r="S1184" t="str">
        <f ca="1">IFERROR(__xludf.DUMMYFUNCTION("""COMPUTED_VALUE"""),"")</f>
        <v/>
      </c>
      <c r="T1184" t="str">
        <f ca="1">IFERROR(__xludf.DUMMYFUNCTION("""COMPUTED_VALUE"""),"")</f>
        <v/>
      </c>
      <c r="U1184" t="str">
        <f ca="1">IFERROR(__xludf.DUMMYFUNCTION("""COMPUTED_VALUE"""),"")</f>
        <v/>
      </c>
      <c r="V1184" t="str">
        <f ca="1">IFERROR(__xludf.DUMMYFUNCTION("""COMPUTED_VALUE"""),"")</f>
        <v/>
      </c>
      <c r="W1184" t="str">
        <f ca="1">IFERROR(__xludf.DUMMYFUNCTION("""COMPUTED_VALUE"""),"")</f>
        <v/>
      </c>
      <c r="X1184" t="str">
        <f ca="1">IFERROR(__xludf.DUMMYFUNCTION("""COMPUTED_VALUE"""),"")</f>
        <v/>
      </c>
      <c r="Y1184" t="str">
        <f ca="1">IFERROR(__xludf.DUMMYFUNCTION("""COMPUTED_VALUE"""),"")</f>
        <v/>
      </c>
      <c r="Z1184" t="str">
        <f ca="1">IFERROR(__xludf.DUMMYFUNCTION("""COMPUTED_VALUE"""),"")</f>
        <v/>
      </c>
      <c r="AA1184" t="str">
        <f ca="1">IFERROR(__xludf.DUMMYFUNCTION("""COMPUTED_VALUE"""),"")</f>
        <v/>
      </c>
      <c r="AB1184" s="8" t="str">
        <f ca="1">IFERROR(__xludf.DUMMYFUNCTION("""COMPUTED_VALUE"""),"")</f>
        <v/>
      </c>
      <c r="AC1184" s="8" t="str">
        <f ca="1">IFERROR(__xludf.DUMMYFUNCTION("""COMPUTED_VALUE"""),"")</f>
        <v/>
      </c>
      <c r="AD1184" s="11" t="str">
        <f ca="1">IFERROR(__xludf.DUMMYFUNCTION("""COMPUTED_VALUE"""),"")</f>
        <v/>
      </c>
      <c r="AE1184" t="str">
        <f ca="1">IFERROR(__xludf.DUMMYFUNCTION("""COMPUTED_VALUE"""),"")</f>
        <v/>
      </c>
    </row>
    <row r="1185" spans="1:31" ht="12.75" x14ac:dyDescent="0.2">
      <c r="A1185" t="str">
        <f ca="1">IFERROR(__xludf.DUMMYFUNCTION("""COMPUTED_VALUE"""),"")</f>
        <v/>
      </c>
      <c r="B1185" t="str">
        <f ca="1">IFERROR(__xludf.DUMMYFUNCTION("""COMPUTED_VALUE"""),"")</f>
        <v/>
      </c>
      <c r="C1185" t="str">
        <f ca="1">IFERROR(__xludf.DUMMYFUNCTION("""COMPUTED_VALUE"""),"")</f>
        <v/>
      </c>
      <c r="D1185" t="str">
        <f ca="1">IFERROR(__xludf.DUMMYFUNCTION("""COMPUTED_VALUE"""),"")</f>
        <v/>
      </c>
      <c r="E1185" t="str">
        <f ca="1">IFERROR(__xludf.DUMMYFUNCTION("""COMPUTED_VALUE"""),"")</f>
        <v/>
      </c>
      <c r="F1185" t="str">
        <f ca="1">IFERROR(__xludf.DUMMYFUNCTION("""COMPUTED_VALUE"""),"")</f>
        <v/>
      </c>
      <c r="G1185" t="str">
        <f ca="1">IFERROR(__xludf.DUMMYFUNCTION("""COMPUTED_VALUE"""),"")</f>
        <v/>
      </c>
      <c r="H1185" t="str">
        <f ca="1">IFERROR(__xludf.DUMMYFUNCTION("""COMPUTED_VALUE"""),"")</f>
        <v/>
      </c>
      <c r="I1185" t="str">
        <f ca="1">IFERROR(__xludf.DUMMYFUNCTION("""COMPUTED_VALUE"""),"")</f>
        <v/>
      </c>
      <c r="J1185" t="str">
        <f ca="1">IFERROR(__xludf.DUMMYFUNCTION("""COMPUTED_VALUE"""),"")</f>
        <v/>
      </c>
      <c r="K1185" t="str">
        <f ca="1">IFERROR(__xludf.DUMMYFUNCTION("""COMPUTED_VALUE"""),"")</f>
        <v/>
      </c>
      <c r="L1185" t="str">
        <f ca="1">IFERROR(__xludf.DUMMYFUNCTION("""COMPUTED_VALUE"""),"")</f>
        <v/>
      </c>
      <c r="M1185" t="str">
        <f ca="1">IFERROR(__xludf.DUMMYFUNCTION("""COMPUTED_VALUE"""),"")</f>
        <v/>
      </c>
      <c r="N1185" t="str">
        <f ca="1">IFERROR(__xludf.DUMMYFUNCTION("""COMPUTED_VALUE"""),"")</f>
        <v/>
      </c>
      <c r="O1185" t="str">
        <f ca="1">IFERROR(__xludf.DUMMYFUNCTION("""COMPUTED_VALUE"""),"")</f>
        <v/>
      </c>
      <c r="P1185" t="str">
        <f ca="1">IFERROR(__xludf.DUMMYFUNCTION("""COMPUTED_VALUE"""),"")</f>
        <v/>
      </c>
      <c r="Q1185" s="5" t="str">
        <f ca="1">IFERROR(__xludf.DUMMYFUNCTION("""COMPUTED_VALUE"""),"")</f>
        <v/>
      </c>
      <c r="R1185" s="6" t="str">
        <f ca="1">IFERROR(__xludf.DUMMYFUNCTION("""COMPUTED_VALUE"""),"")</f>
        <v/>
      </c>
      <c r="S1185" t="str">
        <f ca="1">IFERROR(__xludf.DUMMYFUNCTION("""COMPUTED_VALUE"""),"")</f>
        <v/>
      </c>
      <c r="T1185" t="str">
        <f ca="1">IFERROR(__xludf.DUMMYFUNCTION("""COMPUTED_VALUE"""),"")</f>
        <v/>
      </c>
      <c r="U1185" t="str">
        <f ca="1">IFERROR(__xludf.DUMMYFUNCTION("""COMPUTED_VALUE"""),"")</f>
        <v/>
      </c>
      <c r="V1185" t="str">
        <f ca="1">IFERROR(__xludf.DUMMYFUNCTION("""COMPUTED_VALUE"""),"")</f>
        <v/>
      </c>
      <c r="W1185" t="str">
        <f ca="1">IFERROR(__xludf.DUMMYFUNCTION("""COMPUTED_VALUE"""),"")</f>
        <v/>
      </c>
      <c r="X1185" t="str">
        <f ca="1">IFERROR(__xludf.DUMMYFUNCTION("""COMPUTED_VALUE"""),"")</f>
        <v/>
      </c>
      <c r="Y1185" t="str">
        <f ca="1">IFERROR(__xludf.DUMMYFUNCTION("""COMPUTED_VALUE"""),"")</f>
        <v/>
      </c>
      <c r="Z1185" t="str">
        <f ca="1">IFERROR(__xludf.DUMMYFUNCTION("""COMPUTED_VALUE"""),"")</f>
        <v/>
      </c>
      <c r="AA1185" t="str">
        <f ca="1">IFERROR(__xludf.DUMMYFUNCTION("""COMPUTED_VALUE"""),"")</f>
        <v/>
      </c>
      <c r="AB1185" s="8" t="str">
        <f ca="1">IFERROR(__xludf.DUMMYFUNCTION("""COMPUTED_VALUE"""),"")</f>
        <v/>
      </c>
      <c r="AC1185" s="8" t="str">
        <f ca="1">IFERROR(__xludf.DUMMYFUNCTION("""COMPUTED_VALUE"""),"")</f>
        <v/>
      </c>
      <c r="AD1185" s="11" t="str">
        <f ca="1">IFERROR(__xludf.DUMMYFUNCTION("""COMPUTED_VALUE"""),"")</f>
        <v/>
      </c>
      <c r="AE1185" t="str">
        <f ca="1">IFERROR(__xludf.DUMMYFUNCTION("""COMPUTED_VALUE"""),"")</f>
        <v/>
      </c>
    </row>
    <row r="1186" spans="1:31" ht="12.75" x14ac:dyDescent="0.2">
      <c r="A1186" t="str">
        <f ca="1">IFERROR(__xludf.DUMMYFUNCTION("""COMPUTED_VALUE"""),"")</f>
        <v/>
      </c>
      <c r="B1186" t="str">
        <f ca="1">IFERROR(__xludf.DUMMYFUNCTION("""COMPUTED_VALUE"""),"")</f>
        <v/>
      </c>
      <c r="C1186" t="str">
        <f ca="1">IFERROR(__xludf.DUMMYFUNCTION("""COMPUTED_VALUE"""),"")</f>
        <v/>
      </c>
      <c r="D1186" t="str">
        <f ca="1">IFERROR(__xludf.DUMMYFUNCTION("""COMPUTED_VALUE"""),"")</f>
        <v/>
      </c>
      <c r="E1186" t="str">
        <f ca="1">IFERROR(__xludf.DUMMYFUNCTION("""COMPUTED_VALUE"""),"")</f>
        <v/>
      </c>
      <c r="F1186" t="str">
        <f ca="1">IFERROR(__xludf.DUMMYFUNCTION("""COMPUTED_VALUE"""),"")</f>
        <v/>
      </c>
      <c r="G1186" t="str">
        <f ca="1">IFERROR(__xludf.DUMMYFUNCTION("""COMPUTED_VALUE"""),"")</f>
        <v/>
      </c>
      <c r="H1186" t="str">
        <f ca="1">IFERROR(__xludf.DUMMYFUNCTION("""COMPUTED_VALUE"""),"")</f>
        <v/>
      </c>
      <c r="I1186" t="str">
        <f ca="1">IFERROR(__xludf.DUMMYFUNCTION("""COMPUTED_VALUE"""),"")</f>
        <v/>
      </c>
      <c r="J1186" t="str">
        <f ca="1">IFERROR(__xludf.DUMMYFUNCTION("""COMPUTED_VALUE"""),"")</f>
        <v/>
      </c>
      <c r="K1186" t="str">
        <f ca="1">IFERROR(__xludf.DUMMYFUNCTION("""COMPUTED_VALUE"""),"")</f>
        <v/>
      </c>
      <c r="L1186" t="str">
        <f ca="1">IFERROR(__xludf.DUMMYFUNCTION("""COMPUTED_VALUE"""),"")</f>
        <v/>
      </c>
      <c r="M1186" t="str">
        <f ca="1">IFERROR(__xludf.DUMMYFUNCTION("""COMPUTED_VALUE"""),"")</f>
        <v/>
      </c>
      <c r="N1186" t="str">
        <f ca="1">IFERROR(__xludf.DUMMYFUNCTION("""COMPUTED_VALUE"""),"")</f>
        <v/>
      </c>
      <c r="O1186" t="str">
        <f ca="1">IFERROR(__xludf.DUMMYFUNCTION("""COMPUTED_VALUE"""),"")</f>
        <v/>
      </c>
      <c r="P1186" t="str">
        <f ca="1">IFERROR(__xludf.DUMMYFUNCTION("""COMPUTED_VALUE"""),"")</f>
        <v/>
      </c>
      <c r="Q1186" s="5" t="str">
        <f ca="1">IFERROR(__xludf.DUMMYFUNCTION("""COMPUTED_VALUE"""),"")</f>
        <v/>
      </c>
      <c r="R1186" s="6" t="str">
        <f ca="1">IFERROR(__xludf.DUMMYFUNCTION("""COMPUTED_VALUE"""),"")</f>
        <v/>
      </c>
      <c r="S1186" t="str">
        <f ca="1">IFERROR(__xludf.DUMMYFUNCTION("""COMPUTED_VALUE"""),"")</f>
        <v/>
      </c>
      <c r="T1186" t="str">
        <f ca="1">IFERROR(__xludf.DUMMYFUNCTION("""COMPUTED_VALUE"""),"")</f>
        <v/>
      </c>
      <c r="U1186" t="str">
        <f ca="1">IFERROR(__xludf.DUMMYFUNCTION("""COMPUTED_VALUE"""),"")</f>
        <v/>
      </c>
      <c r="V1186" t="str">
        <f ca="1">IFERROR(__xludf.DUMMYFUNCTION("""COMPUTED_VALUE"""),"")</f>
        <v/>
      </c>
      <c r="W1186" t="str">
        <f ca="1">IFERROR(__xludf.DUMMYFUNCTION("""COMPUTED_VALUE"""),"")</f>
        <v/>
      </c>
      <c r="X1186" t="str">
        <f ca="1">IFERROR(__xludf.DUMMYFUNCTION("""COMPUTED_VALUE"""),"")</f>
        <v/>
      </c>
      <c r="Y1186" t="str">
        <f ca="1">IFERROR(__xludf.DUMMYFUNCTION("""COMPUTED_VALUE"""),"")</f>
        <v/>
      </c>
      <c r="Z1186" t="str">
        <f ca="1">IFERROR(__xludf.DUMMYFUNCTION("""COMPUTED_VALUE"""),"")</f>
        <v/>
      </c>
      <c r="AA1186" t="str">
        <f ca="1">IFERROR(__xludf.DUMMYFUNCTION("""COMPUTED_VALUE"""),"")</f>
        <v/>
      </c>
      <c r="AB1186" s="8" t="str">
        <f ca="1">IFERROR(__xludf.DUMMYFUNCTION("""COMPUTED_VALUE"""),"")</f>
        <v/>
      </c>
      <c r="AC1186" s="8" t="str">
        <f ca="1">IFERROR(__xludf.DUMMYFUNCTION("""COMPUTED_VALUE"""),"")</f>
        <v/>
      </c>
      <c r="AD1186" s="11" t="str">
        <f ca="1">IFERROR(__xludf.DUMMYFUNCTION("""COMPUTED_VALUE"""),"")</f>
        <v/>
      </c>
      <c r="AE1186" t="str">
        <f ca="1">IFERROR(__xludf.DUMMYFUNCTION("""COMPUTED_VALUE"""),"")</f>
        <v/>
      </c>
    </row>
    <row r="1187" spans="1:31" ht="12.75" x14ac:dyDescent="0.2">
      <c r="A1187" t="str">
        <f ca="1">IFERROR(__xludf.DUMMYFUNCTION("""COMPUTED_VALUE"""),"")</f>
        <v/>
      </c>
      <c r="B1187" t="str">
        <f ca="1">IFERROR(__xludf.DUMMYFUNCTION("""COMPUTED_VALUE"""),"")</f>
        <v/>
      </c>
      <c r="C1187" t="str">
        <f ca="1">IFERROR(__xludf.DUMMYFUNCTION("""COMPUTED_VALUE"""),"")</f>
        <v/>
      </c>
      <c r="D1187" t="str">
        <f ca="1">IFERROR(__xludf.DUMMYFUNCTION("""COMPUTED_VALUE"""),"")</f>
        <v/>
      </c>
      <c r="E1187" t="str">
        <f ca="1">IFERROR(__xludf.DUMMYFUNCTION("""COMPUTED_VALUE"""),"")</f>
        <v/>
      </c>
      <c r="F1187" t="str">
        <f ca="1">IFERROR(__xludf.DUMMYFUNCTION("""COMPUTED_VALUE"""),"")</f>
        <v/>
      </c>
      <c r="G1187" t="str">
        <f ca="1">IFERROR(__xludf.DUMMYFUNCTION("""COMPUTED_VALUE"""),"")</f>
        <v/>
      </c>
      <c r="H1187" t="str">
        <f ca="1">IFERROR(__xludf.DUMMYFUNCTION("""COMPUTED_VALUE"""),"")</f>
        <v/>
      </c>
      <c r="I1187" t="str">
        <f ca="1">IFERROR(__xludf.DUMMYFUNCTION("""COMPUTED_VALUE"""),"")</f>
        <v/>
      </c>
      <c r="J1187" t="str">
        <f ca="1">IFERROR(__xludf.DUMMYFUNCTION("""COMPUTED_VALUE"""),"")</f>
        <v/>
      </c>
      <c r="K1187" t="str">
        <f ca="1">IFERROR(__xludf.DUMMYFUNCTION("""COMPUTED_VALUE"""),"")</f>
        <v/>
      </c>
      <c r="L1187" t="str">
        <f ca="1">IFERROR(__xludf.DUMMYFUNCTION("""COMPUTED_VALUE"""),"")</f>
        <v/>
      </c>
      <c r="M1187" t="str">
        <f ca="1">IFERROR(__xludf.DUMMYFUNCTION("""COMPUTED_VALUE"""),"")</f>
        <v/>
      </c>
      <c r="N1187" t="str">
        <f ca="1">IFERROR(__xludf.DUMMYFUNCTION("""COMPUTED_VALUE"""),"")</f>
        <v/>
      </c>
      <c r="O1187" t="str">
        <f ca="1">IFERROR(__xludf.DUMMYFUNCTION("""COMPUTED_VALUE"""),"")</f>
        <v/>
      </c>
      <c r="P1187" t="str">
        <f ca="1">IFERROR(__xludf.DUMMYFUNCTION("""COMPUTED_VALUE"""),"")</f>
        <v/>
      </c>
      <c r="Q1187" s="5" t="str">
        <f ca="1">IFERROR(__xludf.DUMMYFUNCTION("""COMPUTED_VALUE"""),"")</f>
        <v/>
      </c>
      <c r="R1187" s="6" t="str">
        <f ca="1">IFERROR(__xludf.DUMMYFUNCTION("""COMPUTED_VALUE"""),"")</f>
        <v/>
      </c>
      <c r="S1187" t="str">
        <f ca="1">IFERROR(__xludf.DUMMYFUNCTION("""COMPUTED_VALUE"""),"")</f>
        <v/>
      </c>
      <c r="T1187" t="str">
        <f ca="1">IFERROR(__xludf.DUMMYFUNCTION("""COMPUTED_VALUE"""),"")</f>
        <v/>
      </c>
      <c r="U1187" t="str">
        <f ca="1">IFERROR(__xludf.DUMMYFUNCTION("""COMPUTED_VALUE"""),"")</f>
        <v/>
      </c>
      <c r="V1187" t="str">
        <f ca="1">IFERROR(__xludf.DUMMYFUNCTION("""COMPUTED_VALUE"""),"")</f>
        <v/>
      </c>
      <c r="W1187" t="str">
        <f ca="1">IFERROR(__xludf.DUMMYFUNCTION("""COMPUTED_VALUE"""),"")</f>
        <v/>
      </c>
      <c r="X1187" t="str">
        <f ca="1">IFERROR(__xludf.DUMMYFUNCTION("""COMPUTED_VALUE"""),"")</f>
        <v/>
      </c>
      <c r="Y1187" t="str">
        <f ca="1">IFERROR(__xludf.DUMMYFUNCTION("""COMPUTED_VALUE"""),"")</f>
        <v/>
      </c>
      <c r="Z1187" t="str">
        <f ca="1">IFERROR(__xludf.DUMMYFUNCTION("""COMPUTED_VALUE"""),"")</f>
        <v/>
      </c>
      <c r="AA1187" t="str">
        <f ca="1">IFERROR(__xludf.DUMMYFUNCTION("""COMPUTED_VALUE"""),"")</f>
        <v/>
      </c>
      <c r="AB1187" s="8" t="str">
        <f ca="1">IFERROR(__xludf.DUMMYFUNCTION("""COMPUTED_VALUE"""),"")</f>
        <v/>
      </c>
      <c r="AC1187" s="8" t="str">
        <f ca="1">IFERROR(__xludf.DUMMYFUNCTION("""COMPUTED_VALUE"""),"")</f>
        <v/>
      </c>
      <c r="AD1187" s="11" t="str">
        <f ca="1">IFERROR(__xludf.DUMMYFUNCTION("""COMPUTED_VALUE"""),"")</f>
        <v/>
      </c>
      <c r="AE1187" t="str">
        <f ca="1">IFERROR(__xludf.DUMMYFUNCTION("""COMPUTED_VALUE"""),"")</f>
        <v/>
      </c>
    </row>
    <row r="1188" spans="1:31" ht="12.75" x14ac:dyDescent="0.2">
      <c r="A1188" t="str">
        <f ca="1">IFERROR(__xludf.DUMMYFUNCTION("""COMPUTED_VALUE"""),"")</f>
        <v/>
      </c>
      <c r="B1188" t="str">
        <f ca="1">IFERROR(__xludf.DUMMYFUNCTION("""COMPUTED_VALUE"""),"")</f>
        <v/>
      </c>
      <c r="C1188" t="str">
        <f ca="1">IFERROR(__xludf.DUMMYFUNCTION("""COMPUTED_VALUE"""),"")</f>
        <v/>
      </c>
      <c r="D1188" t="str">
        <f ca="1">IFERROR(__xludf.DUMMYFUNCTION("""COMPUTED_VALUE"""),"")</f>
        <v/>
      </c>
      <c r="E1188" t="str">
        <f ca="1">IFERROR(__xludf.DUMMYFUNCTION("""COMPUTED_VALUE"""),"")</f>
        <v/>
      </c>
      <c r="F1188" t="str">
        <f ca="1">IFERROR(__xludf.DUMMYFUNCTION("""COMPUTED_VALUE"""),"")</f>
        <v/>
      </c>
      <c r="G1188" t="str">
        <f ca="1">IFERROR(__xludf.DUMMYFUNCTION("""COMPUTED_VALUE"""),"")</f>
        <v/>
      </c>
      <c r="H1188" t="str">
        <f ca="1">IFERROR(__xludf.DUMMYFUNCTION("""COMPUTED_VALUE"""),"")</f>
        <v/>
      </c>
      <c r="I1188" t="str">
        <f ca="1">IFERROR(__xludf.DUMMYFUNCTION("""COMPUTED_VALUE"""),"")</f>
        <v/>
      </c>
      <c r="J1188" t="str">
        <f ca="1">IFERROR(__xludf.DUMMYFUNCTION("""COMPUTED_VALUE"""),"")</f>
        <v/>
      </c>
      <c r="K1188" t="str">
        <f ca="1">IFERROR(__xludf.DUMMYFUNCTION("""COMPUTED_VALUE"""),"")</f>
        <v/>
      </c>
      <c r="L1188" t="str">
        <f ca="1">IFERROR(__xludf.DUMMYFUNCTION("""COMPUTED_VALUE"""),"")</f>
        <v/>
      </c>
      <c r="M1188" t="str">
        <f ca="1">IFERROR(__xludf.DUMMYFUNCTION("""COMPUTED_VALUE"""),"")</f>
        <v/>
      </c>
      <c r="N1188" t="str">
        <f ca="1">IFERROR(__xludf.DUMMYFUNCTION("""COMPUTED_VALUE"""),"")</f>
        <v/>
      </c>
      <c r="O1188" t="str">
        <f ca="1">IFERROR(__xludf.DUMMYFUNCTION("""COMPUTED_VALUE"""),"")</f>
        <v/>
      </c>
      <c r="P1188" t="str">
        <f ca="1">IFERROR(__xludf.DUMMYFUNCTION("""COMPUTED_VALUE"""),"")</f>
        <v/>
      </c>
      <c r="Q1188" s="5" t="str">
        <f ca="1">IFERROR(__xludf.DUMMYFUNCTION("""COMPUTED_VALUE"""),"")</f>
        <v/>
      </c>
      <c r="R1188" s="6" t="str">
        <f ca="1">IFERROR(__xludf.DUMMYFUNCTION("""COMPUTED_VALUE"""),"")</f>
        <v/>
      </c>
      <c r="S1188" t="str">
        <f ca="1">IFERROR(__xludf.DUMMYFUNCTION("""COMPUTED_VALUE"""),"")</f>
        <v/>
      </c>
      <c r="T1188" t="str">
        <f ca="1">IFERROR(__xludf.DUMMYFUNCTION("""COMPUTED_VALUE"""),"")</f>
        <v/>
      </c>
      <c r="U1188" t="str">
        <f ca="1">IFERROR(__xludf.DUMMYFUNCTION("""COMPUTED_VALUE"""),"")</f>
        <v/>
      </c>
      <c r="V1188" t="str">
        <f ca="1">IFERROR(__xludf.DUMMYFUNCTION("""COMPUTED_VALUE"""),"")</f>
        <v/>
      </c>
      <c r="W1188" t="str">
        <f ca="1">IFERROR(__xludf.DUMMYFUNCTION("""COMPUTED_VALUE"""),"")</f>
        <v/>
      </c>
      <c r="X1188" t="str">
        <f ca="1">IFERROR(__xludf.DUMMYFUNCTION("""COMPUTED_VALUE"""),"")</f>
        <v/>
      </c>
      <c r="Y1188" t="str">
        <f ca="1">IFERROR(__xludf.DUMMYFUNCTION("""COMPUTED_VALUE"""),"")</f>
        <v/>
      </c>
      <c r="Z1188" t="str">
        <f ca="1">IFERROR(__xludf.DUMMYFUNCTION("""COMPUTED_VALUE"""),"")</f>
        <v/>
      </c>
      <c r="AA1188" t="str">
        <f ca="1">IFERROR(__xludf.DUMMYFUNCTION("""COMPUTED_VALUE"""),"")</f>
        <v/>
      </c>
      <c r="AB1188" s="8" t="str">
        <f ca="1">IFERROR(__xludf.DUMMYFUNCTION("""COMPUTED_VALUE"""),"")</f>
        <v/>
      </c>
      <c r="AC1188" s="8" t="str">
        <f ca="1">IFERROR(__xludf.DUMMYFUNCTION("""COMPUTED_VALUE"""),"")</f>
        <v/>
      </c>
      <c r="AD1188" s="11" t="str">
        <f ca="1">IFERROR(__xludf.DUMMYFUNCTION("""COMPUTED_VALUE"""),"")</f>
        <v/>
      </c>
      <c r="AE1188" t="str">
        <f ca="1">IFERROR(__xludf.DUMMYFUNCTION("""COMPUTED_VALUE"""),"")</f>
        <v/>
      </c>
    </row>
    <row r="1189" spans="1:31" ht="12.75" x14ac:dyDescent="0.2">
      <c r="A1189" t="str">
        <f ca="1">IFERROR(__xludf.DUMMYFUNCTION("""COMPUTED_VALUE"""),"")</f>
        <v/>
      </c>
      <c r="B1189" t="str">
        <f ca="1">IFERROR(__xludf.DUMMYFUNCTION("""COMPUTED_VALUE"""),"")</f>
        <v/>
      </c>
      <c r="C1189" t="str">
        <f ca="1">IFERROR(__xludf.DUMMYFUNCTION("""COMPUTED_VALUE"""),"")</f>
        <v/>
      </c>
      <c r="D1189" t="str">
        <f ca="1">IFERROR(__xludf.DUMMYFUNCTION("""COMPUTED_VALUE"""),"")</f>
        <v/>
      </c>
      <c r="E1189" t="str">
        <f ca="1">IFERROR(__xludf.DUMMYFUNCTION("""COMPUTED_VALUE"""),"")</f>
        <v/>
      </c>
      <c r="F1189" t="str">
        <f ca="1">IFERROR(__xludf.DUMMYFUNCTION("""COMPUTED_VALUE"""),"")</f>
        <v/>
      </c>
      <c r="G1189" t="str">
        <f ca="1">IFERROR(__xludf.DUMMYFUNCTION("""COMPUTED_VALUE"""),"")</f>
        <v/>
      </c>
      <c r="H1189" t="str">
        <f ca="1">IFERROR(__xludf.DUMMYFUNCTION("""COMPUTED_VALUE"""),"")</f>
        <v/>
      </c>
      <c r="I1189" t="str">
        <f ca="1">IFERROR(__xludf.DUMMYFUNCTION("""COMPUTED_VALUE"""),"")</f>
        <v/>
      </c>
      <c r="J1189" t="str">
        <f ca="1">IFERROR(__xludf.DUMMYFUNCTION("""COMPUTED_VALUE"""),"")</f>
        <v/>
      </c>
      <c r="K1189" t="str">
        <f ca="1">IFERROR(__xludf.DUMMYFUNCTION("""COMPUTED_VALUE"""),"")</f>
        <v/>
      </c>
      <c r="L1189" t="str">
        <f ca="1">IFERROR(__xludf.DUMMYFUNCTION("""COMPUTED_VALUE"""),"")</f>
        <v/>
      </c>
      <c r="M1189" t="str">
        <f ca="1">IFERROR(__xludf.DUMMYFUNCTION("""COMPUTED_VALUE"""),"")</f>
        <v/>
      </c>
      <c r="N1189" t="str">
        <f ca="1">IFERROR(__xludf.DUMMYFUNCTION("""COMPUTED_VALUE"""),"")</f>
        <v/>
      </c>
      <c r="O1189" t="str">
        <f ca="1">IFERROR(__xludf.DUMMYFUNCTION("""COMPUTED_VALUE"""),"")</f>
        <v/>
      </c>
      <c r="P1189" t="str">
        <f ca="1">IFERROR(__xludf.DUMMYFUNCTION("""COMPUTED_VALUE"""),"")</f>
        <v/>
      </c>
      <c r="Q1189" s="5" t="str">
        <f ca="1">IFERROR(__xludf.DUMMYFUNCTION("""COMPUTED_VALUE"""),"")</f>
        <v/>
      </c>
      <c r="R1189" s="6" t="str">
        <f ca="1">IFERROR(__xludf.DUMMYFUNCTION("""COMPUTED_VALUE"""),"")</f>
        <v/>
      </c>
      <c r="S1189" t="str">
        <f ca="1">IFERROR(__xludf.DUMMYFUNCTION("""COMPUTED_VALUE"""),"")</f>
        <v/>
      </c>
      <c r="T1189" t="str">
        <f ca="1">IFERROR(__xludf.DUMMYFUNCTION("""COMPUTED_VALUE"""),"")</f>
        <v/>
      </c>
      <c r="U1189" t="str">
        <f ca="1">IFERROR(__xludf.DUMMYFUNCTION("""COMPUTED_VALUE"""),"")</f>
        <v/>
      </c>
      <c r="V1189" t="str">
        <f ca="1">IFERROR(__xludf.DUMMYFUNCTION("""COMPUTED_VALUE"""),"")</f>
        <v/>
      </c>
      <c r="W1189" t="str">
        <f ca="1">IFERROR(__xludf.DUMMYFUNCTION("""COMPUTED_VALUE"""),"")</f>
        <v/>
      </c>
      <c r="X1189" t="str">
        <f ca="1">IFERROR(__xludf.DUMMYFUNCTION("""COMPUTED_VALUE"""),"")</f>
        <v/>
      </c>
      <c r="Y1189" t="str">
        <f ca="1">IFERROR(__xludf.DUMMYFUNCTION("""COMPUTED_VALUE"""),"")</f>
        <v/>
      </c>
      <c r="Z1189" t="str">
        <f ca="1">IFERROR(__xludf.DUMMYFUNCTION("""COMPUTED_VALUE"""),"")</f>
        <v/>
      </c>
      <c r="AA1189" t="str">
        <f ca="1">IFERROR(__xludf.DUMMYFUNCTION("""COMPUTED_VALUE"""),"")</f>
        <v/>
      </c>
      <c r="AB1189" s="8" t="str">
        <f ca="1">IFERROR(__xludf.DUMMYFUNCTION("""COMPUTED_VALUE"""),"")</f>
        <v/>
      </c>
      <c r="AC1189" s="8" t="str">
        <f ca="1">IFERROR(__xludf.DUMMYFUNCTION("""COMPUTED_VALUE"""),"")</f>
        <v/>
      </c>
      <c r="AD1189" s="11" t="str">
        <f ca="1">IFERROR(__xludf.DUMMYFUNCTION("""COMPUTED_VALUE"""),"")</f>
        <v/>
      </c>
      <c r="AE1189" t="str">
        <f ca="1">IFERROR(__xludf.DUMMYFUNCTION("""COMPUTED_VALUE"""),"")</f>
        <v/>
      </c>
    </row>
    <row r="1190" spans="1:31" ht="12.75" x14ac:dyDescent="0.2">
      <c r="A1190" t="str">
        <f ca="1">IFERROR(__xludf.DUMMYFUNCTION("""COMPUTED_VALUE"""),"")</f>
        <v/>
      </c>
      <c r="B1190" t="str">
        <f ca="1">IFERROR(__xludf.DUMMYFUNCTION("""COMPUTED_VALUE"""),"")</f>
        <v/>
      </c>
      <c r="C1190" t="str">
        <f ca="1">IFERROR(__xludf.DUMMYFUNCTION("""COMPUTED_VALUE"""),"")</f>
        <v/>
      </c>
      <c r="D1190" t="str">
        <f ca="1">IFERROR(__xludf.DUMMYFUNCTION("""COMPUTED_VALUE"""),"")</f>
        <v/>
      </c>
      <c r="E1190" t="str">
        <f ca="1">IFERROR(__xludf.DUMMYFUNCTION("""COMPUTED_VALUE"""),"")</f>
        <v/>
      </c>
      <c r="F1190" t="str">
        <f ca="1">IFERROR(__xludf.DUMMYFUNCTION("""COMPUTED_VALUE"""),"")</f>
        <v/>
      </c>
      <c r="G1190" t="str">
        <f ca="1">IFERROR(__xludf.DUMMYFUNCTION("""COMPUTED_VALUE"""),"")</f>
        <v/>
      </c>
      <c r="H1190" t="str">
        <f ca="1">IFERROR(__xludf.DUMMYFUNCTION("""COMPUTED_VALUE"""),"")</f>
        <v/>
      </c>
      <c r="I1190" t="str">
        <f ca="1">IFERROR(__xludf.DUMMYFUNCTION("""COMPUTED_VALUE"""),"")</f>
        <v/>
      </c>
      <c r="J1190" t="str">
        <f ca="1">IFERROR(__xludf.DUMMYFUNCTION("""COMPUTED_VALUE"""),"")</f>
        <v/>
      </c>
      <c r="K1190" t="str">
        <f ca="1">IFERROR(__xludf.DUMMYFUNCTION("""COMPUTED_VALUE"""),"")</f>
        <v/>
      </c>
      <c r="L1190" t="str">
        <f ca="1">IFERROR(__xludf.DUMMYFUNCTION("""COMPUTED_VALUE"""),"")</f>
        <v/>
      </c>
      <c r="M1190" t="str">
        <f ca="1">IFERROR(__xludf.DUMMYFUNCTION("""COMPUTED_VALUE"""),"")</f>
        <v/>
      </c>
      <c r="N1190" t="str">
        <f ca="1">IFERROR(__xludf.DUMMYFUNCTION("""COMPUTED_VALUE"""),"")</f>
        <v/>
      </c>
      <c r="O1190" t="str">
        <f ca="1">IFERROR(__xludf.DUMMYFUNCTION("""COMPUTED_VALUE"""),"")</f>
        <v/>
      </c>
      <c r="P1190" t="str">
        <f ca="1">IFERROR(__xludf.DUMMYFUNCTION("""COMPUTED_VALUE"""),"")</f>
        <v/>
      </c>
      <c r="Q1190" s="5" t="str">
        <f ca="1">IFERROR(__xludf.DUMMYFUNCTION("""COMPUTED_VALUE"""),"")</f>
        <v/>
      </c>
      <c r="R1190" s="6" t="str">
        <f ca="1">IFERROR(__xludf.DUMMYFUNCTION("""COMPUTED_VALUE"""),"")</f>
        <v/>
      </c>
      <c r="S1190" t="str">
        <f ca="1">IFERROR(__xludf.DUMMYFUNCTION("""COMPUTED_VALUE"""),"")</f>
        <v/>
      </c>
      <c r="T1190" t="str">
        <f ca="1">IFERROR(__xludf.DUMMYFUNCTION("""COMPUTED_VALUE"""),"")</f>
        <v/>
      </c>
      <c r="U1190" t="str">
        <f ca="1">IFERROR(__xludf.DUMMYFUNCTION("""COMPUTED_VALUE"""),"")</f>
        <v/>
      </c>
      <c r="V1190" t="str">
        <f ca="1">IFERROR(__xludf.DUMMYFUNCTION("""COMPUTED_VALUE"""),"")</f>
        <v/>
      </c>
      <c r="W1190" t="str">
        <f ca="1">IFERROR(__xludf.DUMMYFUNCTION("""COMPUTED_VALUE"""),"")</f>
        <v/>
      </c>
      <c r="X1190" t="str">
        <f ca="1">IFERROR(__xludf.DUMMYFUNCTION("""COMPUTED_VALUE"""),"")</f>
        <v/>
      </c>
      <c r="Y1190" t="str">
        <f ca="1">IFERROR(__xludf.DUMMYFUNCTION("""COMPUTED_VALUE"""),"")</f>
        <v/>
      </c>
      <c r="Z1190" t="str">
        <f ca="1">IFERROR(__xludf.DUMMYFUNCTION("""COMPUTED_VALUE"""),"")</f>
        <v/>
      </c>
      <c r="AA1190" t="str">
        <f ca="1">IFERROR(__xludf.DUMMYFUNCTION("""COMPUTED_VALUE"""),"")</f>
        <v/>
      </c>
      <c r="AB1190" s="8" t="str">
        <f ca="1">IFERROR(__xludf.DUMMYFUNCTION("""COMPUTED_VALUE"""),"")</f>
        <v/>
      </c>
      <c r="AC1190" s="8" t="str">
        <f ca="1">IFERROR(__xludf.DUMMYFUNCTION("""COMPUTED_VALUE"""),"")</f>
        <v/>
      </c>
      <c r="AD1190" s="11" t="str">
        <f ca="1">IFERROR(__xludf.DUMMYFUNCTION("""COMPUTED_VALUE"""),"")</f>
        <v/>
      </c>
      <c r="AE1190" t="str">
        <f ca="1">IFERROR(__xludf.DUMMYFUNCTION("""COMPUTED_VALUE"""),"")</f>
        <v/>
      </c>
    </row>
    <row r="1191" spans="1:31" ht="12.75" x14ac:dyDescent="0.2">
      <c r="A1191" t="str">
        <f ca="1">IFERROR(__xludf.DUMMYFUNCTION("""COMPUTED_VALUE"""),"")</f>
        <v/>
      </c>
      <c r="B1191" t="str">
        <f ca="1">IFERROR(__xludf.DUMMYFUNCTION("""COMPUTED_VALUE"""),"")</f>
        <v/>
      </c>
      <c r="C1191" t="str">
        <f ca="1">IFERROR(__xludf.DUMMYFUNCTION("""COMPUTED_VALUE"""),"")</f>
        <v/>
      </c>
      <c r="D1191" t="str">
        <f ca="1">IFERROR(__xludf.DUMMYFUNCTION("""COMPUTED_VALUE"""),"")</f>
        <v/>
      </c>
      <c r="E1191" t="str">
        <f ca="1">IFERROR(__xludf.DUMMYFUNCTION("""COMPUTED_VALUE"""),"")</f>
        <v/>
      </c>
      <c r="F1191" t="str">
        <f ca="1">IFERROR(__xludf.DUMMYFUNCTION("""COMPUTED_VALUE"""),"")</f>
        <v/>
      </c>
      <c r="G1191" t="str">
        <f ca="1">IFERROR(__xludf.DUMMYFUNCTION("""COMPUTED_VALUE"""),"")</f>
        <v/>
      </c>
      <c r="H1191" t="str">
        <f ca="1">IFERROR(__xludf.DUMMYFUNCTION("""COMPUTED_VALUE"""),"")</f>
        <v/>
      </c>
      <c r="I1191" t="str">
        <f ca="1">IFERROR(__xludf.DUMMYFUNCTION("""COMPUTED_VALUE"""),"")</f>
        <v/>
      </c>
      <c r="J1191" t="str">
        <f ca="1">IFERROR(__xludf.DUMMYFUNCTION("""COMPUTED_VALUE"""),"")</f>
        <v/>
      </c>
      <c r="K1191" t="str">
        <f ca="1">IFERROR(__xludf.DUMMYFUNCTION("""COMPUTED_VALUE"""),"")</f>
        <v/>
      </c>
      <c r="L1191" t="str">
        <f ca="1">IFERROR(__xludf.DUMMYFUNCTION("""COMPUTED_VALUE"""),"")</f>
        <v/>
      </c>
      <c r="M1191" t="str">
        <f ca="1">IFERROR(__xludf.DUMMYFUNCTION("""COMPUTED_VALUE"""),"")</f>
        <v/>
      </c>
      <c r="N1191" t="str">
        <f ca="1">IFERROR(__xludf.DUMMYFUNCTION("""COMPUTED_VALUE"""),"")</f>
        <v/>
      </c>
      <c r="O1191" t="str">
        <f ca="1">IFERROR(__xludf.DUMMYFUNCTION("""COMPUTED_VALUE"""),"")</f>
        <v/>
      </c>
      <c r="P1191" t="str">
        <f ca="1">IFERROR(__xludf.DUMMYFUNCTION("""COMPUTED_VALUE"""),"")</f>
        <v/>
      </c>
      <c r="Q1191" s="5" t="str">
        <f ca="1">IFERROR(__xludf.DUMMYFUNCTION("""COMPUTED_VALUE"""),"")</f>
        <v/>
      </c>
      <c r="R1191" s="6" t="str">
        <f ca="1">IFERROR(__xludf.DUMMYFUNCTION("""COMPUTED_VALUE"""),"")</f>
        <v/>
      </c>
      <c r="S1191" t="str">
        <f ca="1">IFERROR(__xludf.DUMMYFUNCTION("""COMPUTED_VALUE"""),"")</f>
        <v/>
      </c>
      <c r="T1191" t="str">
        <f ca="1">IFERROR(__xludf.DUMMYFUNCTION("""COMPUTED_VALUE"""),"")</f>
        <v/>
      </c>
      <c r="U1191" t="str">
        <f ca="1">IFERROR(__xludf.DUMMYFUNCTION("""COMPUTED_VALUE"""),"")</f>
        <v/>
      </c>
      <c r="V1191" t="str">
        <f ca="1">IFERROR(__xludf.DUMMYFUNCTION("""COMPUTED_VALUE"""),"")</f>
        <v/>
      </c>
      <c r="W1191" t="str">
        <f ca="1">IFERROR(__xludf.DUMMYFUNCTION("""COMPUTED_VALUE"""),"")</f>
        <v/>
      </c>
      <c r="X1191" t="str">
        <f ca="1">IFERROR(__xludf.DUMMYFUNCTION("""COMPUTED_VALUE"""),"")</f>
        <v/>
      </c>
      <c r="Y1191" t="str">
        <f ca="1">IFERROR(__xludf.DUMMYFUNCTION("""COMPUTED_VALUE"""),"")</f>
        <v/>
      </c>
      <c r="Z1191" t="str">
        <f ca="1">IFERROR(__xludf.DUMMYFUNCTION("""COMPUTED_VALUE"""),"")</f>
        <v/>
      </c>
      <c r="AA1191" t="str">
        <f ca="1">IFERROR(__xludf.DUMMYFUNCTION("""COMPUTED_VALUE"""),"")</f>
        <v/>
      </c>
      <c r="AB1191" s="8" t="str">
        <f ca="1">IFERROR(__xludf.DUMMYFUNCTION("""COMPUTED_VALUE"""),"")</f>
        <v/>
      </c>
      <c r="AC1191" s="8" t="str">
        <f ca="1">IFERROR(__xludf.DUMMYFUNCTION("""COMPUTED_VALUE"""),"")</f>
        <v/>
      </c>
      <c r="AD1191" s="11" t="str">
        <f ca="1">IFERROR(__xludf.DUMMYFUNCTION("""COMPUTED_VALUE"""),"")</f>
        <v/>
      </c>
      <c r="AE1191" t="str">
        <f ca="1">IFERROR(__xludf.DUMMYFUNCTION("""COMPUTED_VALUE"""),"")</f>
        <v/>
      </c>
    </row>
    <row r="1192" spans="1:31" ht="12.75" x14ac:dyDescent="0.2">
      <c r="A1192" t="str">
        <f ca="1">IFERROR(__xludf.DUMMYFUNCTION("""COMPUTED_VALUE"""),"")</f>
        <v/>
      </c>
      <c r="B1192" t="str">
        <f ca="1">IFERROR(__xludf.DUMMYFUNCTION("""COMPUTED_VALUE"""),"")</f>
        <v/>
      </c>
      <c r="C1192" t="str">
        <f ca="1">IFERROR(__xludf.DUMMYFUNCTION("""COMPUTED_VALUE"""),"")</f>
        <v/>
      </c>
      <c r="D1192" t="str">
        <f ca="1">IFERROR(__xludf.DUMMYFUNCTION("""COMPUTED_VALUE"""),"")</f>
        <v/>
      </c>
      <c r="E1192" t="str">
        <f ca="1">IFERROR(__xludf.DUMMYFUNCTION("""COMPUTED_VALUE"""),"")</f>
        <v/>
      </c>
      <c r="F1192" t="str">
        <f ca="1">IFERROR(__xludf.DUMMYFUNCTION("""COMPUTED_VALUE"""),"")</f>
        <v/>
      </c>
      <c r="G1192" t="str">
        <f ca="1">IFERROR(__xludf.DUMMYFUNCTION("""COMPUTED_VALUE"""),"")</f>
        <v/>
      </c>
      <c r="H1192" t="str">
        <f ca="1">IFERROR(__xludf.DUMMYFUNCTION("""COMPUTED_VALUE"""),"")</f>
        <v/>
      </c>
      <c r="I1192" t="str">
        <f ca="1">IFERROR(__xludf.DUMMYFUNCTION("""COMPUTED_VALUE"""),"")</f>
        <v/>
      </c>
      <c r="J1192" t="str">
        <f ca="1">IFERROR(__xludf.DUMMYFUNCTION("""COMPUTED_VALUE"""),"")</f>
        <v/>
      </c>
      <c r="K1192" t="str">
        <f ca="1">IFERROR(__xludf.DUMMYFUNCTION("""COMPUTED_VALUE"""),"")</f>
        <v/>
      </c>
      <c r="L1192" t="str">
        <f ca="1">IFERROR(__xludf.DUMMYFUNCTION("""COMPUTED_VALUE"""),"")</f>
        <v/>
      </c>
      <c r="M1192" t="str">
        <f ca="1">IFERROR(__xludf.DUMMYFUNCTION("""COMPUTED_VALUE"""),"")</f>
        <v/>
      </c>
      <c r="N1192" t="str">
        <f ca="1">IFERROR(__xludf.DUMMYFUNCTION("""COMPUTED_VALUE"""),"")</f>
        <v/>
      </c>
      <c r="O1192" t="str">
        <f ca="1">IFERROR(__xludf.DUMMYFUNCTION("""COMPUTED_VALUE"""),"")</f>
        <v/>
      </c>
      <c r="P1192" t="str">
        <f ca="1">IFERROR(__xludf.DUMMYFUNCTION("""COMPUTED_VALUE"""),"")</f>
        <v/>
      </c>
      <c r="Q1192" s="5" t="str">
        <f ca="1">IFERROR(__xludf.DUMMYFUNCTION("""COMPUTED_VALUE"""),"")</f>
        <v/>
      </c>
      <c r="R1192" s="6" t="str">
        <f ca="1">IFERROR(__xludf.DUMMYFUNCTION("""COMPUTED_VALUE"""),"")</f>
        <v/>
      </c>
      <c r="S1192" t="str">
        <f ca="1">IFERROR(__xludf.DUMMYFUNCTION("""COMPUTED_VALUE"""),"")</f>
        <v/>
      </c>
      <c r="T1192" t="str">
        <f ca="1">IFERROR(__xludf.DUMMYFUNCTION("""COMPUTED_VALUE"""),"")</f>
        <v/>
      </c>
      <c r="U1192" t="str">
        <f ca="1">IFERROR(__xludf.DUMMYFUNCTION("""COMPUTED_VALUE"""),"")</f>
        <v/>
      </c>
      <c r="V1192" t="str">
        <f ca="1">IFERROR(__xludf.DUMMYFUNCTION("""COMPUTED_VALUE"""),"")</f>
        <v/>
      </c>
      <c r="W1192" t="str">
        <f ca="1">IFERROR(__xludf.DUMMYFUNCTION("""COMPUTED_VALUE"""),"")</f>
        <v/>
      </c>
      <c r="X1192" t="str">
        <f ca="1">IFERROR(__xludf.DUMMYFUNCTION("""COMPUTED_VALUE"""),"")</f>
        <v/>
      </c>
      <c r="Y1192" t="str">
        <f ca="1">IFERROR(__xludf.DUMMYFUNCTION("""COMPUTED_VALUE"""),"")</f>
        <v/>
      </c>
      <c r="Z1192" t="str">
        <f ca="1">IFERROR(__xludf.DUMMYFUNCTION("""COMPUTED_VALUE"""),"")</f>
        <v/>
      </c>
      <c r="AA1192" t="str">
        <f ca="1">IFERROR(__xludf.DUMMYFUNCTION("""COMPUTED_VALUE"""),"")</f>
        <v/>
      </c>
      <c r="AB1192" s="8" t="str">
        <f ca="1">IFERROR(__xludf.DUMMYFUNCTION("""COMPUTED_VALUE"""),"")</f>
        <v/>
      </c>
      <c r="AC1192" s="8" t="str">
        <f ca="1">IFERROR(__xludf.DUMMYFUNCTION("""COMPUTED_VALUE"""),"")</f>
        <v/>
      </c>
      <c r="AD1192" s="11" t="str">
        <f ca="1">IFERROR(__xludf.DUMMYFUNCTION("""COMPUTED_VALUE"""),"")</f>
        <v/>
      </c>
      <c r="AE1192" t="str">
        <f ca="1">IFERROR(__xludf.DUMMYFUNCTION("""COMPUTED_VALUE"""),"")</f>
        <v/>
      </c>
    </row>
    <row r="1193" spans="1:31" ht="12.75" x14ac:dyDescent="0.2">
      <c r="A1193" t="str">
        <f ca="1">IFERROR(__xludf.DUMMYFUNCTION("""COMPUTED_VALUE"""),"")</f>
        <v/>
      </c>
      <c r="B1193" t="str">
        <f ca="1">IFERROR(__xludf.DUMMYFUNCTION("""COMPUTED_VALUE"""),"")</f>
        <v/>
      </c>
      <c r="C1193" t="str">
        <f ca="1">IFERROR(__xludf.DUMMYFUNCTION("""COMPUTED_VALUE"""),"")</f>
        <v/>
      </c>
      <c r="D1193" t="str">
        <f ca="1">IFERROR(__xludf.DUMMYFUNCTION("""COMPUTED_VALUE"""),"")</f>
        <v/>
      </c>
      <c r="E1193" t="str">
        <f ca="1">IFERROR(__xludf.DUMMYFUNCTION("""COMPUTED_VALUE"""),"")</f>
        <v/>
      </c>
      <c r="F1193" t="str">
        <f ca="1">IFERROR(__xludf.DUMMYFUNCTION("""COMPUTED_VALUE"""),"")</f>
        <v/>
      </c>
      <c r="G1193" t="str">
        <f ca="1">IFERROR(__xludf.DUMMYFUNCTION("""COMPUTED_VALUE"""),"")</f>
        <v/>
      </c>
      <c r="H1193" t="str">
        <f ca="1">IFERROR(__xludf.DUMMYFUNCTION("""COMPUTED_VALUE"""),"")</f>
        <v/>
      </c>
      <c r="I1193" t="str">
        <f ca="1">IFERROR(__xludf.DUMMYFUNCTION("""COMPUTED_VALUE"""),"")</f>
        <v/>
      </c>
      <c r="J1193" t="str">
        <f ca="1">IFERROR(__xludf.DUMMYFUNCTION("""COMPUTED_VALUE"""),"")</f>
        <v/>
      </c>
      <c r="K1193" t="str">
        <f ca="1">IFERROR(__xludf.DUMMYFUNCTION("""COMPUTED_VALUE"""),"")</f>
        <v/>
      </c>
      <c r="L1193" t="str">
        <f ca="1">IFERROR(__xludf.DUMMYFUNCTION("""COMPUTED_VALUE"""),"")</f>
        <v/>
      </c>
      <c r="M1193" t="str">
        <f ca="1">IFERROR(__xludf.DUMMYFUNCTION("""COMPUTED_VALUE"""),"")</f>
        <v/>
      </c>
      <c r="N1193" t="str">
        <f ca="1">IFERROR(__xludf.DUMMYFUNCTION("""COMPUTED_VALUE"""),"")</f>
        <v/>
      </c>
      <c r="O1193" t="str">
        <f ca="1">IFERROR(__xludf.DUMMYFUNCTION("""COMPUTED_VALUE"""),"")</f>
        <v/>
      </c>
      <c r="P1193" t="str">
        <f ca="1">IFERROR(__xludf.DUMMYFUNCTION("""COMPUTED_VALUE"""),"")</f>
        <v/>
      </c>
      <c r="Q1193" s="5" t="str">
        <f ca="1">IFERROR(__xludf.DUMMYFUNCTION("""COMPUTED_VALUE"""),"")</f>
        <v/>
      </c>
      <c r="R1193" s="6" t="str">
        <f ca="1">IFERROR(__xludf.DUMMYFUNCTION("""COMPUTED_VALUE"""),"")</f>
        <v/>
      </c>
      <c r="S1193" t="str">
        <f ca="1">IFERROR(__xludf.DUMMYFUNCTION("""COMPUTED_VALUE"""),"")</f>
        <v/>
      </c>
      <c r="T1193" t="str">
        <f ca="1">IFERROR(__xludf.DUMMYFUNCTION("""COMPUTED_VALUE"""),"")</f>
        <v/>
      </c>
      <c r="U1193" t="str">
        <f ca="1">IFERROR(__xludf.DUMMYFUNCTION("""COMPUTED_VALUE"""),"")</f>
        <v/>
      </c>
      <c r="V1193" t="str">
        <f ca="1">IFERROR(__xludf.DUMMYFUNCTION("""COMPUTED_VALUE"""),"")</f>
        <v/>
      </c>
      <c r="W1193" t="str">
        <f ca="1">IFERROR(__xludf.DUMMYFUNCTION("""COMPUTED_VALUE"""),"")</f>
        <v/>
      </c>
      <c r="X1193" t="str">
        <f ca="1">IFERROR(__xludf.DUMMYFUNCTION("""COMPUTED_VALUE"""),"")</f>
        <v/>
      </c>
      <c r="Y1193" t="str">
        <f ca="1">IFERROR(__xludf.DUMMYFUNCTION("""COMPUTED_VALUE"""),"")</f>
        <v/>
      </c>
      <c r="Z1193" t="str">
        <f ca="1">IFERROR(__xludf.DUMMYFUNCTION("""COMPUTED_VALUE"""),"")</f>
        <v/>
      </c>
      <c r="AA1193" t="str">
        <f ca="1">IFERROR(__xludf.DUMMYFUNCTION("""COMPUTED_VALUE"""),"")</f>
        <v/>
      </c>
      <c r="AB1193" s="8" t="str">
        <f ca="1">IFERROR(__xludf.DUMMYFUNCTION("""COMPUTED_VALUE"""),"")</f>
        <v/>
      </c>
      <c r="AC1193" s="8" t="str">
        <f ca="1">IFERROR(__xludf.DUMMYFUNCTION("""COMPUTED_VALUE"""),"")</f>
        <v/>
      </c>
      <c r="AD1193" s="11" t="str">
        <f ca="1">IFERROR(__xludf.DUMMYFUNCTION("""COMPUTED_VALUE"""),"")</f>
        <v/>
      </c>
      <c r="AE1193" t="str">
        <f ca="1">IFERROR(__xludf.DUMMYFUNCTION("""COMPUTED_VALUE"""),"")</f>
        <v/>
      </c>
    </row>
    <row r="1194" spans="1:31" ht="12.75" x14ac:dyDescent="0.2">
      <c r="A1194" t="str">
        <f ca="1">IFERROR(__xludf.DUMMYFUNCTION("""COMPUTED_VALUE"""),"")</f>
        <v/>
      </c>
      <c r="B1194" t="str">
        <f ca="1">IFERROR(__xludf.DUMMYFUNCTION("""COMPUTED_VALUE"""),"")</f>
        <v/>
      </c>
      <c r="C1194" t="str">
        <f ca="1">IFERROR(__xludf.DUMMYFUNCTION("""COMPUTED_VALUE"""),"")</f>
        <v/>
      </c>
      <c r="D1194" t="str">
        <f ca="1">IFERROR(__xludf.DUMMYFUNCTION("""COMPUTED_VALUE"""),"")</f>
        <v/>
      </c>
      <c r="E1194" t="str">
        <f ca="1">IFERROR(__xludf.DUMMYFUNCTION("""COMPUTED_VALUE"""),"")</f>
        <v/>
      </c>
      <c r="F1194" t="str">
        <f ca="1">IFERROR(__xludf.DUMMYFUNCTION("""COMPUTED_VALUE"""),"")</f>
        <v/>
      </c>
      <c r="G1194" t="str">
        <f ca="1">IFERROR(__xludf.DUMMYFUNCTION("""COMPUTED_VALUE"""),"")</f>
        <v/>
      </c>
      <c r="H1194" t="str">
        <f ca="1">IFERROR(__xludf.DUMMYFUNCTION("""COMPUTED_VALUE"""),"")</f>
        <v/>
      </c>
      <c r="I1194" t="str">
        <f ca="1">IFERROR(__xludf.DUMMYFUNCTION("""COMPUTED_VALUE"""),"")</f>
        <v/>
      </c>
      <c r="J1194" t="str">
        <f ca="1">IFERROR(__xludf.DUMMYFUNCTION("""COMPUTED_VALUE"""),"")</f>
        <v/>
      </c>
      <c r="K1194" t="str">
        <f ca="1">IFERROR(__xludf.DUMMYFUNCTION("""COMPUTED_VALUE"""),"")</f>
        <v/>
      </c>
      <c r="L1194" t="str">
        <f ca="1">IFERROR(__xludf.DUMMYFUNCTION("""COMPUTED_VALUE"""),"")</f>
        <v/>
      </c>
      <c r="M1194" t="str">
        <f ca="1">IFERROR(__xludf.DUMMYFUNCTION("""COMPUTED_VALUE"""),"")</f>
        <v/>
      </c>
      <c r="N1194" t="str">
        <f ca="1">IFERROR(__xludf.DUMMYFUNCTION("""COMPUTED_VALUE"""),"")</f>
        <v/>
      </c>
      <c r="O1194" t="str">
        <f ca="1">IFERROR(__xludf.DUMMYFUNCTION("""COMPUTED_VALUE"""),"")</f>
        <v/>
      </c>
      <c r="P1194" t="str">
        <f ca="1">IFERROR(__xludf.DUMMYFUNCTION("""COMPUTED_VALUE"""),"")</f>
        <v/>
      </c>
      <c r="Q1194" s="5" t="str">
        <f ca="1">IFERROR(__xludf.DUMMYFUNCTION("""COMPUTED_VALUE"""),"")</f>
        <v/>
      </c>
      <c r="R1194" s="6" t="str">
        <f ca="1">IFERROR(__xludf.DUMMYFUNCTION("""COMPUTED_VALUE"""),"")</f>
        <v/>
      </c>
      <c r="S1194" t="str">
        <f ca="1">IFERROR(__xludf.DUMMYFUNCTION("""COMPUTED_VALUE"""),"")</f>
        <v/>
      </c>
      <c r="T1194" t="str">
        <f ca="1">IFERROR(__xludf.DUMMYFUNCTION("""COMPUTED_VALUE"""),"")</f>
        <v/>
      </c>
      <c r="U1194" t="str">
        <f ca="1">IFERROR(__xludf.DUMMYFUNCTION("""COMPUTED_VALUE"""),"")</f>
        <v/>
      </c>
      <c r="V1194" t="str">
        <f ca="1">IFERROR(__xludf.DUMMYFUNCTION("""COMPUTED_VALUE"""),"")</f>
        <v/>
      </c>
      <c r="W1194" t="str">
        <f ca="1">IFERROR(__xludf.DUMMYFUNCTION("""COMPUTED_VALUE"""),"")</f>
        <v/>
      </c>
      <c r="X1194" t="str">
        <f ca="1">IFERROR(__xludf.DUMMYFUNCTION("""COMPUTED_VALUE"""),"")</f>
        <v/>
      </c>
      <c r="Y1194" t="str">
        <f ca="1">IFERROR(__xludf.DUMMYFUNCTION("""COMPUTED_VALUE"""),"")</f>
        <v/>
      </c>
      <c r="Z1194" t="str">
        <f ca="1">IFERROR(__xludf.DUMMYFUNCTION("""COMPUTED_VALUE"""),"")</f>
        <v/>
      </c>
      <c r="AA1194" t="str">
        <f ca="1">IFERROR(__xludf.DUMMYFUNCTION("""COMPUTED_VALUE"""),"")</f>
        <v/>
      </c>
      <c r="AB1194" s="8" t="str">
        <f ca="1">IFERROR(__xludf.DUMMYFUNCTION("""COMPUTED_VALUE"""),"")</f>
        <v/>
      </c>
      <c r="AC1194" s="8" t="str">
        <f ca="1">IFERROR(__xludf.DUMMYFUNCTION("""COMPUTED_VALUE"""),"")</f>
        <v/>
      </c>
      <c r="AD1194" s="11" t="str">
        <f ca="1">IFERROR(__xludf.DUMMYFUNCTION("""COMPUTED_VALUE"""),"")</f>
        <v/>
      </c>
      <c r="AE1194" t="str">
        <f ca="1">IFERROR(__xludf.DUMMYFUNCTION("""COMPUTED_VALUE"""),"")</f>
        <v/>
      </c>
    </row>
    <row r="1195" spans="1:31" ht="12.75" x14ac:dyDescent="0.2">
      <c r="A1195" t="str">
        <f ca="1">IFERROR(__xludf.DUMMYFUNCTION("""COMPUTED_VALUE"""),"")</f>
        <v/>
      </c>
      <c r="B1195" t="str">
        <f ca="1">IFERROR(__xludf.DUMMYFUNCTION("""COMPUTED_VALUE"""),"")</f>
        <v/>
      </c>
      <c r="C1195" t="str">
        <f ca="1">IFERROR(__xludf.DUMMYFUNCTION("""COMPUTED_VALUE"""),"")</f>
        <v/>
      </c>
      <c r="D1195" t="str">
        <f ca="1">IFERROR(__xludf.DUMMYFUNCTION("""COMPUTED_VALUE"""),"")</f>
        <v/>
      </c>
      <c r="E1195" t="str">
        <f ca="1">IFERROR(__xludf.DUMMYFUNCTION("""COMPUTED_VALUE"""),"")</f>
        <v/>
      </c>
      <c r="F1195" t="str">
        <f ca="1">IFERROR(__xludf.DUMMYFUNCTION("""COMPUTED_VALUE"""),"")</f>
        <v/>
      </c>
      <c r="G1195" t="str">
        <f ca="1">IFERROR(__xludf.DUMMYFUNCTION("""COMPUTED_VALUE"""),"")</f>
        <v/>
      </c>
      <c r="H1195" t="str">
        <f ca="1">IFERROR(__xludf.DUMMYFUNCTION("""COMPUTED_VALUE"""),"")</f>
        <v/>
      </c>
      <c r="I1195" t="str">
        <f ca="1">IFERROR(__xludf.DUMMYFUNCTION("""COMPUTED_VALUE"""),"")</f>
        <v/>
      </c>
      <c r="J1195" t="str">
        <f ca="1">IFERROR(__xludf.DUMMYFUNCTION("""COMPUTED_VALUE"""),"")</f>
        <v/>
      </c>
      <c r="K1195" t="str">
        <f ca="1">IFERROR(__xludf.DUMMYFUNCTION("""COMPUTED_VALUE"""),"")</f>
        <v/>
      </c>
      <c r="L1195" t="str">
        <f ca="1">IFERROR(__xludf.DUMMYFUNCTION("""COMPUTED_VALUE"""),"")</f>
        <v/>
      </c>
      <c r="M1195" t="str">
        <f ca="1">IFERROR(__xludf.DUMMYFUNCTION("""COMPUTED_VALUE"""),"")</f>
        <v/>
      </c>
      <c r="N1195" t="str">
        <f ca="1">IFERROR(__xludf.DUMMYFUNCTION("""COMPUTED_VALUE"""),"")</f>
        <v/>
      </c>
      <c r="O1195" t="str">
        <f ca="1">IFERROR(__xludf.DUMMYFUNCTION("""COMPUTED_VALUE"""),"")</f>
        <v/>
      </c>
      <c r="P1195" t="str">
        <f ca="1">IFERROR(__xludf.DUMMYFUNCTION("""COMPUTED_VALUE"""),"")</f>
        <v/>
      </c>
      <c r="Q1195" s="5" t="str">
        <f ca="1">IFERROR(__xludf.DUMMYFUNCTION("""COMPUTED_VALUE"""),"")</f>
        <v/>
      </c>
      <c r="R1195" s="6" t="str">
        <f ca="1">IFERROR(__xludf.DUMMYFUNCTION("""COMPUTED_VALUE"""),"")</f>
        <v/>
      </c>
      <c r="S1195" t="str">
        <f ca="1">IFERROR(__xludf.DUMMYFUNCTION("""COMPUTED_VALUE"""),"")</f>
        <v/>
      </c>
      <c r="T1195" t="str">
        <f ca="1">IFERROR(__xludf.DUMMYFUNCTION("""COMPUTED_VALUE"""),"")</f>
        <v/>
      </c>
      <c r="U1195" t="str">
        <f ca="1">IFERROR(__xludf.DUMMYFUNCTION("""COMPUTED_VALUE"""),"")</f>
        <v/>
      </c>
      <c r="V1195" t="str">
        <f ca="1">IFERROR(__xludf.DUMMYFUNCTION("""COMPUTED_VALUE"""),"")</f>
        <v/>
      </c>
      <c r="W1195" t="str">
        <f ca="1">IFERROR(__xludf.DUMMYFUNCTION("""COMPUTED_VALUE"""),"")</f>
        <v/>
      </c>
      <c r="X1195" t="str">
        <f ca="1">IFERROR(__xludf.DUMMYFUNCTION("""COMPUTED_VALUE"""),"")</f>
        <v/>
      </c>
      <c r="Y1195" t="str">
        <f ca="1">IFERROR(__xludf.DUMMYFUNCTION("""COMPUTED_VALUE"""),"")</f>
        <v/>
      </c>
      <c r="Z1195" t="str">
        <f ca="1">IFERROR(__xludf.DUMMYFUNCTION("""COMPUTED_VALUE"""),"")</f>
        <v/>
      </c>
      <c r="AA1195" t="str">
        <f ca="1">IFERROR(__xludf.DUMMYFUNCTION("""COMPUTED_VALUE"""),"")</f>
        <v/>
      </c>
      <c r="AB1195" s="8" t="str">
        <f ca="1">IFERROR(__xludf.DUMMYFUNCTION("""COMPUTED_VALUE"""),"")</f>
        <v/>
      </c>
      <c r="AC1195" s="8" t="str">
        <f ca="1">IFERROR(__xludf.DUMMYFUNCTION("""COMPUTED_VALUE"""),"")</f>
        <v/>
      </c>
      <c r="AD1195" s="11" t="str">
        <f ca="1">IFERROR(__xludf.DUMMYFUNCTION("""COMPUTED_VALUE"""),"")</f>
        <v/>
      </c>
      <c r="AE1195" t="str">
        <f ca="1">IFERROR(__xludf.DUMMYFUNCTION("""COMPUTED_VALUE"""),"")</f>
        <v/>
      </c>
    </row>
    <row r="1196" spans="1:31" ht="12.75" x14ac:dyDescent="0.2">
      <c r="A1196" t="str">
        <f ca="1">IFERROR(__xludf.DUMMYFUNCTION("""COMPUTED_VALUE"""),"")</f>
        <v/>
      </c>
      <c r="B1196" t="str">
        <f ca="1">IFERROR(__xludf.DUMMYFUNCTION("""COMPUTED_VALUE"""),"")</f>
        <v/>
      </c>
      <c r="C1196" t="str">
        <f ca="1">IFERROR(__xludf.DUMMYFUNCTION("""COMPUTED_VALUE"""),"")</f>
        <v/>
      </c>
      <c r="D1196" t="str">
        <f ca="1">IFERROR(__xludf.DUMMYFUNCTION("""COMPUTED_VALUE"""),"")</f>
        <v/>
      </c>
      <c r="E1196" t="str">
        <f ca="1">IFERROR(__xludf.DUMMYFUNCTION("""COMPUTED_VALUE"""),"")</f>
        <v/>
      </c>
      <c r="F1196" t="str">
        <f ca="1">IFERROR(__xludf.DUMMYFUNCTION("""COMPUTED_VALUE"""),"")</f>
        <v/>
      </c>
      <c r="G1196" t="str">
        <f ca="1">IFERROR(__xludf.DUMMYFUNCTION("""COMPUTED_VALUE"""),"")</f>
        <v/>
      </c>
      <c r="H1196" t="str">
        <f ca="1">IFERROR(__xludf.DUMMYFUNCTION("""COMPUTED_VALUE"""),"")</f>
        <v/>
      </c>
      <c r="I1196" t="str">
        <f ca="1">IFERROR(__xludf.DUMMYFUNCTION("""COMPUTED_VALUE"""),"")</f>
        <v/>
      </c>
      <c r="J1196" t="str">
        <f ca="1">IFERROR(__xludf.DUMMYFUNCTION("""COMPUTED_VALUE"""),"")</f>
        <v/>
      </c>
      <c r="K1196" t="str">
        <f ca="1">IFERROR(__xludf.DUMMYFUNCTION("""COMPUTED_VALUE"""),"")</f>
        <v/>
      </c>
      <c r="L1196" t="str">
        <f ca="1">IFERROR(__xludf.DUMMYFUNCTION("""COMPUTED_VALUE"""),"")</f>
        <v/>
      </c>
      <c r="M1196" t="str">
        <f ca="1">IFERROR(__xludf.DUMMYFUNCTION("""COMPUTED_VALUE"""),"")</f>
        <v/>
      </c>
      <c r="N1196" t="str">
        <f ca="1">IFERROR(__xludf.DUMMYFUNCTION("""COMPUTED_VALUE"""),"")</f>
        <v/>
      </c>
      <c r="O1196" t="str">
        <f ca="1">IFERROR(__xludf.DUMMYFUNCTION("""COMPUTED_VALUE"""),"")</f>
        <v/>
      </c>
      <c r="P1196" t="str">
        <f ca="1">IFERROR(__xludf.DUMMYFUNCTION("""COMPUTED_VALUE"""),"")</f>
        <v/>
      </c>
      <c r="Q1196" s="5" t="str">
        <f ca="1">IFERROR(__xludf.DUMMYFUNCTION("""COMPUTED_VALUE"""),"")</f>
        <v/>
      </c>
      <c r="R1196" s="6" t="str">
        <f ca="1">IFERROR(__xludf.DUMMYFUNCTION("""COMPUTED_VALUE"""),"")</f>
        <v/>
      </c>
      <c r="S1196" t="str">
        <f ca="1">IFERROR(__xludf.DUMMYFUNCTION("""COMPUTED_VALUE"""),"")</f>
        <v/>
      </c>
      <c r="T1196" t="str">
        <f ca="1">IFERROR(__xludf.DUMMYFUNCTION("""COMPUTED_VALUE"""),"")</f>
        <v/>
      </c>
      <c r="U1196" t="str">
        <f ca="1">IFERROR(__xludf.DUMMYFUNCTION("""COMPUTED_VALUE"""),"")</f>
        <v/>
      </c>
      <c r="V1196" t="str">
        <f ca="1">IFERROR(__xludf.DUMMYFUNCTION("""COMPUTED_VALUE"""),"")</f>
        <v/>
      </c>
      <c r="W1196" t="str">
        <f ca="1">IFERROR(__xludf.DUMMYFUNCTION("""COMPUTED_VALUE"""),"")</f>
        <v/>
      </c>
      <c r="X1196" t="str">
        <f ca="1">IFERROR(__xludf.DUMMYFUNCTION("""COMPUTED_VALUE"""),"")</f>
        <v/>
      </c>
      <c r="Y1196" t="str">
        <f ca="1">IFERROR(__xludf.DUMMYFUNCTION("""COMPUTED_VALUE"""),"")</f>
        <v/>
      </c>
      <c r="Z1196" t="str">
        <f ca="1">IFERROR(__xludf.DUMMYFUNCTION("""COMPUTED_VALUE"""),"")</f>
        <v/>
      </c>
      <c r="AA1196" t="str">
        <f ca="1">IFERROR(__xludf.DUMMYFUNCTION("""COMPUTED_VALUE"""),"")</f>
        <v/>
      </c>
      <c r="AB1196" s="8" t="str">
        <f ca="1">IFERROR(__xludf.DUMMYFUNCTION("""COMPUTED_VALUE"""),"")</f>
        <v/>
      </c>
      <c r="AC1196" s="8" t="str">
        <f ca="1">IFERROR(__xludf.DUMMYFUNCTION("""COMPUTED_VALUE"""),"")</f>
        <v/>
      </c>
      <c r="AD1196" s="11" t="str">
        <f ca="1">IFERROR(__xludf.DUMMYFUNCTION("""COMPUTED_VALUE"""),"")</f>
        <v/>
      </c>
      <c r="AE1196" t="str">
        <f ca="1">IFERROR(__xludf.DUMMYFUNCTION("""COMPUTED_VALUE"""),"")</f>
        <v/>
      </c>
    </row>
    <row r="1197" spans="1:31" ht="12.75" x14ac:dyDescent="0.2">
      <c r="A1197" t="str">
        <f ca="1">IFERROR(__xludf.DUMMYFUNCTION("""COMPUTED_VALUE"""),"")</f>
        <v/>
      </c>
      <c r="B1197" t="str">
        <f ca="1">IFERROR(__xludf.DUMMYFUNCTION("""COMPUTED_VALUE"""),"")</f>
        <v/>
      </c>
      <c r="C1197" t="str">
        <f ca="1">IFERROR(__xludf.DUMMYFUNCTION("""COMPUTED_VALUE"""),"")</f>
        <v/>
      </c>
      <c r="D1197" t="str">
        <f ca="1">IFERROR(__xludf.DUMMYFUNCTION("""COMPUTED_VALUE"""),"")</f>
        <v/>
      </c>
      <c r="E1197" t="str">
        <f ca="1">IFERROR(__xludf.DUMMYFUNCTION("""COMPUTED_VALUE"""),"")</f>
        <v/>
      </c>
      <c r="F1197" t="str">
        <f ca="1">IFERROR(__xludf.DUMMYFUNCTION("""COMPUTED_VALUE"""),"")</f>
        <v/>
      </c>
      <c r="G1197" t="str">
        <f ca="1">IFERROR(__xludf.DUMMYFUNCTION("""COMPUTED_VALUE"""),"")</f>
        <v/>
      </c>
      <c r="H1197" t="str">
        <f ca="1">IFERROR(__xludf.DUMMYFUNCTION("""COMPUTED_VALUE"""),"")</f>
        <v/>
      </c>
      <c r="I1197" t="str">
        <f ca="1">IFERROR(__xludf.DUMMYFUNCTION("""COMPUTED_VALUE"""),"")</f>
        <v/>
      </c>
      <c r="J1197" t="str">
        <f ca="1">IFERROR(__xludf.DUMMYFUNCTION("""COMPUTED_VALUE"""),"")</f>
        <v/>
      </c>
      <c r="K1197" t="str">
        <f ca="1">IFERROR(__xludf.DUMMYFUNCTION("""COMPUTED_VALUE"""),"")</f>
        <v/>
      </c>
      <c r="L1197" t="str">
        <f ca="1">IFERROR(__xludf.DUMMYFUNCTION("""COMPUTED_VALUE"""),"")</f>
        <v/>
      </c>
      <c r="M1197" t="str">
        <f ca="1">IFERROR(__xludf.DUMMYFUNCTION("""COMPUTED_VALUE"""),"")</f>
        <v/>
      </c>
      <c r="N1197" t="str">
        <f ca="1">IFERROR(__xludf.DUMMYFUNCTION("""COMPUTED_VALUE"""),"")</f>
        <v/>
      </c>
      <c r="O1197" t="str">
        <f ca="1">IFERROR(__xludf.DUMMYFUNCTION("""COMPUTED_VALUE"""),"")</f>
        <v/>
      </c>
      <c r="P1197" t="str">
        <f ca="1">IFERROR(__xludf.DUMMYFUNCTION("""COMPUTED_VALUE"""),"")</f>
        <v/>
      </c>
      <c r="Q1197" s="5" t="str">
        <f ca="1">IFERROR(__xludf.DUMMYFUNCTION("""COMPUTED_VALUE"""),"")</f>
        <v/>
      </c>
      <c r="R1197" s="6" t="str">
        <f ca="1">IFERROR(__xludf.DUMMYFUNCTION("""COMPUTED_VALUE"""),"")</f>
        <v/>
      </c>
      <c r="S1197" t="str">
        <f ca="1">IFERROR(__xludf.DUMMYFUNCTION("""COMPUTED_VALUE"""),"")</f>
        <v/>
      </c>
      <c r="T1197" t="str">
        <f ca="1">IFERROR(__xludf.DUMMYFUNCTION("""COMPUTED_VALUE"""),"")</f>
        <v/>
      </c>
      <c r="U1197" t="str">
        <f ca="1">IFERROR(__xludf.DUMMYFUNCTION("""COMPUTED_VALUE"""),"")</f>
        <v/>
      </c>
      <c r="V1197" t="str">
        <f ca="1">IFERROR(__xludf.DUMMYFUNCTION("""COMPUTED_VALUE"""),"")</f>
        <v/>
      </c>
      <c r="W1197" t="str">
        <f ca="1">IFERROR(__xludf.DUMMYFUNCTION("""COMPUTED_VALUE"""),"")</f>
        <v/>
      </c>
      <c r="X1197" t="str">
        <f ca="1">IFERROR(__xludf.DUMMYFUNCTION("""COMPUTED_VALUE"""),"")</f>
        <v/>
      </c>
      <c r="Y1197" t="str">
        <f ca="1">IFERROR(__xludf.DUMMYFUNCTION("""COMPUTED_VALUE"""),"")</f>
        <v/>
      </c>
      <c r="Z1197" t="str">
        <f ca="1">IFERROR(__xludf.DUMMYFUNCTION("""COMPUTED_VALUE"""),"")</f>
        <v/>
      </c>
      <c r="AA1197" t="str">
        <f ca="1">IFERROR(__xludf.DUMMYFUNCTION("""COMPUTED_VALUE"""),"")</f>
        <v/>
      </c>
      <c r="AB1197" s="8" t="str">
        <f ca="1">IFERROR(__xludf.DUMMYFUNCTION("""COMPUTED_VALUE"""),"")</f>
        <v/>
      </c>
      <c r="AC1197" s="8" t="str">
        <f ca="1">IFERROR(__xludf.DUMMYFUNCTION("""COMPUTED_VALUE"""),"")</f>
        <v/>
      </c>
      <c r="AD1197" s="11" t="str">
        <f ca="1">IFERROR(__xludf.DUMMYFUNCTION("""COMPUTED_VALUE"""),"")</f>
        <v/>
      </c>
      <c r="AE1197" t="str">
        <f ca="1">IFERROR(__xludf.DUMMYFUNCTION("""COMPUTED_VALUE"""),"")</f>
        <v/>
      </c>
    </row>
    <row r="1198" spans="1:31" ht="12.75" x14ac:dyDescent="0.2">
      <c r="A1198" t="str">
        <f ca="1">IFERROR(__xludf.DUMMYFUNCTION("""COMPUTED_VALUE"""),"")</f>
        <v/>
      </c>
      <c r="B1198" t="str">
        <f ca="1">IFERROR(__xludf.DUMMYFUNCTION("""COMPUTED_VALUE"""),"")</f>
        <v/>
      </c>
      <c r="C1198" t="str">
        <f ca="1">IFERROR(__xludf.DUMMYFUNCTION("""COMPUTED_VALUE"""),"")</f>
        <v/>
      </c>
      <c r="D1198" t="str">
        <f ca="1">IFERROR(__xludf.DUMMYFUNCTION("""COMPUTED_VALUE"""),"")</f>
        <v/>
      </c>
      <c r="E1198" t="str">
        <f ca="1">IFERROR(__xludf.DUMMYFUNCTION("""COMPUTED_VALUE"""),"")</f>
        <v/>
      </c>
      <c r="F1198" t="str">
        <f ca="1">IFERROR(__xludf.DUMMYFUNCTION("""COMPUTED_VALUE"""),"")</f>
        <v/>
      </c>
      <c r="G1198" t="str">
        <f ca="1">IFERROR(__xludf.DUMMYFUNCTION("""COMPUTED_VALUE"""),"")</f>
        <v/>
      </c>
      <c r="H1198" t="str">
        <f ca="1">IFERROR(__xludf.DUMMYFUNCTION("""COMPUTED_VALUE"""),"")</f>
        <v/>
      </c>
      <c r="I1198" t="str">
        <f ca="1">IFERROR(__xludf.DUMMYFUNCTION("""COMPUTED_VALUE"""),"")</f>
        <v/>
      </c>
      <c r="J1198" t="str">
        <f ca="1">IFERROR(__xludf.DUMMYFUNCTION("""COMPUTED_VALUE"""),"")</f>
        <v/>
      </c>
      <c r="K1198" t="str">
        <f ca="1">IFERROR(__xludf.DUMMYFUNCTION("""COMPUTED_VALUE"""),"")</f>
        <v/>
      </c>
      <c r="L1198" t="str">
        <f ca="1">IFERROR(__xludf.DUMMYFUNCTION("""COMPUTED_VALUE"""),"")</f>
        <v/>
      </c>
      <c r="M1198" t="str">
        <f ca="1">IFERROR(__xludf.DUMMYFUNCTION("""COMPUTED_VALUE"""),"")</f>
        <v/>
      </c>
      <c r="N1198" t="str">
        <f ca="1">IFERROR(__xludf.DUMMYFUNCTION("""COMPUTED_VALUE"""),"")</f>
        <v/>
      </c>
      <c r="O1198" t="str">
        <f ca="1">IFERROR(__xludf.DUMMYFUNCTION("""COMPUTED_VALUE"""),"")</f>
        <v/>
      </c>
      <c r="P1198" t="str">
        <f ca="1">IFERROR(__xludf.DUMMYFUNCTION("""COMPUTED_VALUE"""),"")</f>
        <v/>
      </c>
      <c r="Q1198" s="5" t="str">
        <f ca="1">IFERROR(__xludf.DUMMYFUNCTION("""COMPUTED_VALUE"""),"")</f>
        <v/>
      </c>
      <c r="R1198" s="6" t="str">
        <f ca="1">IFERROR(__xludf.DUMMYFUNCTION("""COMPUTED_VALUE"""),"")</f>
        <v/>
      </c>
      <c r="S1198" t="str">
        <f ca="1">IFERROR(__xludf.DUMMYFUNCTION("""COMPUTED_VALUE"""),"")</f>
        <v/>
      </c>
      <c r="T1198" t="str">
        <f ca="1">IFERROR(__xludf.DUMMYFUNCTION("""COMPUTED_VALUE"""),"")</f>
        <v/>
      </c>
      <c r="U1198" t="str">
        <f ca="1">IFERROR(__xludf.DUMMYFUNCTION("""COMPUTED_VALUE"""),"")</f>
        <v/>
      </c>
      <c r="V1198" t="str">
        <f ca="1">IFERROR(__xludf.DUMMYFUNCTION("""COMPUTED_VALUE"""),"")</f>
        <v/>
      </c>
      <c r="W1198" t="str">
        <f ca="1">IFERROR(__xludf.DUMMYFUNCTION("""COMPUTED_VALUE"""),"")</f>
        <v/>
      </c>
      <c r="X1198" t="str">
        <f ca="1">IFERROR(__xludf.DUMMYFUNCTION("""COMPUTED_VALUE"""),"")</f>
        <v/>
      </c>
      <c r="Y1198" t="str">
        <f ca="1">IFERROR(__xludf.DUMMYFUNCTION("""COMPUTED_VALUE"""),"")</f>
        <v/>
      </c>
      <c r="Z1198" t="str">
        <f ca="1">IFERROR(__xludf.DUMMYFUNCTION("""COMPUTED_VALUE"""),"")</f>
        <v/>
      </c>
      <c r="AA1198" t="str">
        <f ca="1">IFERROR(__xludf.DUMMYFUNCTION("""COMPUTED_VALUE"""),"")</f>
        <v/>
      </c>
      <c r="AB1198" s="8" t="str">
        <f ca="1">IFERROR(__xludf.DUMMYFUNCTION("""COMPUTED_VALUE"""),"")</f>
        <v/>
      </c>
      <c r="AC1198" s="8" t="str">
        <f ca="1">IFERROR(__xludf.DUMMYFUNCTION("""COMPUTED_VALUE"""),"")</f>
        <v/>
      </c>
      <c r="AD1198" s="11" t="str">
        <f ca="1">IFERROR(__xludf.DUMMYFUNCTION("""COMPUTED_VALUE"""),"")</f>
        <v/>
      </c>
      <c r="AE1198" t="str">
        <f ca="1">IFERROR(__xludf.DUMMYFUNCTION("""COMPUTED_VALUE"""),"")</f>
        <v/>
      </c>
    </row>
    <row r="1199" spans="1:31" ht="12.75" x14ac:dyDescent="0.2">
      <c r="A1199" t="str">
        <f ca="1">IFERROR(__xludf.DUMMYFUNCTION("""COMPUTED_VALUE"""),"")</f>
        <v/>
      </c>
      <c r="B1199" t="str">
        <f ca="1">IFERROR(__xludf.DUMMYFUNCTION("""COMPUTED_VALUE"""),"")</f>
        <v/>
      </c>
      <c r="C1199" t="str">
        <f ca="1">IFERROR(__xludf.DUMMYFUNCTION("""COMPUTED_VALUE"""),"")</f>
        <v/>
      </c>
      <c r="D1199" t="str">
        <f ca="1">IFERROR(__xludf.DUMMYFUNCTION("""COMPUTED_VALUE"""),"")</f>
        <v/>
      </c>
      <c r="E1199" t="str">
        <f ca="1">IFERROR(__xludf.DUMMYFUNCTION("""COMPUTED_VALUE"""),"")</f>
        <v/>
      </c>
      <c r="F1199" t="str">
        <f ca="1">IFERROR(__xludf.DUMMYFUNCTION("""COMPUTED_VALUE"""),"")</f>
        <v/>
      </c>
      <c r="G1199" t="str">
        <f ca="1">IFERROR(__xludf.DUMMYFUNCTION("""COMPUTED_VALUE"""),"")</f>
        <v/>
      </c>
      <c r="H1199" t="str">
        <f ca="1">IFERROR(__xludf.DUMMYFUNCTION("""COMPUTED_VALUE"""),"")</f>
        <v/>
      </c>
      <c r="I1199" t="str">
        <f ca="1">IFERROR(__xludf.DUMMYFUNCTION("""COMPUTED_VALUE"""),"")</f>
        <v/>
      </c>
      <c r="J1199" t="str">
        <f ca="1">IFERROR(__xludf.DUMMYFUNCTION("""COMPUTED_VALUE"""),"")</f>
        <v/>
      </c>
      <c r="K1199" t="str">
        <f ca="1">IFERROR(__xludf.DUMMYFUNCTION("""COMPUTED_VALUE"""),"")</f>
        <v/>
      </c>
      <c r="L1199" t="str">
        <f ca="1">IFERROR(__xludf.DUMMYFUNCTION("""COMPUTED_VALUE"""),"")</f>
        <v/>
      </c>
      <c r="M1199" t="str">
        <f ca="1">IFERROR(__xludf.DUMMYFUNCTION("""COMPUTED_VALUE"""),"")</f>
        <v/>
      </c>
      <c r="N1199" t="str">
        <f ca="1">IFERROR(__xludf.DUMMYFUNCTION("""COMPUTED_VALUE"""),"")</f>
        <v/>
      </c>
      <c r="O1199" t="str">
        <f ca="1">IFERROR(__xludf.DUMMYFUNCTION("""COMPUTED_VALUE"""),"")</f>
        <v/>
      </c>
      <c r="P1199" t="str">
        <f ca="1">IFERROR(__xludf.DUMMYFUNCTION("""COMPUTED_VALUE"""),"")</f>
        <v/>
      </c>
      <c r="Q1199" s="5" t="str">
        <f ca="1">IFERROR(__xludf.DUMMYFUNCTION("""COMPUTED_VALUE"""),"")</f>
        <v/>
      </c>
      <c r="R1199" s="6" t="str">
        <f ca="1">IFERROR(__xludf.DUMMYFUNCTION("""COMPUTED_VALUE"""),"")</f>
        <v/>
      </c>
      <c r="S1199" t="str">
        <f ca="1">IFERROR(__xludf.DUMMYFUNCTION("""COMPUTED_VALUE"""),"")</f>
        <v/>
      </c>
      <c r="T1199" t="str">
        <f ca="1">IFERROR(__xludf.DUMMYFUNCTION("""COMPUTED_VALUE"""),"")</f>
        <v/>
      </c>
      <c r="U1199" t="str">
        <f ca="1">IFERROR(__xludf.DUMMYFUNCTION("""COMPUTED_VALUE"""),"")</f>
        <v/>
      </c>
      <c r="V1199" t="str">
        <f ca="1">IFERROR(__xludf.DUMMYFUNCTION("""COMPUTED_VALUE"""),"")</f>
        <v/>
      </c>
      <c r="W1199" t="str">
        <f ca="1">IFERROR(__xludf.DUMMYFUNCTION("""COMPUTED_VALUE"""),"")</f>
        <v/>
      </c>
      <c r="X1199" t="str">
        <f ca="1">IFERROR(__xludf.DUMMYFUNCTION("""COMPUTED_VALUE"""),"")</f>
        <v/>
      </c>
      <c r="Y1199" t="str">
        <f ca="1">IFERROR(__xludf.DUMMYFUNCTION("""COMPUTED_VALUE"""),"")</f>
        <v/>
      </c>
      <c r="Z1199" t="str">
        <f ca="1">IFERROR(__xludf.DUMMYFUNCTION("""COMPUTED_VALUE"""),"")</f>
        <v/>
      </c>
      <c r="AA1199" t="str">
        <f ca="1">IFERROR(__xludf.DUMMYFUNCTION("""COMPUTED_VALUE"""),"")</f>
        <v/>
      </c>
      <c r="AB1199" s="8" t="str">
        <f ca="1">IFERROR(__xludf.DUMMYFUNCTION("""COMPUTED_VALUE"""),"")</f>
        <v/>
      </c>
      <c r="AC1199" s="8" t="str">
        <f ca="1">IFERROR(__xludf.DUMMYFUNCTION("""COMPUTED_VALUE"""),"")</f>
        <v/>
      </c>
      <c r="AD1199" s="11" t="str">
        <f ca="1">IFERROR(__xludf.DUMMYFUNCTION("""COMPUTED_VALUE"""),"")</f>
        <v/>
      </c>
      <c r="AE1199" t="str">
        <f ca="1">IFERROR(__xludf.DUMMYFUNCTION("""COMPUTED_VALUE"""),"")</f>
        <v/>
      </c>
    </row>
    <row r="1200" spans="1:31" ht="12.75" x14ac:dyDescent="0.2">
      <c r="A1200" t="str">
        <f ca="1">IFERROR(__xludf.DUMMYFUNCTION("""COMPUTED_VALUE"""),"")</f>
        <v/>
      </c>
      <c r="B1200" t="str">
        <f ca="1">IFERROR(__xludf.DUMMYFUNCTION("""COMPUTED_VALUE"""),"")</f>
        <v/>
      </c>
      <c r="C1200" t="str">
        <f ca="1">IFERROR(__xludf.DUMMYFUNCTION("""COMPUTED_VALUE"""),"")</f>
        <v/>
      </c>
      <c r="D1200" t="str">
        <f ca="1">IFERROR(__xludf.DUMMYFUNCTION("""COMPUTED_VALUE"""),"")</f>
        <v/>
      </c>
      <c r="E1200" t="str">
        <f ca="1">IFERROR(__xludf.DUMMYFUNCTION("""COMPUTED_VALUE"""),"")</f>
        <v/>
      </c>
      <c r="F1200" t="str">
        <f ca="1">IFERROR(__xludf.DUMMYFUNCTION("""COMPUTED_VALUE"""),"")</f>
        <v/>
      </c>
      <c r="G1200" t="str">
        <f ca="1">IFERROR(__xludf.DUMMYFUNCTION("""COMPUTED_VALUE"""),"")</f>
        <v/>
      </c>
      <c r="H1200" t="str">
        <f ca="1">IFERROR(__xludf.DUMMYFUNCTION("""COMPUTED_VALUE"""),"")</f>
        <v/>
      </c>
      <c r="I1200" t="str">
        <f ca="1">IFERROR(__xludf.DUMMYFUNCTION("""COMPUTED_VALUE"""),"")</f>
        <v/>
      </c>
      <c r="J1200" t="str">
        <f ca="1">IFERROR(__xludf.DUMMYFUNCTION("""COMPUTED_VALUE"""),"")</f>
        <v/>
      </c>
      <c r="K1200" t="str">
        <f ca="1">IFERROR(__xludf.DUMMYFUNCTION("""COMPUTED_VALUE"""),"")</f>
        <v/>
      </c>
      <c r="L1200" t="str">
        <f ca="1">IFERROR(__xludf.DUMMYFUNCTION("""COMPUTED_VALUE"""),"")</f>
        <v/>
      </c>
      <c r="M1200" t="str">
        <f ca="1">IFERROR(__xludf.DUMMYFUNCTION("""COMPUTED_VALUE"""),"")</f>
        <v/>
      </c>
      <c r="N1200" t="str">
        <f ca="1">IFERROR(__xludf.DUMMYFUNCTION("""COMPUTED_VALUE"""),"")</f>
        <v/>
      </c>
      <c r="O1200" t="str">
        <f ca="1">IFERROR(__xludf.DUMMYFUNCTION("""COMPUTED_VALUE"""),"")</f>
        <v/>
      </c>
      <c r="P1200" t="str">
        <f ca="1">IFERROR(__xludf.DUMMYFUNCTION("""COMPUTED_VALUE"""),"")</f>
        <v/>
      </c>
      <c r="Q1200" s="5" t="str">
        <f ca="1">IFERROR(__xludf.DUMMYFUNCTION("""COMPUTED_VALUE"""),"")</f>
        <v/>
      </c>
      <c r="R1200" s="6" t="str">
        <f ca="1">IFERROR(__xludf.DUMMYFUNCTION("""COMPUTED_VALUE"""),"")</f>
        <v/>
      </c>
      <c r="S1200" t="str">
        <f ca="1">IFERROR(__xludf.DUMMYFUNCTION("""COMPUTED_VALUE"""),"")</f>
        <v/>
      </c>
      <c r="T1200" t="str">
        <f ca="1">IFERROR(__xludf.DUMMYFUNCTION("""COMPUTED_VALUE"""),"")</f>
        <v/>
      </c>
      <c r="U1200" t="str">
        <f ca="1">IFERROR(__xludf.DUMMYFUNCTION("""COMPUTED_VALUE"""),"")</f>
        <v/>
      </c>
      <c r="V1200" t="str">
        <f ca="1">IFERROR(__xludf.DUMMYFUNCTION("""COMPUTED_VALUE"""),"")</f>
        <v/>
      </c>
      <c r="W1200" t="str">
        <f ca="1">IFERROR(__xludf.DUMMYFUNCTION("""COMPUTED_VALUE"""),"")</f>
        <v/>
      </c>
      <c r="X1200" t="str">
        <f ca="1">IFERROR(__xludf.DUMMYFUNCTION("""COMPUTED_VALUE"""),"")</f>
        <v/>
      </c>
      <c r="Y1200" t="str">
        <f ca="1">IFERROR(__xludf.DUMMYFUNCTION("""COMPUTED_VALUE"""),"")</f>
        <v/>
      </c>
      <c r="Z1200" t="str">
        <f ca="1">IFERROR(__xludf.DUMMYFUNCTION("""COMPUTED_VALUE"""),"")</f>
        <v/>
      </c>
      <c r="AA1200" t="str">
        <f ca="1">IFERROR(__xludf.DUMMYFUNCTION("""COMPUTED_VALUE"""),"")</f>
        <v/>
      </c>
      <c r="AB1200" s="8" t="str">
        <f ca="1">IFERROR(__xludf.DUMMYFUNCTION("""COMPUTED_VALUE"""),"")</f>
        <v/>
      </c>
      <c r="AC1200" s="8" t="str">
        <f ca="1">IFERROR(__xludf.DUMMYFUNCTION("""COMPUTED_VALUE"""),"")</f>
        <v/>
      </c>
      <c r="AD1200" s="11" t="str">
        <f ca="1">IFERROR(__xludf.DUMMYFUNCTION("""COMPUTED_VALUE"""),"")</f>
        <v/>
      </c>
      <c r="AE1200" t="str">
        <f ca="1">IFERROR(__xludf.DUMMYFUNCTION("""COMPUTED_VALUE"""),"")</f>
        <v/>
      </c>
    </row>
    <row r="1201" spans="1:31" ht="12.75" x14ac:dyDescent="0.2">
      <c r="A1201" t="str">
        <f ca="1">IFERROR(__xludf.DUMMYFUNCTION("""COMPUTED_VALUE"""),"")</f>
        <v/>
      </c>
      <c r="B1201" t="str">
        <f ca="1">IFERROR(__xludf.DUMMYFUNCTION("""COMPUTED_VALUE"""),"")</f>
        <v/>
      </c>
      <c r="C1201" t="str">
        <f ca="1">IFERROR(__xludf.DUMMYFUNCTION("""COMPUTED_VALUE"""),"")</f>
        <v/>
      </c>
      <c r="D1201" t="str">
        <f ca="1">IFERROR(__xludf.DUMMYFUNCTION("""COMPUTED_VALUE"""),"")</f>
        <v/>
      </c>
      <c r="E1201" t="str">
        <f ca="1">IFERROR(__xludf.DUMMYFUNCTION("""COMPUTED_VALUE"""),"")</f>
        <v/>
      </c>
      <c r="F1201" t="str">
        <f ca="1">IFERROR(__xludf.DUMMYFUNCTION("""COMPUTED_VALUE"""),"")</f>
        <v/>
      </c>
      <c r="G1201" t="str">
        <f ca="1">IFERROR(__xludf.DUMMYFUNCTION("""COMPUTED_VALUE"""),"")</f>
        <v/>
      </c>
      <c r="H1201" t="str">
        <f ca="1">IFERROR(__xludf.DUMMYFUNCTION("""COMPUTED_VALUE"""),"")</f>
        <v/>
      </c>
      <c r="I1201" t="str">
        <f ca="1">IFERROR(__xludf.DUMMYFUNCTION("""COMPUTED_VALUE"""),"")</f>
        <v/>
      </c>
      <c r="J1201" t="str">
        <f ca="1">IFERROR(__xludf.DUMMYFUNCTION("""COMPUTED_VALUE"""),"")</f>
        <v/>
      </c>
      <c r="K1201" t="str">
        <f ca="1">IFERROR(__xludf.DUMMYFUNCTION("""COMPUTED_VALUE"""),"")</f>
        <v/>
      </c>
      <c r="L1201" t="str">
        <f ca="1">IFERROR(__xludf.DUMMYFUNCTION("""COMPUTED_VALUE"""),"")</f>
        <v/>
      </c>
      <c r="M1201" t="str">
        <f ca="1">IFERROR(__xludf.DUMMYFUNCTION("""COMPUTED_VALUE"""),"")</f>
        <v/>
      </c>
      <c r="N1201" t="str">
        <f ca="1">IFERROR(__xludf.DUMMYFUNCTION("""COMPUTED_VALUE"""),"")</f>
        <v/>
      </c>
      <c r="O1201" t="str">
        <f ca="1">IFERROR(__xludf.DUMMYFUNCTION("""COMPUTED_VALUE"""),"")</f>
        <v/>
      </c>
      <c r="P1201" t="str">
        <f ca="1">IFERROR(__xludf.DUMMYFUNCTION("""COMPUTED_VALUE"""),"")</f>
        <v/>
      </c>
      <c r="Q1201" s="5" t="str">
        <f ca="1">IFERROR(__xludf.DUMMYFUNCTION("""COMPUTED_VALUE"""),"")</f>
        <v/>
      </c>
      <c r="R1201" s="6" t="str">
        <f ca="1">IFERROR(__xludf.DUMMYFUNCTION("""COMPUTED_VALUE"""),"")</f>
        <v/>
      </c>
      <c r="S1201" t="str">
        <f ca="1">IFERROR(__xludf.DUMMYFUNCTION("""COMPUTED_VALUE"""),"")</f>
        <v/>
      </c>
      <c r="T1201" t="str">
        <f ca="1">IFERROR(__xludf.DUMMYFUNCTION("""COMPUTED_VALUE"""),"")</f>
        <v/>
      </c>
      <c r="U1201" t="str">
        <f ca="1">IFERROR(__xludf.DUMMYFUNCTION("""COMPUTED_VALUE"""),"")</f>
        <v/>
      </c>
      <c r="V1201" t="str">
        <f ca="1">IFERROR(__xludf.DUMMYFUNCTION("""COMPUTED_VALUE"""),"")</f>
        <v/>
      </c>
      <c r="W1201" t="str">
        <f ca="1">IFERROR(__xludf.DUMMYFUNCTION("""COMPUTED_VALUE"""),"")</f>
        <v/>
      </c>
      <c r="X1201" t="str">
        <f ca="1">IFERROR(__xludf.DUMMYFUNCTION("""COMPUTED_VALUE"""),"")</f>
        <v/>
      </c>
      <c r="Y1201" t="str">
        <f ca="1">IFERROR(__xludf.DUMMYFUNCTION("""COMPUTED_VALUE"""),"")</f>
        <v/>
      </c>
      <c r="Z1201" t="str">
        <f ca="1">IFERROR(__xludf.DUMMYFUNCTION("""COMPUTED_VALUE"""),"")</f>
        <v/>
      </c>
      <c r="AA1201" t="str">
        <f ca="1">IFERROR(__xludf.DUMMYFUNCTION("""COMPUTED_VALUE"""),"")</f>
        <v/>
      </c>
      <c r="AB1201" s="8" t="str">
        <f ca="1">IFERROR(__xludf.DUMMYFUNCTION("""COMPUTED_VALUE"""),"")</f>
        <v/>
      </c>
      <c r="AC1201" s="8" t="str">
        <f ca="1">IFERROR(__xludf.DUMMYFUNCTION("""COMPUTED_VALUE"""),"")</f>
        <v/>
      </c>
      <c r="AD1201" s="11" t="str">
        <f ca="1">IFERROR(__xludf.DUMMYFUNCTION("""COMPUTED_VALUE"""),"")</f>
        <v/>
      </c>
      <c r="AE1201" t="str">
        <f ca="1">IFERROR(__xludf.DUMMYFUNCTION("""COMPUTED_VALUE"""),"")</f>
        <v/>
      </c>
    </row>
    <row r="1202" spans="1:31" ht="12.75" x14ac:dyDescent="0.2">
      <c r="A1202" t="str">
        <f ca="1">IFERROR(__xludf.DUMMYFUNCTION("""COMPUTED_VALUE"""),"")</f>
        <v/>
      </c>
      <c r="B1202" t="str">
        <f ca="1">IFERROR(__xludf.DUMMYFUNCTION("""COMPUTED_VALUE"""),"")</f>
        <v/>
      </c>
      <c r="C1202" t="str">
        <f ca="1">IFERROR(__xludf.DUMMYFUNCTION("""COMPUTED_VALUE"""),"")</f>
        <v/>
      </c>
      <c r="D1202" t="str">
        <f ca="1">IFERROR(__xludf.DUMMYFUNCTION("""COMPUTED_VALUE"""),"")</f>
        <v/>
      </c>
      <c r="E1202" t="str">
        <f ca="1">IFERROR(__xludf.DUMMYFUNCTION("""COMPUTED_VALUE"""),"")</f>
        <v/>
      </c>
      <c r="F1202" t="str">
        <f ca="1">IFERROR(__xludf.DUMMYFUNCTION("""COMPUTED_VALUE"""),"")</f>
        <v/>
      </c>
      <c r="G1202" t="str">
        <f ca="1">IFERROR(__xludf.DUMMYFUNCTION("""COMPUTED_VALUE"""),"")</f>
        <v/>
      </c>
      <c r="H1202" t="str">
        <f ca="1">IFERROR(__xludf.DUMMYFUNCTION("""COMPUTED_VALUE"""),"")</f>
        <v/>
      </c>
      <c r="I1202" t="str">
        <f ca="1">IFERROR(__xludf.DUMMYFUNCTION("""COMPUTED_VALUE"""),"")</f>
        <v/>
      </c>
      <c r="J1202" t="str">
        <f ca="1">IFERROR(__xludf.DUMMYFUNCTION("""COMPUTED_VALUE"""),"")</f>
        <v/>
      </c>
      <c r="K1202" t="str">
        <f ca="1">IFERROR(__xludf.DUMMYFUNCTION("""COMPUTED_VALUE"""),"")</f>
        <v/>
      </c>
      <c r="L1202" t="str">
        <f ca="1">IFERROR(__xludf.DUMMYFUNCTION("""COMPUTED_VALUE"""),"")</f>
        <v/>
      </c>
      <c r="M1202" t="str">
        <f ca="1">IFERROR(__xludf.DUMMYFUNCTION("""COMPUTED_VALUE"""),"")</f>
        <v/>
      </c>
      <c r="N1202" t="str">
        <f ca="1">IFERROR(__xludf.DUMMYFUNCTION("""COMPUTED_VALUE"""),"")</f>
        <v/>
      </c>
      <c r="O1202" t="str">
        <f ca="1">IFERROR(__xludf.DUMMYFUNCTION("""COMPUTED_VALUE"""),"")</f>
        <v/>
      </c>
      <c r="P1202" t="str">
        <f ca="1">IFERROR(__xludf.DUMMYFUNCTION("""COMPUTED_VALUE"""),"")</f>
        <v/>
      </c>
      <c r="Q1202" s="5" t="str">
        <f ca="1">IFERROR(__xludf.DUMMYFUNCTION("""COMPUTED_VALUE"""),"")</f>
        <v/>
      </c>
      <c r="R1202" s="6" t="str">
        <f ca="1">IFERROR(__xludf.DUMMYFUNCTION("""COMPUTED_VALUE"""),"")</f>
        <v/>
      </c>
      <c r="S1202" t="str">
        <f ca="1">IFERROR(__xludf.DUMMYFUNCTION("""COMPUTED_VALUE"""),"")</f>
        <v/>
      </c>
      <c r="T1202" t="str">
        <f ca="1">IFERROR(__xludf.DUMMYFUNCTION("""COMPUTED_VALUE"""),"")</f>
        <v/>
      </c>
      <c r="U1202" t="str">
        <f ca="1">IFERROR(__xludf.DUMMYFUNCTION("""COMPUTED_VALUE"""),"")</f>
        <v/>
      </c>
      <c r="V1202" t="str">
        <f ca="1">IFERROR(__xludf.DUMMYFUNCTION("""COMPUTED_VALUE"""),"")</f>
        <v/>
      </c>
      <c r="W1202" t="str">
        <f ca="1">IFERROR(__xludf.DUMMYFUNCTION("""COMPUTED_VALUE"""),"")</f>
        <v/>
      </c>
      <c r="X1202" t="str">
        <f ca="1">IFERROR(__xludf.DUMMYFUNCTION("""COMPUTED_VALUE"""),"")</f>
        <v/>
      </c>
      <c r="Y1202" t="str">
        <f ca="1">IFERROR(__xludf.DUMMYFUNCTION("""COMPUTED_VALUE"""),"")</f>
        <v/>
      </c>
      <c r="Z1202" t="str">
        <f ca="1">IFERROR(__xludf.DUMMYFUNCTION("""COMPUTED_VALUE"""),"")</f>
        <v/>
      </c>
      <c r="AA1202" t="str">
        <f ca="1">IFERROR(__xludf.DUMMYFUNCTION("""COMPUTED_VALUE"""),"")</f>
        <v/>
      </c>
      <c r="AB1202" s="8" t="str">
        <f ca="1">IFERROR(__xludf.DUMMYFUNCTION("""COMPUTED_VALUE"""),"")</f>
        <v/>
      </c>
      <c r="AC1202" s="8" t="str">
        <f ca="1">IFERROR(__xludf.DUMMYFUNCTION("""COMPUTED_VALUE"""),"")</f>
        <v/>
      </c>
      <c r="AD1202" s="11" t="str">
        <f ca="1">IFERROR(__xludf.DUMMYFUNCTION("""COMPUTED_VALUE"""),"")</f>
        <v/>
      </c>
      <c r="AE1202" t="str">
        <f ca="1">IFERROR(__xludf.DUMMYFUNCTION("""COMPUTED_VALUE"""),"")</f>
        <v/>
      </c>
    </row>
    <row r="1203" spans="1:31" ht="12.75" x14ac:dyDescent="0.2">
      <c r="A1203" t="str">
        <f ca="1">IFERROR(__xludf.DUMMYFUNCTION("""COMPUTED_VALUE"""),"")</f>
        <v/>
      </c>
      <c r="B1203" t="str">
        <f ca="1">IFERROR(__xludf.DUMMYFUNCTION("""COMPUTED_VALUE"""),"")</f>
        <v/>
      </c>
      <c r="C1203" t="str">
        <f ca="1">IFERROR(__xludf.DUMMYFUNCTION("""COMPUTED_VALUE"""),"")</f>
        <v/>
      </c>
      <c r="D1203" t="str">
        <f ca="1">IFERROR(__xludf.DUMMYFUNCTION("""COMPUTED_VALUE"""),"")</f>
        <v/>
      </c>
      <c r="E1203" t="str">
        <f ca="1">IFERROR(__xludf.DUMMYFUNCTION("""COMPUTED_VALUE"""),"")</f>
        <v/>
      </c>
      <c r="F1203" t="str">
        <f ca="1">IFERROR(__xludf.DUMMYFUNCTION("""COMPUTED_VALUE"""),"")</f>
        <v/>
      </c>
      <c r="G1203" t="str">
        <f ca="1">IFERROR(__xludf.DUMMYFUNCTION("""COMPUTED_VALUE"""),"")</f>
        <v/>
      </c>
      <c r="H1203" t="str">
        <f ca="1">IFERROR(__xludf.DUMMYFUNCTION("""COMPUTED_VALUE"""),"")</f>
        <v/>
      </c>
      <c r="I1203" t="str">
        <f ca="1">IFERROR(__xludf.DUMMYFUNCTION("""COMPUTED_VALUE"""),"")</f>
        <v/>
      </c>
      <c r="J1203" t="str">
        <f ca="1">IFERROR(__xludf.DUMMYFUNCTION("""COMPUTED_VALUE"""),"")</f>
        <v/>
      </c>
      <c r="K1203" t="str">
        <f ca="1">IFERROR(__xludf.DUMMYFUNCTION("""COMPUTED_VALUE"""),"")</f>
        <v/>
      </c>
      <c r="L1203" t="str">
        <f ca="1">IFERROR(__xludf.DUMMYFUNCTION("""COMPUTED_VALUE"""),"")</f>
        <v/>
      </c>
      <c r="M1203" t="str">
        <f ca="1">IFERROR(__xludf.DUMMYFUNCTION("""COMPUTED_VALUE"""),"")</f>
        <v/>
      </c>
      <c r="N1203" t="str">
        <f ca="1">IFERROR(__xludf.DUMMYFUNCTION("""COMPUTED_VALUE"""),"")</f>
        <v/>
      </c>
      <c r="O1203" t="str">
        <f ca="1">IFERROR(__xludf.DUMMYFUNCTION("""COMPUTED_VALUE"""),"")</f>
        <v/>
      </c>
      <c r="P1203" t="str">
        <f ca="1">IFERROR(__xludf.DUMMYFUNCTION("""COMPUTED_VALUE"""),"")</f>
        <v/>
      </c>
      <c r="Q1203" s="5" t="str">
        <f ca="1">IFERROR(__xludf.DUMMYFUNCTION("""COMPUTED_VALUE"""),"")</f>
        <v/>
      </c>
      <c r="R1203" s="6" t="str">
        <f ca="1">IFERROR(__xludf.DUMMYFUNCTION("""COMPUTED_VALUE"""),"")</f>
        <v/>
      </c>
      <c r="S1203" t="str">
        <f ca="1">IFERROR(__xludf.DUMMYFUNCTION("""COMPUTED_VALUE"""),"")</f>
        <v/>
      </c>
      <c r="T1203" t="str">
        <f ca="1">IFERROR(__xludf.DUMMYFUNCTION("""COMPUTED_VALUE"""),"")</f>
        <v/>
      </c>
      <c r="U1203" t="str">
        <f ca="1">IFERROR(__xludf.DUMMYFUNCTION("""COMPUTED_VALUE"""),"")</f>
        <v/>
      </c>
      <c r="V1203" t="str">
        <f ca="1">IFERROR(__xludf.DUMMYFUNCTION("""COMPUTED_VALUE"""),"")</f>
        <v/>
      </c>
      <c r="W1203" t="str">
        <f ca="1">IFERROR(__xludf.DUMMYFUNCTION("""COMPUTED_VALUE"""),"")</f>
        <v/>
      </c>
      <c r="X1203" t="str">
        <f ca="1">IFERROR(__xludf.DUMMYFUNCTION("""COMPUTED_VALUE"""),"")</f>
        <v/>
      </c>
      <c r="Y1203" t="str">
        <f ca="1">IFERROR(__xludf.DUMMYFUNCTION("""COMPUTED_VALUE"""),"")</f>
        <v/>
      </c>
      <c r="Z1203" t="str">
        <f ca="1">IFERROR(__xludf.DUMMYFUNCTION("""COMPUTED_VALUE"""),"")</f>
        <v/>
      </c>
      <c r="AA1203" t="str">
        <f ca="1">IFERROR(__xludf.DUMMYFUNCTION("""COMPUTED_VALUE"""),"")</f>
        <v/>
      </c>
      <c r="AB1203" s="8" t="str">
        <f ca="1">IFERROR(__xludf.DUMMYFUNCTION("""COMPUTED_VALUE"""),"")</f>
        <v/>
      </c>
      <c r="AC1203" s="8" t="str">
        <f ca="1">IFERROR(__xludf.DUMMYFUNCTION("""COMPUTED_VALUE"""),"")</f>
        <v/>
      </c>
      <c r="AD1203" s="11" t="str">
        <f ca="1">IFERROR(__xludf.DUMMYFUNCTION("""COMPUTED_VALUE"""),"")</f>
        <v/>
      </c>
      <c r="AE1203" t="str">
        <f ca="1">IFERROR(__xludf.DUMMYFUNCTION("""COMPUTED_VALUE"""),"")</f>
        <v/>
      </c>
    </row>
    <row r="1204" spans="1:31" ht="12.75" x14ac:dyDescent="0.2">
      <c r="A1204" t="str">
        <f ca="1">IFERROR(__xludf.DUMMYFUNCTION("""COMPUTED_VALUE"""),"")</f>
        <v/>
      </c>
      <c r="B1204" t="str">
        <f ca="1">IFERROR(__xludf.DUMMYFUNCTION("""COMPUTED_VALUE"""),"")</f>
        <v/>
      </c>
      <c r="C1204" t="str">
        <f ca="1">IFERROR(__xludf.DUMMYFUNCTION("""COMPUTED_VALUE"""),"")</f>
        <v/>
      </c>
      <c r="D1204" t="str">
        <f ca="1">IFERROR(__xludf.DUMMYFUNCTION("""COMPUTED_VALUE"""),"")</f>
        <v/>
      </c>
      <c r="E1204" t="str">
        <f ca="1">IFERROR(__xludf.DUMMYFUNCTION("""COMPUTED_VALUE"""),"")</f>
        <v/>
      </c>
      <c r="F1204" t="str">
        <f ca="1">IFERROR(__xludf.DUMMYFUNCTION("""COMPUTED_VALUE"""),"")</f>
        <v/>
      </c>
      <c r="G1204" t="str">
        <f ca="1">IFERROR(__xludf.DUMMYFUNCTION("""COMPUTED_VALUE"""),"")</f>
        <v/>
      </c>
      <c r="H1204" t="str">
        <f ca="1">IFERROR(__xludf.DUMMYFUNCTION("""COMPUTED_VALUE"""),"")</f>
        <v/>
      </c>
      <c r="I1204" t="str">
        <f ca="1">IFERROR(__xludf.DUMMYFUNCTION("""COMPUTED_VALUE"""),"")</f>
        <v/>
      </c>
      <c r="J1204" t="str">
        <f ca="1">IFERROR(__xludf.DUMMYFUNCTION("""COMPUTED_VALUE"""),"")</f>
        <v/>
      </c>
      <c r="K1204" t="str">
        <f ca="1">IFERROR(__xludf.DUMMYFUNCTION("""COMPUTED_VALUE"""),"")</f>
        <v/>
      </c>
      <c r="L1204" t="str">
        <f ca="1">IFERROR(__xludf.DUMMYFUNCTION("""COMPUTED_VALUE"""),"")</f>
        <v/>
      </c>
      <c r="M1204" t="str">
        <f ca="1">IFERROR(__xludf.DUMMYFUNCTION("""COMPUTED_VALUE"""),"")</f>
        <v/>
      </c>
      <c r="N1204" t="str">
        <f ca="1">IFERROR(__xludf.DUMMYFUNCTION("""COMPUTED_VALUE"""),"")</f>
        <v/>
      </c>
      <c r="O1204" t="str">
        <f ca="1">IFERROR(__xludf.DUMMYFUNCTION("""COMPUTED_VALUE"""),"")</f>
        <v/>
      </c>
      <c r="P1204" t="str">
        <f ca="1">IFERROR(__xludf.DUMMYFUNCTION("""COMPUTED_VALUE"""),"")</f>
        <v/>
      </c>
      <c r="Q1204" s="5" t="str">
        <f ca="1">IFERROR(__xludf.DUMMYFUNCTION("""COMPUTED_VALUE"""),"")</f>
        <v/>
      </c>
      <c r="R1204" s="6" t="str">
        <f ca="1">IFERROR(__xludf.DUMMYFUNCTION("""COMPUTED_VALUE"""),"")</f>
        <v/>
      </c>
      <c r="S1204" t="str">
        <f ca="1">IFERROR(__xludf.DUMMYFUNCTION("""COMPUTED_VALUE"""),"")</f>
        <v/>
      </c>
      <c r="T1204" t="str">
        <f ca="1">IFERROR(__xludf.DUMMYFUNCTION("""COMPUTED_VALUE"""),"")</f>
        <v/>
      </c>
      <c r="U1204" t="str">
        <f ca="1">IFERROR(__xludf.DUMMYFUNCTION("""COMPUTED_VALUE"""),"")</f>
        <v/>
      </c>
      <c r="V1204" t="str">
        <f ca="1">IFERROR(__xludf.DUMMYFUNCTION("""COMPUTED_VALUE"""),"")</f>
        <v/>
      </c>
      <c r="W1204" t="str">
        <f ca="1">IFERROR(__xludf.DUMMYFUNCTION("""COMPUTED_VALUE"""),"")</f>
        <v/>
      </c>
      <c r="X1204" t="str">
        <f ca="1">IFERROR(__xludf.DUMMYFUNCTION("""COMPUTED_VALUE"""),"")</f>
        <v/>
      </c>
      <c r="Y1204" t="str">
        <f ca="1">IFERROR(__xludf.DUMMYFUNCTION("""COMPUTED_VALUE"""),"")</f>
        <v/>
      </c>
      <c r="Z1204" t="str">
        <f ca="1">IFERROR(__xludf.DUMMYFUNCTION("""COMPUTED_VALUE"""),"")</f>
        <v/>
      </c>
      <c r="AA1204" t="str">
        <f ca="1">IFERROR(__xludf.DUMMYFUNCTION("""COMPUTED_VALUE"""),"")</f>
        <v/>
      </c>
      <c r="AB1204" s="8" t="str">
        <f ca="1">IFERROR(__xludf.DUMMYFUNCTION("""COMPUTED_VALUE"""),"")</f>
        <v/>
      </c>
      <c r="AC1204" s="8" t="str">
        <f ca="1">IFERROR(__xludf.DUMMYFUNCTION("""COMPUTED_VALUE"""),"")</f>
        <v/>
      </c>
      <c r="AD1204" s="11" t="str">
        <f ca="1">IFERROR(__xludf.DUMMYFUNCTION("""COMPUTED_VALUE"""),"")</f>
        <v/>
      </c>
      <c r="AE1204" t="str">
        <f ca="1">IFERROR(__xludf.DUMMYFUNCTION("""COMPUTED_VALUE"""),"")</f>
        <v/>
      </c>
    </row>
    <row r="1205" spans="1:31" ht="12.75" x14ac:dyDescent="0.2">
      <c r="A1205" t="str">
        <f ca="1">IFERROR(__xludf.DUMMYFUNCTION("""COMPUTED_VALUE"""),"")</f>
        <v/>
      </c>
      <c r="B1205" t="str">
        <f ca="1">IFERROR(__xludf.DUMMYFUNCTION("""COMPUTED_VALUE"""),"")</f>
        <v/>
      </c>
      <c r="C1205" t="str">
        <f ca="1">IFERROR(__xludf.DUMMYFUNCTION("""COMPUTED_VALUE"""),"")</f>
        <v/>
      </c>
      <c r="D1205" t="str">
        <f ca="1">IFERROR(__xludf.DUMMYFUNCTION("""COMPUTED_VALUE"""),"")</f>
        <v/>
      </c>
      <c r="E1205" t="str">
        <f ca="1">IFERROR(__xludf.DUMMYFUNCTION("""COMPUTED_VALUE"""),"")</f>
        <v/>
      </c>
      <c r="F1205" t="str">
        <f ca="1">IFERROR(__xludf.DUMMYFUNCTION("""COMPUTED_VALUE"""),"")</f>
        <v/>
      </c>
      <c r="G1205" t="str">
        <f ca="1">IFERROR(__xludf.DUMMYFUNCTION("""COMPUTED_VALUE"""),"")</f>
        <v/>
      </c>
      <c r="H1205" t="str">
        <f ca="1">IFERROR(__xludf.DUMMYFUNCTION("""COMPUTED_VALUE"""),"")</f>
        <v/>
      </c>
      <c r="I1205" t="str">
        <f ca="1">IFERROR(__xludf.DUMMYFUNCTION("""COMPUTED_VALUE"""),"")</f>
        <v/>
      </c>
      <c r="J1205" t="str">
        <f ca="1">IFERROR(__xludf.DUMMYFUNCTION("""COMPUTED_VALUE"""),"")</f>
        <v/>
      </c>
      <c r="K1205" t="str">
        <f ca="1">IFERROR(__xludf.DUMMYFUNCTION("""COMPUTED_VALUE"""),"")</f>
        <v/>
      </c>
      <c r="L1205" t="str">
        <f ca="1">IFERROR(__xludf.DUMMYFUNCTION("""COMPUTED_VALUE"""),"")</f>
        <v/>
      </c>
      <c r="M1205" t="str">
        <f ca="1">IFERROR(__xludf.DUMMYFUNCTION("""COMPUTED_VALUE"""),"")</f>
        <v/>
      </c>
      <c r="N1205" t="str">
        <f ca="1">IFERROR(__xludf.DUMMYFUNCTION("""COMPUTED_VALUE"""),"")</f>
        <v/>
      </c>
      <c r="O1205" t="str">
        <f ca="1">IFERROR(__xludf.DUMMYFUNCTION("""COMPUTED_VALUE"""),"")</f>
        <v/>
      </c>
      <c r="P1205" t="str">
        <f ca="1">IFERROR(__xludf.DUMMYFUNCTION("""COMPUTED_VALUE"""),"")</f>
        <v/>
      </c>
      <c r="Q1205" s="5" t="str">
        <f ca="1">IFERROR(__xludf.DUMMYFUNCTION("""COMPUTED_VALUE"""),"")</f>
        <v/>
      </c>
      <c r="R1205" s="6" t="str">
        <f ca="1">IFERROR(__xludf.DUMMYFUNCTION("""COMPUTED_VALUE"""),"")</f>
        <v/>
      </c>
      <c r="S1205" t="str">
        <f ca="1">IFERROR(__xludf.DUMMYFUNCTION("""COMPUTED_VALUE"""),"")</f>
        <v/>
      </c>
      <c r="T1205" t="str">
        <f ca="1">IFERROR(__xludf.DUMMYFUNCTION("""COMPUTED_VALUE"""),"")</f>
        <v/>
      </c>
      <c r="U1205" t="str">
        <f ca="1">IFERROR(__xludf.DUMMYFUNCTION("""COMPUTED_VALUE"""),"")</f>
        <v/>
      </c>
      <c r="V1205" t="str">
        <f ca="1">IFERROR(__xludf.DUMMYFUNCTION("""COMPUTED_VALUE"""),"")</f>
        <v/>
      </c>
      <c r="W1205" t="str">
        <f ca="1">IFERROR(__xludf.DUMMYFUNCTION("""COMPUTED_VALUE"""),"")</f>
        <v/>
      </c>
      <c r="X1205" t="str">
        <f ca="1">IFERROR(__xludf.DUMMYFUNCTION("""COMPUTED_VALUE"""),"")</f>
        <v/>
      </c>
      <c r="Y1205" t="str">
        <f ca="1">IFERROR(__xludf.DUMMYFUNCTION("""COMPUTED_VALUE"""),"")</f>
        <v/>
      </c>
      <c r="Z1205" t="str">
        <f ca="1">IFERROR(__xludf.DUMMYFUNCTION("""COMPUTED_VALUE"""),"")</f>
        <v/>
      </c>
      <c r="AA1205" t="str">
        <f ca="1">IFERROR(__xludf.DUMMYFUNCTION("""COMPUTED_VALUE"""),"")</f>
        <v/>
      </c>
      <c r="AB1205" s="8" t="str">
        <f ca="1">IFERROR(__xludf.DUMMYFUNCTION("""COMPUTED_VALUE"""),"")</f>
        <v/>
      </c>
      <c r="AC1205" s="8" t="str">
        <f ca="1">IFERROR(__xludf.DUMMYFUNCTION("""COMPUTED_VALUE"""),"")</f>
        <v/>
      </c>
      <c r="AD1205" s="11" t="str">
        <f ca="1">IFERROR(__xludf.DUMMYFUNCTION("""COMPUTED_VALUE"""),"")</f>
        <v/>
      </c>
      <c r="AE1205" t="str">
        <f ca="1">IFERROR(__xludf.DUMMYFUNCTION("""COMPUTED_VALUE"""),"")</f>
        <v/>
      </c>
    </row>
    <row r="1206" spans="1:31" ht="12.75" x14ac:dyDescent="0.2">
      <c r="A1206" t="str">
        <f ca="1">IFERROR(__xludf.DUMMYFUNCTION("""COMPUTED_VALUE"""),"")</f>
        <v/>
      </c>
      <c r="B1206" t="str">
        <f ca="1">IFERROR(__xludf.DUMMYFUNCTION("""COMPUTED_VALUE"""),"")</f>
        <v/>
      </c>
      <c r="C1206" t="str">
        <f ca="1">IFERROR(__xludf.DUMMYFUNCTION("""COMPUTED_VALUE"""),"")</f>
        <v/>
      </c>
      <c r="D1206" t="str">
        <f ca="1">IFERROR(__xludf.DUMMYFUNCTION("""COMPUTED_VALUE"""),"")</f>
        <v/>
      </c>
      <c r="E1206" t="str">
        <f ca="1">IFERROR(__xludf.DUMMYFUNCTION("""COMPUTED_VALUE"""),"")</f>
        <v/>
      </c>
      <c r="F1206" t="str">
        <f ca="1">IFERROR(__xludf.DUMMYFUNCTION("""COMPUTED_VALUE"""),"")</f>
        <v/>
      </c>
      <c r="G1206" t="str">
        <f ca="1">IFERROR(__xludf.DUMMYFUNCTION("""COMPUTED_VALUE"""),"")</f>
        <v/>
      </c>
      <c r="H1206" t="str">
        <f ca="1">IFERROR(__xludf.DUMMYFUNCTION("""COMPUTED_VALUE"""),"")</f>
        <v/>
      </c>
      <c r="I1206" t="str">
        <f ca="1">IFERROR(__xludf.DUMMYFUNCTION("""COMPUTED_VALUE"""),"")</f>
        <v/>
      </c>
      <c r="J1206" t="str">
        <f ca="1">IFERROR(__xludf.DUMMYFUNCTION("""COMPUTED_VALUE"""),"")</f>
        <v/>
      </c>
      <c r="K1206" t="str">
        <f ca="1">IFERROR(__xludf.DUMMYFUNCTION("""COMPUTED_VALUE"""),"")</f>
        <v/>
      </c>
      <c r="L1206" t="str">
        <f ca="1">IFERROR(__xludf.DUMMYFUNCTION("""COMPUTED_VALUE"""),"")</f>
        <v/>
      </c>
      <c r="M1206" t="str">
        <f ca="1">IFERROR(__xludf.DUMMYFUNCTION("""COMPUTED_VALUE"""),"")</f>
        <v/>
      </c>
      <c r="N1206" t="str">
        <f ca="1">IFERROR(__xludf.DUMMYFUNCTION("""COMPUTED_VALUE"""),"")</f>
        <v/>
      </c>
      <c r="O1206" t="str">
        <f ca="1">IFERROR(__xludf.DUMMYFUNCTION("""COMPUTED_VALUE"""),"")</f>
        <v/>
      </c>
      <c r="P1206" t="str">
        <f ca="1">IFERROR(__xludf.DUMMYFUNCTION("""COMPUTED_VALUE"""),"")</f>
        <v/>
      </c>
      <c r="Q1206" s="5" t="str">
        <f ca="1">IFERROR(__xludf.DUMMYFUNCTION("""COMPUTED_VALUE"""),"")</f>
        <v/>
      </c>
      <c r="R1206" s="6" t="str">
        <f ca="1">IFERROR(__xludf.DUMMYFUNCTION("""COMPUTED_VALUE"""),"")</f>
        <v/>
      </c>
      <c r="S1206" t="str">
        <f ca="1">IFERROR(__xludf.DUMMYFUNCTION("""COMPUTED_VALUE"""),"")</f>
        <v/>
      </c>
      <c r="T1206" t="str">
        <f ca="1">IFERROR(__xludf.DUMMYFUNCTION("""COMPUTED_VALUE"""),"")</f>
        <v/>
      </c>
      <c r="U1206" t="str">
        <f ca="1">IFERROR(__xludf.DUMMYFUNCTION("""COMPUTED_VALUE"""),"")</f>
        <v/>
      </c>
      <c r="V1206" t="str">
        <f ca="1">IFERROR(__xludf.DUMMYFUNCTION("""COMPUTED_VALUE"""),"")</f>
        <v/>
      </c>
      <c r="W1206" t="str">
        <f ca="1">IFERROR(__xludf.DUMMYFUNCTION("""COMPUTED_VALUE"""),"")</f>
        <v/>
      </c>
      <c r="X1206" t="str">
        <f ca="1">IFERROR(__xludf.DUMMYFUNCTION("""COMPUTED_VALUE"""),"")</f>
        <v/>
      </c>
      <c r="Y1206" t="str">
        <f ca="1">IFERROR(__xludf.DUMMYFUNCTION("""COMPUTED_VALUE"""),"")</f>
        <v/>
      </c>
      <c r="Z1206" t="str">
        <f ca="1">IFERROR(__xludf.DUMMYFUNCTION("""COMPUTED_VALUE"""),"")</f>
        <v/>
      </c>
      <c r="AA1206" t="str">
        <f ca="1">IFERROR(__xludf.DUMMYFUNCTION("""COMPUTED_VALUE"""),"")</f>
        <v/>
      </c>
      <c r="AB1206" s="8" t="str">
        <f ca="1">IFERROR(__xludf.DUMMYFUNCTION("""COMPUTED_VALUE"""),"")</f>
        <v/>
      </c>
      <c r="AC1206" s="8" t="str">
        <f ca="1">IFERROR(__xludf.DUMMYFUNCTION("""COMPUTED_VALUE"""),"")</f>
        <v/>
      </c>
      <c r="AD1206" s="11" t="str">
        <f ca="1">IFERROR(__xludf.DUMMYFUNCTION("""COMPUTED_VALUE"""),"")</f>
        <v/>
      </c>
      <c r="AE1206" t="str">
        <f ca="1">IFERROR(__xludf.DUMMYFUNCTION("""COMPUTED_VALUE"""),"")</f>
        <v/>
      </c>
    </row>
    <row r="1207" spans="1:31" ht="12.75" x14ac:dyDescent="0.2">
      <c r="A1207" t="str">
        <f ca="1">IFERROR(__xludf.DUMMYFUNCTION("""COMPUTED_VALUE"""),"")</f>
        <v/>
      </c>
      <c r="B1207" t="str">
        <f ca="1">IFERROR(__xludf.DUMMYFUNCTION("""COMPUTED_VALUE"""),"")</f>
        <v/>
      </c>
      <c r="C1207" t="str">
        <f ca="1">IFERROR(__xludf.DUMMYFUNCTION("""COMPUTED_VALUE"""),"")</f>
        <v/>
      </c>
      <c r="D1207" t="str">
        <f ca="1">IFERROR(__xludf.DUMMYFUNCTION("""COMPUTED_VALUE"""),"")</f>
        <v/>
      </c>
      <c r="E1207" t="str">
        <f ca="1">IFERROR(__xludf.DUMMYFUNCTION("""COMPUTED_VALUE"""),"")</f>
        <v/>
      </c>
      <c r="F1207" t="str">
        <f ca="1">IFERROR(__xludf.DUMMYFUNCTION("""COMPUTED_VALUE"""),"")</f>
        <v/>
      </c>
      <c r="G1207" t="str">
        <f ca="1">IFERROR(__xludf.DUMMYFUNCTION("""COMPUTED_VALUE"""),"")</f>
        <v/>
      </c>
      <c r="H1207" t="str">
        <f ca="1">IFERROR(__xludf.DUMMYFUNCTION("""COMPUTED_VALUE"""),"")</f>
        <v/>
      </c>
      <c r="I1207" t="str">
        <f ca="1">IFERROR(__xludf.DUMMYFUNCTION("""COMPUTED_VALUE"""),"")</f>
        <v/>
      </c>
      <c r="J1207" t="str">
        <f ca="1">IFERROR(__xludf.DUMMYFUNCTION("""COMPUTED_VALUE"""),"")</f>
        <v/>
      </c>
      <c r="K1207" t="str">
        <f ca="1">IFERROR(__xludf.DUMMYFUNCTION("""COMPUTED_VALUE"""),"")</f>
        <v/>
      </c>
      <c r="L1207" t="str">
        <f ca="1">IFERROR(__xludf.DUMMYFUNCTION("""COMPUTED_VALUE"""),"")</f>
        <v/>
      </c>
      <c r="M1207" t="str">
        <f ca="1">IFERROR(__xludf.DUMMYFUNCTION("""COMPUTED_VALUE"""),"")</f>
        <v/>
      </c>
      <c r="N1207" t="str">
        <f ca="1">IFERROR(__xludf.DUMMYFUNCTION("""COMPUTED_VALUE"""),"")</f>
        <v/>
      </c>
      <c r="O1207" t="str">
        <f ca="1">IFERROR(__xludf.DUMMYFUNCTION("""COMPUTED_VALUE"""),"")</f>
        <v/>
      </c>
      <c r="P1207" t="str">
        <f ca="1">IFERROR(__xludf.DUMMYFUNCTION("""COMPUTED_VALUE"""),"")</f>
        <v/>
      </c>
      <c r="Q1207" s="5" t="str">
        <f ca="1">IFERROR(__xludf.DUMMYFUNCTION("""COMPUTED_VALUE"""),"")</f>
        <v/>
      </c>
      <c r="R1207" s="6" t="str">
        <f ca="1">IFERROR(__xludf.DUMMYFUNCTION("""COMPUTED_VALUE"""),"")</f>
        <v/>
      </c>
      <c r="S1207" t="str">
        <f ca="1">IFERROR(__xludf.DUMMYFUNCTION("""COMPUTED_VALUE"""),"")</f>
        <v/>
      </c>
      <c r="T1207" t="str">
        <f ca="1">IFERROR(__xludf.DUMMYFUNCTION("""COMPUTED_VALUE"""),"")</f>
        <v/>
      </c>
      <c r="U1207" t="str">
        <f ca="1">IFERROR(__xludf.DUMMYFUNCTION("""COMPUTED_VALUE"""),"")</f>
        <v/>
      </c>
      <c r="V1207" t="str">
        <f ca="1">IFERROR(__xludf.DUMMYFUNCTION("""COMPUTED_VALUE"""),"")</f>
        <v/>
      </c>
      <c r="W1207" t="str">
        <f ca="1">IFERROR(__xludf.DUMMYFUNCTION("""COMPUTED_VALUE"""),"")</f>
        <v/>
      </c>
      <c r="X1207" t="str">
        <f ca="1">IFERROR(__xludf.DUMMYFUNCTION("""COMPUTED_VALUE"""),"")</f>
        <v/>
      </c>
      <c r="Y1207" t="str">
        <f ca="1">IFERROR(__xludf.DUMMYFUNCTION("""COMPUTED_VALUE"""),"")</f>
        <v/>
      </c>
      <c r="Z1207" t="str">
        <f ca="1">IFERROR(__xludf.DUMMYFUNCTION("""COMPUTED_VALUE"""),"")</f>
        <v/>
      </c>
      <c r="AA1207" t="str">
        <f ca="1">IFERROR(__xludf.DUMMYFUNCTION("""COMPUTED_VALUE"""),"")</f>
        <v/>
      </c>
      <c r="AB1207" s="8" t="str">
        <f ca="1">IFERROR(__xludf.DUMMYFUNCTION("""COMPUTED_VALUE"""),"")</f>
        <v/>
      </c>
      <c r="AC1207" s="8" t="str">
        <f ca="1">IFERROR(__xludf.DUMMYFUNCTION("""COMPUTED_VALUE"""),"")</f>
        <v/>
      </c>
      <c r="AD1207" s="11" t="str">
        <f ca="1">IFERROR(__xludf.DUMMYFUNCTION("""COMPUTED_VALUE"""),"")</f>
        <v/>
      </c>
      <c r="AE1207" t="str">
        <f ca="1">IFERROR(__xludf.DUMMYFUNCTION("""COMPUTED_VALUE"""),"")</f>
        <v/>
      </c>
    </row>
    <row r="1208" spans="1:31" ht="12.75" x14ac:dyDescent="0.2">
      <c r="A1208" t="str">
        <f ca="1">IFERROR(__xludf.DUMMYFUNCTION("""COMPUTED_VALUE"""),"")</f>
        <v/>
      </c>
      <c r="B1208" t="str">
        <f ca="1">IFERROR(__xludf.DUMMYFUNCTION("""COMPUTED_VALUE"""),"")</f>
        <v/>
      </c>
      <c r="C1208" t="str">
        <f ca="1">IFERROR(__xludf.DUMMYFUNCTION("""COMPUTED_VALUE"""),"")</f>
        <v/>
      </c>
      <c r="D1208" t="str">
        <f ca="1">IFERROR(__xludf.DUMMYFUNCTION("""COMPUTED_VALUE"""),"")</f>
        <v/>
      </c>
      <c r="E1208" t="str">
        <f ca="1">IFERROR(__xludf.DUMMYFUNCTION("""COMPUTED_VALUE"""),"")</f>
        <v/>
      </c>
      <c r="F1208" t="str">
        <f ca="1">IFERROR(__xludf.DUMMYFUNCTION("""COMPUTED_VALUE"""),"")</f>
        <v/>
      </c>
      <c r="G1208" t="str">
        <f ca="1">IFERROR(__xludf.DUMMYFUNCTION("""COMPUTED_VALUE"""),"")</f>
        <v/>
      </c>
      <c r="H1208" t="str">
        <f ca="1">IFERROR(__xludf.DUMMYFUNCTION("""COMPUTED_VALUE"""),"")</f>
        <v/>
      </c>
      <c r="I1208" t="str">
        <f ca="1">IFERROR(__xludf.DUMMYFUNCTION("""COMPUTED_VALUE"""),"")</f>
        <v/>
      </c>
      <c r="J1208" t="str">
        <f ca="1">IFERROR(__xludf.DUMMYFUNCTION("""COMPUTED_VALUE"""),"")</f>
        <v/>
      </c>
      <c r="K1208" t="str">
        <f ca="1">IFERROR(__xludf.DUMMYFUNCTION("""COMPUTED_VALUE"""),"")</f>
        <v/>
      </c>
      <c r="L1208" t="str">
        <f ca="1">IFERROR(__xludf.DUMMYFUNCTION("""COMPUTED_VALUE"""),"")</f>
        <v/>
      </c>
      <c r="M1208" t="str">
        <f ca="1">IFERROR(__xludf.DUMMYFUNCTION("""COMPUTED_VALUE"""),"")</f>
        <v/>
      </c>
      <c r="N1208" t="str">
        <f ca="1">IFERROR(__xludf.DUMMYFUNCTION("""COMPUTED_VALUE"""),"")</f>
        <v/>
      </c>
      <c r="O1208" t="str">
        <f ca="1">IFERROR(__xludf.DUMMYFUNCTION("""COMPUTED_VALUE"""),"")</f>
        <v/>
      </c>
      <c r="P1208" t="str">
        <f ca="1">IFERROR(__xludf.DUMMYFUNCTION("""COMPUTED_VALUE"""),"")</f>
        <v/>
      </c>
      <c r="Q1208" s="5" t="str">
        <f ca="1">IFERROR(__xludf.DUMMYFUNCTION("""COMPUTED_VALUE"""),"")</f>
        <v/>
      </c>
      <c r="R1208" s="6" t="str">
        <f ca="1">IFERROR(__xludf.DUMMYFUNCTION("""COMPUTED_VALUE"""),"")</f>
        <v/>
      </c>
      <c r="S1208" t="str">
        <f ca="1">IFERROR(__xludf.DUMMYFUNCTION("""COMPUTED_VALUE"""),"")</f>
        <v/>
      </c>
      <c r="T1208" t="str">
        <f ca="1">IFERROR(__xludf.DUMMYFUNCTION("""COMPUTED_VALUE"""),"")</f>
        <v/>
      </c>
      <c r="U1208" t="str">
        <f ca="1">IFERROR(__xludf.DUMMYFUNCTION("""COMPUTED_VALUE"""),"")</f>
        <v/>
      </c>
      <c r="V1208" t="str">
        <f ca="1">IFERROR(__xludf.DUMMYFUNCTION("""COMPUTED_VALUE"""),"")</f>
        <v/>
      </c>
      <c r="W1208" t="str">
        <f ca="1">IFERROR(__xludf.DUMMYFUNCTION("""COMPUTED_VALUE"""),"")</f>
        <v/>
      </c>
      <c r="X1208" t="str">
        <f ca="1">IFERROR(__xludf.DUMMYFUNCTION("""COMPUTED_VALUE"""),"")</f>
        <v/>
      </c>
      <c r="Y1208" t="str">
        <f ca="1">IFERROR(__xludf.DUMMYFUNCTION("""COMPUTED_VALUE"""),"")</f>
        <v/>
      </c>
      <c r="Z1208" t="str">
        <f ca="1">IFERROR(__xludf.DUMMYFUNCTION("""COMPUTED_VALUE"""),"")</f>
        <v/>
      </c>
      <c r="AA1208" t="str">
        <f ca="1">IFERROR(__xludf.DUMMYFUNCTION("""COMPUTED_VALUE"""),"")</f>
        <v/>
      </c>
      <c r="AB1208" s="8" t="str">
        <f ca="1">IFERROR(__xludf.DUMMYFUNCTION("""COMPUTED_VALUE"""),"")</f>
        <v/>
      </c>
      <c r="AC1208" s="8" t="str">
        <f ca="1">IFERROR(__xludf.DUMMYFUNCTION("""COMPUTED_VALUE"""),"")</f>
        <v/>
      </c>
      <c r="AD1208" s="11" t="str">
        <f ca="1">IFERROR(__xludf.DUMMYFUNCTION("""COMPUTED_VALUE"""),"")</f>
        <v/>
      </c>
      <c r="AE1208" t="str">
        <f ca="1">IFERROR(__xludf.DUMMYFUNCTION("""COMPUTED_VALUE"""),"")</f>
        <v/>
      </c>
    </row>
    <row r="1209" spans="1:31" ht="12.75" x14ac:dyDescent="0.2">
      <c r="A1209" t="str">
        <f ca="1">IFERROR(__xludf.DUMMYFUNCTION("""COMPUTED_VALUE"""),"")</f>
        <v/>
      </c>
      <c r="B1209" t="str">
        <f ca="1">IFERROR(__xludf.DUMMYFUNCTION("""COMPUTED_VALUE"""),"")</f>
        <v/>
      </c>
      <c r="C1209" t="str">
        <f ca="1">IFERROR(__xludf.DUMMYFUNCTION("""COMPUTED_VALUE"""),"")</f>
        <v/>
      </c>
      <c r="D1209" t="str">
        <f ca="1">IFERROR(__xludf.DUMMYFUNCTION("""COMPUTED_VALUE"""),"")</f>
        <v/>
      </c>
      <c r="E1209" t="str">
        <f ca="1">IFERROR(__xludf.DUMMYFUNCTION("""COMPUTED_VALUE"""),"")</f>
        <v/>
      </c>
      <c r="F1209" t="str">
        <f ca="1">IFERROR(__xludf.DUMMYFUNCTION("""COMPUTED_VALUE"""),"")</f>
        <v/>
      </c>
      <c r="G1209" t="str">
        <f ca="1">IFERROR(__xludf.DUMMYFUNCTION("""COMPUTED_VALUE"""),"")</f>
        <v/>
      </c>
      <c r="H1209" t="str">
        <f ca="1">IFERROR(__xludf.DUMMYFUNCTION("""COMPUTED_VALUE"""),"")</f>
        <v/>
      </c>
      <c r="I1209" t="str">
        <f ca="1">IFERROR(__xludf.DUMMYFUNCTION("""COMPUTED_VALUE"""),"")</f>
        <v/>
      </c>
      <c r="J1209" t="str">
        <f ca="1">IFERROR(__xludf.DUMMYFUNCTION("""COMPUTED_VALUE"""),"")</f>
        <v/>
      </c>
      <c r="K1209" t="str">
        <f ca="1">IFERROR(__xludf.DUMMYFUNCTION("""COMPUTED_VALUE"""),"")</f>
        <v/>
      </c>
      <c r="L1209" t="str">
        <f ca="1">IFERROR(__xludf.DUMMYFUNCTION("""COMPUTED_VALUE"""),"")</f>
        <v/>
      </c>
      <c r="M1209" t="str">
        <f ca="1">IFERROR(__xludf.DUMMYFUNCTION("""COMPUTED_VALUE"""),"")</f>
        <v/>
      </c>
      <c r="N1209" t="str">
        <f ca="1">IFERROR(__xludf.DUMMYFUNCTION("""COMPUTED_VALUE"""),"")</f>
        <v/>
      </c>
      <c r="O1209" t="str">
        <f ca="1">IFERROR(__xludf.DUMMYFUNCTION("""COMPUTED_VALUE"""),"")</f>
        <v/>
      </c>
      <c r="P1209" t="str">
        <f ca="1">IFERROR(__xludf.DUMMYFUNCTION("""COMPUTED_VALUE"""),"")</f>
        <v/>
      </c>
      <c r="Q1209" s="5" t="str">
        <f ca="1">IFERROR(__xludf.DUMMYFUNCTION("""COMPUTED_VALUE"""),"")</f>
        <v/>
      </c>
      <c r="R1209" s="6" t="str">
        <f ca="1">IFERROR(__xludf.DUMMYFUNCTION("""COMPUTED_VALUE"""),"")</f>
        <v/>
      </c>
      <c r="S1209" t="str">
        <f ca="1">IFERROR(__xludf.DUMMYFUNCTION("""COMPUTED_VALUE"""),"")</f>
        <v/>
      </c>
      <c r="T1209" t="str">
        <f ca="1">IFERROR(__xludf.DUMMYFUNCTION("""COMPUTED_VALUE"""),"")</f>
        <v/>
      </c>
      <c r="U1209" t="str">
        <f ca="1">IFERROR(__xludf.DUMMYFUNCTION("""COMPUTED_VALUE"""),"")</f>
        <v/>
      </c>
      <c r="V1209" t="str">
        <f ca="1">IFERROR(__xludf.DUMMYFUNCTION("""COMPUTED_VALUE"""),"")</f>
        <v/>
      </c>
      <c r="W1209" t="str">
        <f ca="1">IFERROR(__xludf.DUMMYFUNCTION("""COMPUTED_VALUE"""),"")</f>
        <v/>
      </c>
      <c r="X1209" t="str">
        <f ca="1">IFERROR(__xludf.DUMMYFUNCTION("""COMPUTED_VALUE"""),"")</f>
        <v/>
      </c>
      <c r="Y1209" t="str">
        <f ca="1">IFERROR(__xludf.DUMMYFUNCTION("""COMPUTED_VALUE"""),"")</f>
        <v/>
      </c>
      <c r="Z1209" t="str">
        <f ca="1">IFERROR(__xludf.DUMMYFUNCTION("""COMPUTED_VALUE"""),"")</f>
        <v/>
      </c>
      <c r="AA1209" t="str">
        <f ca="1">IFERROR(__xludf.DUMMYFUNCTION("""COMPUTED_VALUE"""),"")</f>
        <v/>
      </c>
      <c r="AB1209" s="8" t="str">
        <f ca="1">IFERROR(__xludf.DUMMYFUNCTION("""COMPUTED_VALUE"""),"")</f>
        <v/>
      </c>
      <c r="AC1209" s="8" t="str">
        <f ca="1">IFERROR(__xludf.DUMMYFUNCTION("""COMPUTED_VALUE"""),"")</f>
        <v/>
      </c>
      <c r="AD1209" s="11" t="str">
        <f ca="1">IFERROR(__xludf.DUMMYFUNCTION("""COMPUTED_VALUE"""),"")</f>
        <v/>
      </c>
      <c r="AE1209" t="str">
        <f ca="1">IFERROR(__xludf.DUMMYFUNCTION("""COMPUTED_VALUE"""),"")</f>
        <v/>
      </c>
    </row>
    <row r="1210" spans="1:31" ht="12.75" x14ac:dyDescent="0.2">
      <c r="A1210" t="str">
        <f ca="1">IFERROR(__xludf.DUMMYFUNCTION("""COMPUTED_VALUE"""),"")</f>
        <v/>
      </c>
      <c r="B1210" t="str">
        <f ca="1">IFERROR(__xludf.DUMMYFUNCTION("""COMPUTED_VALUE"""),"")</f>
        <v/>
      </c>
      <c r="C1210" t="str">
        <f ca="1">IFERROR(__xludf.DUMMYFUNCTION("""COMPUTED_VALUE"""),"")</f>
        <v/>
      </c>
      <c r="D1210" t="str">
        <f ca="1">IFERROR(__xludf.DUMMYFUNCTION("""COMPUTED_VALUE"""),"")</f>
        <v/>
      </c>
      <c r="E1210" t="str">
        <f ca="1">IFERROR(__xludf.DUMMYFUNCTION("""COMPUTED_VALUE"""),"")</f>
        <v/>
      </c>
      <c r="F1210" t="str">
        <f ca="1">IFERROR(__xludf.DUMMYFUNCTION("""COMPUTED_VALUE"""),"")</f>
        <v/>
      </c>
      <c r="G1210" t="str">
        <f ca="1">IFERROR(__xludf.DUMMYFUNCTION("""COMPUTED_VALUE"""),"")</f>
        <v/>
      </c>
      <c r="H1210" t="str">
        <f ca="1">IFERROR(__xludf.DUMMYFUNCTION("""COMPUTED_VALUE"""),"")</f>
        <v/>
      </c>
      <c r="I1210" t="str">
        <f ca="1">IFERROR(__xludf.DUMMYFUNCTION("""COMPUTED_VALUE"""),"")</f>
        <v/>
      </c>
      <c r="J1210" t="str">
        <f ca="1">IFERROR(__xludf.DUMMYFUNCTION("""COMPUTED_VALUE"""),"")</f>
        <v/>
      </c>
      <c r="K1210" t="str">
        <f ca="1">IFERROR(__xludf.DUMMYFUNCTION("""COMPUTED_VALUE"""),"")</f>
        <v/>
      </c>
      <c r="L1210" t="str">
        <f ca="1">IFERROR(__xludf.DUMMYFUNCTION("""COMPUTED_VALUE"""),"")</f>
        <v/>
      </c>
      <c r="M1210" t="str">
        <f ca="1">IFERROR(__xludf.DUMMYFUNCTION("""COMPUTED_VALUE"""),"")</f>
        <v/>
      </c>
      <c r="N1210" t="str">
        <f ca="1">IFERROR(__xludf.DUMMYFUNCTION("""COMPUTED_VALUE"""),"")</f>
        <v/>
      </c>
      <c r="O1210" t="str">
        <f ca="1">IFERROR(__xludf.DUMMYFUNCTION("""COMPUTED_VALUE"""),"")</f>
        <v/>
      </c>
      <c r="P1210" t="str">
        <f ca="1">IFERROR(__xludf.DUMMYFUNCTION("""COMPUTED_VALUE"""),"")</f>
        <v/>
      </c>
      <c r="Q1210" s="5" t="str">
        <f ca="1">IFERROR(__xludf.DUMMYFUNCTION("""COMPUTED_VALUE"""),"")</f>
        <v/>
      </c>
      <c r="R1210" s="6" t="str">
        <f ca="1">IFERROR(__xludf.DUMMYFUNCTION("""COMPUTED_VALUE"""),"")</f>
        <v/>
      </c>
      <c r="S1210" t="str">
        <f ca="1">IFERROR(__xludf.DUMMYFUNCTION("""COMPUTED_VALUE"""),"")</f>
        <v/>
      </c>
      <c r="T1210" t="str">
        <f ca="1">IFERROR(__xludf.DUMMYFUNCTION("""COMPUTED_VALUE"""),"")</f>
        <v/>
      </c>
      <c r="U1210" t="str">
        <f ca="1">IFERROR(__xludf.DUMMYFUNCTION("""COMPUTED_VALUE"""),"")</f>
        <v/>
      </c>
      <c r="V1210" t="str">
        <f ca="1">IFERROR(__xludf.DUMMYFUNCTION("""COMPUTED_VALUE"""),"")</f>
        <v/>
      </c>
      <c r="W1210" t="str">
        <f ca="1">IFERROR(__xludf.DUMMYFUNCTION("""COMPUTED_VALUE"""),"")</f>
        <v/>
      </c>
      <c r="X1210" t="str">
        <f ca="1">IFERROR(__xludf.DUMMYFUNCTION("""COMPUTED_VALUE"""),"")</f>
        <v/>
      </c>
      <c r="Y1210" t="str">
        <f ca="1">IFERROR(__xludf.DUMMYFUNCTION("""COMPUTED_VALUE"""),"")</f>
        <v/>
      </c>
      <c r="Z1210" t="str">
        <f ca="1">IFERROR(__xludf.DUMMYFUNCTION("""COMPUTED_VALUE"""),"")</f>
        <v/>
      </c>
      <c r="AA1210" t="str">
        <f ca="1">IFERROR(__xludf.DUMMYFUNCTION("""COMPUTED_VALUE"""),"")</f>
        <v/>
      </c>
      <c r="AB1210" s="8" t="str">
        <f ca="1">IFERROR(__xludf.DUMMYFUNCTION("""COMPUTED_VALUE"""),"")</f>
        <v/>
      </c>
      <c r="AC1210" s="8" t="str">
        <f ca="1">IFERROR(__xludf.DUMMYFUNCTION("""COMPUTED_VALUE"""),"")</f>
        <v/>
      </c>
      <c r="AD1210" s="11" t="str">
        <f ca="1">IFERROR(__xludf.DUMMYFUNCTION("""COMPUTED_VALUE"""),"")</f>
        <v/>
      </c>
      <c r="AE1210" t="str">
        <f ca="1">IFERROR(__xludf.DUMMYFUNCTION("""COMPUTED_VALUE"""),"")</f>
        <v/>
      </c>
    </row>
    <row r="1211" spans="1:31" ht="12.75" x14ac:dyDescent="0.2">
      <c r="A1211" t="str">
        <f ca="1">IFERROR(__xludf.DUMMYFUNCTION("""COMPUTED_VALUE"""),"")</f>
        <v/>
      </c>
      <c r="B1211" t="str">
        <f ca="1">IFERROR(__xludf.DUMMYFUNCTION("""COMPUTED_VALUE"""),"")</f>
        <v/>
      </c>
      <c r="C1211" t="str">
        <f ca="1">IFERROR(__xludf.DUMMYFUNCTION("""COMPUTED_VALUE"""),"")</f>
        <v/>
      </c>
      <c r="D1211" t="str">
        <f ca="1">IFERROR(__xludf.DUMMYFUNCTION("""COMPUTED_VALUE"""),"")</f>
        <v/>
      </c>
      <c r="E1211" t="str">
        <f ca="1">IFERROR(__xludf.DUMMYFUNCTION("""COMPUTED_VALUE"""),"")</f>
        <v/>
      </c>
      <c r="F1211" t="str">
        <f ca="1">IFERROR(__xludf.DUMMYFUNCTION("""COMPUTED_VALUE"""),"")</f>
        <v/>
      </c>
      <c r="G1211" t="str">
        <f ca="1">IFERROR(__xludf.DUMMYFUNCTION("""COMPUTED_VALUE"""),"")</f>
        <v/>
      </c>
      <c r="H1211" t="str">
        <f ca="1">IFERROR(__xludf.DUMMYFUNCTION("""COMPUTED_VALUE"""),"")</f>
        <v/>
      </c>
      <c r="I1211" t="str">
        <f ca="1">IFERROR(__xludf.DUMMYFUNCTION("""COMPUTED_VALUE"""),"")</f>
        <v/>
      </c>
      <c r="J1211" t="str">
        <f ca="1">IFERROR(__xludf.DUMMYFUNCTION("""COMPUTED_VALUE"""),"")</f>
        <v/>
      </c>
      <c r="K1211" t="str">
        <f ca="1">IFERROR(__xludf.DUMMYFUNCTION("""COMPUTED_VALUE"""),"")</f>
        <v/>
      </c>
      <c r="L1211" t="str">
        <f ca="1">IFERROR(__xludf.DUMMYFUNCTION("""COMPUTED_VALUE"""),"")</f>
        <v/>
      </c>
      <c r="M1211" t="str">
        <f ca="1">IFERROR(__xludf.DUMMYFUNCTION("""COMPUTED_VALUE"""),"")</f>
        <v/>
      </c>
      <c r="N1211" t="str">
        <f ca="1">IFERROR(__xludf.DUMMYFUNCTION("""COMPUTED_VALUE"""),"")</f>
        <v/>
      </c>
      <c r="O1211" t="str">
        <f ca="1">IFERROR(__xludf.DUMMYFUNCTION("""COMPUTED_VALUE"""),"")</f>
        <v/>
      </c>
      <c r="P1211" t="str">
        <f ca="1">IFERROR(__xludf.DUMMYFUNCTION("""COMPUTED_VALUE"""),"")</f>
        <v/>
      </c>
      <c r="Q1211" s="5" t="str">
        <f ca="1">IFERROR(__xludf.DUMMYFUNCTION("""COMPUTED_VALUE"""),"")</f>
        <v/>
      </c>
      <c r="R1211" s="6" t="str">
        <f ca="1">IFERROR(__xludf.DUMMYFUNCTION("""COMPUTED_VALUE"""),"")</f>
        <v/>
      </c>
      <c r="S1211" t="str">
        <f ca="1">IFERROR(__xludf.DUMMYFUNCTION("""COMPUTED_VALUE"""),"")</f>
        <v/>
      </c>
      <c r="T1211" t="str">
        <f ca="1">IFERROR(__xludf.DUMMYFUNCTION("""COMPUTED_VALUE"""),"")</f>
        <v/>
      </c>
      <c r="U1211" t="str">
        <f ca="1">IFERROR(__xludf.DUMMYFUNCTION("""COMPUTED_VALUE"""),"")</f>
        <v/>
      </c>
      <c r="V1211" t="str">
        <f ca="1">IFERROR(__xludf.DUMMYFUNCTION("""COMPUTED_VALUE"""),"")</f>
        <v/>
      </c>
      <c r="W1211" t="str">
        <f ca="1">IFERROR(__xludf.DUMMYFUNCTION("""COMPUTED_VALUE"""),"")</f>
        <v/>
      </c>
      <c r="X1211" t="str">
        <f ca="1">IFERROR(__xludf.DUMMYFUNCTION("""COMPUTED_VALUE"""),"")</f>
        <v/>
      </c>
      <c r="Y1211" t="str">
        <f ca="1">IFERROR(__xludf.DUMMYFUNCTION("""COMPUTED_VALUE"""),"")</f>
        <v/>
      </c>
      <c r="Z1211" t="str">
        <f ca="1">IFERROR(__xludf.DUMMYFUNCTION("""COMPUTED_VALUE"""),"")</f>
        <v/>
      </c>
      <c r="AA1211" t="str">
        <f ca="1">IFERROR(__xludf.DUMMYFUNCTION("""COMPUTED_VALUE"""),"")</f>
        <v/>
      </c>
      <c r="AB1211" s="8" t="str">
        <f ca="1">IFERROR(__xludf.DUMMYFUNCTION("""COMPUTED_VALUE"""),"")</f>
        <v/>
      </c>
      <c r="AC1211" s="8" t="str">
        <f ca="1">IFERROR(__xludf.DUMMYFUNCTION("""COMPUTED_VALUE"""),"")</f>
        <v/>
      </c>
      <c r="AD1211" s="11" t="str">
        <f ca="1">IFERROR(__xludf.DUMMYFUNCTION("""COMPUTED_VALUE"""),"")</f>
        <v/>
      </c>
      <c r="AE1211" t="str">
        <f ca="1">IFERROR(__xludf.DUMMYFUNCTION("""COMPUTED_VALUE"""),"")</f>
        <v/>
      </c>
    </row>
    <row r="1212" spans="1:31" ht="12.75" x14ac:dyDescent="0.2">
      <c r="A1212" t="str">
        <f ca="1">IFERROR(__xludf.DUMMYFUNCTION("""COMPUTED_VALUE"""),"")</f>
        <v/>
      </c>
      <c r="B1212" t="str">
        <f ca="1">IFERROR(__xludf.DUMMYFUNCTION("""COMPUTED_VALUE"""),"")</f>
        <v/>
      </c>
      <c r="C1212" t="str">
        <f ca="1">IFERROR(__xludf.DUMMYFUNCTION("""COMPUTED_VALUE"""),"")</f>
        <v/>
      </c>
      <c r="D1212" t="str">
        <f ca="1">IFERROR(__xludf.DUMMYFUNCTION("""COMPUTED_VALUE"""),"")</f>
        <v/>
      </c>
      <c r="E1212" t="str">
        <f ca="1">IFERROR(__xludf.DUMMYFUNCTION("""COMPUTED_VALUE"""),"")</f>
        <v/>
      </c>
      <c r="F1212" t="str">
        <f ca="1">IFERROR(__xludf.DUMMYFUNCTION("""COMPUTED_VALUE"""),"")</f>
        <v/>
      </c>
      <c r="G1212" t="str">
        <f ca="1">IFERROR(__xludf.DUMMYFUNCTION("""COMPUTED_VALUE"""),"")</f>
        <v/>
      </c>
      <c r="H1212" t="str">
        <f ca="1">IFERROR(__xludf.DUMMYFUNCTION("""COMPUTED_VALUE"""),"")</f>
        <v/>
      </c>
      <c r="I1212" t="str">
        <f ca="1">IFERROR(__xludf.DUMMYFUNCTION("""COMPUTED_VALUE"""),"")</f>
        <v/>
      </c>
      <c r="J1212" t="str">
        <f ca="1">IFERROR(__xludf.DUMMYFUNCTION("""COMPUTED_VALUE"""),"")</f>
        <v/>
      </c>
      <c r="K1212" t="str">
        <f ca="1">IFERROR(__xludf.DUMMYFUNCTION("""COMPUTED_VALUE"""),"")</f>
        <v/>
      </c>
      <c r="L1212" t="str">
        <f ca="1">IFERROR(__xludf.DUMMYFUNCTION("""COMPUTED_VALUE"""),"")</f>
        <v/>
      </c>
      <c r="M1212" t="str">
        <f ca="1">IFERROR(__xludf.DUMMYFUNCTION("""COMPUTED_VALUE"""),"")</f>
        <v/>
      </c>
      <c r="N1212" t="str">
        <f ca="1">IFERROR(__xludf.DUMMYFUNCTION("""COMPUTED_VALUE"""),"")</f>
        <v/>
      </c>
      <c r="O1212" t="str">
        <f ca="1">IFERROR(__xludf.DUMMYFUNCTION("""COMPUTED_VALUE"""),"")</f>
        <v/>
      </c>
      <c r="P1212" t="str">
        <f ca="1">IFERROR(__xludf.DUMMYFUNCTION("""COMPUTED_VALUE"""),"")</f>
        <v/>
      </c>
      <c r="Q1212" s="5" t="str">
        <f ca="1">IFERROR(__xludf.DUMMYFUNCTION("""COMPUTED_VALUE"""),"")</f>
        <v/>
      </c>
      <c r="R1212" s="6" t="str">
        <f ca="1">IFERROR(__xludf.DUMMYFUNCTION("""COMPUTED_VALUE"""),"")</f>
        <v/>
      </c>
      <c r="S1212" t="str">
        <f ca="1">IFERROR(__xludf.DUMMYFUNCTION("""COMPUTED_VALUE"""),"")</f>
        <v/>
      </c>
      <c r="T1212" t="str">
        <f ca="1">IFERROR(__xludf.DUMMYFUNCTION("""COMPUTED_VALUE"""),"")</f>
        <v/>
      </c>
      <c r="U1212" t="str">
        <f ca="1">IFERROR(__xludf.DUMMYFUNCTION("""COMPUTED_VALUE"""),"")</f>
        <v/>
      </c>
      <c r="V1212" t="str">
        <f ca="1">IFERROR(__xludf.DUMMYFUNCTION("""COMPUTED_VALUE"""),"")</f>
        <v/>
      </c>
      <c r="W1212" t="str">
        <f ca="1">IFERROR(__xludf.DUMMYFUNCTION("""COMPUTED_VALUE"""),"")</f>
        <v/>
      </c>
      <c r="X1212" t="str">
        <f ca="1">IFERROR(__xludf.DUMMYFUNCTION("""COMPUTED_VALUE"""),"")</f>
        <v/>
      </c>
      <c r="Y1212" t="str">
        <f ca="1">IFERROR(__xludf.DUMMYFUNCTION("""COMPUTED_VALUE"""),"")</f>
        <v/>
      </c>
      <c r="Z1212" t="str">
        <f ca="1">IFERROR(__xludf.DUMMYFUNCTION("""COMPUTED_VALUE"""),"")</f>
        <v/>
      </c>
      <c r="AA1212" t="str">
        <f ca="1">IFERROR(__xludf.DUMMYFUNCTION("""COMPUTED_VALUE"""),"")</f>
        <v/>
      </c>
      <c r="AB1212" s="8" t="str">
        <f ca="1">IFERROR(__xludf.DUMMYFUNCTION("""COMPUTED_VALUE"""),"")</f>
        <v/>
      </c>
      <c r="AC1212" s="8" t="str">
        <f ca="1">IFERROR(__xludf.DUMMYFUNCTION("""COMPUTED_VALUE"""),"")</f>
        <v/>
      </c>
      <c r="AD1212" s="11" t="str">
        <f ca="1">IFERROR(__xludf.DUMMYFUNCTION("""COMPUTED_VALUE"""),"")</f>
        <v/>
      </c>
      <c r="AE1212" t="str">
        <f ca="1">IFERROR(__xludf.DUMMYFUNCTION("""COMPUTED_VALUE"""),"")</f>
        <v/>
      </c>
    </row>
    <row r="1213" spans="1:31" ht="12.75" x14ac:dyDescent="0.2">
      <c r="A1213" t="str">
        <f ca="1">IFERROR(__xludf.DUMMYFUNCTION("""COMPUTED_VALUE"""),"")</f>
        <v/>
      </c>
      <c r="B1213" t="str">
        <f ca="1">IFERROR(__xludf.DUMMYFUNCTION("""COMPUTED_VALUE"""),"")</f>
        <v/>
      </c>
      <c r="C1213" t="str">
        <f ca="1">IFERROR(__xludf.DUMMYFUNCTION("""COMPUTED_VALUE"""),"")</f>
        <v/>
      </c>
      <c r="D1213" t="str">
        <f ca="1">IFERROR(__xludf.DUMMYFUNCTION("""COMPUTED_VALUE"""),"")</f>
        <v/>
      </c>
      <c r="E1213" t="str">
        <f ca="1">IFERROR(__xludf.DUMMYFUNCTION("""COMPUTED_VALUE"""),"")</f>
        <v/>
      </c>
      <c r="F1213" t="str">
        <f ca="1">IFERROR(__xludf.DUMMYFUNCTION("""COMPUTED_VALUE"""),"")</f>
        <v/>
      </c>
      <c r="G1213" t="str">
        <f ca="1">IFERROR(__xludf.DUMMYFUNCTION("""COMPUTED_VALUE"""),"")</f>
        <v/>
      </c>
      <c r="H1213" t="str">
        <f ca="1">IFERROR(__xludf.DUMMYFUNCTION("""COMPUTED_VALUE"""),"")</f>
        <v/>
      </c>
      <c r="I1213" t="str">
        <f ca="1">IFERROR(__xludf.DUMMYFUNCTION("""COMPUTED_VALUE"""),"")</f>
        <v/>
      </c>
      <c r="J1213" t="str">
        <f ca="1">IFERROR(__xludf.DUMMYFUNCTION("""COMPUTED_VALUE"""),"")</f>
        <v/>
      </c>
      <c r="K1213" t="str">
        <f ca="1">IFERROR(__xludf.DUMMYFUNCTION("""COMPUTED_VALUE"""),"")</f>
        <v/>
      </c>
      <c r="L1213" t="str">
        <f ca="1">IFERROR(__xludf.DUMMYFUNCTION("""COMPUTED_VALUE"""),"")</f>
        <v/>
      </c>
      <c r="M1213" t="str">
        <f ca="1">IFERROR(__xludf.DUMMYFUNCTION("""COMPUTED_VALUE"""),"")</f>
        <v/>
      </c>
      <c r="N1213" t="str">
        <f ca="1">IFERROR(__xludf.DUMMYFUNCTION("""COMPUTED_VALUE"""),"")</f>
        <v/>
      </c>
      <c r="O1213" t="str">
        <f ca="1">IFERROR(__xludf.DUMMYFUNCTION("""COMPUTED_VALUE"""),"")</f>
        <v/>
      </c>
      <c r="P1213" t="str">
        <f ca="1">IFERROR(__xludf.DUMMYFUNCTION("""COMPUTED_VALUE"""),"")</f>
        <v/>
      </c>
      <c r="Q1213" s="5" t="str">
        <f ca="1">IFERROR(__xludf.DUMMYFUNCTION("""COMPUTED_VALUE"""),"")</f>
        <v/>
      </c>
      <c r="R1213" s="6" t="str">
        <f ca="1">IFERROR(__xludf.DUMMYFUNCTION("""COMPUTED_VALUE"""),"")</f>
        <v/>
      </c>
      <c r="S1213" t="str">
        <f ca="1">IFERROR(__xludf.DUMMYFUNCTION("""COMPUTED_VALUE"""),"")</f>
        <v/>
      </c>
      <c r="T1213" t="str">
        <f ca="1">IFERROR(__xludf.DUMMYFUNCTION("""COMPUTED_VALUE"""),"")</f>
        <v/>
      </c>
      <c r="U1213" t="str">
        <f ca="1">IFERROR(__xludf.DUMMYFUNCTION("""COMPUTED_VALUE"""),"")</f>
        <v/>
      </c>
      <c r="V1213" t="str">
        <f ca="1">IFERROR(__xludf.DUMMYFUNCTION("""COMPUTED_VALUE"""),"")</f>
        <v/>
      </c>
      <c r="W1213" t="str">
        <f ca="1">IFERROR(__xludf.DUMMYFUNCTION("""COMPUTED_VALUE"""),"")</f>
        <v/>
      </c>
      <c r="X1213" t="str">
        <f ca="1">IFERROR(__xludf.DUMMYFUNCTION("""COMPUTED_VALUE"""),"")</f>
        <v/>
      </c>
      <c r="Y1213" t="str">
        <f ca="1">IFERROR(__xludf.DUMMYFUNCTION("""COMPUTED_VALUE"""),"")</f>
        <v/>
      </c>
      <c r="Z1213" t="str">
        <f ca="1">IFERROR(__xludf.DUMMYFUNCTION("""COMPUTED_VALUE"""),"")</f>
        <v/>
      </c>
      <c r="AA1213" t="str">
        <f ca="1">IFERROR(__xludf.DUMMYFUNCTION("""COMPUTED_VALUE"""),"")</f>
        <v/>
      </c>
      <c r="AB1213" s="8" t="str">
        <f ca="1">IFERROR(__xludf.DUMMYFUNCTION("""COMPUTED_VALUE"""),"")</f>
        <v/>
      </c>
      <c r="AC1213" s="8" t="str">
        <f ca="1">IFERROR(__xludf.DUMMYFUNCTION("""COMPUTED_VALUE"""),"")</f>
        <v/>
      </c>
      <c r="AD1213" s="11" t="str">
        <f ca="1">IFERROR(__xludf.DUMMYFUNCTION("""COMPUTED_VALUE"""),"")</f>
        <v/>
      </c>
      <c r="AE1213" t="str">
        <f ca="1">IFERROR(__xludf.DUMMYFUNCTION("""COMPUTED_VALUE"""),"")</f>
        <v/>
      </c>
    </row>
    <row r="1214" spans="1:31" ht="12.75" x14ac:dyDescent="0.2">
      <c r="A1214" t="str">
        <f ca="1">IFERROR(__xludf.DUMMYFUNCTION("""COMPUTED_VALUE"""),"")</f>
        <v/>
      </c>
      <c r="B1214" t="str">
        <f ca="1">IFERROR(__xludf.DUMMYFUNCTION("""COMPUTED_VALUE"""),"")</f>
        <v/>
      </c>
      <c r="C1214" t="str">
        <f ca="1">IFERROR(__xludf.DUMMYFUNCTION("""COMPUTED_VALUE"""),"")</f>
        <v/>
      </c>
      <c r="D1214" t="str">
        <f ca="1">IFERROR(__xludf.DUMMYFUNCTION("""COMPUTED_VALUE"""),"")</f>
        <v/>
      </c>
      <c r="E1214" t="str">
        <f ca="1">IFERROR(__xludf.DUMMYFUNCTION("""COMPUTED_VALUE"""),"")</f>
        <v/>
      </c>
      <c r="F1214" t="str">
        <f ca="1">IFERROR(__xludf.DUMMYFUNCTION("""COMPUTED_VALUE"""),"")</f>
        <v/>
      </c>
      <c r="G1214" t="str">
        <f ca="1">IFERROR(__xludf.DUMMYFUNCTION("""COMPUTED_VALUE"""),"")</f>
        <v/>
      </c>
      <c r="H1214" t="str">
        <f ca="1">IFERROR(__xludf.DUMMYFUNCTION("""COMPUTED_VALUE"""),"")</f>
        <v/>
      </c>
      <c r="I1214" t="str">
        <f ca="1">IFERROR(__xludf.DUMMYFUNCTION("""COMPUTED_VALUE"""),"")</f>
        <v/>
      </c>
      <c r="J1214" t="str">
        <f ca="1">IFERROR(__xludf.DUMMYFUNCTION("""COMPUTED_VALUE"""),"")</f>
        <v/>
      </c>
      <c r="K1214" t="str">
        <f ca="1">IFERROR(__xludf.DUMMYFUNCTION("""COMPUTED_VALUE"""),"")</f>
        <v/>
      </c>
      <c r="L1214" t="str">
        <f ca="1">IFERROR(__xludf.DUMMYFUNCTION("""COMPUTED_VALUE"""),"")</f>
        <v/>
      </c>
      <c r="M1214" t="str">
        <f ca="1">IFERROR(__xludf.DUMMYFUNCTION("""COMPUTED_VALUE"""),"")</f>
        <v/>
      </c>
      <c r="N1214" t="str">
        <f ca="1">IFERROR(__xludf.DUMMYFUNCTION("""COMPUTED_VALUE"""),"")</f>
        <v/>
      </c>
      <c r="O1214" t="str">
        <f ca="1">IFERROR(__xludf.DUMMYFUNCTION("""COMPUTED_VALUE"""),"")</f>
        <v/>
      </c>
      <c r="P1214" t="str">
        <f ca="1">IFERROR(__xludf.DUMMYFUNCTION("""COMPUTED_VALUE"""),"")</f>
        <v/>
      </c>
      <c r="Q1214" s="5" t="str">
        <f ca="1">IFERROR(__xludf.DUMMYFUNCTION("""COMPUTED_VALUE"""),"")</f>
        <v/>
      </c>
      <c r="R1214" s="6" t="str">
        <f ca="1">IFERROR(__xludf.DUMMYFUNCTION("""COMPUTED_VALUE"""),"")</f>
        <v/>
      </c>
      <c r="S1214" t="str">
        <f ca="1">IFERROR(__xludf.DUMMYFUNCTION("""COMPUTED_VALUE"""),"")</f>
        <v/>
      </c>
      <c r="T1214" t="str">
        <f ca="1">IFERROR(__xludf.DUMMYFUNCTION("""COMPUTED_VALUE"""),"")</f>
        <v/>
      </c>
      <c r="U1214" t="str">
        <f ca="1">IFERROR(__xludf.DUMMYFUNCTION("""COMPUTED_VALUE"""),"")</f>
        <v/>
      </c>
      <c r="V1214" t="str">
        <f ca="1">IFERROR(__xludf.DUMMYFUNCTION("""COMPUTED_VALUE"""),"")</f>
        <v/>
      </c>
      <c r="W1214" t="str">
        <f ca="1">IFERROR(__xludf.DUMMYFUNCTION("""COMPUTED_VALUE"""),"")</f>
        <v/>
      </c>
      <c r="X1214" t="str">
        <f ca="1">IFERROR(__xludf.DUMMYFUNCTION("""COMPUTED_VALUE"""),"")</f>
        <v/>
      </c>
      <c r="Y1214" t="str">
        <f ca="1">IFERROR(__xludf.DUMMYFUNCTION("""COMPUTED_VALUE"""),"")</f>
        <v/>
      </c>
      <c r="Z1214" t="str">
        <f ca="1">IFERROR(__xludf.DUMMYFUNCTION("""COMPUTED_VALUE"""),"")</f>
        <v/>
      </c>
      <c r="AA1214" t="str">
        <f ca="1">IFERROR(__xludf.DUMMYFUNCTION("""COMPUTED_VALUE"""),"")</f>
        <v/>
      </c>
      <c r="AB1214" s="8" t="str">
        <f ca="1">IFERROR(__xludf.DUMMYFUNCTION("""COMPUTED_VALUE"""),"")</f>
        <v/>
      </c>
      <c r="AC1214" s="8" t="str">
        <f ca="1">IFERROR(__xludf.DUMMYFUNCTION("""COMPUTED_VALUE"""),"")</f>
        <v/>
      </c>
      <c r="AD1214" s="11" t="str">
        <f ca="1">IFERROR(__xludf.DUMMYFUNCTION("""COMPUTED_VALUE"""),"")</f>
        <v/>
      </c>
      <c r="AE1214" t="str">
        <f ca="1">IFERROR(__xludf.DUMMYFUNCTION("""COMPUTED_VALUE"""),"")</f>
        <v/>
      </c>
    </row>
    <row r="1215" spans="1:31" ht="12.75" x14ac:dyDescent="0.2">
      <c r="A1215" t="str">
        <f ca="1">IFERROR(__xludf.DUMMYFUNCTION("""COMPUTED_VALUE"""),"")</f>
        <v/>
      </c>
      <c r="B1215" t="str">
        <f ca="1">IFERROR(__xludf.DUMMYFUNCTION("""COMPUTED_VALUE"""),"")</f>
        <v/>
      </c>
      <c r="C1215" t="str">
        <f ca="1">IFERROR(__xludf.DUMMYFUNCTION("""COMPUTED_VALUE"""),"")</f>
        <v/>
      </c>
      <c r="D1215" t="str">
        <f ca="1">IFERROR(__xludf.DUMMYFUNCTION("""COMPUTED_VALUE"""),"")</f>
        <v/>
      </c>
      <c r="E1215" t="str">
        <f ca="1">IFERROR(__xludf.DUMMYFUNCTION("""COMPUTED_VALUE"""),"")</f>
        <v/>
      </c>
      <c r="F1215" t="str">
        <f ca="1">IFERROR(__xludf.DUMMYFUNCTION("""COMPUTED_VALUE"""),"")</f>
        <v/>
      </c>
      <c r="G1215" t="str">
        <f ca="1">IFERROR(__xludf.DUMMYFUNCTION("""COMPUTED_VALUE"""),"")</f>
        <v/>
      </c>
      <c r="H1215" t="str">
        <f ca="1">IFERROR(__xludf.DUMMYFUNCTION("""COMPUTED_VALUE"""),"")</f>
        <v/>
      </c>
      <c r="I1215" t="str">
        <f ca="1">IFERROR(__xludf.DUMMYFUNCTION("""COMPUTED_VALUE"""),"")</f>
        <v/>
      </c>
      <c r="J1215" t="str">
        <f ca="1">IFERROR(__xludf.DUMMYFUNCTION("""COMPUTED_VALUE"""),"")</f>
        <v/>
      </c>
      <c r="K1215" t="str">
        <f ca="1">IFERROR(__xludf.DUMMYFUNCTION("""COMPUTED_VALUE"""),"")</f>
        <v/>
      </c>
      <c r="L1215" t="str">
        <f ca="1">IFERROR(__xludf.DUMMYFUNCTION("""COMPUTED_VALUE"""),"")</f>
        <v/>
      </c>
      <c r="M1215" t="str">
        <f ca="1">IFERROR(__xludf.DUMMYFUNCTION("""COMPUTED_VALUE"""),"")</f>
        <v/>
      </c>
      <c r="N1215" t="str">
        <f ca="1">IFERROR(__xludf.DUMMYFUNCTION("""COMPUTED_VALUE"""),"")</f>
        <v/>
      </c>
      <c r="O1215" t="str">
        <f ca="1">IFERROR(__xludf.DUMMYFUNCTION("""COMPUTED_VALUE"""),"")</f>
        <v/>
      </c>
      <c r="P1215" t="str">
        <f ca="1">IFERROR(__xludf.DUMMYFUNCTION("""COMPUTED_VALUE"""),"")</f>
        <v/>
      </c>
      <c r="Q1215" s="5" t="str">
        <f ca="1">IFERROR(__xludf.DUMMYFUNCTION("""COMPUTED_VALUE"""),"")</f>
        <v/>
      </c>
      <c r="R1215" s="6" t="str">
        <f ca="1">IFERROR(__xludf.DUMMYFUNCTION("""COMPUTED_VALUE"""),"")</f>
        <v/>
      </c>
      <c r="S1215" t="str">
        <f ca="1">IFERROR(__xludf.DUMMYFUNCTION("""COMPUTED_VALUE"""),"")</f>
        <v/>
      </c>
      <c r="T1215" t="str">
        <f ca="1">IFERROR(__xludf.DUMMYFUNCTION("""COMPUTED_VALUE"""),"")</f>
        <v/>
      </c>
      <c r="U1215" t="str">
        <f ca="1">IFERROR(__xludf.DUMMYFUNCTION("""COMPUTED_VALUE"""),"")</f>
        <v/>
      </c>
      <c r="V1215" t="str">
        <f ca="1">IFERROR(__xludf.DUMMYFUNCTION("""COMPUTED_VALUE"""),"")</f>
        <v/>
      </c>
      <c r="W1215" t="str">
        <f ca="1">IFERROR(__xludf.DUMMYFUNCTION("""COMPUTED_VALUE"""),"")</f>
        <v/>
      </c>
      <c r="X1215" t="str">
        <f ca="1">IFERROR(__xludf.DUMMYFUNCTION("""COMPUTED_VALUE"""),"")</f>
        <v/>
      </c>
      <c r="Y1215" t="str">
        <f ca="1">IFERROR(__xludf.DUMMYFUNCTION("""COMPUTED_VALUE"""),"")</f>
        <v/>
      </c>
      <c r="Z1215" t="str">
        <f ca="1">IFERROR(__xludf.DUMMYFUNCTION("""COMPUTED_VALUE"""),"")</f>
        <v/>
      </c>
      <c r="AA1215" t="str">
        <f ca="1">IFERROR(__xludf.DUMMYFUNCTION("""COMPUTED_VALUE"""),"")</f>
        <v/>
      </c>
      <c r="AB1215" s="8" t="str">
        <f ca="1">IFERROR(__xludf.DUMMYFUNCTION("""COMPUTED_VALUE"""),"")</f>
        <v/>
      </c>
      <c r="AC1215" s="8" t="str">
        <f ca="1">IFERROR(__xludf.DUMMYFUNCTION("""COMPUTED_VALUE"""),"")</f>
        <v/>
      </c>
      <c r="AD1215" s="11" t="str">
        <f ca="1">IFERROR(__xludf.DUMMYFUNCTION("""COMPUTED_VALUE"""),"")</f>
        <v/>
      </c>
      <c r="AE1215" t="str">
        <f ca="1">IFERROR(__xludf.DUMMYFUNCTION("""COMPUTED_VALUE"""),"")</f>
        <v/>
      </c>
    </row>
    <row r="1216" spans="1:31" ht="12.75" x14ac:dyDescent="0.2">
      <c r="A1216" t="str">
        <f ca="1">IFERROR(__xludf.DUMMYFUNCTION("""COMPUTED_VALUE"""),"")</f>
        <v/>
      </c>
      <c r="B1216" t="str">
        <f ca="1">IFERROR(__xludf.DUMMYFUNCTION("""COMPUTED_VALUE"""),"")</f>
        <v/>
      </c>
      <c r="C1216" t="str">
        <f ca="1">IFERROR(__xludf.DUMMYFUNCTION("""COMPUTED_VALUE"""),"")</f>
        <v/>
      </c>
      <c r="D1216" t="str">
        <f ca="1">IFERROR(__xludf.DUMMYFUNCTION("""COMPUTED_VALUE"""),"")</f>
        <v/>
      </c>
      <c r="E1216" t="str">
        <f ca="1">IFERROR(__xludf.DUMMYFUNCTION("""COMPUTED_VALUE"""),"")</f>
        <v/>
      </c>
      <c r="F1216" t="str">
        <f ca="1">IFERROR(__xludf.DUMMYFUNCTION("""COMPUTED_VALUE"""),"")</f>
        <v/>
      </c>
      <c r="G1216" t="str">
        <f ca="1">IFERROR(__xludf.DUMMYFUNCTION("""COMPUTED_VALUE"""),"")</f>
        <v/>
      </c>
      <c r="H1216" t="str">
        <f ca="1">IFERROR(__xludf.DUMMYFUNCTION("""COMPUTED_VALUE"""),"")</f>
        <v/>
      </c>
      <c r="I1216" t="str">
        <f ca="1">IFERROR(__xludf.DUMMYFUNCTION("""COMPUTED_VALUE"""),"")</f>
        <v/>
      </c>
      <c r="J1216" t="str">
        <f ca="1">IFERROR(__xludf.DUMMYFUNCTION("""COMPUTED_VALUE"""),"")</f>
        <v/>
      </c>
      <c r="K1216" t="str">
        <f ca="1">IFERROR(__xludf.DUMMYFUNCTION("""COMPUTED_VALUE"""),"")</f>
        <v/>
      </c>
      <c r="L1216" t="str">
        <f ca="1">IFERROR(__xludf.DUMMYFUNCTION("""COMPUTED_VALUE"""),"")</f>
        <v/>
      </c>
      <c r="M1216" t="str">
        <f ca="1">IFERROR(__xludf.DUMMYFUNCTION("""COMPUTED_VALUE"""),"")</f>
        <v/>
      </c>
      <c r="N1216" t="str">
        <f ca="1">IFERROR(__xludf.DUMMYFUNCTION("""COMPUTED_VALUE"""),"")</f>
        <v/>
      </c>
      <c r="O1216" t="str">
        <f ca="1">IFERROR(__xludf.DUMMYFUNCTION("""COMPUTED_VALUE"""),"")</f>
        <v/>
      </c>
      <c r="P1216" t="str">
        <f ca="1">IFERROR(__xludf.DUMMYFUNCTION("""COMPUTED_VALUE"""),"")</f>
        <v/>
      </c>
      <c r="Q1216" s="5" t="str">
        <f ca="1">IFERROR(__xludf.DUMMYFUNCTION("""COMPUTED_VALUE"""),"")</f>
        <v/>
      </c>
      <c r="R1216" s="6" t="str">
        <f ca="1">IFERROR(__xludf.DUMMYFUNCTION("""COMPUTED_VALUE"""),"")</f>
        <v/>
      </c>
      <c r="S1216" t="str">
        <f ca="1">IFERROR(__xludf.DUMMYFUNCTION("""COMPUTED_VALUE"""),"")</f>
        <v/>
      </c>
      <c r="T1216" t="str">
        <f ca="1">IFERROR(__xludf.DUMMYFUNCTION("""COMPUTED_VALUE"""),"")</f>
        <v/>
      </c>
      <c r="U1216" t="str">
        <f ca="1">IFERROR(__xludf.DUMMYFUNCTION("""COMPUTED_VALUE"""),"")</f>
        <v/>
      </c>
      <c r="V1216" t="str">
        <f ca="1">IFERROR(__xludf.DUMMYFUNCTION("""COMPUTED_VALUE"""),"")</f>
        <v/>
      </c>
      <c r="W1216" t="str">
        <f ca="1">IFERROR(__xludf.DUMMYFUNCTION("""COMPUTED_VALUE"""),"")</f>
        <v/>
      </c>
      <c r="X1216" t="str">
        <f ca="1">IFERROR(__xludf.DUMMYFUNCTION("""COMPUTED_VALUE"""),"")</f>
        <v/>
      </c>
      <c r="Y1216" t="str">
        <f ca="1">IFERROR(__xludf.DUMMYFUNCTION("""COMPUTED_VALUE"""),"")</f>
        <v/>
      </c>
      <c r="Z1216" t="str">
        <f ca="1">IFERROR(__xludf.DUMMYFUNCTION("""COMPUTED_VALUE"""),"")</f>
        <v/>
      </c>
      <c r="AA1216" t="str">
        <f ca="1">IFERROR(__xludf.DUMMYFUNCTION("""COMPUTED_VALUE"""),"")</f>
        <v/>
      </c>
      <c r="AB1216" s="8" t="str">
        <f ca="1">IFERROR(__xludf.DUMMYFUNCTION("""COMPUTED_VALUE"""),"")</f>
        <v/>
      </c>
      <c r="AC1216" s="8" t="str">
        <f ca="1">IFERROR(__xludf.DUMMYFUNCTION("""COMPUTED_VALUE"""),"")</f>
        <v/>
      </c>
      <c r="AD1216" s="11" t="str">
        <f ca="1">IFERROR(__xludf.DUMMYFUNCTION("""COMPUTED_VALUE"""),"")</f>
        <v/>
      </c>
      <c r="AE1216" t="str">
        <f ca="1">IFERROR(__xludf.DUMMYFUNCTION("""COMPUTED_VALUE"""),"")</f>
        <v/>
      </c>
    </row>
    <row r="1217" spans="1:31" ht="12.75" x14ac:dyDescent="0.2">
      <c r="A1217" t="str">
        <f ca="1">IFERROR(__xludf.DUMMYFUNCTION("""COMPUTED_VALUE"""),"")</f>
        <v/>
      </c>
      <c r="B1217" t="str">
        <f ca="1">IFERROR(__xludf.DUMMYFUNCTION("""COMPUTED_VALUE"""),"")</f>
        <v/>
      </c>
      <c r="C1217" t="str">
        <f ca="1">IFERROR(__xludf.DUMMYFUNCTION("""COMPUTED_VALUE"""),"")</f>
        <v/>
      </c>
      <c r="D1217" t="str">
        <f ca="1">IFERROR(__xludf.DUMMYFUNCTION("""COMPUTED_VALUE"""),"")</f>
        <v/>
      </c>
      <c r="E1217" t="str">
        <f ca="1">IFERROR(__xludf.DUMMYFUNCTION("""COMPUTED_VALUE"""),"")</f>
        <v/>
      </c>
      <c r="F1217" t="str">
        <f ca="1">IFERROR(__xludf.DUMMYFUNCTION("""COMPUTED_VALUE"""),"")</f>
        <v/>
      </c>
      <c r="G1217" t="str">
        <f ca="1">IFERROR(__xludf.DUMMYFUNCTION("""COMPUTED_VALUE"""),"")</f>
        <v/>
      </c>
      <c r="H1217" t="str">
        <f ca="1">IFERROR(__xludf.DUMMYFUNCTION("""COMPUTED_VALUE"""),"")</f>
        <v/>
      </c>
      <c r="I1217" t="str">
        <f ca="1">IFERROR(__xludf.DUMMYFUNCTION("""COMPUTED_VALUE"""),"")</f>
        <v/>
      </c>
      <c r="J1217" t="str">
        <f ca="1">IFERROR(__xludf.DUMMYFUNCTION("""COMPUTED_VALUE"""),"")</f>
        <v/>
      </c>
      <c r="K1217" t="str">
        <f ca="1">IFERROR(__xludf.DUMMYFUNCTION("""COMPUTED_VALUE"""),"")</f>
        <v/>
      </c>
      <c r="L1217" t="str">
        <f ca="1">IFERROR(__xludf.DUMMYFUNCTION("""COMPUTED_VALUE"""),"")</f>
        <v/>
      </c>
      <c r="M1217" t="str">
        <f ca="1">IFERROR(__xludf.DUMMYFUNCTION("""COMPUTED_VALUE"""),"")</f>
        <v/>
      </c>
      <c r="N1217" t="str">
        <f ca="1">IFERROR(__xludf.DUMMYFUNCTION("""COMPUTED_VALUE"""),"")</f>
        <v/>
      </c>
      <c r="O1217" t="str">
        <f ca="1">IFERROR(__xludf.DUMMYFUNCTION("""COMPUTED_VALUE"""),"")</f>
        <v/>
      </c>
      <c r="P1217" t="str">
        <f ca="1">IFERROR(__xludf.DUMMYFUNCTION("""COMPUTED_VALUE"""),"")</f>
        <v/>
      </c>
      <c r="Q1217" s="5" t="str">
        <f ca="1">IFERROR(__xludf.DUMMYFUNCTION("""COMPUTED_VALUE"""),"")</f>
        <v/>
      </c>
      <c r="R1217" s="6" t="str">
        <f ca="1">IFERROR(__xludf.DUMMYFUNCTION("""COMPUTED_VALUE"""),"")</f>
        <v/>
      </c>
      <c r="S1217" t="str">
        <f ca="1">IFERROR(__xludf.DUMMYFUNCTION("""COMPUTED_VALUE"""),"")</f>
        <v/>
      </c>
      <c r="T1217" t="str">
        <f ca="1">IFERROR(__xludf.DUMMYFUNCTION("""COMPUTED_VALUE"""),"")</f>
        <v/>
      </c>
      <c r="U1217" t="str">
        <f ca="1">IFERROR(__xludf.DUMMYFUNCTION("""COMPUTED_VALUE"""),"")</f>
        <v/>
      </c>
      <c r="V1217" t="str">
        <f ca="1">IFERROR(__xludf.DUMMYFUNCTION("""COMPUTED_VALUE"""),"")</f>
        <v/>
      </c>
      <c r="W1217" t="str">
        <f ca="1">IFERROR(__xludf.DUMMYFUNCTION("""COMPUTED_VALUE"""),"")</f>
        <v/>
      </c>
      <c r="X1217" t="str">
        <f ca="1">IFERROR(__xludf.DUMMYFUNCTION("""COMPUTED_VALUE"""),"")</f>
        <v/>
      </c>
      <c r="Y1217" t="str">
        <f ca="1">IFERROR(__xludf.DUMMYFUNCTION("""COMPUTED_VALUE"""),"")</f>
        <v/>
      </c>
      <c r="Z1217" t="str">
        <f ca="1">IFERROR(__xludf.DUMMYFUNCTION("""COMPUTED_VALUE"""),"")</f>
        <v/>
      </c>
      <c r="AA1217" t="str">
        <f ca="1">IFERROR(__xludf.DUMMYFUNCTION("""COMPUTED_VALUE"""),"")</f>
        <v/>
      </c>
      <c r="AB1217" s="8" t="str">
        <f ca="1">IFERROR(__xludf.DUMMYFUNCTION("""COMPUTED_VALUE"""),"")</f>
        <v/>
      </c>
      <c r="AC1217" s="8" t="str">
        <f ca="1">IFERROR(__xludf.DUMMYFUNCTION("""COMPUTED_VALUE"""),"")</f>
        <v/>
      </c>
      <c r="AD1217" s="11" t="str">
        <f ca="1">IFERROR(__xludf.DUMMYFUNCTION("""COMPUTED_VALUE"""),"")</f>
        <v/>
      </c>
      <c r="AE1217" t="str">
        <f ca="1">IFERROR(__xludf.DUMMYFUNCTION("""COMPUTED_VALUE"""),"")</f>
        <v/>
      </c>
    </row>
    <row r="1218" spans="1:31" ht="12.75" x14ac:dyDescent="0.2">
      <c r="A1218" t="str">
        <f ca="1">IFERROR(__xludf.DUMMYFUNCTION("""COMPUTED_VALUE"""),"")</f>
        <v/>
      </c>
      <c r="B1218" t="str">
        <f ca="1">IFERROR(__xludf.DUMMYFUNCTION("""COMPUTED_VALUE"""),"")</f>
        <v/>
      </c>
      <c r="C1218" t="str">
        <f ca="1">IFERROR(__xludf.DUMMYFUNCTION("""COMPUTED_VALUE"""),"")</f>
        <v/>
      </c>
      <c r="D1218" t="str">
        <f ca="1">IFERROR(__xludf.DUMMYFUNCTION("""COMPUTED_VALUE"""),"")</f>
        <v/>
      </c>
      <c r="E1218" t="str">
        <f ca="1">IFERROR(__xludf.DUMMYFUNCTION("""COMPUTED_VALUE"""),"")</f>
        <v/>
      </c>
      <c r="F1218" t="str">
        <f ca="1">IFERROR(__xludf.DUMMYFUNCTION("""COMPUTED_VALUE"""),"")</f>
        <v/>
      </c>
      <c r="G1218" t="str">
        <f ca="1">IFERROR(__xludf.DUMMYFUNCTION("""COMPUTED_VALUE"""),"")</f>
        <v/>
      </c>
      <c r="H1218" t="str">
        <f ca="1">IFERROR(__xludf.DUMMYFUNCTION("""COMPUTED_VALUE"""),"")</f>
        <v/>
      </c>
      <c r="I1218" t="str">
        <f ca="1">IFERROR(__xludf.DUMMYFUNCTION("""COMPUTED_VALUE"""),"")</f>
        <v/>
      </c>
      <c r="J1218" t="str">
        <f ca="1">IFERROR(__xludf.DUMMYFUNCTION("""COMPUTED_VALUE"""),"")</f>
        <v/>
      </c>
      <c r="K1218" t="str">
        <f ca="1">IFERROR(__xludf.DUMMYFUNCTION("""COMPUTED_VALUE"""),"")</f>
        <v/>
      </c>
      <c r="L1218" t="str">
        <f ca="1">IFERROR(__xludf.DUMMYFUNCTION("""COMPUTED_VALUE"""),"")</f>
        <v/>
      </c>
      <c r="M1218" t="str">
        <f ca="1">IFERROR(__xludf.DUMMYFUNCTION("""COMPUTED_VALUE"""),"")</f>
        <v/>
      </c>
      <c r="N1218" t="str">
        <f ca="1">IFERROR(__xludf.DUMMYFUNCTION("""COMPUTED_VALUE"""),"")</f>
        <v/>
      </c>
      <c r="O1218" t="str">
        <f ca="1">IFERROR(__xludf.DUMMYFUNCTION("""COMPUTED_VALUE"""),"")</f>
        <v/>
      </c>
      <c r="P1218" t="str">
        <f ca="1">IFERROR(__xludf.DUMMYFUNCTION("""COMPUTED_VALUE"""),"")</f>
        <v/>
      </c>
      <c r="Q1218" s="5" t="str">
        <f ca="1">IFERROR(__xludf.DUMMYFUNCTION("""COMPUTED_VALUE"""),"")</f>
        <v/>
      </c>
      <c r="R1218" s="6" t="str">
        <f ca="1">IFERROR(__xludf.DUMMYFUNCTION("""COMPUTED_VALUE"""),"")</f>
        <v/>
      </c>
      <c r="S1218" t="str">
        <f ca="1">IFERROR(__xludf.DUMMYFUNCTION("""COMPUTED_VALUE"""),"")</f>
        <v/>
      </c>
      <c r="T1218" t="str">
        <f ca="1">IFERROR(__xludf.DUMMYFUNCTION("""COMPUTED_VALUE"""),"")</f>
        <v/>
      </c>
      <c r="U1218" t="str">
        <f ca="1">IFERROR(__xludf.DUMMYFUNCTION("""COMPUTED_VALUE"""),"")</f>
        <v/>
      </c>
      <c r="V1218" t="str">
        <f ca="1">IFERROR(__xludf.DUMMYFUNCTION("""COMPUTED_VALUE"""),"")</f>
        <v/>
      </c>
      <c r="W1218" t="str">
        <f ca="1">IFERROR(__xludf.DUMMYFUNCTION("""COMPUTED_VALUE"""),"")</f>
        <v/>
      </c>
      <c r="X1218" t="str">
        <f ca="1">IFERROR(__xludf.DUMMYFUNCTION("""COMPUTED_VALUE"""),"")</f>
        <v/>
      </c>
      <c r="Y1218" t="str">
        <f ca="1">IFERROR(__xludf.DUMMYFUNCTION("""COMPUTED_VALUE"""),"")</f>
        <v/>
      </c>
      <c r="Z1218" t="str">
        <f ca="1">IFERROR(__xludf.DUMMYFUNCTION("""COMPUTED_VALUE"""),"")</f>
        <v/>
      </c>
      <c r="AA1218" t="str">
        <f ca="1">IFERROR(__xludf.DUMMYFUNCTION("""COMPUTED_VALUE"""),"")</f>
        <v/>
      </c>
      <c r="AB1218" s="8" t="str">
        <f ca="1">IFERROR(__xludf.DUMMYFUNCTION("""COMPUTED_VALUE"""),"")</f>
        <v/>
      </c>
      <c r="AC1218" s="8" t="str">
        <f ca="1">IFERROR(__xludf.DUMMYFUNCTION("""COMPUTED_VALUE"""),"")</f>
        <v/>
      </c>
      <c r="AD1218" s="11" t="str">
        <f ca="1">IFERROR(__xludf.DUMMYFUNCTION("""COMPUTED_VALUE"""),"")</f>
        <v/>
      </c>
      <c r="AE1218" t="str">
        <f ca="1">IFERROR(__xludf.DUMMYFUNCTION("""COMPUTED_VALUE"""),"")</f>
        <v/>
      </c>
    </row>
    <row r="1219" spans="1:31" ht="12.75" x14ac:dyDescent="0.2">
      <c r="A1219" t="str">
        <f ca="1">IFERROR(__xludf.DUMMYFUNCTION("""COMPUTED_VALUE"""),"")</f>
        <v/>
      </c>
      <c r="B1219" t="str">
        <f ca="1">IFERROR(__xludf.DUMMYFUNCTION("""COMPUTED_VALUE"""),"")</f>
        <v/>
      </c>
      <c r="C1219" t="str">
        <f ca="1">IFERROR(__xludf.DUMMYFUNCTION("""COMPUTED_VALUE"""),"")</f>
        <v/>
      </c>
      <c r="D1219" t="str">
        <f ca="1">IFERROR(__xludf.DUMMYFUNCTION("""COMPUTED_VALUE"""),"")</f>
        <v/>
      </c>
      <c r="E1219" t="str">
        <f ca="1">IFERROR(__xludf.DUMMYFUNCTION("""COMPUTED_VALUE"""),"")</f>
        <v/>
      </c>
      <c r="F1219" t="str">
        <f ca="1">IFERROR(__xludf.DUMMYFUNCTION("""COMPUTED_VALUE"""),"")</f>
        <v/>
      </c>
      <c r="G1219" t="str">
        <f ca="1">IFERROR(__xludf.DUMMYFUNCTION("""COMPUTED_VALUE"""),"")</f>
        <v/>
      </c>
      <c r="H1219" t="str">
        <f ca="1">IFERROR(__xludf.DUMMYFUNCTION("""COMPUTED_VALUE"""),"")</f>
        <v/>
      </c>
      <c r="I1219" t="str">
        <f ca="1">IFERROR(__xludf.DUMMYFUNCTION("""COMPUTED_VALUE"""),"")</f>
        <v/>
      </c>
      <c r="J1219" t="str">
        <f ca="1">IFERROR(__xludf.DUMMYFUNCTION("""COMPUTED_VALUE"""),"")</f>
        <v/>
      </c>
      <c r="K1219" t="str">
        <f ca="1">IFERROR(__xludf.DUMMYFUNCTION("""COMPUTED_VALUE"""),"")</f>
        <v/>
      </c>
      <c r="L1219" t="str">
        <f ca="1">IFERROR(__xludf.DUMMYFUNCTION("""COMPUTED_VALUE"""),"")</f>
        <v/>
      </c>
      <c r="M1219" t="str">
        <f ca="1">IFERROR(__xludf.DUMMYFUNCTION("""COMPUTED_VALUE"""),"")</f>
        <v/>
      </c>
      <c r="N1219" t="str">
        <f ca="1">IFERROR(__xludf.DUMMYFUNCTION("""COMPUTED_VALUE"""),"")</f>
        <v/>
      </c>
      <c r="O1219" t="str">
        <f ca="1">IFERROR(__xludf.DUMMYFUNCTION("""COMPUTED_VALUE"""),"")</f>
        <v/>
      </c>
      <c r="P1219" t="str">
        <f ca="1">IFERROR(__xludf.DUMMYFUNCTION("""COMPUTED_VALUE"""),"")</f>
        <v/>
      </c>
      <c r="Q1219" s="5" t="str">
        <f ca="1">IFERROR(__xludf.DUMMYFUNCTION("""COMPUTED_VALUE"""),"")</f>
        <v/>
      </c>
      <c r="R1219" s="6" t="str">
        <f ca="1">IFERROR(__xludf.DUMMYFUNCTION("""COMPUTED_VALUE"""),"")</f>
        <v/>
      </c>
      <c r="S1219" t="str">
        <f ca="1">IFERROR(__xludf.DUMMYFUNCTION("""COMPUTED_VALUE"""),"")</f>
        <v/>
      </c>
      <c r="T1219" t="str">
        <f ca="1">IFERROR(__xludf.DUMMYFUNCTION("""COMPUTED_VALUE"""),"")</f>
        <v/>
      </c>
      <c r="U1219" t="str">
        <f ca="1">IFERROR(__xludf.DUMMYFUNCTION("""COMPUTED_VALUE"""),"")</f>
        <v/>
      </c>
      <c r="V1219" t="str">
        <f ca="1">IFERROR(__xludf.DUMMYFUNCTION("""COMPUTED_VALUE"""),"")</f>
        <v/>
      </c>
      <c r="W1219" t="str">
        <f ca="1">IFERROR(__xludf.DUMMYFUNCTION("""COMPUTED_VALUE"""),"")</f>
        <v/>
      </c>
      <c r="X1219" t="str">
        <f ca="1">IFERROR(__xludf.DUMMYFUNCTION("""COMPUTED_VALUE"""),"")</f>
        <v/>
      </c>
      <c r="Y1219" t="str">
        <f ca="1">IFERROR(__xludf.DUMMYFUNCTION("""COMPUTED_VALUE"""),"")</f>
        <v/>
      </c>
      <c r="Z1219" t="str">
        <f ca="1">IFERROR(__xludf.DUMMYFUNCTION("""COMPUTED_VALUE"""),"")</f>
        <v/>
      </c>
      <c r="AA1219" t="str">
        <f ca="1">IFERROR(__xludf.DUMMYFUNCTION("""COMPUTED_VALUE"""),"")</f>
        <v/>
      </c>
      <c r="AB1219" s="8" t="str">
        <f ca="1">IFERROR(__xludf.DUMMYFUNCTION("""COMPUTED_VALUE"""),"")</f>
        <v/>
      </c>
      <c r="AC1219" s="8" t="str">
        <f ca="1">IFERROR(__xludf.DUMMYFUNCTION("""COMPUTED_VALUE"""),"")</f>
        <v/>
      </c>
      <c r="AD1219" s="11" t="str">
        <f ca="1">IFERROR(__xludf.DUMMYFUNCTION("""COMPUTED_VALUE"""),"")</f>
        <v/>
      </c>
      <c r="AE1219" t="str">
        <f ca="1">IFERROR(__xludf.DUMMYFUNCTION("""COMPUTED_VALUE"""),"")</f>
        <v/>
      </c>
    </row>
    <row r="1220" spans="1:31" ht="12.75" x14ac:dyDescent="0.2">
      <c r="A1220" t="str">
        <f ca="1">IFERROR(__xludf.DUMMYFUNCTION("""COMPUTED_VALUE"""),"")</f>
        <v/>
      </c>
      <c r="B1220" t="str">
        <f ca="1">IFERROR(__xludf.DUMMYFUNCTION("""COMPUTED_VALUE"""),"")</f>
        <v/>
      </c>
      <c r="C1220" t="str">
        <f ca="1">IFERROR(__xludf.DUMMYFUNCTION("""COMPUTED_VALUE"""),"")</f>
        <v/>
      </c>
      <c r="D1220" t="str">
        <f ca="1">IFERROR(__xludf.DUMMYFUNCTION("""COMPUTED_VALUE"""),"")</f>
        <v/>
      </c>
      <c r="E1220" t="str">
        <f ca="1">IFERROR(__xludf.DUMMYFUNCTION("""COMPUTED_VALUE"""),"")</f>
        <v/>
      </c>
      <c r="F1220" t="str">
        <f ca="1">IFERROR(__xludf.DUMMYFUNCTION("""COMPUTED_VALUE"""),"")</f>
        <v/>
      </c>
      <c r="G1220" t="str">
        <f ca="1">IFERROR(__xludf.DUMMYFUNCTION("""COMPUTED_VALUE"""),"")</f>
        <v/>
      </c>
      <c r="H1220" t="str">
        <f ca="1">IFERROR(__xludf.DUMMYFUNCTION("""COMPUTED_VALUE"""),"")</f>
        <v/>
      </c>
      <c r="I1220" t="str">
        <f ca="1">IFERROR(__xludf.DUMMYFUNCTION("""COMPUTED_VALUE"""),"")</f>
        <v/>
      </c>
      <c r="J1220" t="str">
        <f ca="1">IFERROR(__xludf.DUMMYFUNCTION("""COMPUTED_VALUE"""),"")</f>
        <v/>
      </c>
      <c r="K1220" t="str">
        <f ca="1">IFERROR(__xludf.DUMMYFUNCTION("""COMPUTED_VALUE"""),"")</f>
        <v/>
      </c>
      <c r="L1220" t="str">
        <f ca="1">IFERROR(__xludf.DUMMYFUNCTION("""COMPUTED_VALUE"""),"")</f>
        <v/>
      </c>
      <c r="M1220" t="str">
        <f ca="1">IFERROR(__xludf.DUMMYFUNCTION("""COMPUTED_VALUE"""),"")</f>
        <v/>
      </c>
      <c r="N1220" t="str">
        <f ca="1">IFERROR(__xludf.DUMMYFUNCTION("""COMPUTED_VALUE"""),"")</f>
        <v/>
      </c>
      <c r="O1220" t="str">
        <f ca="1">IFERROR(__xludf.DUMMYFUNCTION("""COMPUTED_VALUE"""),"")</f>
        <v/>
      </c>
      <c r="P1220" t="str">
        <f ca="1">IFERROR(__xludf.DUMMYFUNCTION("""COMPUTED_VALUE"""),"")</f>
        <v/>
      </c>
      <c r="Q1220" s="5" t="str">
        <f ca="1">IFERROR(__xludf.DUMMYFUNCTION("""COMPUTED_VALUE"""),"")</f>
        <v/>
      </c>
      <c r="R1220" s="6" t="str">
        <f ca="1">IFERROR(__xludf.DUMMYFUNCTION("""COMPUTED_VALUE"""),"")</f>
        <v/>
      </c>
      <c r="S1220" t="str">
        <f ca="1">IFERROR(__xludf.DUMMYFUNCTION("""COMPUTED_VALUE"""),"")</f>
        <v/>
      </c>
      <c r="T1220" t="str">
        <f ca="1">IFERROR(__xludf.DUMMYFUNCTION("""COMPUTED_VALUE"""),"")</f>
        <v/>
      </c>
      <c r="U1220" t="str">
        <f ca="1">IFERROR(__xludf.DUMMYFUNCTION("""COMPUTED_VALUE"""),"")</f>
        <v/>
      </c>
      <c r="V1220" t="str">
        <f ca="1">IFERROR(__xludf.DUMMYFUNCTION("""COMPUTED_VALUE"""),"")</f>
        <v/>
      </c>
      <c r="W1220" t="str">
        <f ca="1">IFERROR(__xludf.DUMMYFUNCTION("""COMPUTED_VALUE"""),"")</f>
        <v/>
      </c>
      <c r="X1220" t="str">
        <f ca="1">IFERROR(__xludf.DUMMYFUNCTION("""COMPUTED_VALUE"""),"")</f>
        <v/>
      </c>
      <c r="Y1220" t="str">
        <f ca="1">IFERROR(__xludf.DUMMYFUNCTION("""COMPUTED_VALUE"""),"")</f>
        <v/>
      </c>
      <c r="Z1220" t="str">
        <f ca="1">IFERROR(__xludf.DUMMYFUNCTION("""COMPUTED_VALUE"""),"")</f>
        <v/>
      </c>
      <c r="AA1220" t="str">
        <f ca="1">IFERROR(__xludf.DUMMYFUNCTION("""COMPUTED_VALUE"""),"")</f>
        <v/>
      </c>
      <c r="AB1220" s="8" t="str">
        <f ca="1">IFERROR(__xludf.DUMMYFUNCTION("""COMPUTED_VALUE"""),"")</f>
        <v/>
      </c>
      <c r="AC1220" s="8" t="str">
        <f ca="1">IFERROR(__xludf.DUMMYFUNCTION("""COMPUTED_VALUE"""),"")</f>
        <v/>
      </c>
      <c r="AD1220" s="11" t="str">
        <f ca="1">IFERROR(__xludf.DUMMYFUNCTION("""COMPUTED_VALUE"""),"")</f>
        <v/>
      </c>
      <c r="AE1220" t="str">
        <f ca="1">IFERROR(__xludf.DUMMYFUNCTION("""COMPUTED_VALUE"""),"")</f>
        <v/>
      </c>
    </row>
    <row r="1221" spans="1:31" ht="12.75" x14ac:dyDescent="0.2">
      <c r="A1221" t="str">
        <f ca="1">IFERROR(__xludf.DUMMYFUNCTION("""COMPUTED_VALUE"""),"")</f>
        <v/>
      </c>
      <c r="B1221" t="str">
        <f ca="1">IFERROR(__xludf.DUMMYFUNCTION("""COMPUTED_VALUE"""),"")</f>
        <v/>
      </c>
      <c r="C1221" t="str">
        <f ca="1">IFERROR(__xludf.DUMMYFUNCTION("""COMPUTED_VALUE"""),"")</f>
        <v/>
      </c>
      <c r="D1221" t="str">
        <f ca="1">IFERROR(__xludf.DUMMYFUNCTION("""COMPUTED_VALUE"""),"")</f>
        <v/>
      </c>
      <c r="E1221" t="str">
        <f ca="1">IFERROR(__xludf.DUMMYFUNCTION("""COMPUTED_VALUE"""),"")</f>
        <v/>
      </c>
      <c r="F1221" t="str">
        <f ca="1">IFERROR(__xludf.DUMMYFUNCTION("""COMPUTED_VALUE"""),"")</f>
        <v/>
      </c>
      <c r="G1221" t="str">
        <f ca="1">IFERROR(__xludf.DUMMYFUNCTION("""COMPUTED_VALUE"""),"")</f>
        <v/>
      </c>
      <c r="H1221" t="str">
        <f ca="1">IFERROR(__xludf.DUMMYFUNCTION("""COMPUTED_VALUE"""),"")</f>
        <v/>
      </c>
      <c r="I1221" t="str">
        <f ca="1">IFERROR(__xludf.DUMMYFUNCTION("""COMPUTED_VALUE"""),"")</f>
        <v/>
      </c>
      <c r="J1221" t="str">
        <f ca="1">IFERROR(__xludf.DUMMYFUNCTION("""COMPUTED_VALUE"""),"")</f>
        <v/>
      </c>
      <c r="K1221" t="str">
        <f ca="1">IFERROR(__xludf.DUMMYFUNCTION("""COMPUTED_VALUE"""),"")</f>
        <v/>
      </c>
      <c r="L1221" t="str">
        <f ca="1">IFERROR(__xludf.DUMMYFUNCTION("""COMPUTED_VALUE"""),"")</f>
        <v/>
      </c>
      <c r="M1221" t="str">
        <f ca="1">IFERROR(__xludf.DUMMYFUNCTION("""COMPUTED_VALUE"""),"")</f>
        <v/>
      </c>
      <c r="N1221" t="str">
        <f ca="1">IFERROR(__xludf.DUMMYFUNCTION("""COMPUTED_VALUE"""),"")</f>
        <v/>
      </c>
      <c r="O1221" t="str">
        <f ca="1">IFERROR(__xludf.DUMMYFUNCTION("""COMPUTED_VALUE"""),"")</f>
        <v/>
      </c>
      <c r="P1221" t="str">
        <f ca="1">IFERROR(__xludf.DUMMYFUNCTION("""COMPUTED_VALUE"""),"")</f>
        <v/>
      </c>
      <c r="Q1221" s="5" t="str">
        <f ca="1">IFERROR(__xludf.DUMMYFUNCTION("""COMPUTED_VALUE"""),"")</f>
        <v/>
      </c>
      <c r="R1221" s="6" t="str">
        <f ca="1">IFERROR(__xludf.DUMMYFUNCTION("""COMPUTED_VALUE"""),"")</f>
        <v/>
      </c>
      <c r="S1221" t="str">
        <f ca="1">IFERROR(__xludf.DUMMYFUNCTION("""COMPUTED_VALUE"""),"")</f>
        <v/>
      </c>
      <c r="T1221" t="str">
        <f ca="1">IFERROR(__xludf.DUMMYFUNCTION("""COMPUTED_VALUE"""),"")</f>
        <v/>
      </c>
      <c r="U1221" t="str">
        <f ca="1">IFERROR(__xludf.DUMMYFUNCTION("""COMPUTED_VALUE"""),"")</f>
        <v/>
      </c>
      <c r="V1221" t="str">
        <f ca="1">IFERROR(__xludf.DUMMYFUNCTION("""COMPUTED_VALUE"""),"")</f>
        <v/>
      </c>
      <c r="W1221" t="str">
        <f ca="1">IFERROR(__xludf.DUMMYFUNCTION("""COMPUTED_VALUE"""),"")</f>
        <v/>
      </c>
      <c r="X1221" t="str">
        <f ca="1">IFERROR(__xludf.DUMMYFUNCTION("""COMPUTED_VALUE"""),"")</f>
        <v/>
      </c>
      <c r="Y1221" t="str">
        <f ca="1">IFERROR(__xludf.DUMMYFUNCTION("""COMPUTED_VALUE"""),"")</f>
        <v/>
      </c>
      <c r="Z1221" t="str">
        <f ca="1">IFERROR(__xludf.DUMMYFUNCTION("""COMPUTED_VALUE"""),"")</f>
        <v/>
      </c>
      <c r="AA1221" t="str">
        <f ca="1">IFERROR(__xludf.DUMMYFUNCTION("""COMPUTED_VALUE"""),"")</f>
        <v/>
      </c>
      <c r="AB1221" s="8" t="str">
        <f ca="1">IFERROR(__xludf.DUMMYFUNCTION("""COMPUTED_VALUE"""),"")</f>
        <v/>
      </c>
      <c r="AC1221" s="8" t="str">
        <f ca="1">IFERROR(__xludf.DUMMYFUNCTION("""COMPUTED_VALUE"""),"")</f>
        <v/>
      </c>
      <c r="AD1221" s="11" t="str">
        <f ca="1">IFERROR(__xludf.DUMMYFUNCTION("""COMPUTED_VALUE"""),"")</f>
        <v/>
      </c>
      <c r="AE1221" t="str">
        <f ca="1">IFERROR(__xludf.DUMMYFUNCTION("""COMPUTED_VALUE"""),"")</f>
        <v/>
      </c>
    </row>
    <row r="1222" spans="1:31" ht="12.75" x14ac:dyDescent="0.2">
      <c r="A1222" t="str">
        <f ca="1">IFERROR(__xludf.DUMMYFUNCTION("""COMPUTED_VALUE"""),"")</f>
        <v/>
      </c>
      <c r="B1222" t="str">
        <f ca="1">IFERROR(__xludf.DUMMYFUNCTION("""COMPUTED_VALUE"""),"")</f>
        <v/>
      </c>
      <c r="C1222" t="str">
        <f ca="1">IFERROR(__xludf.DUMMYFUNCTION("""COMPUTED_VALUE"""),"")</f>
        <v/>
      </c>
      <c r="D1222" t="str">
        <f ca="1">IFERROR(__xludf.DUMMYFUNCTION("""COMPUTED_VALUE"""),"")</f>
        <v/>
      </c>
      <c r="E1222" t="str">
        <f ca="1">IFERROR(__xludf.DUMMYFUNCTION("""COMPUTED_VALUE"""),"")</f>
        <v/>
      </c>
      <c r="F1222" t="str">
        <f ca="1">IFERROR(__xludf.DUMMYFUNCTION("""COMPUTED_VALUE"""),"")</f>
        <v/>
      </c>
      <c r="G1222" t="str">
        <f ca="1">IFERROR(__xludf.DUMMYFUNCTION("""COMPUTED_VALUE"""),"")</f>
        <v/>
      </c>
      <c r="H1222" t="str">
        <f ca="1">IFERROR(__xludf.DUMMYFUNCTION("""COMPUTED_VALUE"""),"")</f>
        <v/>
      </c>
      <c r="I1222" t="str">
        <f ca="1">IFERROR(__xludf.DUMMYFUNCTION("""COMPUTED_VALUE"""),"")</f>
        <v/>
      </c>
      <c r="J1222" t="str">
        <f ca="1">IFERROR(__xludf.DUMMYFUNCTION("""COMPUTED_VALUE"""),"")</f>
        <v/>
      </c>
      <c r="K1222" t="str">
        <f ca="1">IFERROR(__xludf.DUMMYFUNCTION("""COMPUTED_VALUE"""),"")</f>
        <v/>
      </c>
      <c r="L1222" t="str">
        <f ca="1">IFERROR(__xludf.DUMMYFUNCTION("""COMPUTED_VALUE"""),"")</f>
        <v/>
      </c>
      <c r="M1222" t="str">
        <f ca="1">IFERROR(__xludf.DUMMYFUNCTION("""COMPUTED_VALUE"""),"")</f>
        <v/>
      </c>
      <c r="N1222" t="str">
        <f ca="1">IFERROR(__xludf.DUMMYFUNCTION("""COMPUTED_VALUE"""),"")</f>
        <v/>
      </c>
      <c r="O1222" t="str">
        <f ca="1">IFERROR(__xludf.DUMMYFUNCTION("""COMPUTED_VALUE"""),"")</f>
        <v/>
      </c>
      <c r="P1222" t="str">
        <f ca="1">IFERROR(__xludf.DUMMYFUNCTION("""COMPUTED_VALUE"""),"")</f>
        <v/>
      </c>
      <c r="Q1222" s="5" t="str">
        <f ca="1">IFERROR(__xludf.DUMMYFUNCTION("""COMPUTED_VALUE"""),"")</f>
        <v/>
      </c>
      <c r="R1222" s="6" t="str">
        <f ca="1">IFERROR(__xludf.DUMMYFUNCTION("""COMPUTED_VALUE"""),"")</f>
        <v/>
      </c>
      <c r="S1222" t="str">
        <f ca="1">IFERROR(__xludf.DUMMYFUNCTION("""COMPUTED_VALUE"""),"")</f>
        <v/>
      </c>
      <c r="T1222" t="str">
        <f ca="1">IFERROR(__xludf.DUMMYFUNCTION("""COMPUTED_VALUE"""),"")</f>
        <v/>
      </c>
      <c r="U1222" t="str">
        <f ca="1">IFERROR(__xludf.DUMMYFUNCTION("""COMPUTED_VALUE"""),"")</f>
        <v/>
      </c>
      <c r="V1222" t="str">
        <f ca="1">IFERROR(__xludf.DUMMYFUNCTION("""COMPUTED_VALUE"""),"")</f>
        <v/>
      </c>
      <c r="W1222" t="str">
        <f ca="1">IFERROR(__xludf.DUMMYFUNCTION("""COMPUTED_VALUE"""),"")</f>
        <v/>
      </c>
      <c r="X1222" t="str">
        <f ca="1">IFERROR(__xludf.DUMMYFUNCTION("""COMPUTED_VALUE"""),"")</f>
        <v/>
      </c>
      <c r="Y1222" t="str">
        <f ca="1">IFERROR(__xludf.DUMMYFUNCTION("""COMPUTED_VALUE"""),"")</f>
        <v/>
      </c>
      <c r="Z1222" t="str">
        <f ca="1">IFERROR(__xludf.DUMMYFUNCTION("""COMPUTED_VALUE"""),"")</f>
        <v/>
      </c>
      <c r="AA1222" t="str">
        <f ca="1">IFERROR(__xludf.DUMMYFUNCTION("""COMPUTED_VALUE"""),"")</f>
        <v/>
      </c>
      <c r="AB1222" s="8" t="str">
        <f ca="1">IFERROR(__xludf.DUMMYFUNCTION("""COMPUTED_VALUE"""),"")</f>
        <v/>
      </c>
      <c r="AC1222" s="8" t="str">
        <f ca="1">IFERROR(__xludf.DUMMYFUNCTION("""COMPUTED_VALUE"""),"")</f>
        <v/>
      </c>
      <c r="AD1222" s="11" t="str">
        <f ca="1">IFERROR(__xludf.DUMMYFUNCTION("""COMPUTED_VALUE"""),"")</f>
        <v/>
      </c>
      <c r="AE1222" t="str">
        <f ca="1">IFERROR(__xludf.DUMMYFUNCTION("""COMPUTED_VALUE"""),"")</f>
        <v/>
      </c>
    </row>
    <row r="1223" spans="1:31" ht="12.75" x14ac:dyDescent="0.2">
      <c r="A1223" t="str">
        <f ca="1">IFERROR(__xludf.DUMMYFUNCTION("""COMPUTED_VALUE"""),"")</f>
        <v/>
      </c>
      <c r="B1223" t="str">
        <f ca="1">IFERROR(__xludf.DUMMYFUNCTION("""COMPUTED_VALUE"""),"")</f>
        <v/>
      </c>
      <c r="C1223" t="str">
        <f ca="1">IFERROR(__xludf.DUMMYFUNCTION("""COMPUTED_VALUE"""),"")</f>
        <v/>
      </c>
      <c r="D1223" t="str">
        <f ca="1">IFERROR(__xludf.DUMMYFUNCTION("""COMPUTED_VALUE"""),"")</f>
        <v/>
      </c>
      <c r="E1223" t="str">
        <f ca="1">IFERROR(__xludf.DUMMYFUNCTION("""COMPUTED_VALUE"""),"")</f>
        <v/>
      </c>
      <c r="F1223" t="str">
        <f ca="1">IFERROR(__xludf.DUMMYFUNCTION("""COMPUTED_VALUE"""),"")</f>
        <v/>
      </c>
      <c r="G1223" t="str">
        <f ca="1">IFERROR(__xludf.DUMMYFUNCTION("""COMPUTED_VALUE"""),"")</f>
        <v/>
      </c>
      <c r="H1223" t="str">
        <f ca="1">IFERROR(__xludf.DUMMYFUNCTION("""COMPUTED_VALUE"""),"")</f>
        <v/>
      </c>
      <c r="I1223" t="str">
        <f ca="1">IFERROR(__xludf.DUMMYFUNCTION("""COMPUTED_VALUE"""),"")</f>
        <v/>
      </c>
      <c r="J1223" t="str">
        <f ca="1">IFERROR(__xludf.DUMMYFUNCTION("""COMPUTED_VALUE"""),"")</f>
        <v/>
      </c>
      <c r="K1223" t="str">
        <f ca="1">IFERROR(__xludf.DUMMYFUNCTION("""COMPUTED_VALUE"""),"")</f>
        <v/>
      </c>
      <c r="L1223" t="str">
        <f ca="1">IFERROR(__xludf.DUMMYFUNCTION("""COMPUTED_VALUE"""),"")</f>
        <v/>
      </c>
      <c r="M1223" t="str">
        <f ca="1">IFERROR(__xludf.DUMMYFUNCTION("""COMPUTED_VALUE"""),"")</f>
        <v/>
      </c>
      <c r="N1223" t="str">
        <f ca="1">IFERROR(__xludf.DUMMYFUNCTION("""COMPUTED_VALUE"""),"")</f>
        <v/>
      </c>
      <c r="O1223" t="str">
        <f ca="1">IFERROR(__xludf.DUMMYFUNCTION("""COMPUTED_VALUE"""),"")</f>
        <v/>
      </c>
      <c r="P1223" t="str">
        <f ca="1">IFERROR(__xludf.DUMMYFUNCTION("""COMPUTED_VALUE"""),"")</f>
        <v/>
      </c>
      <c r="Q1223" s="5" t="str">
        <f ca="1">IFERROR(__xludf.DUMMYFUNCTION("""COMPUTED_VALUE"""),"")</f>
        <v/>
      </c>
      <c r="R1223" s="6" t="str">
        <f ca="1">IFERROR(__xludf.DUMMYFUNCTION("""COMPUTED_VALUE"""),"")</f>
        <v/>
      </c>
      <c r="S1223" t="str">
        <f ca="1">IFERROR(__xludf.DUMMYFUNCTION("""COMPUTED_VALUE"""),"")</f>
        <v/>
      </c>
      <c r="T1223" t="str">
        <f ca="1">IFERROR(__xludf.DUMMYFUNCTION("""COMPUTED_VALUE"""),"")</f>
        <v/>
      </c>
      <c r="U1223" t="str">
        <f ca="1">IFERROR(__xludf.DUMMYFUNCTION("""COMPUTED_VALUE"""),"")</f>
        <v/>
      </c>
      <c r="V1223" t="str">
        <f ca="1">IFERROR(__xludf.DUMMYFUNCTION("""COMPUTED_VALUE"""),"")</f>
        <v/>
      </c>
      <c r="W1223" t="str">
        <f ca="1">IFERROR(__xludf.DUMMYFUNCTION("""COMPUTED_VALUE"""),"")</f>
        <v/>
      </c>
      <c r="X1223" t="str">
        <f ca="1">IFERROR(__xludf.DUMMYFUNCTION("""COMPUTED_VALUE"""),"")</f>
        <v/>
      </c>
      <c r="Y1223" t="str">
        <f ca="1">IFERROR(__xludf.DUMMYFUNCTION("""COMPUTED_VALUE"""),"")</f>
        <v/>
      </c>
      <c r="Z1223" t="str">
        <f ca="1">IFERROR(__xludf.DUMMYFUNCTION("""COMPUTED_VALUE"""),"")</f>
        <v/>
      </c>
      <c r="AA1223" t="str">
        <f ca="1">IFERROR(__xludf.DUMMYFUNCTION("""COMPUTED_VALUE"""),"")</f>
        <v/>
      </c>
      <c r="AB1223" s="8" t="str">
        <f ca="1">IFERROR(__xludf.DUMMYFUNCTION("""COMPUTED_VALUE"""),"")</f>
        <v/>
      </c>
      <c r="AC1223" s="8" t="str">
        <f ca="1">IFERROR(__xludf.DUMMYFUNCTION("""COMPUTED_VALUE"""),"")</f>
        <v/>
      </c>
      <c r="AD1223" s="11" t="str">
        <f ca="1">IFERROR(__xludf.DUMMYFUNCTION("""COMPUTED_VALUE"""),"")</f>
        <v/>
      </c>
      <c r="AE1223" t="str">
        <f ca="1">IFERROR(__xludf.DUMMYFUNCTION("""COMPUTED_VALUE"""),"")</f>
        <v/>
      </c>
    </row>
    <row r="1224" spans="1:31" ht="12.75" x14ac:dyDescent="0.2">
      <c r="A1224" t="str">
        <f ca="1">IFERROR(__xludf.DUMMYFUNCTION("""COMPUTED_VALUE"""),"")</f>
        <v/>
      </c>
      <c r="B1224" t="str">
        <f ca="1">IFERROR(__xludf.DUMMYFUNCTION("""COMPUTED_VALUE"""),"")</f>
        <v/>
      </c>
      <c r="C1224" t="str">
        <f ca="1">IFERROR(__xludf.DUMMYFUNCTION("""COMPUTED_VALUE"""),"")</f>
        <v/>
      </c>
      <c r="D1224" t="str">
        <f ca="1">IFERROR(__xludf.DUMMYFUNCTION("""COMPUTED_VALUE"""),"")</f>
        <v/>
      </c>
      <c r="E1224" t="str">
        <f ca="1">IFERROR(__xludf.DUMMYFUNCTION("""COMPUTED_VALUE"""),"")</f>
        <v/>
      </c>
      <c r="F1224" t="str">
        <f ca="1">IFERROR(__xludf.DUMMYFUNCTION("""COMPUTED_VALUE"""),"")</f>
        <v/>
      </c>
      <c r="G1224" t="str">
        <f ca="1">IFERROR(__xludf.DUMMYFUNCTION("""COMPUTED_VALUE"""),"")</f>
        <v/>
      </c>
      <c r="H1224" t="str">
        <f ca="1">IFERROR(__xludf.DUMMYFUNCTION("""COMPUTED_VALUE"""),"")</f>
        <v/>
      </c>
      <c r="I1224" t="str">
        <f ca="1">IFERROR(__xludf.DUMMYFUNCTION("""COMPUTED_VALUE"""),"")</f>
        <v/>
      </c>
      <c r="J1224" t="str">
        <f ca="1">IFERROR(__xludf.DUMMYFUNCTION("""COMPUTED_VALUE"""),"")</f>
        <v/>
      </c>
      <c r="K1224" t="str">
        <f ca="1">IFERROR(__xludf.DUMMYFUNCTION("""COMPUTED_VALUE"""),"")</f>
        <v/>
      </c>
      <c r="L1224" t="str">
        <f ca="1">IFERROR(__xludf.DUMMYFUNCTION("""COMPUTED_VALUE"""),"")</f>
        <v/>
      </c>
      <c r="M1224" t="str">
        <f ca="1">IFERROR(__xludf.DUMMYFUNCTION("""COMPUTED_VALUE"""),"")</f>
        <v/>
      </c>
      <c r="N1224" t="str">
        <f ca="1">IFERROR(__xludf.DUMMYFUNCTION("""COMPUTED_VALUE"""),"")</f>
        <v/>
      </c>
      <c r="O1224" t="str">
        <f ca="1">IFERROR(__xludf.DUMMYFUNCTION("""COMPUTED_VALUE"""),"")</f>
        <v/>
      </c>
      <c r="P1224" t="str">
        <f ca="1">IFERROR(__xludf.DUMMYFUNCTION("""COMPUTED_VALUE"""),"")</f>
        <v/>
      </c>
      <c r="Q1224" s="5" t="str">
        <f ca="1">IFERROR(__xludf.DUMMYFUNCTION("""COMPUTED_VALUE"""),"")</f>
        <v/>
      </c>
      <c r="R1224" s="6" t="str">
        <f ca="1">IFERROR(__xludf.DUMMYFUNCTION("""COMPUTED_VALUE"""),"")</f>
        <v/>
      </c>
      <c r="S1224" t="str">
        <f ca="1">IFERROR(__xludf.DUMMYFUNCTION("""COMPUTED_VALUE"""),"")</f>
        <v/>
      </c>
      <c r="T1224" t="str">
        <f ca="1">IFERROR(__xludf.DUMMYFUNCTION("""COMPUTED_VALUE"""),"")</f>
        <v/>
      </c>
      <c r="U1224" t="str">
        <f ca="1">IFERROR(__xludf.DUMMYFUNCTION("""COMPUTED_VALUE"""),"")</f>
        <v/>
      </c>
      <c r="V1224" t="str">
        <f ca="1">IFERROR(__xludf.DUMMYFUNCTION("""COMPUTED_VALUE"""),"")</f>
        <v/>
      </c>
      <c r="W1224" t="str">
        <f ca="1">IFERROR(__xludf.DUMMYFUNCTION("""COMPUTED_VALUE"""),"")</f>
        <v/>
      </c>
      <c r="X1224" t="str">
        <f ca="1">IFERROR(__xludf.DUMMYFUNCTION("""COMPUTED_VALUE"""),"")</f>
        <v/>
      </c>
      <c r="Y1224" t="str">
        <f ca="1">IFERROR(__xludf.DUMMYFUNCTION("""COMPUTED_VALUE"""),"")</f>
        <v/>
      </c>
      <c r="Z1224" t="str">
        <f ca="1">IFERROR(__xludf.DUMMYFUNCTION("""COMPUTED_VALUE"""),"")</f>
        <v/>
      </c>
      <c r="AA1224" t="str">
        <f ca="1">IFERROR(__xludf.DUMMYFUNCTION("""COMPUTED_VALUE"""),"")</f>
        <v/>
      </c>
      <c r="AB1224" s="8" t="str">
        <f ca="1">IFERROR(__xludf.DUMMYFUNCTION("""COMPUTED_VALUE"""),"")</f>
        <v/>
      </c>
      <c r="AC1224" s="8" t="str">
        <f ca="1">IFERROR(__xludf.DUMMYFUNCTION("""COMPUTED_VALUE"""),"")</f>
        <v/>
      </c>
      <c r="AD1224" s="11" t="str">
        <f ca="1">IFERROR(__xludf.DUMMYFUNCTION("""COMPUTED_VALUE"""),"")</f>
        <v/>
      </c>
      <c r="AE1224" t="str">
        <f ca="1">IFERROR(__xludf.DUMMYFUNCTION("""COMPUTED_VALUE"""),"")</f>
        <v/>
      </c>
    </row>
    <row r="1225" spans="1:31" ht="12.75" x14ac:dyDescent="0.2">
      <c r="A1225" t="str">
        <f ca="1">IFERROR(__xludf.DUMMYFUNCTION("""COMPUTED_VALUE"""),"")</f>
        <v/>
      </c>
      <c r="B1225" t="str">
        <f ca="1">IFERROR(__xludf.DUMMYFUNCTION("""COMPUTED_VALUE"""),"")</f>
        <v/>
      </c>
      <c r="C1225" t="str">
        <f ca="1">IFERROR(__xludf.DUMMYFUNCTION("""COMPUTED_VALUE"""),"")</f>
        <v/>
      </c>
      <c r="D1225" t="str">
        <f ca="1">IFERROR(__xludf.DUMMYFUNCTION("""COMPUTED_VALUE"""),"")</f>
        <v/>
      </c>
      <c r="E1225" t="str">
        <f ca="1">IFERROR(__xludf.DUMMYFUNCTION("""COMPUTED_VALUE"""),"")</f>
        <v/>
      </c>
      <c r="F1225" t="str">
        <f ca="1">IFERROR(__xludf.DUMMYFUNCTION("""COMPUTED_VALUE"""),"")</f>
        <v/>
      </c>
      <c r="G1225" t="str">
        <f ca="1">IFERROR(__xludf.DUMMYFUNCTION("""COMPUTED_VALUE"""),"")</f>
        <v/>
      </c>
      <c r="H1225" t="str">
        <f ca="1">IFERROR(__xludf.DUMMYFUNCTION("""COMPUTED_VALUE"""),"")</f>
        <v/>
      </c>
      <c r="I1225" t="str">
        <f ca="1">IFERROR(__xludf.DUMMYFUNCTION("""COMPUTED_VALUE"""),"")</f>
        <v/>
      </c>
      <c r="J1225" t="str">
        <f ca="1">IFERROR(__xludf.DUMMYFUNCTION("""COMPUTED_VALUE"""),"")</f>
        <v/>
      </c>
      <c r="K1225" t="str">
        <f ca="1">IFERROR(__xludf.DUMMYFUNCTION("""COMPUTED_VALUE"""),"")</f>
        <v/>
      </c>
      <c r="L1225" t="str">
        <f ca="1">IFERROR(__xludf.DUMMYFUNCTION("""COMPUTED_VALUE"""),"")</f>
        <v/>
      </c>
      <c r="M1225" t="str">
        <f ca="1">IFERROR(__xludf.DUMMYFUNCTION("""COMPUTED_VALUE"""),"")</f>
        <v/>
      </c>
      <c r="N1225" t="str">
        <f ca="1">IFERROR(__xludf.DUMMYFUNCTION("""COMPUTED_VALUE"""),"")</f>
        <v/>
      </c>
      <c r="O1225" t="str">
        <f ca="1">IFERROR(__xludf.DUMMYFUNCTION("""COMPUTED_VALUE"""),"")</f>
        <v/>
      </c>
      <c r="P1225" t="str">
        <f ca="1">IFERROR(__xludf.DUMMYFUNCTION("""COMPUTED_VALUE"""),"")</f>
        <v/>
      </c>
      <c r="Q1225" s="5" t="str">
        <f ca="1">IFERROR(__xludf.DUMMYFUNCTION("""COMPUTED_VALUE"""),"")</f>
        <v/>
      </c>
      <c r="R1225" s="6" t="str">
        <f ca="1">IFERROR(__xludf.DUMMYFUNCTION("""COMPUTED_VALUE"""),"")</f>
        <v/>
      </c>
      <c r="S1225" t="str">
        <f ca="1">IFERROR(__xludf.DUMMYFUNCTION("""COMPUTED_VALUE"""),"")</f>
        <v/>
      </c>
      <c r="T1225" t="str">
        <f ca="1">IFERROR(__xludf.DUMMYFUNCTION("""COMPUTED_VALUE"""),"")</f>
        <v/>
      </c>
      <c r="U1225" t="str">
        <f ca="1">IFERROR(__xludf.DUMMYFUNCTION("""COMPUTED_VALUE"""),"")</f>
        <v/>
      </c>
      <c r="V1225" t="str">
        <f ca="1">IFERROR(__xludf.DUMMYFUNCTION("""COMPUTED_VALUE"""),"")</f>
        <v/>
      </c>
      <c r="W1225" t="str">
        <f ca="1">IFERROR(__xludf.DUMMYFUNCTION("""COMPUTED_VALUE"""),"")</f>
        <v/>
      </c>
      <c r="X1225" t="str">
        <f ca="1">IFERROR(__xludf.DUMMYFUNCTION("""COMPUTED_VALUE"""),"")</f>
        <v/>
      </c>
      <c r="Y1225" t="str">
        <f ca="1">IFERROR(__xludf.DUMMYFUNCTION("""COMPUTED_VALUE"""),"")</f>
        <v/>
      </c>
      <c r="Z1225" t="str">
        <f ca="1">IFERROR(__xludf.DUMMYFUNCTION("""COMPUTED_VALUE"""),"")</f>
        <v/>
      </c>
      <c r="AA1225" t="str">
        <f ca="1">IFERROR(__xludf.DUMMYFUNCTION("""COMPUTED_VALUE"""),"")</f>
        <v/>
      </c>
      <c r="AB1225" s="8" t="str">
        <f ca="1">IFERROR(__xludf.DUMMYFUNCTION("""COMPUTED_VALUE"""),"")</f>
        <v/>
      </c>
      <c r="AC1225" s="8" t="str">
        <f ca="1">IFERROR(__xludf.DUMMYFUNCTION("""COMPUTED_VALUE"""),"")</f>
        <v/>
      </c>
      <c r="AD1225" s="11" t="str">
        <f ca="1">IFERROR(__xludf.DUMMYFUNCTION("""COMPUTED_VALUE"""),"")</f>
        <v/>
      </c>
      <c r="AE1225" t="str">
        <f ca="1">IFERROR(__xludf.DUMMYFUNCTION("""COMPUTED_VALUE"""),"")</f>
        <v/>
      </c>
    </row>
    <row r="1226" spans="1:31" ht="12.75" x14ac:dyDescent="0.2">
      <c r="A1226" t="str">
        <f ca="1">IFERROR(__xludf.DUMMYFUNCTION("""COMPUTED_VALUE"""),"")</f>
        <v/>
      </c>
      <c r="B1226" t="str">
        <f ca="1">IFERROR(__xludf.DUMMYFUNCTION("""COMPUTED_VALUE"""),"")</f>
        <v/>
      </c>
      <c r="C1226" t="str">
        <f ca="1">IFERROR(__xludf.DUMMYFUNCTION("""COMPUTED_VALUE"""),"")</f>
        <v/>
      </c>
      <c r="D1226" t="str">
        <f ca="1">IFERROR(__xludf.DUMMYFUNCTION("""COMPUTED_VALUE"""),"")</f>
        <v/>
      </c>
      <c r="E1226" t="str">
        <f ca="1">IFERROR(__xludf.DUMMYFUNCTION("""COMPUTED_VALUE"""),"")</f>
        <v/>
      </c>
      <c r="F1226" t="str">
        <f ca="1">IFERROR(__xludf.DUMMYFUNCTION("""COMPUTED_VALUE"""),"")</f>
        <v/>
      </c>
      <c r="G1226" t="str">
        <f ca="1">IFERROR(__xludf.DUMMYFUNCTION("""COMPUTED_VALUE"""),"")</f>
        <v/>
      </c>
      <c r="H1226" t="str">
        <f ca="1">IFERROR(__xludf.DUMMYFUNCTION("""COMPUTED_VALUE"""),"")</f>
        <v/>
      </c>
      <c r="I1226" t="str">
        <f ca="1">IFERROR(__xludf.DUMMYFUNCTION("""COMPUTED_VALUE"""),"")</f>
        <v/>
      </c>
      <c r="J1226" t="str">
        <f ca="1">IFERROR(__xludf.DUMMYFUNCTION("""COMPUTED_VALUE"""),"")</f>
        <v/>
      </c>
      <c r="K1226" t="str">
        <f ca="1">IFERROR(__xludf.DUMMYFUNCTION("""COMPUTED_VALUE"""),"")</f>
        <v/>
      </c>
      <c r="L1226" t="str">
        <f ca="1">IFERROR(__xludf.DUMMYFUNCTION("""COMPUTED_VALUE"""),"")</f>
        <v/>
      </c>
      <c r="M1226" t="str">
        <f ca="1">IFERROR(__xludf.DUMMYFUNCTION("""COMPUTED_VALUE"""),"")</f>
        <v/>
      </c>
      <c r="N1226" t="str">
        <f ca="1">IFERROR(__xludf.DUMMYFUNCTION("""COMPUTED_VALUE"""),"")</f>
        <v/>
      </c>
      <c r="O1226" t="str">
        <f ca="1">IFERROR(__xludf.DUMMYFUNCTION("""COMPUTED_VALUE"""),"")</f>
        <v/>
      </c>
      <c r="P1226" t="str">
        <f ca="1">IFERROR(__xludf.DUMMYFUNCTION("""COMPUTED_VALUE"""),"")</f>
        <v/>
      </c>
      <c r="Q1226" s="5" t="str">
        <f ca="1">IFERROR(__xludf.DUMMYFUNCTION("""COMPUTED_VALUE"""),"")</f>
        <v/>
      </c>
      <c r="R1226" s="6" t="str">
        <f ca="1">IFERROR(__xludf.DUMMYFUNCTION("""COMPUTED_VALUE"""),"")</f>
        <v/>
      </c>
      <c r="S1226" t="str">
        <f ca="1">IFERROR(__xludf.DUMMYFUNCTION("""COMPUTED_VALUE"""),"")</f>
        <v/>
      </c>
      <c r="T1226" t="str">
        <f ca="1">IFERROR(__xludf.DUMMYFUNCTION("""COMPUTED_VALUE"""),"")</f>
        <v/>
      </c>
      <c r="U1226" t="str">
        <f ca="1">IFERROR(__xludf.DUMMYFUNCTION("""COMPUTED_VALUE"""),"")</f>
        <v/>
      </c>
      <c r="V1226" t="str">
        <f ca="1">IFERROR(__xludf.DUMMYFUNCTION("""COMPUTED_VALUE"""),"")</f>
        <v/>
      </c>
      <c r="W1226" t="str">
        <f ca="1">IFERROR(__xludf.DUMMYFUNCTION("""COMPUTED_VALUE"""),"")</f>
        <v/>
      </c>
      <c r="X1226" t="str">
        <f ca="1">IFERROR(__xludf.DUMMYFUNCTION("""COMPUTED_VALUE"""),"")</f>
        <v/>
      </c>
      <c r="Y1226" t="str">
        <f ca="1">IFERROR(__xludf.DUMMYFUNCTION("""COMPUTED_VALUE"""),"")</f>
        <v/>
      </c>
      <c r="Z1226" t="str">
        <f ca="1">IFERROR(__xludf.DUMMYFUNCTION("""COMPUTED_VALUE"""),"")</f>
        <v/>
      </c>
      <c r="AA1226" t="str">
        <f ca="1">IFERROR(__xludf.DUMMYFUNCTION("""COMPUTED_VALUE"""),"")</f>
        <v/>
      </c>
      <c r="AB1226" s="8" t="str">
        <f ca="1">IFERROR(__xludf.DUMMYFUNCTION("""COMPUTED_VALUE"""),"")</f>
        <v/>
      </c>
      <c r="AC1226" s="8" t="str">
        <f ca="1">IFERROR(__xludf.DUMMYFUNCTION("""COMPUTED_VALUE"""),"")</f>
        <v/>
      </c>
      <c r="AD1226" s="11" t="str">
        <f ca="1">IFERROR(__xludf.DUMMYFUNCTION("""COMPUTED_VALUE"""),"")</f>
        <v/>
      </c>
      <c r="AE1226" t="str">
        <f ca="1">IFERROR(__xludf.DUMMYFUNCTION("""COMPUTED_VALUE"""),"")</f>
        <v/>
      </c>
    </row>
    <row r="1227" spans="1:31" ht="12.75" x14ac:dyDescent="0.2">
      <c r="A1227" t="str">
        <f ca="1">IFERROR(__xludf.DUMMYFUNCTION("""COMPUTED_VALUE"""),"")</f>
        <v/>
      </c>
      <c r="B1227" t="str">
        <f ca="1">IFERROR(__xludf.DUMMYFUNCTION("""COMPUTED_VALUE"""),"")</f>
        <v/>
      </c>
      <c r="C1227" t="str">
        <f ca="1">IFERROR(__xludf.DUMMYFUNCTION("""COMPUTED_VALUE"""),"")</f>
        <v/>
      </c>
      <c r="D1227" t="str">
        <f ca="1">IFERROR(__xludf.DUMMYFUNCTION("""COMPUTED_VALUE"""),"")</f>
        <v/>
      </c>
      <c r="E1227" t="str">
        <f ca="1">IFERROR(__xludf.DUMMYFUNCTION("""COMPUTED_VALUE"""),"")</f>
        <v/>
      </c>
      <c r="F1227" t="str">
        <f ca="1">IFERROR(__xludf.DUMMYFUNCTION("""COMPUTED_VALUE"""),"")</f>
        <v/>
      </c>
      <c r="G1227" t="str">
        <f ca="1">IFERROR(__xludf.DUMMYFUNCTION("""COMPUTED_VALUE"""),"")</f>
        <v/>
      </c>
      <c r="H1227" t="str">
        <f ca="1">IFERROR(__xludf.DUMMYFUNCTION("""COMPUTED_VALUE"""),"")</f>
        <v/>
      </c>
      <c r="I1227" t="str">
        <f ca="1">IFERROR(__xludf.DUMMYFUNCTION("""COMPUTED_VALUE"""),"")</f>
        <v/>
      </c>
      <c r="J1227" t="str">
        <f ca="1">IFERROR(__xludf.DUMMYFUNCTION("""COMPUTED_VALUE"""),"")</f>
        <v/>
      </c>
      <c r="K1227" t="str">
        <f ca="1">IFERROR(__xludf.DUMMYFUNCTION("""COMPUTED_VALUE"""),"")</f>
        <v/>
      </c>
      <c r="L1227" t="str">
        <f ca="1">IFERROR(__xludf.DUMMYFUNCTION("""COMPUTED_VALUE"""),"")</f>
        <v/>
      </c>
      <c r="M1227" t="str">
        <f ca="1">IFERROR(__xludf.DUMMYFUNCTION("""COMPUTED_VALUE"""),"")</f>
        <v/>
      </c>
      <c r="N1227" t="str">
        <f ca="1">IFERROR(__xludf.DUMMYFUNCTION("""COMPUTED_VALUE"""),"")</f>
        <v/>
      </c>
      <c r="O1227" t="str">
        <f ca="1">IFERROR(__xludf.DUMMYFUNCTION("""COMPUTED_VALUE"""),"")</f>
        <v/>
      </c>
      <c r="P1227" t="str">
        <f ca="1">IFERROR(__xludf.DUMMYFUNCTION("""COMPUTED_VALUE"""),"")</f>
        <v/>
      </c>
      <c r="Q1227" s="5" t="str">
        <f ca="1">IFERROR(__xludf.DUMMYFUNCTION("""COMPUTED_VALUE"""),"")</f>
        <v/>
      </c>
      <c r="R1227" s="6" t="str">
        <f ca="1">IFERROR(__xludf.DUMMYFUNCTION("""COMPUTED_VALUE"""),"")</f>
        <v/>
      </c>
      <c r="S1227" t="str">
        <f ca="1">IFERROR(__xludf.DUMMYFUNCTION("""COMPUTED_VALUE"""),"")</f>
        <v/>
      </c>
      <c r="T1227" t="str">
        <f ca="1">IFERROR(__xludf.DUMMYFUNCTION("""COMPUTED_VALUE"""),"")</f>
        <v/>
      </c>
      <c r="U1227" t="str">
        <f ca="1">IFERROR(__xludf.DUMMYFUNCTION("""COMPUTED_VALUE"""),"")</f>
        <v/>
      </c>
      <c r="V1227" t="str">
        <f ca="1">IFERROR(__xludf.DUMMYFUNCTION("""COMPUTED_VALUE"""),"")</f>
        <v/>
      </c>
      <c r="W1227" t="str">
        <f ca="1">IFERROR(__xludf.DUMMYFUNCTION("""COMPUTED_VALUE"""),"")</f>
        <v/>
      </c>
      <c r="X1227" t="str">
        <f ca="1">IFERROR(__xludf.DUMMYFUNCTION("""COMPUTED_VALUE"""),"")</f>
        <v/>
      </c>
      <c r="Y1227" t="str">
        <f ca="1">IFERROR(__xludf.DUMMYFUNCTION("""COMPUTED_VALUE"""),"")</f>
        <v/>
      </c>
      <c r="Z1227" t="str">
        <f ca="1">IFERROR(__xludf.DUMMYFUNCTION("""COMPUTED_VALUE"""),"")</f>
        <v/>
      </c>
      <c r="AA1227" t="str">
        <f ca="1">IFERROR(__xludf.DUMMYFUNCTION("""COMPUTED_VALUE"""),"")</f>
        <v/>
      </c>
      <c r="AB1227" s="8" t="str">
        <f ca="1">IFERROR(__xludf.DUMMYFUNCTION("""COMPUTED_VALUE"""),"")</f>
        <v/>
      </c>
      <c r="AC1227" s="8" t="str">
        <f ca="1">IFERROR(__xludf.DUMMYFUNCTION("""COMPUTED_VALUE"""),"")</f>
        <v/>
      </c>
      <c r="AD1227" s="11" t="str">
        <f ca="1">IFERROR(__xludf.DUMMYFUNCTION("""COMPUTED_VALUE"""),"")</f>
        <v/>
      </c>
      <c r="AE1227" t="str">
        <f ca="1">IFERROR(__xludf.DUMMYFUNCTION("""COMPUTED_VALUE"""),"")</f>
        <v/>
      </c>
    </row>
    <row r="1228" spans="1:31" ht="12.75" x14ac:dyDescent="0.2">
      <c r="A1228" t="str">
        <f ca="1">IFERROR(__xludf.DUMMYFUNCTION("""COMPUTED_VALUE"""),"")</f>
        <v/>
      </c>
      <c r="B1228" t="str">
        <f ca="1">IFERROR(__xludf.DUMMYFUNCTION("""COMPUTED_VALUE"""),"")</f>
        <v/>
      </c>
      <c r="C1228" t="str">
        <f ca="1">IFERROR(__xludf.DUMMYFUNCTION("""COMPUTED_VALUE"""),"")</f>
        <v/>
      </c>
      <c r="D1228" t="str">
        <f ca="1">IFERROR(__xludf.DUMMYFUNCTION("""COMPUTED_VALUE"""),"")</f>
        <v/>
      </c>
      <c r="E1228" t="str">
        <f ca="1">IFERROR(__xludf.DUMMYFUNCTION("""COMPUTED_VALUE"""),"")</f>
        <v/>
      </c>
      <c r="F1228" t="str">
        <f ca="1">IFERROR(__xludf.DUMMYFUNCTION("""COMPUTED_VALUE"""),"")</f>
        <v/>
      </c>
      <c r="G1228" t="str">
        <f ca="1">IFERROR(__xludf.DUMMYFUNCTION("""COMPUTED_VALUE"""),"")</f>
        <v/>
      </c>
      <c r="H1228" t="str">
        <f ca="1">IFERROR(__xludf.DUMMYFUNCTION("""COMPUTED_VALUE"""),"")</f>
        <v/>
      </c>
      <c r="I1228" t="str">
        <f ca="1">IFERROR(__xludf.DUMMYFUNCTION("""COMPUTED_VALUE"""),"")</f>
        <v/>
      </c>
      <c r="J1228" t="str">
        <f ca="1">IFERROR(__xludf.DUMMYFUNCTION("""COMPUTED_VALUE"""),"")</f>
        <v/>
      </c>
      <c r="K1228" t="str">
        <f ca="1">IFERROR(__xludf.DUMMYFUNCTION("""COMPUTED_VALUE"""),"")</f>
        <v/>
      </c>
      <c r="L1228" t="str">
        <f ca="1">IFERROR(__xludf.DUMMYFUNCTION("""COMPUTED_VALUE"""),"")</f>
        <v/>
      </c>
      <c r="M1228" t="str">
        <f ca="1">IFERROR(__xludf.DUMMYFUNCTION("""COMPUTED_VALUE"""),"")</f>
        <v/>
      </c>
      <c r="N1228" t="str">
        <f ca="1">IFERROR(__xludf.DUMMYFUNCTION("""COMPUTED_VALUE"""),"")</f>
        <v/>
      </c>
      <c r="O1228" t="str">
        <f ca="1">IFERROR(__xludf.DUMMYFUNCTION("""COMPUTED_VALUE"""),"")</f>
        <v/>
      </c>
      <c r="P1228" t="str">
        <f ca="1">IFERROR(__xludf.DUMMYFUNCTION("""COMPUTED_VALUE"""),"")</f>
        <v/>
      </c>
      <c r="Q1228" s="5" t="str">
        <f ca="1">IFERROR(__xludf.DUMMYFUNCTION("""COMPUTED_VALUE"""),"")</f>
        <v/>
      </c>
      <c r="R1228" s="6" t="str">
        <f ca="1">IFERROR(__xludf.DUMMYFUNCTION("""COMPUTED_VALUE"""),"")</f>
        <v/>
      </c>
      <c r="S1228" t="str">
        <f ca="1">IFERROR(__xludf.DUMMYFUNCTION("""COMPUTED_VALUE"""),"")</f>
        <v/>
      </c>
      <c r="T1228" t="str">
        <f ca="1">IFERROR(__xludf.DUMMYFUNCTION("""COMPUTED_VALUE"""),"")</f>
        <v/>
      </c>
      <c r="U1228" t="str">
        <f ca="1">IFERROR(__xludf.DUMMYFUNCTION("""COMPUTED_VALUE"""),"")</f>
        <v/>
      </c>
      <c r="V1228" t="str">
        <f ca="1">IFERROR(__xludf.DUMMYFUNCTION("""COMPUTED_VALUE"""),"")</f>
        <v/>
      </c>
      <c r="W1228" t="str">
        <f ca="1">IFERROR(__xludf.DUMMYFUNCTION("""COMPUTED_VALUE"""),"")</f>
        <v/>
      </c>
      <c r="X1228" t="str">
        <f ca="1">IFERROR(__xludf.DUMMYFUNCTION("""COMPUTED_VALUE"""),"")</f>
        <v/>
      </c>
      <c r="Y1228" t="str">
        <f ca="1">IFERROR(__xludf.DUMMYFUNCTION("""COMPUTED_VALUE"""),"")</f>
        <v/>
      </c>
      <c r="Z1228" t="str">
        <f ca="1">IFERROR(__xludf.DUMMYFUNCTION("""COMPUTED_VALUE"""),"")</f>
        <v/>
      </c>
      <c r="AA1228" t="str">
        <f ca="1">IFERROR(__xludf.DUMMYFUNCTION("""COMPUTED_VALUE"""),"")</f>
        <v/>
      </c>
      <c r="AB1228" s="8" t="str">
        <f ca="1">IFERROR(__xludf.DUMMYFUNCTION("""COMPUTED_VALUE"""),"")</f>
        <v/>
      </c>
      <c r="AC1228" s="8" t="str">
        <f ca="1">IFERROR(__xludf.DUMMYFUNCTION("""COMPUTED_VALUE"""),"")</f>
        <v/>
      </c>
      <c r="AD1228" s="11" t="str">
        <f ca="1">IFERROR(__xludf.DUMMYFUNCTION("""COMPUTED_VALUE"""),"")</f>
        <v/>
      </c>
      <c r="AE1228" t="str">
        <f ca="1">IFERROR(__xludf.DUMMYFUNCTION("""COMPUTED_VALUE"""),"")</f>
        <v/>
      </c>
    </row>
    <row r="1229" spans="1:31" ht="12.75" x14ac:dyDescent="0.2">
      <c r="A1229" t="str">
        <f ca="1">IFERROR(__xludf.DUMMYFUNCTION("""COMPUTED_VALUE"""),"")</f>
        <v/>
      </c>
      <c r="B1229" t="str">
        <f ca="1">IFERROR(__xludf.DUMMYFUNCTION("""COMPUTED_VALUE"""),"")</f>
        <v/>
      </c>
      <c r="C1229" t="str">
        <f ca="1">IFERROR(__xludf.DUMMYFUNCTION("""COMPUTED_VALUE"""),"")</f>
        <v/>
      </c>
      <c r="D1229" t="str">
        <f ca="1">IFERROR(__xludf.DUMMYFUNCTION("""COMPUTED_VALUE"""),"")</f>
        <v/>
      </c>
      <c r="E1229" t="str">
        <f ca="1">IFERROR(__xludf.DUMMYFUNCTION("""COMPUTED_VALUE"""),"")</f>
        <v/>
      </c>
      <c r="F1229" t="str">
        <f ca="1">IFERROR(__xludf.DUMMYFUNCTION("""COMPUTED_VALUE"""),"")</f>
        <v/>
      </c>
      <c r="G1229" t="str">
        <f ca="1">IFERROR(__xludf.DUMMYFUNCTION("""COMPUTED_VALUE"""),"")</f>
        <v/>
      </c>
      <c r="H1229" t="str">
        <f ca="1">IFERROR(__xludf.DUMMYFUNCTION("""COMPUTED_VALUE"""),"")</f>
        <v/>
      </c>
      <c r="I1229" t="str">
        <f ca="1">IFERROR(__xludf.DUMMYFUNCTION("""COMPUTED_VALUE"""),"")</f>
        <v/>
      </c>
      <c r="J1229" t="str">
        <f ca="1">IFERROR(__xludf.DUMMYFUNCTION("""COMPUTED_VALUE"""),"")</f>
        <v/>
      </c>
      <c r="K1229" t="str">
        <f ca="1">IFERROR(__xludf.DUMMYFUNCTION("""COMPUTED_VALUE"""),"")</f>
        <v/>
      </c>
      <c r="L1229" t="str">
        <f ca="1">IFERROR(__xludf.DUMMYFUNCTION("""COMPUTED_VALUE"""),"")</f>
        <v/>
      </c>
      <c r="M1229" t="str">
        <f ca="1">IFERROR(__xludf.DUMMYFUNCTION("""COMPUTED_VALUE"""),"")</f>
        <v/>
      </c>
      <c r="N1229" t="str">
        <f ca="1">IFERROR(__xludf.DUMMYFUNCTION("""COMPUTED_VALUE"""),"")</f>
        <v/>
      </c>
      <c r="O1229" t="str">
        <f ca="1">IFERROR(__xludf.DUMMYFUNCTION("""COMPUTED_VALUE"""),"")</f>
        <v/>
      </c>
      <c r="P1229" t="str">
        <f ca="1">IFERROR(__xludf.DUMMYFUNCTION("""COMPUTED_VALUE"""),"")</f>
        <v/>
      </c>
      <c r="Q1229" s="5" t="str">
        <f ca="1">IFERROR(__xludf.DUMMYFUNCTION("""COMPUTED_VALUE"""),"")</f>
        <v/>
      </c>
      <c r="R1229" s="6" t="str">
        <f ca="1">IFERROR(__xludf.DUMMYFUNCTION("""COMPUTED_VALUE"""),"")</f>
        <v/>
      </c>
      <c r="S1229" t="str">
        <f ca="1">IFERROR(__xludf.DUMMYFUNCTION("""COMPUTED_VALUE"""),"")</f>
        <v/>
      </c>
      <c r="T1229" t="str">
        <f ca="1">IFERROR(__xludf.DUMMYFUNCTION("""COMPUTED_VALUE"""),"")</f>
        <v/>
      </c>
      <c r="U1229" t="str">
        <f ca="1">IFERROR(__xludf.DUMMYFUNCTION("""COMPUTED_VALUE"""),"")</f>
        <v/>
      </c>
      <c r="V1229" t="str">
        <f ca="1">IFERROR(__xludf.DUMMYFUNCTION("""COMPUTED_VALUE"""),"")</f>
        <v/>
      </c>
      <c r="W1229" t="str">
        <f ca="1">IFERROR(__xludf.DUMMYFUNCTION("""COMPUTED_VALUE"""),"")</f>
        <v/>
      </c>
      <c r="X1229" t="str">
        <f ca="1">IFERROR(__xludf.DUMMYFUNCTION("""COMPUTED_VALUE"""),"")</f>
        <v/>
      </c>
      <c r="Y1229" t="str">
        <f ca="1">IFERROR(__xludf.DUMMYFUNCTION("""COMPUTED_VALUE"""),"")</f>
        <v/>
      </c>
      <c r="Z1229" t="str">
        <f ca="1">IFERROR(__xludf.DUMMYFUNCTION("""COMPUTED_VALUE"""),"")</f>
        <v/>
      </c>
      <c r="AA1229" t="str">
        <f ca="1">IFERROR(__xludf.DUMMYFUNCTION("""COMPUTED_VALUE"""),"")</f>
        <v/>
      </c>
      <c r="AB1229" s="8" t="str">
        <f ca="1">IFERROR(__xludf.DUMMYFUNCTION("""COMPUTED_VALUE"""),"")</f>
        <v/>
      </c>
      <c r="AC1229" s="8" t="str">
        <f ca="1">IFERROR(__xludf.DUMMYFUNCTION("""COMPUTED_VALUE"""),"")</f>
        <v/>
      </c>
      <c r="AD1229" s="11" t="str">
        <f ca="1">IFERROR(__xludf.DUMMYFUNCTION("""COMPUTED_VALUE"""),"")</f>
        <v/>
      </c>
      <c r="AE1229" t="str">
        <f ca="1">IFERROR(__xludf.DUMMYFUNCTION("""COMPUTED_VALUE"""),"")</f>
        <v/>
      </c>
    </row>
    <row r="1230" spans="1:31" ht="12.75" x14ac:dyDescent="0.2">
      <c r="A1230" t="str">
        <f ca="1">IFERROR(__xludf.DUMMYFUNCTION("""COMPUTED_VALUE"""),"")</f>
        <v/>
      </c>
      <c r="B1230" t="str">
        <f ca="1">IFERROR(__xludf.DUMMYFUNCTION("""COMPUTED_VALUE"""),"")</f>
        <v/>
      </c>
      <c r="C1230" t="str">
        <f ca="1">IFERROR(__xludf.DUMMYFUNCTION("""COMPUTED_VALUE"""),"")</f>
        <v/>
      </c>
      <c r="D1230" t="str">
        <f ca="1">IFERROR(__xludf.DUMMYFUNCTION("""COMPUTED_VALUE"""),"")</f>
        <v/>
      </c>
      <c r="E1230" t="str">
        <f ca="1">IFERROR(__xludf.DUMMYFUNCTION("""COMPUTED_VALUE"""),"")</f>
        <v/>
      </c>
      <c r="F1230" t="str">
        <f ca="1">IFERROR(__xludf.DUMMYFUNCTION("""COMPUTED_VALUE"""),"")</f>
        <v/>
      </c>
      <c r="G1230" t="str">
        <f ca="1">IFERROR(__xludf.DUMMYFUNCTION("""COMPUTED_VALUE"""),"")</f>
        <v/>
      </c>
      <c r="H1230" t="str">
        <f ca="1">IFERROR(__xludf.DUMMYFUNCTION("""COMPUTED_VALUE"""),"")</f>
        <v/>
      </c>
      <c r="I1230" t="str">
        <f ca="1">IFERROR(__xludf.DUMMYFUNCTION("""COMPUTED_VALUE"""),"")</f>
        <v/>
      </c>
      <c r="J1230" t="str">
        <f ca="1">IFERROR(__xludf.DUMMYFUNCTION("""COMPUTED_VALUE"""),"")</f>
        <v/>
      </c>
      <c r="K1230" t="str">
        <f ca="1">IFERROR(__xludf.DUMMYFUNCTION("""COMPUTED_VALUE"""),"")</f>
        <v/>
      </c>
      <c r="L1230" t="str">
        <f ca="1">IFERROR(__xludf.DUMMYFUNCTION("""COMPUTED_VALUE"""),"")</f>
        <v/>
      </c>
      <c r="M1230" t="str">
        <f ca="1">IFERROR(__xludf.DUMMYFUNCTION("""COMPUTED_VALUE"""),"")</f>
        <v/>
      </c>
      <c r="N1230" t="str">
        <f ca="1">IFERROR(__xludf.DUMMYFUNCTION("""COMPUTED_VALUE"""),"")</f>
        <v/>
      </c>
      <c r="O1230" t="str">
        <f ca="1">IFERROR(__xludf.DUMMYFUNCTION("""COMPUTED_VALUE"""),"")</f>
        <v/>
      </c>
      <c r="P1230" t="str">
        <f ca="1">IFERROR(__xludf.DUMMYFUNCTION("""COMPUTED_VALUE"""),"")</f>
        <v/>
      </c>
      <c r="Q1230" s="5" t="str">
        <f ca="1">IFERROR(__xludf.DUMMYFUNCTION("""COMPUTED_VALUE"""),"")</f>
        <v/>
      </c>
      <c r="R1230" s="6" t="str">
        <f ca="1">IFERROR(__xludf.DUMMYFUNCTION("""COMPUTED_VALUE"""),"")</f>
        <v/>
      </c>
      <c r="S1230" t="str">
        <f ca="1">IFERROR(__xludf.DUMMYFUNCTION("""COMPUTED_VALUE"""),"")</f>
        <v/>
      </c>
      <c r="T1230" t="str">
        <f ca="1">IFERROR(__xludf.DUMMYFUNCTION("""COMPUTED_VALUE"""),"")</f>
        <v/>
      </c>
      <c r="U1230" t="str">
        <f ca="1">IFERROR(__xludf.DUMMYFUNCTION("""COMPUTED_VALUE"""),"")</f>
        <v/>
      </c>
      <c r="V1230" t="str">
        <f ca="1">IFERROR(__xludf.DUMMYFUNCTION("""COMPUTED_VALUE"""),"")</f>
        <v/>
      </c>
      <c r="W1230" t="str">
        <f ca="1">IFERROR(__xludf.DUMMYFUNCTION("""COMPUTED_VALUE"""),"")</f>
        <v/>
      </c>
      <c r="X1230" t="str">
        <f ca="1">IFERROR(__xludf.DUMMYFUNCTION("""COMPUTED_VALUE"""),"")</f>
        <v/>
      </c>
      <c r="Y1230" t="str">
        <f ca="1">IFERROR(__xludf.DUMMYFUNCTION("""COMPUTED_VALUE"""),"")</f>
        <v/>
      </c>
      <c r="Z1230" t="str">
        <f ca="1">IFERROR(__xludf.DUMMYFUNCTION("""COMPUTED_VALUE"""),"")</f>
        <v/>
      </c>
      <c r="AA1230" t="str">
        <f ca="1">IFERROR(__xludf.DUMMYFUNCTION("""COMPUTED_VALUE"""),"")</f>
        <v/>
      </c>
      <c r="AB1230" s="8" t="str">
        <f ca="1">IFERROR(__xludf.DUMMYFUNCTION("""COMPUTED_VALUE"""),"")</f>
        <v/>
      </c>
      <c r="AC1230" s="8" t="str">
        <f ca="1">IFERROR(__xludf.DUMMYFUNCTION("""COMPUTED_VALUE"""),"")</f>
        <v/>
      </c>
      <c r="AD1230" s="11" t="str">
        <f ca="1">IFERROR(__xludf.DUMMYFUNCTION("""COMPUTED_VALUE"""),"")</f>
        <v/>
      </c>
      <c r="AE1230" t="str">
        <f ca="1">IFERROR(__xludf.DUMMYFUNCTION("""COMPUTED_VALUE"""),"")</f>
        <v/>
      </c>
    </row>
    <row r="1231" spans="1:31" ht="12.75" x14ac:dyDescent="0.2">
      <c r="A1231" t="str">
        <f ca="1">IFERROR(__xludf.DUMMYFUNCTION("""COMPUTED_VALUE"""),"")</f>
        <v/>
      </c>
      <c r="B1231" t="str">
        <f ca="1">IFERROR(__xludf.DUMMYFUNCTION("""COMPUTED_VALUE"""),"")</f>
        <v/>
      </c>
      <c r="C1231" t="str">
        <f ca="1">IFERROR(__xludf.DUMMYFUNCTION("""COMPUTED_VALUE"""),"")</f>
        <v/>
      </c>
      <c r="D1231" t="str">
        <f ca="1">IFERROR(__xludf.DUMMYFUNCTION("""COMPUTED_VALUE"""),"")</f>
        <v/>
      </c>
      <c r="E1231" t="str">
        <f ca="1">IFERROR(__xludf.DUMMYFUNCTION("""COMPUTED_VALUE"""),"")</f>
        <v/>
      </c>
      <c r="F1231" t="str">
        <f ca="1">IFERROR(__xludf.DUMMYFUNCTION("""COMPUTED_VALUE"""),"")</f>
        <v/>
      </c>
      <c r="G1231" t="str">
        <f ca="1">IFERROR(__xludf.DUMMYFUNCTION("""COMPUTED_VALUE"""),"")</f>
        <v/>
      </c>
      <c r="H1231" t="str">
        <f ca="1">IFERROR(__xludf.DUMMYFUNCTION("""COMPUTED_VALUE"""),"")</f>
        <v/>
      </c>
      <c r="I1231" t="str">
        <f ca="1">IFERROR(__xludf.DUMMYFUNCTION("""COMPUTED_VALUE"""),"")</f>
        <v/>
      </c>
      <c r="J1231" t="str">
        <f ca="1">IFERROR(__xludf.DUMMYFUNCTION("""COMPUTED_VALUE"""),"")</f>
        <v/>
      </c>
      <c r="K1231" t="str">
        <f ca="1">IFERROR(__xludf.DUMMYFUNCTION("""COMPUTED_VALUE"""),"")</f>
        <v/>
      </c>
      <c r="L1231" t="str">
        <f ca="1">IFERROR(__xludf.DUMMYFUNCTION("""COMPUTED_VALUE"""),"")</f>
        <v/>
      </c>
      <c r="M1231" t="str">
        <f ca="1">IFERROR(__xludf.DUMMYFUNCTION("""COMPUTED_VALUE"""),"")</f>
        <v/>
      </c>
      <c r="N1231" t="str">
        <f ca="1">IFERROR(__xludf.DUMMYFUNCTION("""COMPUTED_VALUE"""),"")</f>
        <v/>
      </c>
      <c r="O1231" t="str">
        <f ca="1">IFERROR(__xludf.DUMMYFUNCTION("""COMPUTED_VALUE"""),"")</f>
        <v/>
      </c>
      <c r="P1231" t="str">
        <f ca="1">IFERROR(__xludf.DUMMYFUNCTION("""COMPUTED_VALUE"""),"")</f>
        <v/>
      </c>
      <c r="Q1231" s="5" t="str">
        <f ca="1">IFERROR(__xludf.DUMMYFUNCTION("""COMPUTED_VALUE"""),"")</f>
        <v/>
      </c>
      <c r="R1231" s="6" t="str">
        <f ca="1">IFERROR(__xludf.DUMMYFUNCTION("""COMPUTED_VALUE"""),"")</f>
        <v/>
      </c>
      <c r="S1231" t="str">
        <f ca="1">IFERROR(__xludf.DUMMYFUNCTION("""COMPUTED_VALUE"""),"")</f>
        <v/>
      </c>
      <c r="T1231" t="str">
        <f ca="1">IFERROR(__xludf.DUMMYFUNCTION("""COMPUTED_VALUE"""),"")</f>
        <v/>
      </c>
      <c r="U1231" t="str">
        <f ca="1">IFERROR(__xludf.DUMMYFUNCTION("""COMPUTED_VALUE"""),"")</f>
        <v/>
      </c>
      <c r="V1231" t="str">
        <f ca="1">IFERROR(__xludf.DUMMYFUNCTION("""COMPUTED_VALUE"""),"")</f>
        <v/>
      </c>
      <c r="W1231" t="str">
        <f ca="1">IFERROR(__xludf.DUMMYFUNCTION("""COMPUTED_VALUE"""),"")</f>
        <v/>
      </c>
      <c r="X1231" t="str">
        <f ca="1">IFERROR(__xludf.DUMMYFUNCTION("""COMPUTED_VALUE"""),"")</f>
        <v/>
      </c>
      <c r="Y1231" t="str">
        <f ca="1">IFERROR(__xludf.DUMMYFUNCTION("""COMPUTED_VALUE"""),"")</f>
        <v/>
      </c>
      <c r="Z1231" t="str">
        <f ca="1">IFERROR(__xludf.DUMMYFUNCTION("""COMPUTED_VALUE"""),"")</f>
        <v/>
      </c>
      <c r="AA1231" t="str">
        <f ca="1">IFERROR(__xludf.DUMMYFUNCTION("""COMPUTED_VALUE"""),"")</f>
        <v/>
      </c>
      <c r="AB1231" s="8" t="str">
        <f ca="1">IFERROR(__xludf.DUMMYFUNCTION("""COMPUTED_VALUE"""),"")</f>
        <v/>
      </c>
      <c r="AC1231" s="8" t="str">
        <f ca="1">IFERROR(__xludf.DUMMYFUNCTION("""COMPUTED_VALUE"""),"")</f>
        <v/>
      </c>
      <c r="AD1231" s="11" t="str">
        <f ca="1">IFERROR(__xludf.DUMMYFUNCTION("""COMPUTED_VALUE"""),"")</f>
        <v/>
      </c>
      <c r="AE1231" t="str">
        <f ca="1">IFERROR(__xludf.DUMMYFUNCTION("""COMPUTED_VALUE"""),"")</f>
        <v/>
      </c>
    </row>
    <row r="1232" spans="1:31" ht="12.75" x14ac:dyDescent="0.2">
      <c r="A1232" t="str">
        <f ca="1">IFERROR(__xludf.DUMMYFUNCTION("""COMPUTED_VALUE"""),"")</f>
        <v/>
      </c>
      <c r="B1232" t="str">
        <f ca="1">IFERROR(__xludf.DUMMYFUNCTION("""COMPUTED_VALUE"""),"")</f>
        <v/>
      </c>
      <c r="C1232" t="str">
        <f ca="1">IFERROR(__xludf.DUMMYFUNCTION("""COMPUTED_VALUE"""),"")</f>
        <v/>
      </c>
      <c r="D1232" t="str">
        <f ca="1">IFERROR(__xludf.DUMMYFUNCTION("""COMPUTED_VALUE"""),"")</f>
        <v/>
      </c>
      <c r="E1232" t="str">
        <f ca="1">IFERROR(__xludf.DUMMYFUNCTION("""COMPUTED_VALUE"""),"")</f>
        <v/>
      </c>
      <c r="F1232" t="str">
        <f ca="1">IFERROR(__xludf.DUMMYFUNCTION("""COMPUTED_VALUE"""),"")</f>
        <v/>
      </c>
      <c r="G1232" t="str">
        <f ca="1">IFERROR(__xludf.DUMMYFUNCTION("""COMPUTED_VALUE"""),"")</f>
        <v/>
      </c>
      <c r="H1232" t="str">
        <f ca="1">IFERROR(__xludf.DUMMYFUNCTION("""COMPUTED_VALUE"""),"")</f>
        <v/>
      </c>
      <c r="I1232" t="str">
        <f ca="1">IFERROR(__xludf.DUMMYFUNCTION("""COMPUTED_VALUE"""),"")</f>
        <v/>
      </c>
      <c r="J1232" t="str">
        <f ca="1">IFERROR(__xludf.DUMMYFUNCTION("""COMPUTED_VALUE"""),"")</f>
        <v/>
      </c>
      <c r="K1232" t="str">
        <f ca="1">IFERROR(__xludf.DUMMYFUNCTION("""COMPUTED_VALUE"""),"")</f>
        <v/>
      </c>
      <c r="L1232" t="str">
        <f ca="1">IFERROR(__xludf.DUMMYFUNCTION("""COMPUTED_VALUE"""),"")</f>
        <v/>
      </c>
      <c r="M1232" t="str">
        <f ca="1">IFERROR(__xludf.DUMMYFUNCTION("""COMPUTED_VALUE"""),"")</f>
        <v/>
      </c>
      <c r="N1232" t="str">
        <f ca="1">IFERROR(__xludf.DUMMYFUNCTION("""COMPUTED_VALUE"""),"")</f>
        <v/>
      </c>
      <c r="O1232" t="str">
        <f ca="1">IFERROR(__xludf.DUMMYFUNCTION("""COMPUTED_VALUE"""),"")</f>
        <v/>
      </c>
      <c r="P1232" t="str">
        <f ca="1">IFERROR(__xludf.DUMMYFUNCTION("""COMPUTED_VALUE"""),"")</f>
        <v/>
      </c>
      <c r="Q1232" s="5" t="str">
        <f ca="1">IFERROR(__xludf.DUMMYFUNCTION("""COMPUTED_VALUE"""),"")</f>
        <v/>
      </c>
      <c r="R1232" s="6" t="str">
        <f ca="1">IFERROR(__xludf.DUMMYFUNCTION("""COMPUTED_VALUE"""),"")</f>
        <v/>
      </c>
      <c r="S1232" t="str">
        <f ca="1">IFERROR(__xludf.DUMMYFUNCTION("""COMPUTED_VALUE"""),"")</f>
        <v/>
      </c>
      <c r="T1232" t="str">
        <f ca="1">IFERROR(__xludf.DUMMYFUNCTION("""COMPUTED_VALUE"""),"")</f>
        <v/>
      </c>
      <c r="U1232" t="str">
        <f ca="1">IFERROR(__xludf.DUMMYFUNCTION("""COMPUTED_VALUE"""),"")</f>
        <v/>
      </c>
      <c r="V1232" t="str">
        <f ca="1">IFERROR(__xludf.DUMMYFUNCTION("""COMPUTED_VALUE"""),"")</f>
        <v/>
      </c>
      <c r="W1232" t="str">
        <f ca="1">IFERROR(__xludf.DUMMYFUNCTION("""COMPUTED_VALUE"""),"")</f>
        <v/>
      </c>
      <c r="X1232" t="str">
        <f ca="1">IFERROR(__xludf.DUMMYFUNCTION("""COMPUTED_VALUE"""),"")</f>
        <v/>
      </c>
      <c r="Y1232" t="str">
        <f ca="1">IFERROR(__xludf.DUMMYFUNCTION("""COMPUTED_VALUE"""),"")</f>
        <v/>
      </c>
      <c r="Z1232" t="str">
        <f ca="1">IFERROR(__xludf.DUMMYFUNCTION("""COMPUTED_VALUE"""),"")</f>
        <v/>
      </c>
      <c r="AA1232" t="str">
        <f ca="1">IFERROR(__xludf.DUMMYFUNCTION("""COMPUTED_VALUE"""),"")</f>
        <v/>
      </c>
      <c r="AB1232" s="8" t="str">
        <f ca="1">IFERROR(__xludf.DUMMYFUNCTION("""COMPUTED_VALUE"""),"")</f>
        <v/>
      </c>
      <c r="AC1232" s="8" t="str">
        <f ca="1">IFERROR(__xludf.DUMMYFUNCTION("""COMPUTED_VALUE"""),"")</f>
        <v/>
      </c>
      <c r="AD1232" s="11" t="str">
        <f ca="1">IFERROR(__xludf.DUMMYFUNCTION("""COMPUTED_VALUE"""),"")</f>
        <v/>
      </c>
      <c r="AE1232" t="str">
        <f ca="1">IFERROR(__xludf.DUMMYFUNCTION("""COMPUTED_VALUE"""),"")</f>
        <v/>
      </c>
    </row>
    <row r="1233" spans="1:31" ht="12.75" x14ac:dyDescent="0.2">
      <c r="A1233" t="str">
        <f ca="1">IFERROR(__xludf.DUMMYFUNCTION("""COMPUTED_VALUE"""),"")</f>
        <v/>
      </c>
      <c r="B1233" t="str">
        <f ca="1">IFERROR(__xludf.DUMMYFUNCTION("""COMPUTED_VALUE"""),"")</f>
        <v/>
      </c>
      <c r="C1233" t="str">
        <f ca="1">IFERROR(__xludf.DUMMYFUNCTION("""COMPUTED_VALUE"""),"")</f>
        <v/>
      </c>
      <c r="D1233" t="str">
        <f ca="1">IFERROR(__xludf.DUMMYFUNCTION("""COMPUTED_VALUE"""),"")</f>
        <v/>
      </c>
      <c r="E1233" t="str">
        <f ca="1">IFERROR(__xludf.DUMMYFUNCTION("""COMPUTED_VALUE"""),"")</f>
        <v/>
      </c>
      <c r="F1233" t="str">
        <f ca="1">IFERROR(__xludf.DUMMYFUNCTION("""COMPUTED_VALUE"""),"")</f>
        <v/>
      </c>
      <c r="G1233" t="str">
        <f ca="1">IFERROR(__xludf.DUMMYFUNCTION("""COMPUTED_VALUE"""),"")</f>
        <v/>
      </c>
      <c r="H1233" t="str">
        <f ca="1">IFERROR(__xludf.DUMMYFUNCTION("""COMPUTED_VALUE"""),"")</f>
        <v/>
      </c>
      <c r="I1233" t="str">
        <f ca="1">IFERROR(__xludf.DUMMYFUNCTION("""COMPUTED_VALUE"""),"")</f>
        <v/>
      </c>
      <c r="J1233" t="str">
        <f ca="1">IFERROR(__xludf.DUMMYFUNCTION("""COMPUTED_VALUE"""),"")</f>
        <v/>
      </c>
      <c r="K1233" t="str">
        <f ca="1">IFERROR(__xludf.DUMMYFUNCTION("""COMPUTED_VALUE"""),"")</f>
        <v/>
      </c>
      <c r="L1233" t="str">
        <f ca="1">IFERROR(__xludf.DUMMYFUNCTION("""COMPUTED_VALUE"""),"")</f>
        <v/>
      </c>
      <c r="M1233" t="str">
        <f ca="1">IFERROR(__xludf.DUMMYFUNCTION("""COMPUTED_VALUE"""),"")</f>
        <v/>
      </c>
      <c r="N1233" t="str">
        <f ca="1">IFERROR(__xludf.DUMMYFUNCTION("""COMPUTED_VALUE"""),"")</f>
        <v/>
      </c>
      <c r="O1233" t="str">
        <f ca="1">IFERROR(__xludf.DUMMYFUNCTION("""COMPUTED_VALUE"""),"")</f>
        <v/>
      </c>
      <c r="P1233" t="str">
        <f ca="1">IFERROR(__xludf.DUMMYFUNCTION("""COMPUTED_VALUE"""),"")</f>
        <v/>
      </c>
      <c r="Q1233" s="5" t="str">
        <f ca="1">IFERROR(__xludf.DUMMYFUNCTION("""COMPUTED_VALUE"""),"")</f>
        <v/>
      </c>
      <c r="R1233" s="6" t="str">
        <f ca="1">IFERROR(__xludf.DUMMYFUNCTION("""COMPUTED_VALUE"""),"")</f>
        <v/>
      </c>
      <c r="S1233" t="str">
        <f ca="1">IFERROR(__xludf.DUMMYFUNCTION("""COMPUTED_VALUE"""),"")</f>
        <v/>
      </c>
      <c r="T1233" t="str">
        <f ca="1">IFERROR(__xludf.DUMMYFUNCTION("""COMPUTED_VALUE"""),"")</f>
        <v/>
      </c>
      <c r="U1233" t="str">
        <f ca="1">IFERROR(__xludf.DUMMYFUNCTION("""COMPUTED_VALUE"""),"")</f>
        <v/>
      </c>
      <c r="V1233" t="str">
        <f ca="1">IFERROR(__xludf.DUMMYFUNCTION("""COMPUTED_VALUE"""),"")</f>
        <v/>
      </c>
      <c r="W1233" t="str">
        <f ca="1">IFERROR(__xludf.DUMMYFUNCTION("""COMPUTED_VALUE"""),"")</f>
        <v/>
      </c>
      <c r="X1233" t="str">
        <f ca="1">IFERROR(__xludf.DUMMYFUNCTION("""COMPUTED_VALUE"""),"")</f>
        <v/>
      </c>
      <c r="Y1233" t="str">
        <f ca="1">IFERROR(__xludf.DUMMYFUNCTION("""COMPUTED_VALUE"""),"")</f>
        <v/>
      </c>
      <c r="Z1233" t="str">
        <f ca="1">IFERROR(__xludf.DUMMYFUNCTION("""COMPUTED_VALUE"""),"")</f>
        <v/>
      </c>
      <c r="AA1233" t="str">
        <f ca="1">IFERROR(__xludf.DUMMYFUNCTION("""COMPUTED_VALUE"""),"")</f>
        <v/>
      </c>
      <c r="AB1233" s="8" t="str">
        <f ca="1">IFERROR(__xludf.DUMMYFUNCTION("""COMPUTED_VALUE"""),"")</f>
        <v/>
      </c>
      <c r="AC1233" s="8" t="str">
        <f ca="1">IFERROR(__xludf.DUMMYFUNCTION("""COMPUTED_VALUE"""),"")</f>
        <v/>
      </c>
      <c r="AD1233" s="11" t="str">
        <f ca="1">IFERROR(__xludf.DUMMYFUNCTION("""COMPUTED_VALUE"""),"")</f>
        <v/>
      </c>
      <c r="AE1233" t="str">
        <f ca="1">IFERROR(__xludf.DUMMYFUNCTION("""COMPUTED_VALUE"""),"")</f>
        <v/>
      </c>
    </row>
    <row r="1234" spans="1:31" ht="12.75" x14ac:dyDescent="0.2">
      <c r="A1234" t="str">
        <f ca="1">IFERROR(__xludf.DUMMYFUNCTION("""COMPUTED_VALUE"""),"")</f>
        <v/>
      </c>
      <c r="B1234" t="str">
        <f ca="1">IFERROR(__xludf.DUMMYFUNCTION("""COMPUTED_VALUE"""),"")</f>
        <v/>
      </c>
      <c r="C1234" t="str">
        <f ca="1">IFERROR(__xludf.DUMMYFUNCTION("""COMPUTED_VALUE"""),"")</f>
        <v/>
      </c>
      <c r="D1234" t="str">
        <f ca="1">IFERROR(__xludf.DUMMYFUNCTION("""COMPUTED_VALUE"""),"")</f>
        <v/>
      </c>
      <c r="E1234" t="str">
        <f ca="1">IFERROR(__xludf.DUMMYFUNCTION("""COMPUTED_VALUE"""),"")</f>
        <v/>
      </c>
      <c r="F1234" t="str">
        <f ca="1">IFERROR(__xludf.DUMMYFUNCTION("""COMPUTED_VALUE"""),"")</f>
        <v/>
      </c>
      <c r="G1234" t="str">
        <f ca="1">IFERROR(__xludf.DUMMYFUNCTION("""COMPUTED_VALUE"""),"")</f>
        <v/>
      </c>
      <c r="H1234" t="str">
        <f ca="1">IFERROR(__xludf.DUMMYFUNCTION("""COMPUTED_VALUE"""),"")</f>
        <v/>
      </c>
      <c r="I1234" t="str">
        <f ca="1">IFERROR(__xludf.DUMMYFUNCTION("""COMPUTED_VALUE"""),"")</f>
        <v/>
      </c>
      <c r="J1234" t="str">
        <f ca="1">IFERROR(__xludf.DUMMYFUNCTION("""COMPUTED_VALUE"""),"")</f>
        <v/>
      </c>
      <c r="K1234" t="str">
        <f ca="1">IFERROR(__xludf.DUMMYFUNCTION("""COMPUTED_VALUE"""),"")</f>
        <v/>
      </c>
      <c r="L1234" t="str">
        <f ca="1">IFERROR(__xludf.DUMMYFUNCTION("""COMPUTED_VALUE"""),"")</f>
        <v/>
      </c>
      <c r="M1234" t="str">
        <f ca="1">IFERROR(__xludf.DUMMYFUNCTION("""COMPUTED_VALUE"""),"")</f>
        <v/>
      </c>
      <c r="N1234" t="str">
        <f ca="1">IFERROR(__xludf.DUMMYFUNCTION("""COMPUTED_VALUE"""),"")</f>
        <v/>
      </c>
      <c r="O1234" t="str">
        <f ca="1">IFERROR(__xludf.DUMMYFUNCTION("""COMPUTED_VALUE"""),"")</f>
        <v/>
      </c>
      <c r="P1234" t="str">
        <f ca="1">IFERROR(__xludf.DUMMYFUNCTION("""COMPUTED_VALUE"""),"")</f>
        <v/>
      </c>
      <c r="Q1234" s="5" t="str">
        <f ca="1">IFERROR(__xludf.DUMMYFUNCTION("""COMPUTED_VALUE"""),"")</f>
        <v/>
      </c>
      <c r="R1234" s="6" t="str">
        <f ca="1">IFERROR(__xludf.DUMMYFUNCTION("""COMPUTED_VALUE"""),"")</f>
        <v/>
      </c>
      <c r="S1234" t="str">
        <f ca="1">IFERROR(__xludf.DUMMYFUNCTION("""COMPUTED_VALUE"""),"")</f>
        <v/>
      </c>
      <c r="T1234" t="str">
        <f ca="1">IFERROR(__xludf.DUMMYFUNCTION("""COMPUTED_VALUE"""),"")</f>
        <v/>
      </c>
      <c r="U1234" t="str">
        <f ca="1">IFERROR(__xludf.DUMMYFUNCTION("""COMPUTED_VALUE"""),"")</f>
        <v/>
      </c>
      <c r="V1234" t="str">
        <f ca="1">IFERROR(__xludf.DUMMYFUNCTION("""COMPUTED_VALUE"""),"")</f>
        <v/>
      </c>
      <c r="W1234" t="str">
        <f ca="1">IFERROR(__xludf.DUMMYFUNCTION("""COMPUTED_VALUE"""),"")</f>
        <v/>
      </c>
      <c r="X1234" t="str">
        <f ca="1">IFERROR(__xludf.DUMMYFUNCTION("""COMPUTED_VALUE"""),"")</f>
        <v/>
      </c>
      <c r="Y1234" t="str">
        <f ca="1">IFERROR(__xludf.DUMMYFUNCTION("""COMPUTED_VALUE"""),"")</f>
        <v/>
      </c>
      <c r="Z1234" t="str">
        <f ca="1">IFERROR(__xludf.DUMMYFUNCTION("""COMPUTED_VALUE"""),"")</f>
        <v/>
      </c>
      <c r="AA1234" t="str">
        <f ca="1">IFERROR(__xludf.DUMMYFUNCTION("""COMPUTED_VALUE"""),"")</f>
        <v/>
      </c>
      <c r="AB1234" s="8" t="str">
        <f ca="1">IFERROR(__xludf.DUMMYFUNCTION("""COMPUTED_VALUE"""),"")</f>
        <v/>
      </c>
      <c r="AC1234" s="8" t="str">
        <f ca="1">IFERROR(__xludf.DUMMYFUNCTION("""COMPUTED_VALUE"""),"")</f>
        <v/>
      </c>
      <c r="AD1234" s="11" t="str">
        <f ca="1">IFERROR(__xludf.DUMMYFUNCTION("""COMPUTED_VALUE"""),"")</f>
        <v/>
      </c>
      <c r="AE1234" t="str">
        <f ca="1">IFERROR(__xludf.DUMMYFUNCTION("""COMPUTED_VALUE"""),"")</f>
        <v/>
      </c>
    </row>
    <row r="1235" spans="1:31" ht="12.75" x14ac:dyDescent="0.2">
      <c r="A1235" t="str">
        <f ca="1">IFERROR(__xludf.DUMMYFUNCTION("""COMPUTED_VALUE"""),"")</f>
        <v/>
      </c>
      <c r="B1235" t="str">
        <f ca="1">IFERROR(__xludf.DUMMYFUNCTION("""COMPUTED_VALUE"""),"")</f>
        <v/>
      </c>
      <c r="C1235" t="str">
        <f ca="1">IFERROR(__xludf.DUMMYFUNCTION("""COMPUTED_VALUE"""),"")</f>
        <v/>
      </c>
      <c r="D1235" t="str">
        <f ca="1">IFERROR(__xludf.DUMMYFUNCTION("""COMPUTED_VALUE"""),"")</f>
        <v/>
      </c>
      <c r="E1235" t="str">
        <f ca="1">IFERROR(__xludf.DUMMYFUNCTION("""COMPUTED_VALUE"""),"")</f>
        <v/>
      </c>
      <c r="F1235" t="str">
        <f ca="1">IFERROR(__xludf.DUMMYFUNCTION("""COMPUTED_VALUE"""),"")</f>
        <v/>
      </c>
      <c r="G1235" t="str">
        <f ca="1">IFERROR(__xludf.DUMMYFUNCTION("""COMPUTED_VALUE"""),"")</f>
        <v/>
      </c>
      <c r="H1235" t="str">
        <f ca="1">IFERROR(__xludf.DUMMYFUNCTION("""COMPUTED_VALUE"""),"")</f>
        <v/>
      </c>
      <c r="I1235" t="str">
        <f ca="1">IFERROR(__xludf.DUMMYFUNCTION("""COMPUTED_VALUE"""),"")</f>
        <v/>
      </c>
      <c r="J1235" t="str">
        <f ca="1">IFERROR(__xludf.DUMMYFUNCTION("""COMPUTED_VALUE"""),"")</f>
        <v/>
      </c>
      <c r="K1235" t="str">
        <f ca="1">IFERROR(__xludf.DUMMYFUNCTION("""COMPUTED_VALUE"""),"")</f>
        <v/>
      </c>
      <c r="L1235" t="str">
        <f ca="1">IFERROR(__xludf.DUMMYFUNCTION("""COMPUTED_VALUE"""),"")</f>
        <v/>
      </c>
      <c r="M1235" t="str">
        <f ca="1">IFERROR(__xludf.DUMMYFUNCTION("""COMPUTED_VALUE"""),"")</f>
        <v/>
      </c>
      <c r="N1235" t="str">
        <f ca="1">IFERROR(__xludf.DUMMYFUNCTION("""COMPUTED_VALUE"""),"")</f>
        <v/>
      </c>
      <c r="O1235" t="str">
        <f ca="1">IFERROR(__xludf.DUMMYFUNCTION("""COMPUTED_VALUE"""),"")</f>
        <v/>
      </c>
      <c r="P1235" t="str">
        <f ca="1">IFERROR(__xludf.DUMMYFUNCTION("""COMPUTED_VALUE"""),"")</f>
        <v/>
      </c>
      <c r="Q1235" s="5" t="str">
        <f ca="1">IFERROR(__xludf.DUMMYFUNCTION("""COMPUTED_VALUE"""),"")</f>
        <v/>
      </c>
      <c r="R1235" s="6" t="str">
        <f ca="1">IFERROR(__xludf.DUMMYFUNCTION("""COMPUTED_VALUE"""),"")</f>
        <v/>
      </c>
      <c r="S1235" t="str">
        <f ca="1">IFERROR(__xludf.DUMMYFUNCTION("""COMPUTED_VALUE"""),"")</f>
        <v/>
      </c>
      <c r="T1235" t="str">
        <f ca="1">IFERROR(__xludf.DUMMYFUNCTION("""COMPUTED_VALUE"""),"")</f>
        <v/>
      </c>
      <c r="U1235" t="str">
        <f ca="1">IFERROR(__xludf.DUMMYFUNCTION("""COMPUTED_VALUE"""),"")</f>
        <v/>
      </c>
      <c r="V1235" t="str">
        <f ca="1">IFERROR(__xludf.DUMMYFUNCTION("""COMPUTED_VALUE"""),"")</f>
        <v/>
      </c>
      <c r="W1235" t="str">
        <f ca="1">IFERROR(__xludf.DUMMYFUNCTION("""COMPUTED_VALUE"""),"")</f>
        <v/>
      </c>
      <c r="X1235" t="str">
        <f ca="1">IFERROR(__xludf.DUMMYFUNCTION("""COMPUTED_VALUE"""),"")</f>
        <v/>
      </c>
      <c r="Y1235" t="str">
        <f ca="1">IFERROR(__xludf.DUMMYFUNCTION("""COMPUTED_VALUE"""),"")</f>
        <v/>
      </c>
      <c r="Z1235" t="str">
        <f ca="1">IFERROR(__xludf.DUMMYFUNCTION("""COMPUTED_VALUE"""),"")</f>
        <v/>
      </c>
      <c r="AA1235" t="str">
        <f ca="1">IFERROR(__xludf.DUMMYFUNCTION("""COMPUTED_VALUE"""),"")</f>
        <v/>
      </c>
      <c r="AB1235" s="8" t="str">
        <f ca="1">IFERROR(__xludf.DUMMYFUNCTION("""COMPUTED_VALUE"""),"")</f>
        <v/>
      </c>
      <c r="AC1235" s="8" t="str">
        <f ca="1">IFERROR(__xludf.DUMMYFUNCTION("""COMPUTED_VALUE"""),"")</f>
        <v/>
      </c>
      <c r="AD1235" s="11" t="str">
        <f ca="1">IFERROR(__xludf.DUMMYFUNCTION("""COMPUTED_VALUE"""),"")</f>
        <v/>
      </c>
      <c r="AE1235" t="str">
        <f ca="1">IFERROR(__xludf.DUMMYFUNCTION("""COMPUTED_VALUE"""),"")</f>
        <v/>
      </c>
    </row>
    <row r="1236" spans="1:31" ht="12.75" x14ac:dyDescent="0.2">
      <c r="A1236" t="str">
        <f ca="1">IFERROR(__xludf.DUMMYFUNCTION("""COMPUTED_VALUE"""),"")</f>
        <v/>
      </c>
      <c r="B1236" t="str">
        <f ca="1">IFERROR(__xludf.DUMMYFUNCTION("""COMPUTED_VALUE"""),"")</f>
        <v/>
      </c>
      <c r="C1236" t="str">
        <f ca="1">IFERROR(__xludf.DUMMYFUNCTION("""COMPUTED_VALUE"""),"")</f>
        <v/>
      </c>
      <c r="D1236" t="str">
        <f ca="1">IFERROR(__xludf.DUMMYFUNCTION("""COMPUTED_VALUE"""),"")</f>
        <v/>
      </c>
      <c r="E1236" t="str">
        <f ca="1">IFERROR(__xludf.DUMMYFUNCTION("""COMPUTED_VALUE"""),"")</f>
        <v/>
      </c>
      <c r="F1236" t="str">
        <f ca="1">IFERROR(__xludf.DUMMYFUNCTION("""COMPUTED_VALUE"""),"")</f>
        <v/>
      </c>
      <c r="G1236" t="str">
        <f ca="1">IFERROR(__xludf.DUMMYFUNCTION("""COMPUTED_VALUE"""),"")</f>
        <v/>
      </c>
      <c r="H1236" t="str">
        <f ca="1">IFERROR(__xludf.DUMMYFUNCTION("""COMPUTED_VALUE"""),"")</f>
        <v/>
      </c>
      <c r="I1236" t="str">
        <f ca="1">IFERROR(__xludf.DUMMYFUNCTION("""COMPUTED_VALUE"""),"")</f>
        <v/>
      </c>
      <c r="J1236" t="str">
        <f ca="1">IFERROR(__xludf.DUMMYFUNCTION("""COMPUTED_VALUE"""),"")</f>
        <v/>
      </c>
      <c r="K1236" t="str">
        <f ca="1">IFERROR(__xludf.DUMMYFUNCTION("""COMPUTED_VALUE"""),"")</f>
        <v/>
      </c>
      <c r="L1236" t="str">
        <f ca="1">IFERROR(__xludf.DUMMYFUNCTION("""COMPUTED_VALUE"""),"")</f>
        <v/>
      </c>
      <c r="M1236" t="str">
        <f ca="1">IFERROR(__xludf.DUMMYFUNCTION("""COMPUTED_VALUE"""),"")</f>
        <v/>
      </c>
      <c r="N1236" t="str">
        <f ca="1">IFERROR(__xludf.DUMMYFUNCTION("""COMPUTED_VALUE"""),"")</f>
        <v/>
      </c>
      <c r="O1236" t="str">
        <f ca="1">IFERROR(__xludf.DUMMYFUNCTION("""COMPUTED_VALUE"""),"")</f>
        <v/>
      </c>
      <c r="P1236" t="str">
        <f ca="1">IFERROR(__xludf.DUMMYFUNCTION("""COMPUTED_VALUE"""),"")</f>
        <v/>
      </c>
      <c r="Q1236" s="5" t="str">
        <f ca="1">IFERROR(__xludf.DUMMYFUNCTION("""COMPUTED_VALUE"""),"")</f>
        <v/>
      </c>
      <c r="R1236" s="6" t="str">
        <f ca="1">IFERROR(__xludf.DUMMYFUNCTION("""COMPUTED_VALUE"""),"")</f>
        <v/>
      </c>
      <c r="S1236" t="str">
        <f ca="1">IFERROR(__xludf.DUMMYFUNCTION("""COMPUTED_VALUE"""),"")</f>
        <v/>
      </c>
      <c r="T1236" t="str">
        <f ca="1">IFERROR(__xludf.DUMMYFUNCTION("""COMPUTED_VALUE"""),"")</f>
        <v/>
      </c>
      <c r="U1236" t="str">
        <f ca="1">IFERROR(__xludf.DUMMYFUNCTION("""COMPUTED_VALUE"""),"")</f>
        <v/>
      </c>
      <c r="V1236" t="str">
        <f ca="1">IFERROR(__xludf.DUMMYFUNCTION("""COMPUTED_VALUE"""),"")</f>
        <v/>
      </c>
      <c r="W1236" t="str">
        <f ca="1">IFERROR(__xludf.DUMMYFUNCTION("""COMPUTED_VALUE"""),"")</f>
        <v/>
      </c>
      <c r="X1236" t="str">
        <f ca="1">IFERROR(__xludf.DUMMYFUNCTION("""COMPUTED_VALUE"""),"")</f>
        <v/>
      </c>
      <c r="Y1236" t="str">
        <f ca="1">IFERROR(__xludf.DUMMYFUNCTION("""COMPUTED_VALUE"""),"")</f>
        <v/>
      </c>
      <c r="Z1236" t="str">
        <f ca="1">IFERROR(__xludf.DUMMYFUNCTION("""COMPUTED_VALUE"""),"")</f>
        <v/>
      </c>
      <c r="AA1236" t="str">
        <f ca="1">IFERROR(__xludf.DUMMYFUNCTION("""COMPUTED_VALUE"""),"")</f>
        <v/>
      </c>
      <c r="AB1236" s="8" t="str">
        <f ca="1">IFERROR(__xludf.DUMMYFUNCTION("""COMPUTED_VALUE"""),"")</f>
        <v/>
      </c>
      <c r="AC1236" s="8" t="str">
        <f ca="1">IFERROR(__xludf.DUMMYFUNCTION("""COMPUTED_VALUE"""),"")</f>
        <v/>
      </c>
      <c r="AD1236" s="11" t="str">
        <f ca="1">IFERROR(__xludf.DUMMYFUNCTION("""COMPUTED_VALUE"""),"")</f>
        <v/>
      </c>
      <c r="AE1236" t="str">
        <f ca="1">IFERROR(__xludf.DUMMYFUNCTION("""COMPUTED_VALUE"""),"")</f>
        <v/>
      </c>
    </row>
    <row r="1237" spans="1:31" ht="12.75" x14ac:dyDescent="0.2">
      <c r="A1237" t="str">
        <f ca="1">IFERROR(__xludf.DUMMYFUNCTION("""COMPUTED_VALUE"""),"")</f>
        <v/>
      </c>
      <c r="B1237" t="str">
        <f ca="1">IFERROR(__xludf.DUMMYFUNCTION("""COMPUTED_VALUE"""),"")</f>
        <v/>
      </c>
      <c r="C1237" t="str">
        <f ca="1">IFERROR(__xludf.DUMMYFUNCTION("""COMPUTED_VALUE"""),"")</f>
        <v/>
      </c>
      <c r="D1237" t="str">
        <f ca="1">IFERROR(__xludf.DUMMYFUNCTION("""COMPUTED_VALUE"""),"")</f>
        <v/>
      </c>
      <c r="E1237" t="str">
        <f ca="1">IFERROR(__xludf.DUMMYFUNCTION("""COMPUTED_VALUE"""),"")</f>
        <v/>
      </c>
      <c r="F1237" t="str">
        <f ca="1">IFERROR(__xludf.DUMMYFUNCTION("""COMPUTED_VALUE"""),"")</f>
        <v/>
      </c>
      <c r="G1237" t="str">
        <f ca="1">IFERROR(__xludf.DUMMYFUNCTION("""COMPUTED_VALUE"""),"")</f>
        <v/>
      </c>
      <c r="H1237" t="str">
        <f ca="1">IFERROR(__xludf.DUMMYFUNCTION("""COMPUTED_VALUE"""),"")</f>
        <v/>
      </c>
      <c r="I1237" t="str">
        <f ca="1">IFERROR(__xludf.DUMMYFUNCTION("""COMPUTED_VALUE"""),"")</f>
        <v/>
      </c>
      <c r="J1237" t="str">
        <f ca="1">IFERROR(__xludf.DUMMYFUNCTION("""COMPUTED_VALUE"""),"")</f>
        <v/>
      </c>
      <c r="K1237" t="str">
        <f ca="1">IFERROR(__xludf.DUMMYFUNCTION("""COMPUTED_VALUE"""),"")</f>
        <v/>
      </c>
      <c r="L1237" t="str">
        <f ca="1">IFERROR(__xludf.DUMMYFUNCTION("""COMPUTED_VALUE"""),"")</f>
        <v/>
      </c>
      <c r="M1237" t="str">
        <f ca="1">IFERROR(__xludf.DUMMYFUNCTION("""COMPUTED_VALUE"""),"")</f>
        <v/>
      </c>
      <c r="N1237" t="str">
        <f ca="1">IFERROR(__xludf.DUMMYFUNCTION("""COMPUTED_VALUE"""),"")</f>
        <v/>
      </c>
      <c r="O1237" t="str">
        <f ca="1">IFERROR(__xludf.DUMMYFUNCTION("""COMPUTED_VALUE"""),"")</f>
        <v/>
      </c>
      <c r="P1237" t="str">
        <f ca="1">IFERROR(__xludf.DUMMYFUNCTION("""COMPUTED_VALUE"""),"")</f>
        <v/>
      </c>
      <c r="Q1237" s="5" t="str">
        <f ca="1">IFERROR(__xludf.DUMMYFUNCTION("""COMPUTED_VALUE"""),"")</f>
        <v/>
      </c>
      <c r="R1237" s="6" t="str">
        <f ca="1">IFERROR(__xludf.DUMMYFUNCTION("""COMPUTED_VALUE"""),"")</f>
        <v/>
      </c>
      <c r="S1237" t="str">
        <f ca="1">IFERROR(__xludf.DUMMYFUNCTION("""COMPUTED_VALUE"""),"")</f>
        <v/>
      </c>
      <c r="T1237" t="str">
        <f ca="1">IFERROR(__xludf.DUMMYFUNCTION("""COMPUTED_VALUE"""),"")</f>
        <v/>
      </c>
      <c r="U1237" t="str">
        <f ca="1">IFERROR(__xludf.DUMMYFUNCTION("""COMPUTED_VALUE"""),"")</f>
        <v/>
      </c>
      <c r="V1237" t="str">
        <f ca="1">IFERROR(__xludf.DUMMYFUNCTION("""COMPUTED_VALUE"""),"")</f>
        <v/>
      </c>
      <c r="W1237" t="str">
        <f ca="1">IFERROR(__xludf.DUMMYFUNCTION("""COMPUTED_VALUE"""),"")</f>
        <v/>
      </c>
      <c r="X1237" t="str">
        <f ca="1">IFERROR(__xludf.DUMMYFUNCTION("""COMPUTED_VALUE"""),"")</f>
        <v/>
      </c>
      <c r="Y1237" t="str">
        <f ca="1">IFERROR(__xludf.DUMMYFUNCTION("""COMPUTED_VALUE"""),"")</f>
        <v/>
      </c>
      <c r="Z1237" t="str">
        <f ca="1">IFERROR(__xludf.DUMMYFUNCTION("""COMPUTED_VALUE"""),"")</f>
        <v/>
      </c>
      <c r="AA1237" t="str">
        <f ca="1">IFERROR(__xludf.DUMMYFUNCTION("""COMPUTED_VALUE"""),"")</f>
        <v/>
      </c>
      <c r="AB1237" s="8" t="str">
        <f ca="1">IFERROR(__xludf.DUMMYFUNCTION("""COMPUTED_VALUE"""),"")</f>
        <v/>
      </c>
      <c r="AC1237" s="8" t="str">
        <f ca="1">IFERROR(__xludf.DUMMYFUNCTION("""COMPUTED_VALUE"""),"")</f>
        <v/>
      </c>
      <c r="AD1237" s="11" t="str">
        <f ca="1">IFERROR(__xludf.DUMMYFUNCTION("""COMPUTED_VALUE"""),"")</f>
        <v/>
      </c>
      <c r="AE1237" t="str">
        <f ca="1">IFERROR(__xludf.DUMMYFUNCTION("""COMPUTED_VALUE"""),"")</f>
        <v/>
      </c>
    </row>
    <row r="1238" spans="1:31" ht="12.75" x14ac:dyDescent="0.2">
      <c r="A1238" t="str">
        <f ca="1">IFERROR(__xludf.DUMMYFUNCTION("""COMPUTED_VALUE"""),"")</f>
        <v/>
      </c>
      <c r="B1238" t="str">
        <f ca="1">IFERROR(__xludf.DUMMYFUNCTION("""COMPUTED_VALUE"""),"")</f>
        <v/>
      </c>
      <c r="C1238" t="str">
        <f ca="1">IFERROR(__xludf.DUMMYFUNCTION("""COMPUTED_VALUE"""),"")</f>
        <v/>
      </c>
      <c r="D1238" t="str">
        <f ca="1">IFERROR(__xludf.DUMMYFUNCTION("""COMPUTED_VALUE"""),"")</f>
        <v/>
      </c>
      <c r="E1238" t="str">
        <f ca="1">IFERROR(__xludf.DUMMYFUNCTION("""COMPUTED_VALUE"""),"")</f>
        <v/>
      </c>
      <c r="F1238" t="str">
        <f ca="1">IFERROR(__xludf.DUMMYFUNCTION("""COMPUTED_VALUE"""),"")</f>
        <v/>
      </c>
      <c r="G1238" t="str">
        <f ca="1">IFERROR(__xludf.DUMMYFUNCTION("""COMPUTED_VALUE"""),"")</f>
        <v/>
      </c>
      <c r="H1238" t="str">
        <f ca="1">IFERROR(__xludf.DUMMYFUNCTION("""COMPUTED_VALUE"""),"")</f>
        <v/>
      </c>
      <c r="I1238" t="str">
        <f ca="1">IFERROR(__xludf.DUMMYFUNCTION("""COMPUTED_VALUE"""),"")</f>
        <v/>
      </c>
      <c r="J1238" t="str">
        <f ca="1">IFERROR(__xludf.DUMMYFUNCTION("""COMPUTED_VALUE"""),"")</f>
        <v/>
      </c>
      <c r="K1238" t="str">
        <f ca="1">IFERROR(__xludf.DUMMYFUNCTION("""COMPUTED_VALUE"""),"")</f>
        <v/>
      </c>
      <c r="L1238" t="str">
        <f ca="1">IFERROR(__xludf.DUMMYFUNCTION("""COMPUTED_VALUE"""),"")</f>
        <v/>
      </c>
      <c r="M1238" t="str">
        <f ca="1">IFERROR(__xludf.DUMMYFUNCTION("""COMPUTED_VALUE"""),"")</f>
        <v/>
      </c>
      <c r="N1238" t="str">
        <f ca="1">IFERROR(__xludf.DUMMYFUNCTION("""COMPUTED_VALUE"""),"")</f>
        <v/>
      </c>
      <c r="O1238" t="str">
        <f ca="1">IFERROR(__xludf.DUMMYFUNCTION("""COMPUTED_VALUE"""),"")</f>
        <v/>
      </c>
      <c r="P1238" t="str">
        <f ca="1">IFERROR(__xludf.DUMMYFUNCTION("""COMPUTED_VALUE"""),"")</f>
        <v/>
      </c>
      <c r="Q1238" s="5" t="str">
        <f ca="1">IFERROR(__xludf.DUMMYFUNCTION("""COMPUTED_VALUE"""),"")</f>
        <v/>
      </c>
      <c r="R1238" s="6" t="str">
        <f ca="1">IFERROR(__xludf.DUMMYFUNCTION("""COMPUTED_VALUE"""),"")</f>
        <v/>
      </c>
      <c r="S1238" t="str">
        <f ca="1">IFERROR(__xludf.DUMMYFUNCTION("""COMPUTED_VALUE"""),"")</f>
        <v/>
      </c>
      <c r="T1238" t="str">
        <f ca="1">IFERROR(__xludf.DUMMYFUNCTION("""COMPUTED_VALUE"""),"")</f>
        <v/>
      </c>
      <c r="U1238" t="str">
        <f ca="1">IFERROR(__xludf.DUMMYFUNCTION("""COMPUTED_VALUE"""),"")</f>
        <v/>
      </c>
      <c r="V1238" t="str">
        <f ca="1">IFERROR(__xludf.DUMMYFUNCTION("""COMPUTED_VALUE"""),"")</f>
        <v/>
      </c>
      <c r="W1238" t="str">
        <f ca="1">IFERROR(__xludf.DUMMYFUNCTION("""COMPUTED_VALUE"""),"")</f>
        <v/>
      </c>
      <c r="X1238" t="str">
        <f ca="1">IFERROR(__xludf.DUMMYFUNCTION("""COMPUTED_VALUE"""),"")</f>
        <v/>
      </c>
      <c r="Y1238" t="str">
        <f ca="1">IFERROR(__xludf.DUMMYFUNCTION("""COMPUTED_VALUE"""),"")</f>
        <v/>
      </c>
      <c r="Z1238" t="str">
        <f ca="1">IFERROR(__xludf.DUMMYFUNCTION("""COMPUTED_VALUE"""),"")</f>
        <v/>
      </c>
      <c r="AA1238" t="str">
        <f ca="1">IFERROR(__xludf.DUMMYFUNCTION("""COMPUTED_VALUE"""),"")</f>
        <v/>
      </c>
      <c r="AB1238" s="8" t="str">
        <f ca="1">IFERROR(__xludf.DUMMYFUNCTION("""COMPUTED_VALUE"""),"")</f>
        <v/>
      </c>
      <c r="AC1238" s="8" t="str">
        <f ca="1">IFERROR(__xludf.DUMMYFUNCTION("""COMPUTED_VALUE"""),"")</f>
        <v/>
      </c>
      <c r="AD1238" s="11" t="str">
        <f ca="1">IFERROR(__xludf.DUMMYFUNCTION("""COMPUTED_VALUE"""),"")</f>
        <v/>
      </c>
      <c r="AE1238" t="str">
        <f ca="1">IFERROR(__xludf.DUMMYFUNCTION("""COMPUTED_VALUE"""),"")</f>
        <v/>
      </c>
    </row>
    <row r="1239" spans="1:31" ht="12.75" x14ac:dyDescent="0.2">
      <c r="A1239" t="str">
        <f ca="1">IFERROR(__xludf.DUMMYFUNCTION("""COMPUTED_VALUE"""),"")</f>
        <v/>
      </c>
      <c r="B1239" t="str">
        <f ca="1">IFERROR(__xludf.DUMMYFUNCTION("""COMPUTED_VALUE"""),"")</f>
        <v/>
      </c>
      <c r="C1239" t="str">
        <f ca="1">IFERROR(__xludf.DUMMYFUNCTION("""COMPUTED_VALUE"""),"")</f>
        <v/>
      </c>
      <c r="D1239" t="str">
        <f ca="1">IFERROR(__xludf.DUMMYFUNCTION("""COMPUTED_VALUE"""),"")</f>
        <v/>
      </c>
      <c r="E1239" t="str">
        <f ca="1">IFERROR(__xludf.DUMMYFUNCTION("""COMPUTED_VALUE"""),"")</f>
        <v/>
      </c>
      <c r="F1239" t="str">
        <f ca="1">IFERROR(__xludf.DUMMYFUNCTION("""COMPUTED_VALUE"""),"")</f>
        <v/>
      </c>
      <c r="G1239" t="str">
        <f ca="1">IFERROR(__xludf.DUMMYFUNCTION("""COMPUTED_VALUE"""),"")</f>
        <v/>
      </c>
      <c r="H1239" t="str">
        <f ca="1">IFERROR(__xludf.DUMMYFUNCTION("""COMPUTED_VALUE"""),"")</f>
        <v/>
      </c>
      <c r="I1239" t="str">
        <f ca="1">IFERROR(__xludf.DUMMYFUNCTION("""COMPUTED_VALUE"""),"")</f>
        <v/>
      </c>
      <c r="J1239" t="str">
        <f ca="1">IFERROR(__xludf.DUMMYFUNCTION("""COMPUTED_VALUE"""),"")</f>
        <v/>
      </c>
      <c r="K1239" t="str">
        <f ca="1">IFERROR(__xludf.DUMMYFUNCTION("""COMPUTED_VALUE"""),"")</f>
        <v/>
      </c>
      <c r="L1239" t="str">
        <f ca="1">IFERROR(__xludf.DUMMYFUNCTION("""COMPUTED_VALUE"""),"")</f>
        <v/>
      </c>
      <c r="M1239" t="str">
        <f ca="1">IFERROR(__xludf.DUMMYFUNCTION("""COMPUTED_VALUE"""),"")</f>
        <v/>
      </c>
      <c r="N1239" t="str">
        <f ca="1">IFERROR(__xludf.DUMMYFUNCTION("""COMPUTED_VALUE"""),"")</f>
        <v/>
      </c>
      <c r="O1239" t="str">
        <f ca="1">IFERROR(__xludf.DUMMYFUNCTION("""COMPUTED_VALUE"""),"")</f>
        <v/>
      </c>
      <c r="P1239" t="str">
        <f ca="1">IFERROR(__xludf.DUMMYFUNCTION("""COMPUTED_VALUE"""),"")</f>
        <v/>
      </c>
      <c r="Q1239" s="5" t="str">
        <f ca="1">IFERROR(__xludf.DUMMYFUNCTION("""COMPUTED_VALUE"""),"")</f>
        <v/>
      </c>
      <c r="R1239" s="6" t="str">
        <f ca="1">IFERROR(__xludf.DUMMYFUNCTION("""COMPUTED_VALUE"""),"")</f>
        <v/>
      </c>
      <c r="S1239" t="str">
        <f ca="1">IFERROR(__xludf.DUMMYFUNCTION("""COMPUTED_VALUE"""),"")</f>
        <v/>
      </c>
      <c r="T1239" t="str">
        <f ca="1">IFERROR(__xludf.DUMMYFUNCTION("""COMPUTED_VALUE"""),"")</f>
        <v/>
      </c>
      <c r="U1239" t="str">
        <f ca="1">IFERROR(__xludf.DUMMYFUNCTION("""COMPUTED_VALUE"""),"")</f>
        <v/>
      </c>
      <c r="V1239" t="str">
        <f ca="1">IFERROR(__xludf.DUMMYFUNCTION("""COMPUTED_VALUE"""),"")</f>
        <v/>
      </c>
      <c r="W1239" t="str">
        <f ca="1">IFERROR(__xludf.DUMMYFUNCTION("""COMPUTED_VALUE"""),"")</f>
        <v/>
      </c>
      <c r="X1239" t="str">
        <f ca="1">IFERROR(__xludf.DUMMYFUNCTION("""COMPUTED_VALUE"""),"")</f>
        <v/>
      </c>
      <c r="Y1239" t="str">
        <f ca="1">IFERROR(__xludf.DUMMYFUNCTION("""COMPUTED_VALUE"""),"")</f>
        <v/>
      </c>
      <c r="Z1239" t="str">
        <f ca="1">IFERROR(__xludf.DUMMYFUNCTION("""COMPUTED_VALUE"""),"")</f>
        <v/>
      </c>
      <c r="AA1239" t="str">
        <f ca="1">IFERROR(__xludf.DUMMYFUNCTION("""COMPUTED_VALUE"""),"")</f>
        <v/>
      </c>
      <c r="AB1239" s="8" t="str">
        <f ca="1">IFERROR(__xludf.DUMMYFUNCTION("""COMPUTED_VALUE"""),"")</f>
        <v/>
      </c>
      <c r="AC1239" s="8" t="str">
        <f ca="1">IFERROR(__xludf.DUMMYFUNCTION("""COMPUTED_VALUE"""),"")</f>
        <v/>
      </c>
      <c r="AD1239" s="11" t="str">
        <f ca="1">IFERROR(__xludf.DUMMYFUNCTION("""COMPUTED_VALUE"""),"")</f>
        <v/>
      </c>
      <c r="AE1239" t="str">
        <f ca="1">IFERROR(__xludf.DUMMYFUNCTION("""COMPUTED_VALUE"""),"")</f>
        <v/>
      </c>
    </row>
    <row r="1240" spans="1:31" ht="12.75" x14ac:dyDescent="0.2">
      <c r="A1240" t="str">
        <f ca="1">IFERROR(__xludf.DUMMYFUNCTION("""COMPUTED_VALUE"""),"")</f>
        <v/>
      </c>
      <c r="B1240" t="str">
        <f ca="1">IFERROR(__xludf.DUMMYFUNCTION("""COMPUTED_VALUE"""),"")</f>
        <v/>
      </c>
      <c r="C1240" t="str">
        <f ca="1">IFERROR(__xludf.DUMMYFUNCTION("""COMPUTED_VALUE"""),"")</f>
        <v/>
      </c>
      <c r="D1240" t="str">
        <f ca="1">IFERROR(__xludf.DUMMYFUNCTION("""COMPUTED_VALUE"""),"")</f>
        <v/>
      </c>
      <c r="E1240" t="str">
        <f ca="1">IFERROR(__xludf.DUMMYFUNCTION("""COMPUTED_VALUE"""),"")</f>
        <v/>
      </c>
      <c r="F1240" t="str">
        <f ca="1">IFERROR(__xludf.DUMMYFUNCTION("""COMPUTED_VALUE"""),"")</f>
        <v/>
      </c>
      <c r="G1240" t="str">
        <f ca="1">IFERROR(__xludf.DUMMYFUNCTION("""COMPUTED_VALUE"""),"")</f>
        <v/>
      </c>
      <c r="H1240" t="str">
        <f ca="1">IFERROR(__xludf.DUMMYFUNCTION("""COMPUTED_VALUE"""),"")</f>
        <v/>
      </c>
      <c r="I1240" t="str">
        <f ca="1">IFERROR(__xludf.DUMMYFUNCTION("""COMPUTED_VALUE"""),"")</f>
        <v/>
      </c>
      <c r="J1240" t="str">
        <f ca="1">IFERROR(__xludf.DUMMYFUNCTION("""COMPUTED_VALUE"""),"")</f>
        <v/>
      </c>
      <c r="K1240" t="str">
        <f ca="1">IFERROR(__xludf.DUMMYFUNCTION("""COMPUTED_VALUE"""),"")</f>
        <v/>
      </c>
      <c r="L1240" t="str">
        <f ca="1">IFERROR(__xludf.DUMMYFUNCTION("""COMPUTED_VALUE"""),"")</f>
        <v/>
      </c>
      <c r="M1240" t="str">
        <f ca="1">IFERROR(__xludf.DUMMYFUNCTION("""COMPUTED_VALUE"""),"")</f>
        <v/>
      </c>
      <c r="N1240" t="str">
        <f ca="1">IFERROR(__xludf.DUMMYFUNCTION("""COMPUTED_VALUE"""),"")</f>
        <v/>
      </c>
      <c r="O1240" t="str">
        <f ca="1">IFERROR(__xludf.DUMMYFUNCTION("""COMPUTED_VALUE"""),"")</f>
        <v/>
      </c>
      <c r="P1240" t="str">
        <f ca="1">IFERROR(__xludf.DUMMYFUNCTION("""COMPUTED_VALUE"""),"")</f>
        <v/>
      </c>
      <c r="Q1240" s="5" t="str">
        <f ca="1">IFERROR(__xludf.DUMMYFUNCTION("""COMPUTED_VALUE"""),"")</f>
        <v/>
      </c>
      <c r="R1240" s="6" t="str">
        <f ca="1">IFERROR(__xludf.DUMMYFUNCTION("""COMPUTED_VALUE"""),"")</f>
        <v/>
      </c>
      <c r="S1240" t="str">
        <f ca="1">IFERROR(__xludf.DUMMYFUNCTION("""COMPUTED_VALUE"""),"")</f>
        <v/>
      </c>
      <c r="T1240" t="str">
        <f ca="1">IFERROR(__xludf.DUMMYFUNCTION("""COMPUTED_VALUE"""),"")</f>
        <v/>
      </c>
      <c r="U1240" t="str">
        <f ca="1">IFERROR(__xludf.DUMMYFUNCTION("""COMPUTED_VALUE"""),"")</f>
        <v/>
      </c>
      <c r="V1240" t="str">
        <f ca="1">IFERROR(__xludf.DUMMYFUNCTION("""COMPUTED_VALUE"""),"")</f>
        <v/>
      </c>
      <c r="W1240" t="str">
        <f ca="1">IFERROR(__xludf.DUMMYFUNCTION("""COMPUTED_VALUE"""),"")</f>
        <v/>
      </c>
      <c r="X1240" t="str">
        <f ca="1">IFERROR(__xludf.DUMMYFUNCTION("""COMPUTED_VALUE"""),"")</f>
        <v/>
      </c>
      <c r="Y1240" t="str">
        <f ca="1">IFERROR(__xludf.DUMMYFUNCTION("""COMPUTED_VALUE"""),"")</f>
        <v/>
      </c>
      <c r="Z1240" t="str">
        <f ca="1">IFERROR(__xludf.DUMMYFUNCTION("""COMPUTED_VALUE"""),"")</f>
        <v/>
      </c>
      <c r="AA1240" t="str">
        <f ca="1">IFERROR(__xludf.DUMMYFUNCTION("""COMPUTED_VALUE"""),"")</f>
        <v/>
      </c>
      <c r="AB1240" s="8" t="str">
        <f ca="1">IFERROR(__xludf.DUMMYFUNCTION("""COMPUTED_VALUE"""),"")</f>
        <v/>
      </c>
      <c r="AC1240" s="8" t="str">
        <f ca="1">IFERROR(__xludf.DUMMYFUNCTION("""COMPUTED_VALUE"""),"")</f>
        <v/>
      </c>
      <c r="AD1240" s="11" t="str">
        <f ca="1">IFERROR(__xludf.DUMMYFUNCTION("""COMPUTED_VALUE"""),"")</f>
        <v/>
      </c>
      <c r="AE1240" t="str">
        <f ca="1">IFERROR(__xludf.DUMMYFUNCTION("""COMPUTED_VALUE"""),"")</f>
        <v/>
      </c>
    </row>
    <row r="1241" spans="1:31" ht="12.75" x14ac:dyDescent="0.2">
      <c r="A1241" t="str">
        <f ca="1">IFERROR(__xludf.DUMMYFUNCTION("""COMPUTED_VALUE"""),"")</f>
        <v/>
      </c>
      <c r="B1241" t="str">
        <f ca="1">IFERROR(__xludf.DUMMYFUNCTION("""COMPUTED_VALUE"""),"")</f>
        <v/>
      </c>
      <c r="C1241" t="str">
        <f ca="1">IFERROR(__xludf.DUMMYFUNCTION("""COMPUTED_VALUE"""),"")</f>
        <v/>
      </c>
      <c r="D1241" t="str">
        <f ca="1">IFERROR(__xludf.DUMMYFUNCTION("""COMPUTED_VALUE"""),"")</f>
        <v/>
      </c>
      <c r="E1241" t="str">
        <f ca="1">IFERROR(__xludf.DUMMYFUNCTION("""COMPUTED_VALUE"""),"")</f>
        <v/>
      </c>
      <c r="F1241" t="str">
        <f ca="1">IFERROR(__xludf.DUMMYFUNCTION("""COMPUTED_VALUE"""),"")</f>
        <v/>
      </c>
      <c r="G1241" t="str">
        <f ca="1">IFERROR(__xludf.DUMMYFUNCTION("""COMPUTED_VALUE"""),"")</f>
        <v/>
      </c>
      <c r="H1241" t="str">
        <f ca="1">IFERROR(__xludf.DUMMYFUNCTION("""COMPUTED_VALUE"""),"")</f>
        <v/>
      </c>
      <c r="I1241" t="str">
        <f ca="1">IFERROR(__xludf.DUMMYFUNCTION("""COMPUTED_VALUE"""),"")</f>
        <v/>
      </c>
      <c r="J1241" t="str">
        <f ca="1">IFERROR(__xludf.DUMMYFUNCTION("""COMPUTED_VALUE"""),"")</f>
        <v/>
      </c>
      <c r="K1241" t="str">
        <f ca="1">IFERROR(__xludf.DUMMYFUNCTION("""COMPUTED_VALUE"""),"")</f>
        <v/>
      </c>
      <c r="L1241" t="str">
        <f ca="1">IFERROR(__xludf.DUMMYFUNCTION("""COMPUTED_VALUE"""),"")</f>
        <v/>
      </c>
      <c r="M1241" t="str">
        <f ca="1">IFERROR(__xludf.DUMMYFUNCTION("""COMPUTED_VALUE"""),"")</f>
        <v/>
      </c>
      <c r="N1241" t="str">
        <f ca="1">IFERROR(__xludf.DUMMYFUNCTION("""COMPUTED_VALUE"""),"")</f>
        <v/>
      </c>
      <c r="O1241" t="str">
        <f ca="1">IFERROR(__xludf.DUMMYFUNCTION("""COMPUTED_VALUE"""),"")</f>
        <v/>
      </c>
      <c r="P1241" t="str">
        <f ca="1">IFERROR(__xludf.DUMMYFUNCTION("""COMPUTED_VALUE"""),"")</f>
        <v/>
      </c>
      <c r="Q1241" s="5" t="str">
        <f ca="1">IFERROR(__xludf.DUMMYFUNCTION("""COMPUTED_VALUE"""),"")</f>
        <v/>
      </c>
      <c r="R1241" s="6" t="str">
        <f ca="1">IFERROR(__xludf.DUMMYFUNCTION("""COMPUTED_VALUE"""),"")</f>
        <v/>
      </c>
      <c r="S1241" t="str">
        <f ca="1">IFERROR(__xludf.DUMMYFUNCTION("""COMPUTED_VALUE"""),"")</f>
        <v/>
      </c>
      <c r="T1241" t="str">
        <f ca="1">IFERROR(__xludf.DUMMYFUNCTION("""COMPUTED_VALUE"""),"")</f>
        <v/>
      </c>
      <c r="U1241" t="str">
        <f ca="1">IFERROR(__xludf.DUMMYFUNCTION("""COMPUTED_VALUE"""),"")</f>
        <v/>
      </c>
      <c r="V1241" t="str">
        <f ca="1">IFERROR(__xludf.DUMMYFUNCTION("""COMPUTED_VALUE"""),"")</f>
        <v/>
      </c>
      <c r="W1241" t="str">
        <f ca="1">IFERROR(__xludf.DUMMYFUNCTION("""COMPUTED_VALUE"""),"")</f>
        <v/>
      </c>
      <c r="X1241" t="str">
        <f ca="1">IFERROR(__xludf.DUMMYFUNCTION("""COMPUTED_VALUE"""),"")</f>
        <v/>
      </c>
      <c r="Y1241" t="str">
        <f ca="1">IFERROR(__xludf.DUMMYFUNCTION("""COMPUTED_VALUE"""),"")</f>
        <v/>
      </c>
      <c r="Z1241" t="str">
        <f ca="1">IFERROR(__xludf.DUMMYFUNCTION("""COMPUTED_VALUE"""),"")</f>
        <v/>
      </c>
      <c r="AA1241" t="str">
        <f ca="1">IFERROR(__xludf.DUMMYFUNCTION("""COMPUTED_VALUE"""),"")</f>
        <v/>
      </c>
      <c r="AB1241" s="8" t="str">
        <f ca="1">IFERROR(__xludf.DUMMYFUNCTION("""COMPUTED_VALUE"""),"")</f>
        <v/>
      </c>
      <c r="AC1241" s="8" t="str">
        <f ca="1">IFERROR(__xludf.DUMMYFUNCTION("""COMPUTED_VALUE"""),"")</f>
        <v/>
      </c>
      <c r="AD1241" s="11" t="str">
        <f ca="1">IFERROR(__xludf.DUMMYFUNCTION("""COMPUTED_VALUE"""),"")</f>
        <v/>
      </c>
      <c r="AE1241" t="str">
        <f ca="1">IFERROR(__xludf.DUMMYFUNCTION("""COMPUTED_VALUE"""),"")</f>
        <v/>
      </c>
    </row>
    <row r="1242" spans="1:31" ht="12.75" x14ac:dyDescent="0.2">
      <c r="A1242" t="str">
        <f ca="1">IFERROR(__xludf.DUMMYFUNCTION("""COMPUTED_VALUE"""),"")</f>
        <v/>
      </c>
      <c r="B1242" t="str">
        <f ca="1">IFERROR(__xludf.DUMMYFUNCTION("""COMPUTED_VALUE"""),"")</f>
        <v/>
      </c>
      <c r="C1242" t="str">
        <f ca="1">IFERROR(__xludf.DUMMYFUNCTION("""COMPUTED_VALUE"""),"")</f>
        <v/>
      </c>
      <c r="D1242" t="str">
        <f ca="1">IFERROR(__xludf.DUMMYFUNCTION("""COMPUTED_VALUE"""),"")</f>
        <v/>
      </c>
      <c r="E1242" t="str">
        <f ca="1">IFERROR(__xludf.DUMMYFUNCTION("""COMPUTED_VALUE"""),"")</f>
        <v/>
      </c>
      <c r="F1242" t="str">
        <f ca="1">IFERROR(__xludf.DUMMYFUNCTION("""COMPUTED_VALUE"""),"")</f>
        <v/>
      </c>
      <c r="G1242" t="str">
        <f ca="1">IFERROR(__xludf.DUMMYFUNCTION("""COMPUTED_VALUE"""),"")</f>
        <v/>
      </c>
      <c r="H1242" t="str">
        <f ca="1">IFERROR(__xludf.DUMMYFUNCTION("""COMPUTED_VALUE"""),"")</f>
        <v/>
      </c>
      <c r="I1242" t="str">
        <f ca="1">IFERROR(__xludf.DUMMYFUNCTION("""COMPUTED_VALUE"""),"")</f>
        <v/>
      </c>
      <c r="J1242" t="str">
        <f ca="1">IFERROR(__xludf.DUMMYFUNCTION("""COMPUTED_VALUE"""),"")</f>
        <v/>
      </c>
      <c r="K1242" t="str">
        <f ca="1">IFERROR(__xludf.DUMMYFUNCTION("""COMPUTED_VALUE"""),"")</f>
        <v/>
      </c>
      <c r="L1242" t="str">
        <f ca="1">IFERROR(__xludf.DUMMYFUNCTION("""COMPUTED_VALUE"""),"")</f>
        <v/>
      </c>
      <c r="M1242" t="str">
        <f ca="1">IFERROR(__xludf.DUMMYFUNCTION("""COMPUTED_VALUE"""),"")</f>
        <v/>
      </c>
      <c r="N1242" t="str">
        <f ca="1">IFERROR(__xludf.DUMMYFUNCTION("""COMPUTED_VALUE"""),"")</f>
        <v/>
      </c>
      <c r="O1242" t="str">
        <f ca="1">IFERROR(__xludf.DUMMYFUNCTION("""COMPUTED_VALUE"""),"")</f>
        <v/>
      </c>
      <c r="P1242" t="str">
        <f ca="1">IFERROR(__xludf.DUMMYFUNCTION("""COMPUTED_VALUE"""),"")</f>
        <v/>
      </c>
      <c r="Q1242" s="5" t="str">
        <f ca="1">IFERROR(__xludf.DUMMYFUNCTION("""COMPUTED_VALUE"""),"")</f>
        <v/>
      </c>
      <c r="R1242" s="6" t="str">
        <f ca="1">IFERROR(__xludf.DUMMYFUNCTION("""COMPUTED_VALUE"""),"")</f>
        <v/>
      </c>
      <c r="S1242" t="str">
        <f ca="1">IFERROR(__xludf.DUMMYFUNCTION("""COMPUTED_VALUE"""),"")</f>
        <v/>
      </c>
      <c r="T1242" t="str">
        <f ca="1">IFERROR(__xludf.DUMMYFUNCTION("""COMPUTED_VALUE"""),"")</f>
        <v/>
      </c>
      <c r="U1242" t="str">
        <f ca="1">IFERROR(__xludf.DUMMYFUNCTION("""COMPUTED_VALUE"""),"")</f>
        <v/>
      </c>
      <c r="V1242" t="str">
        <f ca="1">IFERROR(__xludf.DUMMYFUNCTION("""COMPUTED_VALUE"""),"")</f>
        <v/>
      </c>
      <c r="W1242" t="str">
        <f ca="1">IFERROR(__xludf.DUMMYFUNCTION("""COMPUTED_VALUE"""),"")</f>
        <v/>
      </c>
      <c r="X1242" t="str">
        <f ca="1">IFERROR(__xludf.DUMMYFUNCTION("""COMPUTED_VALUE"""),"")</f>
        <v/>
      </c>
      <c r="Y1242" t="str">
        <f ca="1">IFERROR(__xludf.DUMMYFUNCTION("""COMPUTED_VALUE"""),"")</f>
        <v/>
      </c>
      <c r="Z1242" t="str">
        <f ca="1">IFERROR(__xludf.DUMMYFUNCTION("""COMPUTED_VALUE"""),"")</f>
        <v/>
      </c>
      <c r="AA1242" t="str">
        <f ca="1">IFERROR(__xludf.DUMMYFUNCTION("""COMPUTED_VALUE"""),"")</f>
        <v/>
      </c>
      <c r="AB1242" s="8" t="str">
        <f ca="1">IFERROR(__xludf.DUMMYFUNCTION("""COMPUTED_VALUE"""),"")</f>
        <v/>
      </c>
      <c r="AC1242" s="8" t="str">
        <f ca="1">IFERROR(__xludf.DUMMYFUNCTION("""COMPUTED_VALUE"""),"")</f>
        <v/>
      </c>
      <c r="AD1242" s="11" t="str">
        <f ca="1">IFERROR(__xludf.DUMMYFUNCTION("""COMPUTED_VALUE"""),"")</f>
        <v/>
      </c>
      <c r="AE1242" t="str">
        <f ca="1">IFERROR(__xludf.DUMMYFUNCTION("""COMPUTED_VALUE"""),"")</f>
        <v/>
      </c>
    </row>
    <row r="1243" spans="1:31" ht="12.75" x14ac:dyDescent="0.2">
      <c r="A1243" t="str">
        <f ca="1">IFERROR(__xludf.DUMMYFUNCTION("""COMPUTED_VALUE"""),"")</f>
        <v/>
      </c>
      <c r="B1243" t="str">
        <f ca="1">IFERROR(__xludf.DUMMYFUNCTION("""COMPUTED_VALUE"""),"")</f>
        <v/>
      </c>
      <c r="C1243" t="str">
        <f ca="1">IFERROR(__xludf.DUMMYFUNCTION("""COMPUTED_VALUE"""),"")</f>
        <v/>
      </c>
      <c r="D1243" t="str">
        <f ca="1">IFERROR(__xludf.DUMMYFUNCTION("""COMPUTED_VALUE"""),"")</f>
        <v/>
      </c>
      <c r="E1243" t="str">
        <f ca="1">IFERROR(__xludf.DUMMYFUNCTION("""COMPUTED_VALUE"""),"")</f>
        <v/>
      </c>
      <c r="F1243" t="str">
        <f ca="1">IFERROR(__xludf.DUMMYFUNCTION("""COMPUTED_VALUE"""),"")</f>
        <v/>
      </c>
      <c r="G1243" t="str">
        <f ca="1">IFERROR(__xludf.DUMMYFUNCTION("""COMPUTED_VALUE"""),"")</f>
        <v/>
      </c>
      <c r="H1243" t="str">
        <f ca="1">IFERROR(__xludf.DUMMYFUNCTION("""COMPUTED_VALUE"""),"")</f>
        <v/>
      </c>
      <c r="I1243" t="str">
        <f ca="1">IFERROR(__xludf.DUMMYFUNCTION("""COMPUTED_VALUE"""),"")</f>
        <v/>
      </c>
      <c r="J1243" t="str">
        <f ca="1">IFERROR(__xludf.DUMMYFUNCTION("""COMPUTED_VALUE"""),"")</f>
        <v/>
      </c>
      <c r="K1243" t="str">
        <f ca="1">IFERROR(__xludf.DUMMYFUNCTION("""COMPUTED_VALUE"""),"")</f>
        <v/>
      </c>
      <c r="L1243" t="str">
        <f ca="1">IFERROR(__xludf.DUMMYFUNCTION("""COMPUTED_VALUE"""),"")</f>
        <v/>
      </c>
      <c r="M1243" t="str">
        <f ca="1">IFERROR(__xludf.DUMMYFUNCTION("""COMPUTED_VALUE"""),"")</f>
        <v/>
      </c>
      <c r="N1243" t="str">
        <f ca="1">IFERROR(__xludf.DUMMYFUNCTION("""COMPUTED_VALUE"""),"")</f>
        <v/>
      </c>
      <c r="O1243" t="str">
        <f ca="1">IFERROR(__xludf.DUMMYFUNCTION("""COMPUTED_VALUE"""),"")</f>
        <v/>
      </c>
      <c r="P1243" t="str">
        <f ca="1">IFERROR(__xludf.DUMMYFUNCTION("""COMPUTED_VALUE"""),"")</f>
        <v/>
      </c>
      <c r="Q1243" s="5" t="str">
        <f ca="1">IFERROR(__xludf.DUMMYFUNCTION("""COMPUTED_VALUE"""),"")</f>
        <v/>
      </c>
      <c r="R1243" s="6" t="str">
        <f ca="1">IFERROR(__xludf.DUMMYFUNCTION("""COMPUTED_VALUE"""),"")</f>
        <v/>
      </c>
      <c r="S1243" t="str">
        <f ca="1">IFERROR(__xludf.DUMMYFUNCTION("""COMPUTED_VALUE"""),"")</f>
        <v/>
      </c>
      <c r="T1243" t="str">
        <f ca="1">IFERROR(__xludf.DUMMYFUNCTION("""COMPUTED_VALUE"""),"")</f>
        <v/>
      </c>
      <c r="U1243" t="str">
        <f ca="1">IFERROR(__xludf.DUMMYFUNCTION("""COMPUTED_VALUE"""),"")</f>
        <v/>
      </c>
      <c r="V1243" t="str">
        <f ca="1">IFERROR(__xludf.DUMMYFUNCTION("""COMPUTED_VALUE"""),"")</f>
        <v/>
      </c>
      <c r="W1243" t="str">
        <f ca="1">IFERROR(__xludf.DUMMYFUNCTION("""COMPUTED_VALUE"""),"")</f>
        <v/>
      </c>
      <c r="X1243" t="str">
        <f ca="1">IFERROR(__xludf.DUMMYFUNCTION("""COMPUTED_VALUE"""),"")</f>
        <v/>
      </c>
      <c r="Y1243" t="str">
        <f ca="1">IFERROR(__xludf.DUMMYFUNCTION("""COMPUTED_VALUE"""),"")</f>
        <v/>
      </c>
      <c r="Z1243" t="str">
        <f ca="1">IFERROR(__xludf.DUMMYFUNCTION("""COMPUTED_VALUE"""),"")</f>
        <v/>
      </c>
      <c r="AA1243" t="str">
        <f ca="1">IFERROR(__xludf.DUMMYFUNCTION("""COMPUTED_VALUE"""),"")</f>
        <v/>
      </c>
      <c r="AB1243" s="8" t="str">
        <f ca="1">IFERROR(__xludf.DUMMYFUNCTION("""COMPUTED_VALUE"""),"")</f>
        <v/>
      </c>
      <c r="AC1243" s="8" t="str">
        <f ca="1">IFERROR(__xludf.DUMMYFUNCTION("""COMPUTED_VALUE"""),"")</f>
        <v/>
      </c>
      <c r="AD1243" s="11" t="str">
        <f ca="1">IFERROR(__xludf.DUMMYFUNCTION("""COMPUTED_VALUE"""),"")</f>
        <v/>
      </c>
      <c r="AE1243" t="str">
        <f ca="1">IFERROR(__xludf.DUMMYFUNCTION("""COMPUTED_VALUE"""),"")</f>
        <v/>
      </c>
    </row>
    <row r="1244" spans="1:31" ht="12.75" x14ac:dyDescent="0.2">
      <c r="A1244" t="str">
        <f ca="1">IFERROR(__xludf.DUMMYFUNCTION("""COMPUTED_VALUE"""),"")</f>
        <v/>
      </c>
      <c r="B1244" t="str">
        <f ca="1">IFERROR(__xludf.DUMMYFUNCTION("""COMPUTED_VALUE"""),"")</f>
        <v/>
      </c>
      <c r="C1244" t="str">
        <f ca="1">IFERROR(__xludf.DUMMYFUNCTION("""COMPUTED_VALUE"""),"")</f>
        <v/>
      </c>
      <c r="D1244" t="str">
        <f ca="1">IFERROR(__xludf.DUMMYFUNCTION("""COMPUTED_VALUE"""),"")</f>
        <v/>
      </c>
      <c r="E1244" t="str">
        <f ca="1">IFERROR(__xludf.DUMMYFUNCTION("""COMPUTED_VALUE"""),"")</f>
        <v/>
      </c>
      <c r="F1244" t="str">
        <f ca="1">IFERROR(__xludf.DUMMYFUNCTION("""COMPUTED_VALUE"""),"")</f>
        <v/>
      </c>
      <c r="G1244" t="str">
        <f ca="1">IFERROR(__xludf.DUMMYFUNCTION("""COMPUTED_VALUE"""),"")</f>
        <v/>
      </c>
      <c r="H1244" t="str">
        <f ca="1">IFERROR(__xludf.DUMMYFUNCTION("""COMPUTED_VALUE"""),"")</f>
        <v/>
      </c>
      <c r="I1244" t="str">
        <f ca="1">IFERROR(__xludf.DUMMYFUNCTION("""COMPUTED_VALUE"""),"")</f>
        <v/>
      </c>
      <c r="J1244" t="str">
        <f ca="1">IFERROR(__xludf.DUMMYFUNCTION("""COMPUTED_VALUE"""),"")</f>
        <v/>
      </c>
      <c r="K1244" t="str">
        <f ca="1">IFERROR(__xludf.DUMMYFUNCTION("""COMPUTED_VALUE"""),"")</f>
        <v/>
      </c>
      <c r="L1244" t="str">
        <f ca="1">IFERROR(__xludf.DUMMYFUNCTION("""COMPUTED_VALUE"""),"")</f>
        <v/>
      </c>
      <c r="M1244" t="str">
        <f ca="1">IFERROR(__xludf.DUMMYFUNCTION("""COMPUTED_VALUE"""),"")</f>
        <v/>
      </c>
      <c r="N1244" t="str">
        <f ca="1">IFERROR(__xludf.DUMMYFUNCTION("""COMPUTED_VALUE"""),"")</f>
        <v/>
      </c>
      <c r="O1244" t="str">
        <f ca="1">IFERROR(__xludf.DUMMYFUNCTION("""COMPUTED_VALUE"""),"")</f>
        <v/>
      </c>
      <c r="P1244" t="str">
        <f ca="1">IFERROR(__xludf.DUMMYFUNCTION("""COMPUTED_VALUE"""),"")</f>
        <v/>
      </c>
      <c r="Q1244" s="5" t="str">
        <f ca="1">IFERROR(__xludf.DUMMYFUNCTION("""COMPUTED_VALUE"""),"")</f>
        <v/>
      </c>
      <c r="R1244" s="6" t="str">
        <f ca="1">IFERROR(__xludf.DUMMYFUNCTION("""COMPUTED_VALUE"""),"")</f>
        <v/>
      </c>
      <c r="S1244" t="str">
        <f ca="1">IFERROR(__xludf.DUMMYFUNCTION("""COMPUTED_VALUE"""),"")</f>
        <v/>
      </c>
      <c r="T1244" t="str">
        <f ca="1">IFERROR(__xludf.DUMMYFUNCTION("""COMPUTED_VALUE"""),"")</f>
        <v/>
      </c>
      <c r="U1244" t="str">
        <f ca="1">IFERROR(__xludf.DUMMYFUNCTION("""COMPUTED_VALUE"""),"")</f>
        <v/>
      </c>
      <c r="V1244" t="str">
        <f ca="1">IFERROR(__xludf.DUMMYFUNCTION("""COMPUTED_VALUE"""),"")</f>
        <v/>
      </c>
      <c r="W1244" t="str">
        <f ca="1">IFERROR(__xludf.DUMMYFUNCTION("""COMPUTED_VALUE"""),"")</f>
        <v/>
      </c>
      <c r="X1244" t="str">
        <f ca="1">IFERROR(__xludf.DUMMYFUNCTION("""COMPUTED_VALUE"""),"")</f>
        <v/>
      </c>
      <c r="Y1244" t="str">
        <f ca="1">IFERROR(__xludf.DUMMYFUNCTION("""COMPUTED_VALUE"""),"")</f>
        <v/>
      </c>
      <c r="Z1244" t="str">
        <f ca="1">IFERROR(__xludf.DUMMYFUNCTION("""COMPUTED_VALUE"""),"")</f>
        <v/>
      </c>
      <c r="AA1244" t="str">
        <f ca="1">IFERROR(__xludf.DUMMYFUNCTION("""COMPUTED_VALUE"""),"")</f>
        <v/>
      </c>
      <c r="AB1244" s="8" t="str">
        <f ca="1">IFERROR(__xludf.DUMMYFUNCTION("""COMPUTED_VALUE"""),"")</f>
        <v/>
      </c>
      <c r="AC1244" s="8" t="str">
        <f ca="1">IFERROR(__xludf.DUMMYFUNCTION("""COMPUTED_VALUE"""),"")</f>
        <v/>
      </c>
      <c r="AD1244" s="11" t="str">
        <f ca="1">IFERROR(__xludf.DUMMYFUNCTION("""COMPUTED_VALUE"""),"")</f>
        <v/>
      </c>
      <c r="AE1244" t="str">
        <f ca="1">IFERROR(__xludf.DUMMYFUNCTION("""COMPUTED_VALUE"""),"")</f>
        <v/>
      </c>
    </row>
    <row r="1245" spans="1:31" ht="12.75" x14ac:dyDescent="0.2">
      <c r="A1245" t="str">
        <f ca="1">IFERROR(__xludf.DUMMYFUNCTION("""COMPUTED_VALUE"""),"")</f>
        <v/>
      </c>
      <c r="B1245" t="str">
        <f ca="1">IFERROR(__xludf.DUMMYFUNCTION("""COMPUTED_VALUE"""),"")</f>
        <v/>
      </c>
      <c r="C1245" t="str">
        <f ca="1">IFERROR(__xludf.DUMMYFUNCTION("""COMPUTED_VALUE"""),"")</f>
        <v/>
      </c>
      <c r="D1245" t="str">
        <f ca="1">IFERROR(__xludf.DUMMYFUNCTION("""COMPUTED_VALUE"""),"")</f>
        <v/>
      </c>
      <c r="E1245" t="str">
        <f ca="1">IFERROR(__xludf.DUMMYFUNCTION("""COMPUTED_VALUE"""),"")</f>
        <v/>
      </c>
      <c r="F1245" t="str">
        <f ca="1">IFERROR(__xludf.DUMMYFUNCTION("""COMPUTED_VALUE"""),"")</f>
        <v/>
      </c>
      <c r="G1245" t="str">
        <f ca="1">IFERROR(__xludf.DUMMYFUNCTION("""COMPUTED_VALUE"""),"")</f>
        <v/>
      </c>
      <c r="H1245" t="str">
        <f ca="1">IFERROR(__xludf.DUMMYFUNCTION("""COMPUTED_VALUE"""),"")</f>
        <v/>
      </c>
      <c r="I1245" t="str">
        <f ca="1">IFERROR(__xludf.DUMMYFUNCTION("""COMPUTED_VALUE"""),"")</f>
        <v/>
      </c>
      <c r="J1245" t="str">
        <f ca="1">IFERROR(__xludf.DUMMYFUNCTION("""COMPUTED_VALUE"""),"")</f>
        <v/>
      </c>
      <c r="K1245" t="str">
        <f ca="1">IFERROR(__xludf.DUMMYFUNCTION("""COMPUTED_VALUE"""),"")</f>
        <v/>
      </c>
      <c r="L1245" t="str">
        <f ca="1">IFERROR(__xludf.DUMMYFUNCTION("""COMPUTED_VALUE"""),"")</f>
        <v/>
      </c>
      <c r="M1245" t="str">
        <f ca="1">IFERROR(__xludf.DUMMYFUNCTION("""COMPUTED_VALUE"""),"")</f>
        <v/>
      </c>
      <c r="N1245" t="str">
        <f ca="1">IFERROR(__xludf.DUMMYFUNCTION("""COMPUTED_VALUE"""),"")</f>
        <v/>
      </c>
      <c r="O1245" t="str">
        <f ca="1">IFERROR(__xludf.DUMMYFUNCTION("""COMPUTED_VALUE"""),"")</f>
        <v/>
      </c>
      <c r="P1245" t="str">
        <f ca="1">IFERROR(__xludf.DUMMYFUNCTION("""COMPUTED_VALUE"""),"")</f>
        <v/>
      </c>
      <c r="Q1245" s="5" t="str">
        <f ca="1">IFERROR(__xludf.DUMMYFUNCTION("""COMPUTED_VALUE"""),"")</f>
        <v/>
      </c>
      <c r="R1245" s="6" t="str">
        <f ca="1">IFERROR(__xludf.DUMMYFUNCTION("""COMPUTED_VALUE"""),"")</f>
        <v/>
      </c>
      <c r="S1245" t="str">
        <f ca="1">IFERROR(__xludf.DUMMYFUNCTION("""COMPUTED_VALUE"""),"")</f>
        <v/>
      </c>
      <c r="T1245" t="str">
        <f ca="1">IFERROR(__xludf.DUMMYFUNCTION("""COMPUTED_VALUE"""),"")</f>
        <v/>
      </c>
      <c r="U1245" t="str">
        <f ca="1">IFERROR(__xludf.DUMMYFUNCTION("""COMPUTED_VALUE"""),"")</f>
        <v/>
      </c>
      <c r="V1245" t="str">
        <f ca="1">IFERROR(__xludf.DUMMYFUNCTION("""COMPUTED_VALUE"""),"")</f>
        <v/>
      </c>
      <c r="W1245" t="str">
        <f ca="1">IFERROR(__xludf.DUMMYFUNCTION("""COMPUTED_VALUE"""),"")</f>
        <v/>
      </c>
      <c r="X1245" t="str">
        <f ca="1">IFERROR(__xludf.DUMMYFUNCTION("""COMPUTED_VALUE"""),"")</f>
        <v/>
      </c>
      <c r="Y1245" t="str">
        <f ca="1">IFERROR(__xludf.DUMMYFUNCTION("""COMPUTED_VALUE"""),"")</f>
        <v/>
      </c>
      <c r="Z1245" t="str">
        <f ca="1">IFERROR(__xludf.DUMMYFUNCTION("""COMPUTED_VALUE"""),"")</f>
        <v/>
      </c>
      <c r="AA1245" t="str">
        <f ca="1">IFERROR(__xludf.DUMMYFUNCTION("""COMPUTED_VALUE"""),"")</f>
        <v/>
      </c>
      <c r="AB1245" s="8" t="str">
        <f ca="1">IFERROR(__xludf.DUMMYFUNCTION("""COMPUTED_VALUE"""),"")</f>
        <v/>
      </c>
      <c r="AC1245" s="8" t="str">
        <f ca="1">IFERROR(__xludf.DUMMYFUNCTION("""COMPUTED_VALUE"""),"")</f>
        <v/>
      </c>
      <c r="AD1245" s="11" t="str">
        <f ca="1">IFERROR(__xludf.DUMMYFUNCTION("""COMPUTED_VALUE"""),"")</f>
        <v/>
      </c>
      <c r="AE1245" t="str">
        <f ca="1">IFERROR(__xludf.DUMMYFUNCTION("""COMPUTED_VALUE"""),"")</f>
        <v/>
      </c>
    </row>
    <row r="1246" spans="1:31" ht="12.75" x14ac:dyDescent="0.2">
      <c r="A1246" t="str">
        <f ca="1">IFERROR(__xludf.DUMMYFUNCTION("""COMPUTED_VALUE"""),"")</f>
        <v/>
      </c>
      <c r="B1246" t="str">
        <f ca="1">IFERROR(__xludf.DUMMYFUNCTION("""COMPUTED_VALUE"""),"")</f>
        <v/>
      </c>
      <c r="C1246" t="str">
        <f ca="1">IFERROR(__xludf.DUMMYFUNCTION("""COMPUTED_VALUE"""),"")</f>
        <v/>
      </c>
      <c r="D1246" t="str">
        <f ca="1">IFERROR(__xludf.DUMMYFUNCTION("""COMPUTED_VALUE"""),"")</f>
        <v/>
      </c>
      <c r="E1246" t="str">
        <f ca="1">IFERROR(__xludf.DUMMYFUNCTION("""COMPUTED_VALUE"""),"")</f>
        <v/>
      </c>
      <c r="F1246" t="str">
        <f ca="1">IFERROR(__xludf.DUMMYFUNCTION("""COMPUTED_VALUE"""),"")</f>
        <v/>
      </c>
      <c r="G1246" t="str">
        <f ca="1">IFERROR(__xludf.DUMMYFUNCTION("""COMPUTED_VALUE"""),"")</f>
        <v/>
      </c>
      <c r="H1246" t="str">
        <f ca="1">IFERROR(__xludf.DUMMYFUNCTION("""COMPUTED_VALUE"""),"")</f>
        <v/>
      </c>
      <c r="I1246" t="str">
        <f ca="1">IFERROR(__xludf.DUMMYFUNCTION("""COMPUTED_VALUE"""),"")</f>
        <v/>
      </c>
      <c r="J1246" t="str">
        <f ca="1">IFERROR(__xludf.DUMMYFUNCTION("""COMPUTED_VALUE"""),"")</f>
        <v/>
      </c>
      <c r="K1246" t="str">
        <f ca="1">IFERROR(__xludf.DUMMYFUNCTION("""COMPUTED_VALUE"""),"")</f>
        <v/>
      </c>
      <c r="L1246" t="str">
        <f ca="1">IFERROR(__xludf.DUMMYFUNCTION("""COMPUTED_VALUE"""),"")</f>
        <v/>
      </c>
      <c r="M1246" t="str">
        <f ca="1">IFERROR(__xludf.DUMMYFUNCTION("""COMPUTED_VALUE"""),"")</f>
        <v/>
      </c>
      <c r="N1246" t="str">
        <f ca="1">IFERROR(__xludf.DUMMYFUNCTION("""COMPUTED_VALUE"""),"")</f>
        <v/>
      </c>
      <c r="O1246" t="str">
        <f ca="1">IFERROR(__xludf.DUMMYFUNCTION("""COMPUTED_VALUE"""),"")</f>
        <v/>
      </c>
      <c r="P1246" t="str">
        <f ca="1">IFERROR(__xludf.DUMMYFUNCTION("""COMPUTED_VALUE"""),"")</f>
        <v/>
      </c>
      <c r="Q1246" s="5" t="str">
        <f ca="1">IFERROR(__xludf.DUMMYFUNCTION("""COMPUTED_VALUE"""),"")</f>
        <v/>
      </c>
      <c r="R1246" s="6" t="str">
        <f ca="1">IFERROR(__xludf.DUMMYFUNCTION("""COMPUTED_VALUE"""),"")</f>
        <v/>
      </c>
      <c r="S1246" t="str">
        <f ca="1">IFERROR(__xludf.DUMMYFUNCTION("""COMPUTED_VALUE"""),"")</f>
        <v/>
      </c>
      <c r="T1246" t="str">
        <f ca="1">IFERROR(__xludf.DUMMYFUNCTION("""COMPUTED_VALUE"""),"")</f>
        <v/>
      </c>
      <c r="U1246" t="str">
        <f ca="1">IFERROR(__xludf.DUMMYFUNCTION("""COMPUTED_VALUE"""),"")</f>
        <v/>
      </c>
      <c r="V1246" t="str">
        <f ca="1">IFERROR(__xludf.DUMMYFUNCTION("""COMPUTED_VALUE"""),"")</f>
        <v/>
      </c>
      <c r="W1246" t="str">
        <f ca="1">IFERROR(__xludf.DUMMYFUNCTION("""COMPUTED_VALUE"""),"")</f>
        <v/>
      </c>
      <c r="X1246" t="str">
        <f ca="1">IFERROR(__xludf.DUMMYFUNCTION("""COMPUTED_VALUE"""),"")</f>
        <v/>
      </c>
      <c r="Y1246" t="str">
        <f ca="1">IFERROR(__xludf.DUMMYFUNCTION("""COMPUTED_VALUE"""),"")</f>
        <v/>
      </c>
      <c r="Z1246" t="str">
        <f ca="1">IFERROR(__xludf.DUMMYFUNCTION("""COMPUTED_VALUE"""),"")</f>
        <v/>
      </c>
      <c r="AA1246" t="str">
        <f ca="1">IFERROR(__xludf.DUMMYFUNCTION("""COMPUTED_VALUE"""),"")</f>
        <v/>
      </c>
      <c r="AB1246" s="8" t="str">
        <f ca="1">IFERROR(__xludf.DUMMYFUNCTION("""COMPUTED_VALUE"""),"")</f>
        <v/>
      </c>
      <c r="AC1246" s="8" t="str">
        <f ca="1">IFERROR(__xludf.DUMMYFUNCTION("""COMPUTED_VALUE"""),"")</f>
        <v/>
      </c>
      <c r="AD1246" s="11" t="str">
        <f ca="1">IFERROR(__xludf.DUMMYFUNCTION("""COMPUTED_VALUE"""),"")</f>
        <v/>
      </c>
      <c r="AE1246" t="str">
        <f ca="1">IFERROR(__xludf.DUMMYFUNCTION("""COMPUTED_VALUE"""),"")</f>
        <v/>
      </c>
    </row>
    <row r="1247" spans="1:31" ht="12.75" x14ac:dyDescent="0.2">
      <c r="A1247" t="str">
        <f ca="1">IFERROR(__xludf.DUMMYFUNCTION("""COMPUTED_VALUE"""),"")</f>
        <v/>
      </c>
      <c r="B1247" t="str">
        <f ca="1">IFERROR(__xludf.DUMMYFUNCTION("""COMPUTED_VALUE"""),"")</f>
        <v/>
      </c>
      <c r="C1247" t="str">
        <f ca="1">IFERROR(__xludf.DUMMYFUNCTION("""COMPUTED_VALUE"""),"")</f>
        <v/>
      </c>
      <c r="D1247" t="str">
        <f ca="1">IFERROR(__xludf.DUMMYFUNCTION("""COMPUTED_VALUE"""),"")</f>
        <v/>
      </c>
      <c r="E1247" t="str">
        <f ca="1">IFERROR(__xludf.DUMMYFUNCTION("""COMPUTED_VALUE"""),"")</f>
        <v/>
      </c>
      <c r="F1247" t="str">
        <f ca="1">IFERROR(__xludf.DUMMYFUNCTION("""COMPUTED_VALUE"""),"")</f>
        <v/>
      </c>
      <c r="G1247" t="str">
        <f ca="1">IFERROR(__xludf.DUMMYFUNCTION("""COMPUTED_VALUE"""),"")</f>
        <v/>
      </c>
      <c r="H1247" t="str">
        <f ca="1">IFERROR(__xludf.DUMMYFUNCTION("""COMPUTED_VALUE"""),"")</f>
        <v/>
      </c>
      <c r="I1247" t="str">
        <f ca="1">IFERROR(__xludf.DUMMYFUNCTION("""COMPUTED_VALUE"""),"")</f>
        <v/>
      </c>
      <c r="J1247" t="str">
        <f ca="1">IFERROR(__xludf.DUMMYFUNCTION("""COMPUTED_VALUE"""),"")</f>
        <v/>
      </c>
      <c r="K1247" t="str">
        <f ca="1">IFERROR(__xludf.DUMMYFUNCTION("""COMPUTED_VALUE"""),"")</f>
        <v/>
      </c>
      <c r="L1247" t="str">
        <f ca="1">IFERROR(__xludf.DUMMYFUNCTION("""COMPUTED_VALUE"""),"")</f>
        <v/>
      </c>
      <c r="M1247" t="str">
        <f ca="1">IFERROR(__xludf.DUMMYFUNCTION("""COMPUTED_VALUE"""),"")</f>
        <v/>
      </c>
      <c r="N1247" t="str">
        <f ca="1">IFERROR(__xludf.DUMMYFUNCTION("""COMPUTED_VALUE"""),"")</f>
        <v/>
      </c>
      <c r="O1247" t="str">
        <f ca="1">IFERROR(__xludf.DUMMYFUNCTION("""COMPUTED_VALUE"""),"")</f>
        <v/>
      </c>
      <c r="P1247" t="str">
        <f ca="1">IFERROR(__xludf.DUMMYFUNCTION("""COMPUTED_VALUE"""),"")</f>
        <v/>
      </c>
      <c r="Q1247" s="5" t="str">
        <f ca="1">IFERROR(__xludf.DUMMYFUNCTION("""COMPUTED_VALUE"""),"")</f>
        <v/>
      </c>
      <c r="R1247" s="6" t="str">
        <f ca="1">IFERROR(__xludf.DUMMYFUNCTION("""COMPUTED_VALUE"""),"")</f>
        <v/>
      </c>
      <c r="S1247" t="str">
        <f ca="1">IFERROR(__xludf.DUMMYFUNCTION("""COMPUTED_VALUE"""),"")</f>
        <v/>
      </c>
      <c r="T1247" t="str">
        <f ca="1">IFERROR(__xludf.DUMMYFUNCTION("""COMPUTED_VALUE"""),"")</f>
        <v/>
      </c>
      <c r="U1247" t="str">
        <f ca="1">IFERROR(__xludf.DUMMYFUNCTION("""COMPUTED_VALUE"""),"")</f>
        <v/>
      </c>
      <c r="V1247" t="str">
        <f ca="1">IFERROR(__xludf.DUMMYFUNCTION("""COMPUTED_VALUE"""),"")</f>
        <v/>
      </c>
      <c r="W1247" t="str">
        <f ca="1">IFERROR(__xludf.DUMMYFUNCTION("""COMPUTED_VALUE"""),"")</f>
        <v/>
      </c>
      <c r="X1247" t="str">
        <f ca="1">IFERROR(__xludf.DUMMYFUNCTION("""COMPUTED_VALUE"""),"")</f>
        <v/>
      </c>
      <c r="Y1247" t="str">
        <f ca="1">IFERROR(__xludf.DUMMYFUNCTION("""COMPUTED_VALUE"""),"")</f>
        <v/>
      </c>
      <c r="Z1247" t="str">
        <f ca="1">IFERROR(__xludf.DUMMYFUNCTION("""COMPUTED_VALUE"""),"")</f>
        <v/>
      </c>
      <c r="AA1247" t="str">
        <f ca="1">IFERROR(__xludf.DUMMYFUNCTION("""COMPUTED_VALUE"""),"")</f>
        <v/>
      </c>
      <c r="AB1247" s="8" t="str">
        <f ca="1">IFERROR(__xludf.DUMMYFUNCTION("""COMPUTED_VALUE"""),"")</f>
        <v/>
      </c>
      <c r="AC1247" s="8" t="str">
        <f ca="1">IFERROR(__xludf.DUMMYFUNCTION("""COMPUTED_VALUE"""),"")</f>
        <v/>
      </c>
      <c r="AD1247" s="11" t="str">
        <f ca="1">IFERROR(__xludf.DUMMYFUNCTION("""COMPUTED_VALUE"""),"")</f>
        <v/>
      </c>
      <c r="AE1247" t="str">
        <f ca="1">IFERROR(__xludf.DUMMYFUNCTION("""COMPUTED_VALUE"""),"")</f>
        <v/>
      </c>
    </row>
    <row r="1248" spans="1:31" ht="12.75" x14ac:dyDescent="0.2">
      <c r="A1248" t="str">
        <f ca="1">IFERROR(__xludf.DUMMYFUNCTION("""COMPUTED_VALUE"""),"")</f>
        <v/>
      </c>
      <c r="B1248" t="str">
        <f ca="1">IFERROR(__xludf.DUMMYFUNCTION("""COMPUTED_VALUE"""),"")</f>
        <v/>
      </c>
      <c r="C1248" t="str">
        <f ca="1">IFERROR(__xludf.DUMMYFUNCTION("""COMPUTED_VALUE"""),"")</f>
        <v/>
      </c>
      <c r="D1248" t="str">
        <f ca="1">IFERROR(__xludf.DUMMYFUNCTION("""COMPUTED_VALUE"""),"")</f>
        <v/>
      </c>
      <c r="E1248" t="str">
        <f ca="1">IFERROR(__xludf.DUMMYFUNCTION("""COMPUTED_VALUE"""),"")</f>
        <v/>
      </c>
      <c r="F1248" t="str">
        <f ca="1">IFERROR(__xludf.DUMMYFUNCTION("""COMPUTED_VALUE"""),"")</f>
        <v/>
      </c>
      <c r="G1248" t="str">
        <f ca="1">IFERROR(__xludf.DUMMYFUNCTION("""COMPUTED_VALUE"""),"")</f>
        <v/>
      </c>
      <c r="H1248" t="str">
        <f ca="1">IFERROR(__xludf.DUMMYFUNCTION("""COMPUTED_VALUE"""),"")</f>
        <v/>
      </c>
      <c r="I1248" t="str">
        <f ca="1">IFERROR(__xludf.DUMMYFUNCTION("""COMPUTED_VALUE"""),"")</f>
        <v/>
      </c>
      <c r="J1248" t="str">
        <f ca="1">IFERROR(__xludf.DUMMYFUNCTION("""COMPUTED_VALUE"""),"")</f>
        <v/>
      </c>
      <c r="K1248" t="str">
        <f ca="1">IFERROR(__xludf.DUMMYFUNCTION("""COMPUTED_VALUE"""),"")</f>
        <v/>
      </c>
      <c r="L1248" t="str">
        <f ca="1">IFERROR(__xludf.DUMMYFUNCTION("""COMPUTED_VALUE"""),"")</f>
        <v/>
      </c>
      <c r="M1248" t="str">
        <f ca="1">IFERROR(__xludf.DUMMYFUNCTION("""COMPUTED_VALUE"""),"")</f>
        <v/>
      </c>
      <c r="N1248" t="str">
        <f ca="1">IFERROR(__xludf.DUMMYFUNCTION("""COMPUTED_VALUE"""),"")</f>
        <v/>
      </c>
      <c r="O1248" t="str">
        <f ca="1">IFERROR(__xludf.DUMMYFUNCTION("""COMPUTED_VALUE"""),"")</f>
        <v/>
      </c>
      <c r="P1248" t="str">
        <f ca="1">IFERROR(__xludf.DUMMYFUNCTION("""COMPUTED_VALUE"""),"")</f>
        <v/>
      </c>
      <c r="Q1248" s="5" t="str">
        <f ca="1">IFERROR(__xludf.DUMMYFUNCTION("""COMPUTED_VALUE"""),"")</f>
        <v/>
      </c>
      <c r="R1248" s="6" t="str">
        <f ca="1">IFERROR(__xludf.DUMMYFUNCTION("""COMPUTED_VALUE"""),"")</f>
        <v/>
      </c>
      <c r="S1248" t="str">
        <f ca="1">IFERROR(__xludf.DUMMYFUNCTION("""COMPUTED_VALUE"""),"")</f>
        <v/>
      </c>
      <c r="T1248" t="str">
        <f ca="1">IFERROR(__xludf.DUMMYFUNCTION("""COMPUTED_VALUE"""),"")</f>
        <v/>
      </c>
      <c r="U1248" t="str">
        <f ca="1">IFERROR(__xludf.DUMMYFUNCTION("""COMPUTED_VALUE"""),"")</f>
        <v/>
      </c>
      <c r="V1248" t="str">
        <f ca="1">IFERROR(__xludf.DUMMYFUNCTION("""COMPUTED_VALUE"""),"")</f>
        <v/>
      </c>
      <c r="W1248" t="str">
        <f ca="1">IFERROR(__xludf.DUMMYFUNCTION("""COMPUTED_VALUE"""),"")</f>
        <v/>
      </c>
      <c r="X1248" t="str">
        <f ca="1">IFERROR(__xludf.DUMMYFUNCTION("""COMPUTED_VALUE"""),"")</f>
        <v/>
      </c>
      <c r="Y1248" t="str">
        <f ca="1">IFERROR(__xludf.DUMMYFUNCTION("""COMPUTED_VALUE"""),"")</f>
        <v/>
      </c>
      <c r="Z1248" t="str">
        <f ca="1">IFERROR(__xludf.DUMMYFUNCTION("""COMPUTED_VALUE"""),"")</f>
        <v/>
      </c>
      <c r="AA1248" t="str">
        <f ca="1">IFERROR(__xludf.DUMMYFUNCTION("""COMPUTED_VALUE"""),"")</f>
        <v/>
      </c>
      <c r="AB1248" s="8" t="str">
        <f ca="1">IFERROR(__xludf.DUMMYFUNCTION("""COMPUTED_VALUE"""),"")</f>
        <v/>
      </c>
      <c r="AC1248" s="8" t="str">
        <f ca="1">IFERROR(__xludf.DUMMYFUNCTION("""COMPUTED_VALUE"""),"")</f>
        <v/>
      </c>
      <c r="AD1248" s="11" t="str">
        <f ca="1">IFERROR(__xludf.DUMMYFUNCTION("""COMPUTED_VALUE"""),"")</f>
        <v/>
      </c>
      <c r="AE1248" t="str">
        <f ca="1">IFERROR(__xludf.DUMMYFUNCTION("""COMPUTED_VALUE"""),"")</f>
        <v/>
      </c>
    </row>
    <row r="1249" spans="1:31" ht="12.75" x14ac:dyDescent="0.2">
      <c r="A1249" t="str">
        <f ca="1">IFERROR(__xludf.DUMMYFUNCTION("""COMPUTED_VALUE"""),"")</f>
        <v/>
      </c>
      <c r="B1249" t="str">
        <f ca="1">IFERROR(__xludf.DUMMYFUNCTION("""COMPUTED_VALUE"""),"")</f>
        <v/>
      </c>
      <c r="C1249" t="str">
        <f ca="1">IFERROR(__xludf.DUMMYFUNCTION("""COMPUTED_VALUE"""),"")</f>
        <v/>
      </c>
      <c r="D1249" t="str">
        <f ca="1">IFERROR(__xludf.DUMMYFUNCTION("""COMPUTED_VALUE"""),"")</f>
        <v/>
      </c>
      <c r="E1249" t="str">
        <f ca="1">IFERROR(__xludf.DUMMYFUNCTION("""COMPUTED_VALUE"""),"")</f>
        <v/>
      </c>
      <c r="F1249" t="str">
        <f ca="1">IFERROR(__xludf.DUMMYFUNCTION("""COMPUTED_VALUE"""),"")</f>
        <v/>
      </c>
      <c r="G1249" t="str">
        <f ca="1">IFERROR(__xludf.DUMMYFUNCTION("""COMPUTED_VALUE"""),"")</f>
        <v/>
      </c>
      <c r="H1249" t="str">
        <f ca="1">IFERROR(__xludf.DUMMYFUNCTION("""COMPUTED_VALUE"""),"")</f>
        <v/>
      </c>
      <c r="I1249" t="str">
        <f ca="1">IFERROR(__xludf.DUMMYFUNCTION("""COMPUTED_VALUE"""),"")</f>
        <v/>
      </c>
      <c r="J1249" t="str">
        <f ca="1">IFERROR(__xludf.DUMMYFUNCTION("""COMPUTED_VALUE"""),"")</f>
        <v/>
      </c>
      <c r="K1249" t="str">
        <f ca="1">IFERROR(__xludf.DUMMYFUNCTION("""COMPUTED_VALUE"""),"")</f>
        <v/>
      </c>
      <c r="L1249" t="str">
        <f ca="1">IFERROR(__xludf.DUMMYFUNCTION("""COMPUTED_VALUE"""),"")</f>
        <v/>
      </c>
      <c r="M1249" t="str">
        <f ca="1">IFERROR(__xludf.DUMMYFUNCTION("""COMPUTED_VALUE"""),"")</f>
        <v/>
      </c>
      <c r="N1249" t="str">
        <f ca="1">IFERROR(__xludf.DUMMYFUNCTION("""COMPUTED_VALUE"""),"")</f>
        <v/>
      </c>
      <c r="O1249" t="str">
        <f ca="1">IFERROR(__xludf.DUMMYFUNCTION("""COMPUTED_VALUE"""),"")</f>
        <v/>
      </c>
      <c r="P1249" t="str">
        <f ca="1">IFERROR(__xludf.DUMMYFUNCTION("""COMPUTED_VALUE"""),"")</f>
        <v/>
      </c>
      <c r="Q1249" s="5" t="str">
        <f ca="1">IFERROR(__xludf.DUMMYFUNCTION("""COMPUTED_VALUE"""),"")</f>
        <v/>
      </c>
      <c r="R1249" s="6" t="str">
        <f ca="1">IFERROR(__xludf.DUMMYFUNCTION("""COMPUTED_VALUE"""),"")</f>
        <v/>
      </c>
      <c r="S1249" t="str">
        <f ca="1">IFERROR(__xludf.DUMMYFUNCTION("""COMPUTED_VALUE"""),"")</f>
        <v/>
      </c>
      <c r="T1249" t="str">
        <f ca="1">IFERROR(__xludf.DUMMYFUNCTION("""COMPUTED_VALUE"""),"")</f>
        <v/>
      </c>
      <c r="U1249" t="str">
        <f ca="1">IFERROR(__xludf.DUMMYFUNCTION("""COMPUTED_VALUE"""),"")</f>
        <v/>
      </c>
      <c r="V1249" t="str">
        <f ca="1">IFERROR(__xludf.DUMMYFUNCTION("""COMPUTED_VALUE"""),"")</f>
        <v/>
      </c>
      <c r="W1249" t="str">
        <f ca="1">IFERROR(__xludf.DUMMYFUNCTION("""COMPUTED_VALUE"""),"")</f>
        <v/>
      </c>
      <c r="X1249" t="str">
        <f ca="1">IFERROR(__xludf.DUMMYFUNCTION("""COMPUTED_VALUE"""),"")</f>
        <v/>
      </c>
      <c r="Y1249" t="str">
        <f ca="1">IFERROR(__xludf.DUMMYFUNCTION("""COMPUTED_VALUE"""),"")</f>
        <v/>
      </c>
      <c r="Z1249" t="str">
        <f ca="1">IFERROR(__xludf.DUMMYFUNCTION("""COMPUTED_VALUE"""),"")</f>
        <v/>
      </c>
      <c r="AA1249" t="str">
        <f ca="1">IFERROR(__xludf.DUMMYFUNCTION("""COMPUTED_VALUE"""),"")</f>
        <v/>
      </c>
      <c r="AB1249" s="8" t="str">
        <f ca="1">IFERROR(__xludf.DUMMYFUNCTION("""COMPUTED_VALUE"""),"")</f>
        <v/>
      </c>
      <c r="AC1249" s="8" t="str">
        <f ca="1">IFERROR(__xludf.DUMMYFUNCTION("""COMPUTED_VALUE"""),"")</f>
        <v/>
      </c>
      <c r="AD1249" s="11" t="str">
        <f ca="1">IFERROR(__xludf.DUMMYFUNCTION("""COMPUTED_VALUE"""),"")</f>
        <v/>
      </c>
      <c r="AE1249" t="str">
        <f ca="1">IFERROR(__xludf.DUMMYFUNCTION("""COMPUTED_VALUE"""),"")</f>
        <v/>
      </c>
    </row>
    <row r="1250" spans="1:31" ht="12.75" x14ac:dyDescent="0.2">
      <c r="A1250" t="str">
        <f ca="1">IFERROR(__xludf.DUMMYFUNCTION("""COMPUTED_VALUE"""),"")</f>
        <v/>
      </c>
      <c r="B1250" t="str">
        <f ca="1">IFERROR(__xludf.DUMMYFUNCTION("""COMPUTED_VALUE"""),"")</f>
        <v/>
      </c>
      <c r="C1250" t="str">
        <f ca="1">IFERROR(__xludf.DUMMYFUNCTION("""COMPUTED_VALUE"""),"")</f>
        <v/>
      </c>
      <c r="D1250" t="str">
        <f ca="1">IFERROR(__xludf.DUMMYFUNCTION("""COMPUTED_VALUE"""),"")</f>
        <v/>
      </c>
      <c r="E1250" t="str">
        <f ca="1">IFERROR(__xludf.DUMMYFUNCTION("""COMPUTED_VALUE"""),"")</f>
        <v/>
      </c>
      <c r="F1250" t="str">
        <f ca="1">IFERROR(__xludf.DUMMYFUNCTION("""COMPUTED_VALUE"""),"")</f>
        <v/>
      </c>
      <c r="G1250" t="str">
        <f ca="1">IFERROR(__xludf.DUMMYFUNCTION("""COMPUTED_VALUE"""),"")</f>
        <v/>
      </c>
      <c r="H1250" t="str">
        <f ca="1">IFERROR(__xludf.DUMMYFUNCTION("""COMPUTED_VALUE"""),"")</f>
        <v/>
      </c>
      <c r="I1250" t="str">
        <f ca="1">IFERROR(__xludf.DUMMYFUNCTION("""COMPUTED_VALUE"""),"")</f>
        <v/>
      </c>
      <c r="J1250" t="str">
        <f ca="1">IFERROR(__xludf.DUMMYFUNCTION("""COMPUTED_VALUE"""),"")</f>
        <v/>
      </c>
      <c r="K1250" t="str">
        <f ca="1">IFERROR(__xludf.DUMMYFUNCTION("""COMPUTED_VALUE"""),"")</f>
        <v/>
      </c>
      <c r="L1250" t="str">
        <f ca="1">IFERROR(__xludf.DUMMYFUNCTION("""COMPUTED_VALUE"""),"")</f>
        <v/>
      </c>
      <c r="M1250" t="str">
        <f ca="1">IFERROR(__xludf.DUMMYFUNCTION("""COMPUTED_VALUE"""),"")</f>
        <v/>
      </c>
      <c r="N1250" t="str">
        <f ca="1">IFERROR(__xludf.DUMMYFUNCTION("""COMPUTED_VALUE"""),"")</f>
        <v/>
      </c>
      <c r="O1250" t="str">
        <f ca="1">IFERROR(__xludf.DUMMYFUNCTION("""COMPUTED_VALUE"""),"")</f>
        <v/>
      </c>
      <c r="P1250" t="str">
        <f ca="1">IFERROR(__xludf.DUMMYFUNCTION("""COMPUTED_VALUE"""),"")</f>
        <v/>
      </c>
      <c r="Q1250" s="5" t="str">
        <f ca="1">IFERROR(__xludf.DUMMYFUNCTION("""COMPUTED_VALUE"""),"")</f>
        <v/>
      </c>
      <c r="R1250" s="6" t="str">
        <f ca="1">IFERROR(__xludf.DUMMYFUNCTION("""COMPUTED_VALUE"""),"")</f>
        <v/>
      </c>
      <c r="S1250" t="str">
        <f ca="1">IFERROR(__xludf.DUMMYFUNCTION("""COMPUTED_VALUE"""),"")</f>
        <v/>
      </c>
      <c r="T1250" t="str">
        <f ca="1">IFERROR(__xludf.DUMMYFUNCTION("""COMPUTED_VALUE"""),"")</f>
        <v/>
      </c>
      <c r="U1250" t="str">
        <f ca="1">IFERROR(__xludf.DUMMYFUNCTION("""COMPUTED_VALUE"""),"")</f>
        <v/>
      </c>
      <c r="V1250" t="str">
        <f ca="1">IFERROR(__xludf.DUMMYFUNCTION("""COMPUTED_VALUE"""),"")</f>
        <v/>
      </c>
      <c r="W1250" t="str">
        <f ca="1">IFERROR(__xludf.DUMMYFUNCTION("""COMPUTED_VALUE"""),"")</f>
        <v/>
      </c>
      <c r="X1250" t="str">
        <f ca="1">IFERROR(__xludf.DUMMYFUNCTION("""COMPUTED_VALUE"""),"")</f>
        <v/>
      </c>
      <c r="Y1250" t="str">
        <f ca="1">IFERROR(__xludf.DUMMYFUNCTION("""COMPUTED_VALUE"""),"")</f>
        <v/>
      </c>
      <c r="Z1250" t="str">
        <f ca="1">IFERROR(__xludf.DUMMYFUNCTION("""COMPUTED_VALUE"""),"")</f>
        <v/>
      </c>
      <c r="AA1250" t="str">
        <f ca="1">IFERROR(__xludf.DUMMYFUNCTION("""COMPUTED_VALUE"""),"")</f>
        <v/>
      </c>
      <c r="AB1250" s="8" t="str">
        <f ca="1">IFERROR(__xludf.DUMMYFUNCTION("""COMPUTED_VALUE"""),"")</f>
        <v/>
      </c>
      <c r="AC1250" s="8" t="str">
        <f ca="1">IFERROR(__xludf.DUMMYFUNCTION("""COMPUTED_VALUE"""),"")</f>
        <v/>
      </c>
      <c r="AD1250" s="11" t="str">
        <f ca="1">IFERROR(__xludf.DUMMYFUNCTION("""COMPUTED_VALUE"""),"")</f>
        <v/>
      </c>
      <c r="AE1250" t="str">
        <f ca="1">IFERROR(__xludf.DUMMYFUNCTION("""COMPUTED_VALUE"""),"")</f>
        <v/>
      </c>
    </row>
    <row r="1251" spans="1:31" ht="12.75" x14ac:dyDescent="0.2">
      <c r="A1251" t="str">
        <f ca="1">IFERROR(__xludf.DUMMYFUNCTION("""COMPUTED_VALUE"""),"")</f>
        <v/>
      </c>
      <c r="B1251" t="str">
        <f ca="1">IFERROR(__xludf.DUMMYFUNCTION("""COMPUTED_VALUE"""),"")</f>
        <v/>
      </c>
      <c r="C1251" t="str">
        <f ca="1">IFERROR(__xludf.DUMMYFUNCTION("""COMPUTED_VALUE"""),"")</f>
        <v/>
      </c>
      <c r="D1251" t="str">
        <f ca="1">IFERROR(__xludf.DUMMYFUNCTION("""COMPUTED_VALUE"""),"")</f>
        <v/>
      </c>
      <c r="E1251" t="str">
        <f ca="1">IFERROR(__xludf.DUMMYFUNCTION("""COMPUTED_VALUE"""),"")</f>
        <v/>
      </c>
      <c r="F1251" t="str">
        <f ca="1">IFERROR(__xludf.DUMMYFUNCTION("""COMPUTED_VALUE"""),"")</f>
        <v/>
      </c>
      <c r="G1251" t="str">
        <f ca="1">IFERROR(__xludf.DUMMYFUNCTION("""COMPUTED_VALUE"""),"")</f>
        <v/>
      </c>
      <c r="H1251" t="str">
        <f ca="1">IFERROR(__xludf.DUMMYFUNCTION("""COMPUTED_VALUE"""),"")</f>
        <v/>
      </c>
      <c r="I1251" t="str">
        <f ca="1">IFERROR(__xludf.DUMMYFUNCTION("""COMPUTED_VALUE"""),"")</f>
        <v/>
      </c>
      <c r="J1251" t="str">
        <f ca="1">IFERROR(__xludf.DUMMYFUNCTION("""COMPUTED_VALUE"""),"")</f>
        <v/>
      </c>
      <c r="K1251" t="str">
        <f ca="1">IFERROR(__xludf.DUMMYFUNCTION("""COMPUTED_VALUE"""),"")</f>
        <v/>
      </c>
      <c r="L1251" t="str">
        <f ca="1">IFERROR(__xludf.DUMMYFUNCTION("""COMPUTED_VALUE"""),"")</f>
        <v/>
      </c>
      <c r="M1251" t="str">
        <f ca="1">IFERROR(__xludf.DUMMYFUNCTION("""COMPUTED_VALUE"""),"")</f>
        <v/>
      </c>
      <c r="N1251" t="str">
        <f ca="1">IFERROR(__xludf.DUMMYFUNCTION("""COMPUTED_VALUE"""),"")</f>
        <v/>
      </c>
      <c r="O1251" t="str">
        <f ca="1">IFERROR(__xludf.DUMMYFUNCTION("""COMPUTED_VALUE"""),"")</f>
        <v/>
      </c>
      <c r="P1251" t="str">
        <f ca="1">IFERROR(__xludf.DUMMYFUNCTION("""COMPUTED_VALUE"""),"")</f>
        <v/>
      </c>
      <c r="Q1251" s="5" t="str">
        <f ca="1">IFERROR(__xludf.DUMMYFUNCTION("""COMPUTED_VALUE"""),"")</f>
        <v/>
      </c>
      <c r="R1251" s="6" t="str">
        <f ca="1">IFERROR(__xludf.DUMMYFUNCTION("""COMPUTED_VALUE"""),"")</f>
        <v/>
      </c>
      <c r="S1251" t="str">
        <f ca="1">IFERROR(__xludf.DUMMYFUNCTION("""COMPUTED_VALUE"""),"")</f>
        <v/>
      </c>
      <c r="T1251" t="str">
        <f ca="1">IFERROR(__xludf.DUMMYFUNCTION("""COMPUTED_VALUE"""),"")</f>
        <v/>
      </c>
      <c r="U1251" t="str">
        <f ca="1">IFERROR(__xludf.DUMMYFUNCTION("""COMPUTED_VALUE"""),"")</f>
        <v/>
      </c>
      <c r="V1251" t="str">
        <f ca="1">IFERROR(__xludf.DUMMYFUNCTION("""COMPUTED_VALUE"""),"")</f>
        <v/>
      </c>
      <c r="W1251" t="str">
        <f ca="1">IFERROR(__xludf.DUMMYFUNCTION("""COMPUTED_VALUE"""),"")</f>
        <v/>
      </c>
      <c r="X1251" t="str">
        <f ca="1">IFERROR(__xludf.DUMMYFUNCTION("""COMPUTED_VALUE"""),"")</f>
        <v/>
      </c>
      <c r="Y1251" t="str">
        <f ca="1">IFERROR(__xludf.DUMMYFUNCTION("""COMPUTED_VALUE"""),"")</f>
        <v/>
      </c>
      <c r="Z1251" t="str">
        <f ca="1">IFERROR(__xludf.DUMMYFUNCTION("""COMPUTED_VALUE"""),"")</f>
        <v/>
      </c>
      <c r="AA1251" t="str">
        <f ca="1">IFERROR(__xludf.DUMMYFUNCTION("""COMPUTED_VALUE"""),"")</f>
        <v/>
      </c>
      <c r="AB1251" s="8" t="str">
        <f ca="1">IFERROR(__xludf.DUMMYFUNCTION("""COMPUTED_VALUE"""),"")</f>
        <v/>
      </c>
      <c r="AC1251" s="8" t="str">
        <f ca="1">IFERROR(__xludf.DUMMYFUNCTION("""COMPUTED_VALUE"""),"")</f>
        <v/>
      </c>
      <c r="AD1251" s="11" t="str">
        <f ca="1">IFERROR(__xludf.DUMMYFUNCTION("""COMPUTED_VALUE"""),"")</f>
        <v/>
      </c>
      <c r="AE1251" t="str">
        <f ca="1">IFERROR(__xludf.DUMMYFUNCTION("""COMPUTED_VALUE"""),"")</f>
        <v/>
      </c>
    </row>
    <row r="1252" spans="1:31" ht="12.75" x14ac:dyDescent="0.2">
      <c r="A1252" t="str">
        <f ca="1">IFERROR(__xludf.DUMMYFUNCTION("""COMPUTED_VALUE"""),"")</f>
        <v/>
      </c>
      <c r="B1252" t="str">
        <f ca="1">IFERROR(__xludf.DUMMYFUNCTION("""COMPUTED_VALUE"""),"")</f>
        <v/>
      </c>
      <c r="C1252" t="str">
        <f ca="1">IFERROR(__xludf.DUMMYFUNCTION("""COMPUTED_VALUE"""),"")</f>
        <v/>
      </c>
      <c r="D1252" t="str">
        <f ca="1">IFERROR(__xludf.DUMMYFUNCTION("""COMPUTED_VALUE"""),"")</f>
        <v/>
      </c>
      <c r="E1252" t="str">
        <f ca="1">IFERROR(__xludf.DUMMYFUNCTION("""COMPUTED_VALUE"""),"")</f>
        <v/>
      </c>
      <c r="F1252" t="str">
        <f ca="1">IFERROR(__xludf.DUMMYFUNCTION("""COMPUTED_VALUE"""),"")</f>
        <v/>
      </c>
      <c r="G1252" t="str">
        <f ca="1">IFERROR(__xludf.DUMMYFUNCTION("""COMPUTED_VALUE"""),"")</f>
        <v/>
      </c>
      <c r="H1252" t="str">
        <f ca="1">IFERROR(__xludf.DUMMYFUNCTION("""COMPUTED_VALUE"""),"")</f>
        <v/>
      </c>
      <c r="I1252" t="str">
        <f ca="1">IFERROR(__xludf.DUMMYFUNCTION("""COMPUTED_VALUE"""),"")</f>
        <v/>
      </c>
      <c r="J1252" t="str">
        <f ca="1">IFERROR(__xludf.DUMMYFUNCTION("""COMPUTED_VALUE"""),"")</f>
        <v/>
      </c>
      <c r="K1252" t="str">
        <f ca="1">IFERROR(__xludf.DUMMYFUNCTION("""COMPUTED_VALUE"""),"")</f>
        <v/>
      </c>
      <c r="L1252" t="str">
        <f ca="1">IFERROR(__xludf.DUMMYFUNCTION("""COMPUTED_VALUE"""),"")</f>
        <v/>
      </c>
      <c r="M1252" t="str">
        <f ca="1">IFERROR(__xludf.DUMMYFUNCTION("""COMPUTED_VALUE"""),"")</f>
        <v/>
      </c>
      <c r="N1252" t="str">
        <f ca="1">IFERROR(__xludf.DUMMYFUNCTION("""COMPUTED_VALUE"""),"")</f>
        <v/>
      </c>
      <c r="O1252" t="str">
        <f ca="1">IFERROR(__xludf.DUMMYFUNCTION("""COMPUTED_VALUE"""),"")</f>
        <v/>
      </c>
      <c r="P1252" t="str">
        <f ca="1">IFERROR(__xludf.DUMMYFUNCTION("""COMPUTED_VALUE"""),"")</f>
        <v/>
      </c>
      <c r="Q1252" s="5" t="str">
        <f ca="1">IFERROR(__xludf.DUMMYFUNCTION("""COMPUTED_VALUE"""),"")</f>
        <v/>
      </c>
      <c r="R1252" s="6" t="str">
        <f ca="1">IFERROR(__xludf.DUMMYFUNCTION("""COMPUTED_VALUE"""),"")</f>
        <v/>
      </c>
      <c r="S1252" t="str">
        <f ca="1">IFERROR(__xludf.DUMMYFUNCTION("""COMPUTED_VALUE"""),"")</f>
        <v/>
      </c>
      <c r="T1252" t="str">
        <f ca="1">IFERROR(__xludf.DUMMYFUNCTION("""COMPUTED_VALUE"""),"")</f>
        <v/>
      </c>
      <c r="U1252" t="str">
        <f ca="1">IFERROR(__xludf.DUMMYFUNCTION("""COMPUTED_VALUE"""),"")</f>
        <v/>
      </c>
      <c r="V1252" t="str">
        <f ca="1">IFERROR(__xludf.DUMMYFUNCTION("""COMPUTED_VALUE"""),"")</f>
        <v/>
      </c>
      <c r="W1252" t="str">
        <f ca="1">IFERROR(__xludf.DUMMYFUNCTION("""COMPUTED_VALUE"""),"")</f>
        <v/>
      </c>
      <c r="X1252" t="str">
        <f ca="1">IFERROR(__xludf.DUMMYFUNCTION("""COMPUTED_VALUE"""),"")</f>
        <v/>
      </c>
      <c r="Y1252" t="str">
        <f ca="1">IFERROR(__xludf.DUMMYFUNCTION("""COMPUTED_VALUE"""),"")</f>
        <v/>
      </c>
      <c r="Z1252" t="str">
        <f ca="1">IFERROR(__xludf.DUMMYFUNCTION("""COMPUTED_VALUE"""),"")</f>
        <v/>
      </c>
      <c r="AA1252" t="str">
        <f ca="1">IFERROR(__xludf.DUMMYFUNCTION("""COMPUTED_VALUE"""),"")</f>
        <v/>
      </c>
      <c r="AB1252" s="8" t="str">
        <f ca="1">IFERROR(__xludf.DUMMYFUNCTION("""COMPUTED_VALUE"""),"")</f>
        <v/>
      </c>
      <c r="AC1252" s="8" t="str">
        <f ca="1">IFERROR(__xludf.DUMMYFUNCTION("""COMPUTED_VALUE"""),"")</f>
        <v/>
      </c>
      <c r="AD1252" s="11" t="str">
        <f ca="1">IFERROR(__xludf.DUMMYFUNCTION("""COMPUTED_VALUE"""),"")</f>
        <v/>
      </c>
      <c r="AE1252" t="str">
        <f ca="1">IFERROR(__xludf.DUMMYFUNCTION("""COMPUTED_VALUE"""),"")</f>
        <v/>
      </c>
    </row>
    <row r="1253" spans="1:31" ht="12.75" x14ac:dyDescent="0.2">
      <c r="A1253" t="str">
        <f ca="1">IFERROR(__xludf.DUMMYFUNCTION("""COMPUTED_VALUE"""),"")</f>
        <v/>
      </c>
      <c r="B1253" t="str">
        <f ca="1">IFERROR(__xludf.DUMMYFUNCTION("""COMPUTED_VALUE"""),"")</f>
        <v/>
      </c>
      <c r="C1253" t="str">
        <f ca="1">IFERROR(__xludf.DUMMYFUNCTION("""COMPUTED_VALUE"""),"")</f>
        <v/>
      </c>
      <c r="D1253" t="str">
        <f ca="1">IFERROR(__xludf.DUMMYFUNCTION("""COMPUTED_VALUE"""),"")</f>
        <v/>
      </c>
      <c r="E1253" t="str">
        <f ca="1">IFERROR(__xludf.DUMMYFUNCTION("""COMPUTED_VALUE"""),"")</f>
        <v/>
      </c>
      <c r="F1253" t="str">
        <f ca="1">IFERROR(__xludf.DUMMYFUNCTION("""COMPUTED_VALUE"""),"")</f>
        <v/>
      </c>
      <c r="G1253" t="str">
        <f ca="1">IFERROR(__xludf.DUMMYFUNCTION("""COMPUTED_VALUE"""),"")</f>
        <v/>
      </c>
      <c r="H1253" t="str">
        <f ca="1">IFERROR(__xludf.DUMMYFUNCTION("""COMPUTED_VALUE"""),"")</f>
        <v/>
      </c>
      <c r="I1253" t="str">
        <f ca="1">IFERROR(__xludf.DUMMYFUNCTION("""COMPUTED_VALUE"""),"")</f>
        <v/>
      </c>
      <c r="J1253" t="str">
        <f ca="1">IFERROR(__xludf.DUMMYFUNCTION("""COMPUTED_VALUE"""),"")</f>
        <v/>
      </c>
      <c r="K1253" t="str">
        <f ca="1">IFERROR(__xludf.DUMMYFUNCTION("""COMPUTED_VALUE"""),"")</f>
        <v/>
      </c>
      <c r="L1253" t="str">
        <f ca="1">IFERROR(__xludf.DUMMYFUNCTION("""COMPUTED_VALUE"""),"")</f>
        <v/>
      </c>
      <c r="M1253" t="str">
        <f ca="1">IFERROR(__xludf.DUMMYFUNCTION("""COMPUTED_VALUE"""),"")</f>
        <v/>
      </c>
      <c r="N1253" t="str">
        <f ca="1">IFERROR(__xludf.DUMMYFUNCTION("""COMPUTED_VALUE"""),"")</f>
        <v/>
      </c>
      <c r="O1253" t="str">
        <f ca="1">IFERROR(__xludf.DUMMYFUNCTION("""COMPUTED_VALUE"""),"")</f>
        <v/>
      </c>
      <c r="P1253" t="str">
        <f ca="1">IFERROR(__xludf.DUMMYFUNCTION("""COMPUTED_VALUE"""),"")</f>
        <v/>
      </c>
      <c r="Q1253" s="5" t="str">
        <f ca="1">IFERROR(__xludf.DUMMYFUNCTION("""COMPUTED_VALUE"""),"")</f>
        <v/>
      </c>
      <c r="R1253" s="6" t="str">
        <f ca="1">IFERROR(__xludf.DUMMYFUNCTION("""COMPUTED_VALUE"""),"")</f>
        <v/>
      </c>
      <c r="S1253" t="str">
        <f ca="1">IFERROR(__xludf.DUMMYFUNCTION("""COMPUTED_VALUE"""),"")</f>
        <v/>
      </c>
      <c r="T1253" t="str">
        <f ca="1">IFERROR(__xludf.DUMMYFUNCTION("""COMPUTED_VALUE"""),"")</f>
        <v/>
      </c>
      <c r="U1253" t="str">
        <f ca="1">IFERROR(__xludf.DUMMYFUNCTION("""COMPUTED_VALUE"""),"")</f>
        <v/>
      </c>
      <c r="V1253" t="str">
        <f ca="1">IFERROR(__xludf.DUMMYFUNCTION("""COMPUTED_VALUE"""),"")</f>
        <v/>
      </c>
      <c r="W1253" t="str">
        <f ca="1">IFERROR(__xludf.DUMMYFUNCTION("""COMPUTED_VALUE"""),"")</f>
        <v/>
      </c>
      <c r="X1253" t="str">
        <f ca="1">IFERROR(__xludf.DUMMYFUNCTION("""COMPUTED_VALUE"""),"")</f>
        <v/>
      </c>
      <c r="Y1253" t="str">
        <f ca="1">IFERROR(__xludf.DUMMYFUNCTION("""COMPUTED_VALUE"""),"")</f>
        <v/>
      </c>
      <c r="Z1253" t="str">
        <f ca="1">IFERROR(__xludf.DUMMYFUNCTION("""COMPUTED_VALUE"""),"")</f>
        <v/>
      </c>
      <c r="AA1253" t="str">
        <f ca="1">IFERROR(__xludf.DUMMYFUNCTION("""COMPUTED_VALUE"""),"")</f>
        <v/>
      </c>
      <c r="AB1253" s="8" t="str">
        <f ca="1">IFERROR(__xludf.DUMMYFUNCTION("""COMPUTED_VALUE"""),"")</f>
        <v/>
      </c>
      <c r="AC1253" s="8" t="str">
        <f ca="1">IFERROR(__xludf.DUMMYFUNCTION("""COMPUTED_VALUE"""),"")</f>
        <v/>
      </c>
      <c r="AD1253" s="11" t="str">
        <f ca="1">IFERROR(__xludf.DUMMYFUNCTION("""COMPUTED_VALUE"""),"")</f>
        <v/>
      </c>
      <c r="AE1253" t="str">
        <f ca="1">IFERROR(__xludf.DUMMYFUNCTION("""COMPUTED_VALUE"""),"")</f>
        <v/>
      </c>
    </row>
    <row r="1254" spans="1:31" ht="12.75" x14ac:dyDescent="0.2">
      <c r="A1254" t="str">
        <f ca="1">IFERROR(__xludf.DUMMYFUNCTION("""COMPUTED_VALUE"""),"")</f>
        <v/>
      </c>
      <c r="B1254" t="str">
        <f ca="1">IFERROR(__xludf.DUMMYFUNCTION("""COMPUTED_VALUE"""),"")</f>
        <v/>
      </c>
      <c r="C1254" t="str">
        <f ca="1">IFERROR(__xludf.DUMMYFUNCTION("""COMPUTED_VALUE"""),"")</f>
        <v/>
      </c>
      <c r="D1254" t="str">
        <f ca="1">IFERROR(__xludf.DUMMYFUNCTION("""COMPUTED_VALUE"""),"")</f>
        <v/>
      </c>
      <c r="E1254" t="str">
        <f ca="1">IFERROR(__xludf.DUMMYFUNCTION("""COMPUTED_VALUE"""),"")</f>
        <v/>
      </c>
      <c r="F1254" t="str">
        <f ca="1">IFERROR(__xludf.DUMMYFUNCTION("""COMPUTED_VALUE"""),"")</f>
        <v/>
      </c>
      <c r="G1254" t="str">
        <f ca="1">IFERROR(__xludf.DUMMYFUNCTION("""COMPUTED_VALUE"""),"")</f>
        <v/>
      </c>
      <c r="H1254" t="str">
        <f ca="1">IFERROR(__xludf.DUMMYFUNCTION("""COMPUTED_VALUE"""),"")</f>
        <v/>
      </c>
      <c r="I1254" t="str">
        <f ca="1">IFERROR(__xludf.DUMMYFUNCTION("""COMPUTED_VALUE"""),"")</f>
        <v/>
      </c>
      <c r="J1254" t="str">
        <f ca="1">IFERROR(__xludf.DUMMYFUNCTION("""COMPUTED_VALUE"""),"")</f>
        <v/>
      </c>
      <c r="K1254" t="str">
        <f ca="1">IFERROR(__xludf.DUMMYFUNCTION("""COMPUTED_VALUE"""),"")</f>
        <v/>
      </c>
      <c r="L1254" t="str">
        <f ca="1">IFERROR(__xludf.DUMMYFUNCTION("""COMPUTED_VALUE"""),"")</f>
        <v/>
      </c>
      <c r="M1254" t="str">
        <f ca="1">IFERROR(__xludf.DUMMYFUNCTION("""COMPUTED_VALUE"""),"")</f>
        <v/>
      </c>
      <c r="N1254" t="str">
        <f ca="1">IFERROR(__xludf.DUMMYFUNCTION("""COMPUTED_VALUE"""),"")</f>
        <v/>
      </c>
      <c r="O1254" t="str">
        <f ca="1">IFERROR(__xludf.DUMMYFUNCTION("""COMPUTED_VALUE"""),"")</f>
        <v/>
      </c>
      <c r="P1254" t="str">
        <f ca="1">IFERROR(__xludf.DUMMYFUNCTION("""COMPUTED_VALUE"""),"")</f>
        <v/>
      </c>
      <c r="Q1254" s="5" t="str">
        <f ca="1">IFERROR(__xludf.DUMMYFUNCTION("""COMPUTED_VALUE"""),"")</f>
        <v/>
      </c>
      <c r="R1254" s="6" t="str">
        <f ca="1">IFERROR(__xludf.DUMMYFUNCTION("""COMPUTED_VALUE"""),"")</f>
        <v/>
      </c>
      <c r="S1254" t="str">
        <f ca="1">IFERROR(__xludf.DUMMYFUNCTION("""COMPUTED_VALUE"""),"")</f>
        <v/>
      </c>
      <c r="T1254" t="str">
        <f ca="1">IFERROR(__xludf.DUMMYFUNCTION("""COMPUTED_VALUE"""),"")</f>
        <v/>
      </c>
      <c r="U1254" t="str">
        <f ca="1">IFERROR(__xludf.DUMMYFUNCTION("""COMPUTED_VALUE"""),"")</f>
        <v/>
      </c>
      <c r="V1254" t="str">
        <f ca="1">IFERROR(__xludf.DUMMYFUNCTION("""COMPUTED_VALUE"""),"")</f>
        <v/>
      </c>
      <c r="W1254" t="str">
        <f ca="1">IFERROR(__xludf.DUMMYFUNCTION("""COMPUTED_VALUE"""),"")</f>
        <v/>
      </c>
      <c r="X1254" t="str">
        <f ca="1">IFERROR(__xludf.DUMMYFUNCTION("""COMPUTED_VALUE"""),"")</f>
        <v/>
      </c>
      <c r="Y1254" t="str">
        <f ca="1">IFERROR(__xludf.DUMMYFUNCTION("""COMPUTED_VALUE"""),"")</f>
        <v/>
      </c>
      <c r="Z1254" t="str">
        <f ca="1">IFERROR(__xludf.DUMMYFUNCTION("""COMPUTED_VALUE"""),"")</f>
        <v/>
      </c>
      <c r="AA1254" t="str">
        <f ca="1">IFERROR(__xludf.DUMMYFUNCTION("""COMPUTED_VALUE"""),"")</f>
        <v/>
      </c>
      <c r="AB1254" s="8" t="str">
        <f ca="1">IFERROR(__xludf.DUMMYFUNCTION("""COMPUTED_VALUE"""),"")</f>
        <v/>
      </c>
      <c r="AC1254" s="8" t="str">
        <f ca="1">IFERROR(__xludf.DUMMYFUNCTION("""COMPUTED_VALUE"""),"")</f>
        <v/>
      </c>
      <c r="AD1254" s="11" t="str">
        <f ca="1">IFERROR(__xludf.DUMMYFUNCTION("""COMPUTED_VALUE"""),"")</f>
        <v/>
      </c>
      <c r="AE1254" t="str">
        <f ca="1">IFERROR(__xludf.DUMMYFUNCTION("""COMPUTED_VALUE"""),"")</f>
        <v/>
      </c>
    </row>
    <row r="1255" spans="1:31" ht="12.75" x14ac:dyDescent="0.2">
      <c r="A1255" t="str">
        <f ca="1">IFERROR(__xludf.DUMMYFUNCTION("""COMPUTED_VALUE"""),"")</f>
        <v/>
      </c>
      <c r="B1255" t="str">
        <f ca="1">IFERROR(__xludf.DUMMYFUNCTION("""COMPUTED_VALUE"""),"")</f>
        <v/>
      </c>
      <c r="C1255" t="str">
        <f ca="1">IFERROR(__xludf.DUMMYFUNCTION("""COMPUTED_VALUE"""),"")</f>
        <v/>
      </c>
      <c r="D1255" t="str">
        <f ca="1">IFERROR(__xludf.DUMMYFUNCTION("""COMPUTED_VALUE"""),"")</f>
        <v/>
      </c>
      <c r="E1255" t="str">
        <f ca="1">IFERROR(__xludf.DUMMYFUNCTION("""COMPUTED_VALUE"""),"")</f>
        <v/>
      </c>
      <c r="F1255" t="str">
        <f ca="1">IFERROR(__xludf.DUMMYFUNCTION("""COMPUTED_VALUE"""),"")</f>
        <v/>
      </c>
      <c r="G1255" t="str">
        <f ca="1">IFERROR(__xludf.DUMMYFUNCTION("""COMPUTED_VALUE"""),"")</f>
        <v/>
      </c>
      <c r="H1255" t="str">
        <f ca="1">IFERROR(__xludf.DUMMYFUNCTION("""COMPUTED_VALUE"""),"")</f>
        <v/>
      </c>
      <c r="I1255" t="str">
        <f ca="1">IFERROR(__xludf.DUMMYFUNCTION("""COMPUTED_VALUE"""),"")</f>
        <v/>
      </c>
      <c r="J1255" t="str">
        <f ca="1">IFERROR(__xludf.DUMMYFUNCTION("""COMPUTED_VALUE"""),"")</f>
        <v/>
      </c>
      <c r="K1255" t="str">
        <f ca="1">IFERROR(__xludf.DUMMYFUNCTION("""COMPUTED_VALUE"""),"")</f>
        <v/>
      </c>
      <c r="L1255" t="str">
        <f ca="1">IFERROR(__xludf.DUMMYFUNCTION("""COMPUTED_VALUE"""),"")</f>
        <v/>
      </c>
      <c r="M1255" t="str">
        <f ca="1">IFERROR(__xludf.DUMMYFUNCTION("""COMPUTED_VALUE"""),"")</f>
        <v/>
      </c>
      <c r="N1255" t="str">
        <f ca="1">IFERROR(__xludf.DUMMYFUNCTION("""COMPUTED_VALUE"""),"")</f>
        <v/>
      </c>
      <c r="O1255" t="str">
        <f ca="1">IFERROR(__xludf.DUMMYFUNCTION("""COMPUTED_VALUE"""),"")</f>
        <v/>
      </c>
      <c r="P1255" t="str">
        <f ca="1">IFERROR(__xludf.DUMMYFUNCTION("""COMPUTED_VALUE"""),"")</f>
        <v/>
      </c>
      <c r="Q1255" s="5" t="str">
        <f ca="1">IFERROR(__xludf.DUMMYFUNCTION("""COMPUTED_VALUE"""),"")</f>
        <v/>
      </c>
      <c r="R1255" s="6" t="str">
        <f ca="1">IFERROR(__xludf.DUMMYFUNCTION("""COMPUTED_VALUE"""),"")</f>
        <v/>
      </c>
      <c r="S1255" t="str">
        <f ca="1">IFERROR(__xludf.DUMMYFUNCTION("""COMPUTED_VALUE"""),"")</f>
        <v/>
      </c>
      <c r="T1255" t="str">
        <f ca="1">IFERROR(__xludf.DUMMYFUNCTION("""COMPUTED_VALUE"""),"")</f>
        <v/>
      </c>
      <c r="U1255" t="str">
        <f ca="1">IFERROR(__xludf.DUMMYFUNCTION("""COMPUTED_VALUE"""),"")</f>
        <v/>
      </c>
      <c r="V1255" t="str">
        <f ca="1">IFERROR(__xludf.DUMMYFUNCTION("""COMPUTED_VALUE"""),"")</f>
        <v/>
      </c>
      <c r="W1255" t="str">
        <f ca="1">IFERROR(__xludf.DUMMYFUNCTION("""COMPUTED_VALUE"""),"")</f>
        <v/>
      </c>
      <c r="X1255" t="str">
        <f ca="1">IFERROR(__xludf.DUMMYFUNCTION("""COMPUTED_VALUE"""),"")</f>
        <v/>
      </c>
      <c r="Y1255" t="str">
        <f ca="1">IFERROR(__xludf.DUMMYFUNCTION("""COMPUTED_VALUE"""),"")</f>
        <v/>
      </c>
      <c r="Z1255" t="str">
        <f ca="1">IFERROR(__xludf.DUMMYFUNCTION("""COMPUTED_VALUE"""),"")</f>
        <v/>
      </c>
      <c r="AA1255" t="str">
        <f ca="1">IFERROR(__xludf.DUMMYFUNCTION("""COMPUTED_VALUE"""),"")</f>
        <v/>
      </c>
      <c r="AB1255" s="8" t="str">
        <f ca="1">IFERROR(__xludf.DUMMYFUNCTION("""COMPUTED_VALUE"""),"")</f>
        <v/>
      </c>
      <c r="AC1255" s="8" t="str">
        <f ca="1">IFERROR(__xludf.DUMMYFUNCTION("""COMPUTED_VALUE"""),"")</f>
        <v/>
      </c>
      <c r="AD1255" s="11" t="str">
        <f ca="1">IFERROR(__xludf.DUMMYFUNCTION("""COMPUTED_VALUE"""),"")</f>
        <v/>
      </c>
      <c r="AE1255" t="str">
        <f ca="1">IFERROR(__xludf.DUMMYFUNCTION("""COMPUTED_VALUE"""),"")</f>
        <v/>
      </c>
    </row>
    <row r="1256" spans="1:31" ht="12.75" x14ac:dyDescent="0.2">
      <c r="A1256" t="str">
        <f ca="1">IFERROR(__xludf.DUMMYFUNCTION("""COMPUTED_VALUE"""),"")</f>
        <v/>
      </c>
      <c r="B1256" t="str">
        <f ca="1">IFERROR(__xludf.DUMMYFUNCTION("""COMPUTED_VALUE"""),"")</f>
        <v/>
      </c>
      <c r="C1256" t="str">
        <f ca="1">IFERROR(__xludf.DUMMYFUNCTION("""COMPUTED_VALUE"""),"")</f>
        <v/>
      </c>
      <c r="D1256" t="str">
        <f ca="1">IFERROR(__xludf.DUMMYFUNCTION("""COMPUTED_VALUE"""),"")</f>
        <v/>
      </c>
      <c r="E1256" t="str">
        <f ca="1">IFERROR(__xludf.DUMMYFUNCTION("""COMPUTED_VALUE"""),"")</f>
        <v/>
      </c>
      <c r="F1256" t="str">
        <f ca="1">IFERROR(__xludf.DUMMYFUNCTION("""COMPUTED_VALUE"""),"")</f>
        <v/>
      </c>
      <c r="G1256" t="str">
        <f ca="1">IFERROR(__xludf.DUMMYFUNCTION("""COMPUTED_VALUE"""),"")</f>
        <v/>
      </c>
      <c r="H1256" t="str">
        <f ca="1">IFERROR(__xludf.DUMMYFUNCTION("""COMPUTED_VALUE"""),"")</f>
        <v/>
      </c>
      <c r="I1256" t="str">
        <f ca="1">IFERROR(__xludf.DUMMYFUNCTION("""COMPUTED_VALUE"""),"")</f>
        <v/>
      </c>
      <c r="J1256" t="str">
        <f ca="1">IFERROR(__xludf.DUMMYFUNCTION("""COMPUTED_VALUE"""),"")</f>
        <v/>
      </c>
      <c r="K1256" t="str">
        <f ca="1">IFERROR(__xludf.DUMMYFUNCTION("""COMPUTED_VALUE"""),"")</f>
        <v/>
      </c>
      <c r="L1256" t="str">
        <f ca="1">IFERROR(__xludf.DUMMYFUNCTION("""COMPUTED_VALUE"""),"")</f>
        <v/>
      </c>
      <c r="M1256" t="str">
        <f ca="1">IFERROR(__xludf.DUMMYFUNCTION("""COMPUTED_VALUE"""),"")</f>
        <v/>
      </c>
      <c r="N1256" t="str">
        <f ca="1">IFERROR(__xludf.DUMMYFUNCTION("""COMPUTED_VALUE"""),"")</f>
        <v/>
      </c>
      <c r="O1256" t="str">
        <f ca="1">IFERROR(__xludf.DUMMYFUNCTION("""COMPUTED_VALUE"""),"")</f>
        <v/>
      </c>
      <c r="P1256" t="str">
        <f ca="1">IFERROR(__xludf.DUMMYFUNCTION("""COMPUTED_VALUE"""),"")</f>
        <v/>
      </c>
      <c r="Q1256" s="5" t="str">
        <f ca="1">IFERROR(__xludf.DUMMYFUNCTION("""COMPUTED_VALUE"""),"")</f>
        <v/>
      </c>
      <c r="R1256" s="6" t="str">
        <f ca="1">IFERROR(__xludf.DUMMYFUNCTION("""COMPUTED_VALUE"""),"")</f>
        <v/>
      </c>
      <c r="S1256" t="str">
        <f ca="1">IFERROR(__xludf.DUMMYFUNCTION("""COMPUTED_VALUE"""),"")</f>
        <v/>
      </c>
      <c r="T1256" t="str">
        <f ca="1">IFERROR(__xludf.DUMMYFUNCTION("""COMPUTED_VALUE"""),"")</f>
        <v/>
      </c>
      <c r="U1256" t="str">
        <f ca="1">IFERROR(__xludf.DUMMYFUNCTION("""COMPUTED_VALUE"""),"")</f>
        <v/>
      </c>
      <c r="V1256" t="str">
        <f ca="1">IFERROR(__xludf.DUMMYFUNCTION("""COMPUTED_VALUE"""),"")</f>
        <v/>
      </c>
      <c r="W1256" t="str">
        <f ca="1">IFERROR(__xludf.DUMMYFUNCTION("""COMPUTED_VALUE"""),"")</f>
        <v/>
      </c>
      <c r="X1256" t="str">
        <f ca="1">IFERROR(__xludf.DUMMYFUNCTION("""COMPUTED_VALUE"""),"")</f>
        <v/>
      </c>
      <c r="Y1256" t="str">
        <f ca="1">IFERROR(__xludf.DUMMYFUNCTION("""COMPUTED_VALUE"""),"")</f>
        <v/>
      </c>
      <c r="Z1256" t="str">
        <f ca="1">IFERROR(__xludf.DUMMYFUNCTION("""COMPUTED_VALUE"""),"")</f>
        <v/>
      </c>
      <c r="AA1256" t="str">
        <f ca="1">IFERROR(__xludf.DUMMYFUNCTION("""COMPUTED_VALUE"""),"")</f>
        <v/>
      </c>
      <c r="AB1256" s="8" t="str">
        <f ca="1">IFERROR(__xludf.DUMMYFUNCTION("""COMPUTED_VALUE"""),"")</f>
        <v/>
      </c>
      <c r="AC1256" s="8" t="str">
        <f ca="1">IFERROR(__xludf.DUMMYFUNCTION("""COMPUTED_VALUE"""),"")</f>
        <v/>
      </c>
      <c r="AD1256" s="11" t="str">
        <f ca="1">IFERROR(__xludf.DUMMYFUNCTION("""COMPUTED_VALUE"""),"")</f>
        <v/>
      </c>
      <c r="AE1256" t="str">
        <f ca="1">IFERROR(__xludf.DUMMYFUNCTION("""COMPUTED_VALUE"""),"")</f>
        <v/>
      </c>
    </row>
    <row r="1257" spans="1:31" ht="12.75" x14ac:dyDescent="0.2">
      <c r="A1257" t="str">
        <f ca="1">IFERROR(__xludf.DUMMYFUNCTION("""COMPUTED_VALUE"""),"")</f>
        <v/>
      </c>
      <c r="B1257" t="str">
        <f ca="1">IFERROR(__xludf.DUMMYFUNCTION("""COMPUTED_VALUE"""),"")</f>
        <v/>
      </c>
      <c r="C1257" t="str">
        <f ca="1">IFERROR(__xludf.DUMMYFUNCTION("""COMPUTED_VALUE"""),"")</f>
        <v/>
      </c>
      <c r="D1257" t="str">
        <f ca="1">IFERROR(__xludf.DUMMYFUNCTION("""COMPUTED_VALUE"""),"")</f>
        <v/>
      </c>
      <c r="E1257" t="str">
        <f ca="1">IFERROR(__xludf.DUMMYFUNCTION("""COMPUTED_VALUE"""),"")</f>
        <v/>
      </c>
      <c r="F1257" t="str">
        <f ca="1">IFERROR(__xludf.DUMMYFUNCTION("""COMPUTED_VALUE"""),"")</f>
        <v/>
      </c>
      <c r="G1257" t="str">
        <f ca="1">IFERROR(__xludf.DUMMYFUNCTION("""COMPUTED_VALUE"""),"")</f>
        <v/>
      </c>
      <c r="H1257" t="str">
        <f ca="1">IFERROR(__xludf.DUMMYFUNCTION("""COMPUTED_VALUE"""),"")</f>
        <v/>
      </c>
      <c r="I1257" t="str">
        <f ca="1">IFERROR(__xludf.DUMMYFUNCTION("""COMPUTED_VALUE"""),"")</f>
        <v/>
      </c>
      <c r="J1257" t="str">
        <f ca="1">IFERROR(__xludf.DUMMYFUNCTION("""COMPUTED_VALUE"""),"")</f>
        <v/>
      </c>
      <c r="K1257" t="str">
        <f ca="1">IFERROR(__xludf.DUMMYFUNCTION("""COMPUTED_VALUE"""),"")</f>
        <v/>
      </c>
      <c r="L1257" t="str">
        <f ca="1">IFERROR(__xludf.DUMMYFUNCTION("""COMPUTED_VALUE"""),"")</f>
        <v/>
      </c>
      <c r="M1257" t="str">
        <f ca="1">IFERROR(__xludf.DUMMYFUNCTION("""COMPUTED_VALUE"""),"")</f>
        <v/>
      </c>
      <c r="N1257" t="str">
        <f ca="1">IFERROR(__xludf.DUMMYFUNCTION("""COMPUTED_VALUE"""),"")</f>
        <v/>
      </c>
      <c r="O1257" t="str">
        <f ca="1">IFERROR(__xludf.DUMMYFUNCTION("""COMPUTED_VALUE"""),"")</f>
        <v/>
      </c>
      <c r="P1257" t="str">
        <f ca="1">IFERROR(__xludf.DUMMYFUNCTION("""COMPUTED_VALUE"""),"")</f>
        <v/>
      </c>
      <c r="Q1257" s="5" t="str">
        <f ca="1">IFERROR(__xludf.DUMMYFUNCTION("""COMPUTED_VALUE"""),"")</f>
        <v/>
      </c>
      <c r="R1257" s="6" t="str">
        <f ca="1">IFERROR(__xludf.DUMMYFUNCTION("""COMPUTED_VALUE"""),"")</f>
        <v/>
      </c>
      <c r="S1257" t="str">
        <f ca="1">IFERROR(__xludf.DUMMYFUNCTION("""COMPUTED_VALUE"""),"")</f>
        <v/>
      </c>
      <c r="T1257" t="str">
        <f ca="1">IFERROR(__xludf.DUMMYFUNCTION("""COMPUTED_VALUE"""),"")</f>
        <v/>
      </c>
      <c r="U1257" t="str">
        <f ca="1">IFERROR(__xludf.DUMMYFUNCTION("""COMPUTED_VALUE"""),"")</f>
        <v/>
      </c>
      <c r="V1257" t="str">
        <f ca="1">IFERROR(__xludf.DUMMYFUNCTION("""COMPUTED_VALUE"""),"")</f>
        <v/>
      </c>
      <c r="W1257" t="str">
        <f ca="1">IFERROR(__xludf.DUMMYFUNCTION("""COMPUTED_VALUE"""),"")</f>
        <v/>
      </c>
      <c r="X1257" t="str">
        <f ca="1">IFERROR(__xludf.DUMMYFUNCTION("""COMPUTED_VALUE"""),"")</f>
        <v/>
      </c>
      <c r="Y1257" t="str">
        <f ca="1">IFERROR(__xludf.DUMMYFUNCTION("""COMPUTED_VALUE"""),"")</f>
        <v/>
      </c>
      <c r="Z1257" t="str">
        <f ca="1">IFERROR(__xludf.DUMMYFUNCTION("""COMPUTED_VALUE"""),"")</f>
        <v/>
      </c>
      <c r="AA1257" t="str">
        <f ca="1">IFERROR(__xludf.DUMMYFUNCTION("""COMPUTED_VALUE"""),"")</f>
        <v/>
      </c>
      <c r="AB1257" s="8" t="str">
        <f ca="1">IFERROR(__xludf.DUMMYFUNCTION("""COMPUTED_VALUE"""),"")</f>
        <v/>
      </c>
      <c r="AC1257" s="8" t="str">
        <f ca="1">IFERROR(__xludf.DUMMYFUNCTION("""COMPUTED_VALUE"""),"")</f>
        <v/>
      </c>
      <c r="AD1257" s="11" t="str">
        <f ca="1">IFERROR(__xludf.DUMMYFUNCTION("""COMPUTED_VALUE"""),"")</f>
        <v/>
      </c>
      <c r="AE1257" t="str">
        <f ca="1">IFERROR(__xludf.DUMMYFUNCTION("""COMPUTED_VALUE"""),"")</f>
        <v/>
      </c>
    </row>
    <row r="1258" spans="1:31" ht="12.75" x14ac:dyDescent="0.2">
      <c r="A1258" t="str">
        <f ca="1">IFERROR(__xludf.DUMMYFUNCTION("""COMPUTED_VALUE"""),"")</f>
        <v/>
      </c>
      <c r="B1258" t="str">
        <f ca="1">IFERROR(__xludf.DUMMYFUNCTION("""COMPUTED_VALUE"""),"")</f>
        <v/>
      </c>
      <c r="C1258" t="str">
        <f ca="1">IFERROR(__xludf.DUMMYFUNCTION("""COMPUTED_VALUE"""),"")</f>
        <v/>
      </c>
      <c r="D1258" t="str">
        <f ca="1">IFERROR(__xludf.DUMMYFUNCTION("""COMPUTED_VALUE"""),"")</f>
        <v/>
      </c>
      <c r="E1258" t="str">
        <f ca="1">IFERROR(__xludf.DUMMYFUNCTION("""COMPUTED_VALUE"""),"")</f>
        <v/>
      </c>
      <c r="F1258" t="str">
        <f ca="1">IFERROR(__xludf.DUMMYFUNCTION("""COMPUTED_VALUE"""),"")</f>
        <v/>
      </c>
      <c r="G1258" t="str">
        <f ca="1">IFERROR(__xludf.DUMMYFUNCTION("""COMPUTED_VALUE"""),"")</f>
        <v/>
      </c>
      <c r="H1258" t="str">
        <f ca="1">IFERROR(__xludf.DUMMYFUNCTION("""COMPUTED_VALUE"""),"")</f>
        <v/>
      </c>
      <c r="I1258" t="str">
        <f ca="1">IFERROR(__xludf.DUMMYFUNCTION("""COMPUTED_VALUE"""),"")</f>
        <v/>
      </c>
      <c r="J1258" t="str">
        <f ca="1">IFERROR(__xludf.DUMMYFUNCTION("""COMPUTED_VALUE"""),"")</f>
        <v/>
      </c>
      <c r="K1258" t="str">
        <f ca="1">IFERROR(__xludf.DUMMYFUNCTION("""COMPUTED_VALUE"""),"")</f>
        <v/>
      </c>
      <c r="L1258" t="str">
        <f ca="1">IFERROR(__xludf.DUMMYFUNCTION("""COMPUTED_VALUE"""),"")</f>
        <v/>
      </c>
      <c r="M1258" t="str">
        <f ca="1">IFERROR(__xludf.DUMMYFUNCTION("""COMPUTED_VALUE"""),"")</f>
        <v/>
      </c>
      <c r="N1258" t="str">
        <f ca="1">IFERROR(__xludf.DUMMYFUNCTION("""COMPUTED_VALUE"""),"")</f>
        <v/>
      </c>
      <c r="O1258" t="str">
        <f ca="1">IFERROR(__xludf.DUMMYFUNCTION("""COMPUTED_VALUE"""),"")</f>
        <v/>
      </c>
      <c r="P1258" t="str">
        <f ca="1">IFERROR(__xludf.DUMMYFUNCTION("""COMPUTED_VALUE"""),"")</f>
        <v/>
      </c>
      <c r="Q1258" s="5" t="str">
        <f ca="1">IFERROR(__xludf.DUMMYFUNCTION("""COMPUTED_VALUE"""),"")</f>
        <v/>
      </c>
      <c r="R1258" s="6" t="str">
        <f ca="1">IFERROR(__xludf.DUMMYFUNCTION("""COMPUTED_VALUE"""),"")</f>
        <v/>
      </c>
      <c r="S1258" t="str">
        <f ca="1">IFERROR(__xludf.DUMMYFUNCTION("""COMPUTED_VALUE"""),"")</f>
        <v/>
      </c>
      <c r="T1258" t="str">
        <f ca="1">IFERROR(__xludf.DUMMYFUNCTION("""COMPUTED_VALUE"""),"")</f>
        <v/>
      </c>
      <c r="U1258" t="str">
        <f ca="1">IFERROR(__xludf.DUMMYFUNCTION("""COMPUTED_VALUE"""),"")</f>
        <v/>
      </c>
      <c r="V1258" t="str">
        <f ca="1">IFERROR(__xludf.DUMMYFUNCTION("""COMPUTED_VALUE"""),"")</f>
        <v/>
      </c>
      <c r="W1258" t="str">
        <f ca="1">IFERROR(__xludf.DUMMYFUNCTION("""COMPUTED_VALUE"""),"")</f>
        <v/>
      </c>
      <c r="X1258" t="str">
        <f ca="1">IFERROR(__xludf.DUMMYFUNCTION("""COMPUTED_VALUE"""),"")</f>
        <v/>
      </c>
      <c r="Y1258" t="str">
        <f ca="1">IFERROR(__xludf.DUMMYFUNCTION("""COMPUTED_VALUE"""),"")</f>
        <v/>
      </c>
      <c r="Z1258" t="str">
        <f ca="1">IFERROR(__xludf.DUMMYFUNCTION("""COMPUTED_VALUE"""),"")</f>
        <v/>
      </c>
      <c r="AA1258" t="str">
        <f ca="1">IFERROR(__xludf.DUMMYFUNCTION("""COMPUTED_VALUE"""),"")</f>
        <v/>
      </c>
      <c r="AB1258" s="8" t="str">
        <f ca="1">IFERROR(__xludf.DUMMYFUNCTION("""COMPUTED_VALUE"""),"")</f>
        <v/>
      </c>
      <c r="AC1258" s="8" t="str">
        <f ca="1">IFERROR(__xludf.DUMMYFUNCTION("""COMPUTED_VALUE"""),"")</f>
        <v/>
      </c>
      <c r="AD1258" s="11" t="str">
        <f ca="1">IFERROR(__xludf.DUMMYFUNCTION("""COMPUTED_VALUE"""),"")</f>
        <v/>
      </c>
      <c r="AE1258" t="str">
        <f ca="1">IFERROR(__xludf.DUMMYFUNCTION("""COMPUTED_VALUE"""),"")</f>
        <v/>
      </c>
    </row>
    <row r="1259" spans="1:31" ht="12.75" x14ac:dyDescent="0.2">
      <c r="A1259" t="str">
        <f ca="1">IFERROR(__xludf.DUMMYFUNCTION("""COMPUTED_VALUE"""),"")</f>
        <v/>
      </c>
      <c r="B1259" t="str">
        <f ca="1">IFERROR(__xludf.DUMMYFUNCTION("""COMPUTED_VALUE"""),"")</f>
        <v/>
      </c>
      <c r="C1259" t="str">
        <f ca="1">IFERROR(__xludf.DUMMYFUNCTION("""COMPUTED_VALUE"""),"")</f>
        <v/>
      </c>
      <c r="D1259" t="str">
        <f ca="1">IFERROR(__xludf.DUMMYFUNCTION("""COMPUTED_VALUE"""),"")</f>
        <v/>
      </c>
      <c r="E1259" t="str">
        <f ca="1">IFERROR(__xludf.DUMMYFUNCTION("""COMPUTED_VALUE"""),"")</f>
        <v/>
      </c>
      <c r="F1259" t="str">
        <f ca="1">IFERROR(__xludf.DUMMYFUNCTION("""COMPUTED_VALUE"""),"")</f>
        <v/>
      </c>
      <c r="G1259" t="str">
        <f ca="1">IFERROR(__xludf.DUMMYFUNCTION("""COMPUTED_VALUE"""),"")</f>
        <v/>
      </c>
      <c r="H1259" t="str">
        <f ca="1">IFERROR(__xludf.DUMMYFUNCTION("""COMPUTED_VALUE"""),"")</f>
        <v/>
      </c>
      <c r="I1259" t="str">
        <f ca="1">IFERROR(__xludf.DUMMYFUNCTION("""COMPUTED_VALUE"""),"")</f>
        <v/>
      </c>
      <c r="J1259" t="str">
        <f ca="1">IFERROR(__xludf.DUMMYFUNCTION("""COMPUTED_VALUE"""),"")</f>
        <v/>
      </c>
      <c r="K1259" t="str">
        <f ca="1">IFERROR(__xludf.DUMMYFUNCTION("""COMPUTED_VALUE"""),"")</f>
        <v/>
      </c>
      <c r="L1259" t="str">
        <f ca="1">IFERROR(__xludf.DUMMYFUNCTION("""COMPUTED_VALUE"""),"")</f>
        <v/>
      </c>
      <c r="M1259" t="str">
        <f ca="1">IFERROR(__xludf.DUMMYFUNCTION("""COMPUTED_VALUE"""),"")</f>
        <v/>
      </c>
      <c r="N1259" t="str">
        <f ca="1">IFERROR(__xludf.DUMMYFUNCTION("""COMPUTED_VALUE"""),"")</f>
        <v/>
      </c>
      <c r="O1259" t="str">
        <f ca="1">IFERROR(__xludf.DUMMYFUNCTION("""COMPUTED_VALUE"""),"")</f>
        <v/>
      </c>
      <c r="P1259" t="str">
        <f ca="1">IFERROR(__xludf.DUMMYFUNCTION("""COMPUTED_VALUE"""),"")</f>
        <v/>
      </c>
      <c r="Q1259" s="5" t="str">
        <f ca="1">IFERROR(__xludf.DUMMYFUNCTION("""COMPUTED_VALUE"""),"")</f>
        <v/>
      </c>
      <c r="R1259" s="6" t="str">
        <f ca="1">IFERROR(__xludf.DUMMYFUNCTION("""COMPUTED_VALUE"""),"")</f>
        <v/>
      </c>
      <c r="S1259" t="str">
        <f ca="1">IFERROR(__xludf.DUMMYFUNCTION("""COMPUTED_VALUE"""),"")</f>
        <v/>
      </c>
      <c r="T1259" t="str">
        <f ca="1">IFERROR(__xludf.DUMMYFUNCTION("""COMPUTED_VALUE"""),"")</f>
        <v/>
      </c>
      <c r="U1259" t="str">
        <f ca="1">IFERROR(__xludf.DUMMYFUNCTION("""COMPUTED_VALUE"""),"")</f>
        <v/>
      </c>
      <c r="V1259" t="str">
        <f ca="1">IFERROR(__xludf.DUMMYFUNCTION("""COMPUTED_VALUE"""),"")</f>
        <v/>
      </c>
      <c r="W1259" t="str">
        <f ca="1">IFERROR(__xludf.DUMMYFUNCTION("""COMPUTED_VALUE"""),"")</f>
        <v/>
      </c>
      <c r="X1259" t="str">
        <f ca="1">IFERROR(__xludf.DUMMYFUNCTION("""COMPUTED_VALUE"""),"")</f>
        <v/>
      </c>
      <c r="Y1259" t="str">
        <f ca="1">IFERROR(__xludf.DUMMYFUNCTION("""COMPUTED_VALUE"""),"")</f>
        <v/>
      </c>
      <c r="Z1259" t="str">
        <f ca="1">IFERROR(__xludf.DUMMYFUNCTION("""COMPUTED_VALUE"""),"")</f>
        <v/>
      </c>
      <c r="AA1259" t="str">
        <f ca="1">IFERROR(__xludf.DUMMYFUNCTION("""COMPUTED_VALUE"""),"")</f>
        <v/>
      </c>
      <c r="AB1259" s="8" t="str">
        <f ca="1">IFERROR(__xludf.DUMMYFUNCTION("""COMPUTED_VALUE"""),"")</f>
        <v/>
      </c>
      <c r="AC1259" s="8" t="str">
        <f ca="1">IFERROR(__xludf.DUMMYFUNCTION("""COMPUTED_VALUE"""),"")</f>
        <v/>
      </c>
      <c r="AD1259" s="11" t="str">
        <f ca="1">IFERROR(__xludf.DUMMYFUNCTION("""COMPUTED_VALUE"""),"")</f>
        <v/>
      </c>
      <c r="AE1259" t="str">
        <f ca="1">IFERROR(__xludf.DUMMYFUNCTION("""COMPUTED_VALUE"""),"")</f>
        <v/>
      </c>
    </row>
    <row r="1260" spans="1:31" ht="12.75" x14ac:dyDescent="0.2">
      <c r="A1260" t="str">
        <f ca="1">IFERROR(__xludf.DUMMYFUNCTION("""COMPUTED_VALUE"""),"")</f>
        <v/>
      </c>
      <c r="B1260" t="str">
        <f ca="1">IFERROR(__xludf.DUMMYFUNCTION("""COMPUTED_VALUE"""),"")</f>
        <v/>
      </c>
      <c r="C1260" t="str">
        <f ca="1">IFERROR(__xludf.DUMMYFUNCTION("""COMPUTED_VALUE"""),"")</f>
        <v/>
      </c>
      <c r="D1260" t="str">
        <f ca="1">IFERROR(__xludf.DUMMYFUNCTION("""COMPUTED_VALUE"""),"")</f>
        <v/>
      </c>
      <c r="E1260" t="str">
        <f ca="1">IFERROR(__xludf.DUMMYFUNCTION("""COMPUTED_VALUE"""),"")</f>
        <v/>
      </c>
      <c r="F1260" t="str">
        <f ca="1">IFERROR(__xludf.DUMMYFUNCTION("""COMPUTED_VALUE"""),"")</f>
        <v/>
      </c>
      <c r="G1260" t="str">
        <f ca="1">IFERROR(__xludf.DUMMYFUNCTION("""COMPUTED_VALUE"""),"")</f>
        <v/>
      </c>
      <c r="H1260" t="str">
        <f ca="1">IFERROR(__xludf.DUMMYFUNCTION("""COMPUTED_VALUE"""),"")</f>
        <v/>
      </c>
      <c r="I1260" t="str">
        <f ca="1">IFERROR(__xludf.DUMMYFUNCTION("""COMPUTED_VALUE"""),"")</f>
        <v/>
      </c>
      <c r="J1260" t="str">
        <f ca="1">IFERROR(__xludf.DUMMYFUNCTION("""COMPUTED_VALUE"""),"")</f>
        <v/>
      </c>
      <c r="K1260" t="str">
        <f ca="1">IFERROR(__xludf.DUMMYFUNCTION("""COMPUTED_VALUE"""),"")</f>
        <v/>
      </c>
      <c r="L1260" t="str">
        <f ca="1">IFERROR(__xludf.DUMMYFUNCTION("""COMPUTED_VALUE"""),"")</f>
        <v/>
      </c>
      <c r="M1260" t="str">
        <f ca="1">IFERROR(__xludf.DUMMYFUNCTION("""COMPUTED_VALUE"""),"")</f>
        <v/>
      </c>
      <c r="N1260" t="str">
        <f ca="1">IFERROR(__xludf.DUMMYFUNCTION("""COMPUTED_VALUE"""),"")</f>
        <v/>
      </c>
      <c r="O1260" t="str">
        <f ca="1">IFERROR(__xludf.DUMMYFUNCTION("""COMPUTED_VALUE"""),"")</f>
        <v/>
      </c>
      <c r="P1260" t="str">
        <f ca="1">IFERROR(__xludf.DUMMYFUNCTION("""COMPUTED_VALUE"""),"")</f>
        <v/>
      </c>
      <c r="Q1260" s="5" t="str">
        <f ca="1">IFERROR(__xludf.DUMMYFUNCTION("""COMPUTED_VALUE"""),"")</f>
        <v/>
      </c>
      <c r="R1260" s="6" t="str">
        <f ca="1">IFERROR(__xludf.DUMMYFUNCTION("""COMPUTED_VALUE"""),"")</f>
        <v/>
      </c>
      <c r="S1260" t="str">
        <f ca="1">IFERROR(__xludf.DUMMYFUNCTION("""COMPUTED_VALUE"""),"")</f>
        <v/>
      </c>
      <c r="T1260" t="str">
        <f ca="1">IFERROR(__xludf.DUMMYFUNCTION("""COMPUTED_VALUE"""),"")</f>
        <v/>
      </c>
      <c r="U1260" t="str">
        <f ca="1">IFERROR(__xludf.DUMMYFUNCTION("""COMPUTED_VALUE"""),"")</f>
        <v/>
      </c>
      <c r="V1260" t="str">
        <f ca="1">IFERROR(__xludf.DUMMYFUNCTION("""COMPUTED_VALUE"""),"")</f>
        <v/>
      </c>
      <c r="W1260" t="str">
        <f ca="1">IFERROR(__xludf.DUMMYFUNCTION("""COMPUTED_VALUE"""),"")</f>
        <v/>
      </c>
      <c r="X1260" t="str">
        <f ca="1">IFERROR(__xludf.DUMMYFUNCTION("""COMPUTED_VALUE"""),"")</f>
        <v/>
      </c>
      <c r="Y1260" t="str">
        <f ca="1">IFERROR(__xludf.DUMMYFUNCTION("""COMPUTED_VALUE"""),"")</f>
        <v/>
      </c>
      <c r="Z1260" t="str">
        <f ca="1">IFERROR(__xludf.DUMMYFUNCTION("""COMPUTED_VALUE"""),"")</f>
        <v/>
      </c>
      <c r="AA1260" t="str">
        <f ca="1">IFERROR(__xludf.DUMMYFUNCTION("""COMPUTED_VALUE"""),"")</f>
        <v/>
      </c>
      <c r="AB1260" s="8" t="str">
        <f ca="1">IFERROR(__xludf.DUMMYFUNCTION("""COMPUTED_VALUE"""),"")</f>
        <v/>
      </c>
      <c r="AC1260" s="8" t="str">
        <f ca="1">IFERROR(__xludf.DUMMYFUNCTION("""COMPUTED_VALUE"""),"")</f>
        <v/>
      </c>
      <c r="AD1260" s="11" t="str">
        <f ca="1">IFERROR(__xludf.DUMMYFUNCTION("""COMPUTED_VALUE"""),"")</f>
        <v/>
      </c>
      <c r="AE1260" t="str">
        <f ca="1">IFERROR(__xludf.DUMMYFUNCTION("""COMPUTED_VALUE"""),"")</f>
        <v/>
      </c>
    </row>
    <row r="1261" spans="1:31" ht="12.75" x14ac:dyDescent="0.2">
      <c r="A1261" t="str">
        <f ca="1">IFERROR(__xludf.DUMMYFUNCTION("""COMPUTED_VALUE"""),"")</f>
        <v/>
      </c>
      <c r="B1261" t="str">
        <f ca="1">IFERROR(__xludf.DUMMYFUNCTION("""COMPUTED_VALUE"""),"")</f>
        <v/>
      </c>
      <c r="C1261" t="str">
        <f ca="1">IFERROR(__xludf.DUMMYFUNCTION("""COMPUTED_VALUE"""),"")</f>
        <v/>
      </c>
      <c r="D1261" t="str">
        <f ca="1">IFERROR(__xludf.DUMMYFUNCTION("""COMPUTED_VALUE"""),"")</f>
        <v/>
      </c>
      <c r="E1261" t="str">
        <f ca="1">IFERROR(__xludf.DUMMYFUNCTION("""COMPUTED_VALUE"""),"")</f>
        <v/>
      </c>
      <c r="F1261" t="str">
        <f ca="1">IFERROR(__xludf.DUMMYFUNCTION("""COMPUTED_VALUE"""),"")</f>
        <v/>
      </c>
      <c r="G1261" t="str">
        <f ca="1">IFERROR(__xludf.DUMMYFUNCTION("""COMPUTED_VALUE"""),"")</f>
        <v/>
      </c>
      <c r="H1261" t="str">
        <f ca="1">IFERROR(__xludf.DUMMYFUNCTION("""COMPUTED_VALUE"""),"")</f>
        <v/>
      </c>
      <c r="I1261" t="str">
        <f ca="1">IFERROR(__xludf.DUMMYFUNCTION("""COMPUTED_VALUE"""),"")</f>
        <v/>
      </c>
      <c r="J1261" t="str">
        <f ca="1">IFERROR(__xludf.DUMMYFUNCTION("""COMPUTED_VALUE"""),"")</f>
        <v/>
      </c>
      <c r="K1261" t="str">
        <f ca="1">IFERROR(__xludf.DUMMYFUNCTION("""COMPUTED_VALUE"""),"")</f>
        <v/>
      </c>
      <c r="L1261" t="str">
        <f ca="1">IFERROR(__xludf.DUMMYFUNCTION("""COMPUTED_VALUE"""),"")</f>
        <v/>
      </c>
      <c r="M1261" t="str">
        <f ca="1">IFERROR(__xludf.DUMMYFUNCTION("""COMPUTED_VALUE"""),"")</f>
        <v/>
      </c>
      <c r="N1261" t="str">
        <f ca="1">IFERROR(__xludf.DUMMYFUNCTION("""COMPUTED_VALUE"""),"")</f>
        <v/>
      </c>
      <c r="O1261" t="str">
        <f ca="1">IFERROR(__xludf.DUMMYFUNCTION("""COMPUTED_VALUE"""),"")</f>
        <v/>
      </c>
      <c r="P1261" t="str">
        <f ca="1">IFERROR(__xludf.DUMMYFUNCTION("""COMPUTED_VALUE"""),"")</f>
        <v/>
      </c>
      <c r="Q1261" s="5" t="str">
        <f ca="1">IFERROR(__xludf.DUMMYFUNCTION("""COMPUTED_VALUE"""),"")</f>
        <v/>
      </c>
      <c r="R1261" s="6" t="str">
        <f ca="1">IFERROR(__xludf.DUMMYFUNCTION("""COMPUTED_VALUE"""),"")</f>
        <v/>
      </c>
      <c r="S1261" t="str">
        <f ca="1">IFERROR(__xludf.DUMMYFUNCTION("""COMPUTED_VALUE"""),"")</f>
        <v/>
      </c>
      <c r="T1261" t="str">
        <f ca="1">IFERROR(__xludf.DUMMYFUNCTION("""COMPUTED_VALUE"""),"")</f>
        <v/>
      </c>
      <c r="U1261" t="str">
        <f ca="1">IFERROR(__xludf.DUMMYFUNCTION("""COMPUTED_VALUE"""),"")</f>
        <v/>
      </c>
      <c r="V1261" t="str">
        <f ca="1">IFERROR(__xludf.DUMMYFUNCTION("""COMPUTED_VALUE"""),"")</f>
        <v/>
      </c>
      <c r="W1261" t="str">
        <f ca="1">IFERROR(__xludf.DUMMYFUNCTION("""COMPUTED_VALUE"""),"")</f>
        <v/>
      </c>
      <c r="X1261" t="str">
        <f ca="1">IFERROR(__xludf.DUMMYFUNCTION("""COMPUTED_VALUE"""),"")</f>
        <v/>
      </c>
      <c r="Y1261" t="str">
        <f ca="1">IFERROR(__xludf.DUMMYFUNCTION("""COMPUTED_VALUE"""),"")</f>
        <v/>
      </c>
      <c r="Z1261" t="str">
        <f ca="1">IFERROR(__xludf.DUMMYFUNCTION("""COMPUTED_VALUE"""),"")</f>
        <v/>
      </c>
      <c r="AA1261" t="str">
        <f ca="1">IFERROR(__xludf.DUMMYFUNCTION("""COMPUTED_VALUE"""),"")</f>
        <v/>
      </c>
      <c r="AB1261" s="8" t="str">
        <f ca="1">IFERROR(__xludf.DUMMYFUNCTION("""COMPUTED_VALUE"""),"")</f>
        <v/>
      </c>
      <c r="AC1261" s="8" t="str">
        <f ca="1">IFERROR(__xludf.DUMMYFUNCTION("""COMPUTED_VALUE"""),"")</f>
        <v/>
      </c>
      <c r="AD1261" s="11" t="str">
        <f ca="1">IFERROR(__xludf.DUMMYFUNCTION("""COMPUTED_VALUE"""),"")</f>
        <v/>
      </c>
      <c r="AE1261" t="str">
        <f ca="1">IFERROR(__xludf.DUMMYFUNCTION("""COMPUTED_VALUE"""),"")</f>
        <v/>
      </c>
    </row>
    <row r="1262" spans="1:31" ht="12.75" x14ac:dyDescent="0.2">
      <c r="A1262" t="str">
        <f ca="1">IFERROR(__xludf.DUMMYFUNCTION("""COMPUTED_VALUE"""),"")</f>
        <v/>
      </c>
      <c r="B1262" t="str">
        <f ca="1">IFERROR(__xludf.DUMMYFUNCTION("""COMPUTED_VALUE"""),"")</f>
        <v/>
      </c>
      <c r="C1262" t="str">
        <f ca="1">IFERROR(__xludf.DUMMYFUNCTION("""COMPUTED_VALUE"""),"")</f>
        <v/>
      </c>
      <c r="D1262" t="str">
        <f ca="1">IFERROR(__xludf.DUMMYFUNCTION("""COMPUTED_VALUE"""),"")</f>
        <v/>
      </c>
      <c r="E1262" t="str">
        <f ca="1">IFERROR(__xludf.DUMMYFUNCTION("""COMPUTED_VALUE"""),"")</f>
        <v/>
      </c>
      <c r="F1262" t="str">
        <f ca="1">IFERROR(__xludf.DUMMYFUNCTION("""COMPUTED_VALUE"""),"")</f>
        <v/>
      </c>
      <c r="G1262" t="str">
        <f ca="1">IFERROR(__xludf.DUMMYFUNCTION("""COMPUTED_VALUE"""),"")</f>
        <v/>
      </c>
      <c r="H1262" t="str">
        <f ca="1">IFERROR(__xludf.DUMMYFUNCTION("""COMPUTED_VALUE"""),"")</f>
        <v/>
      </c>
      <c r="I1262" t="str">
        <f ca="1">IFERROR(__xludf.DUMMYFUNCTION("""COMPUTED_VALUE"""),"")</f>
        <v/>
      </c>
      <c r="J1262" t="str">
        <f ca="1">IFERROR(__xludf.DUMMYFUNCTION("""COMPUTED_VALUE"""),"")</f>
        <v/>
      </c>
      <c r="K1262" t="str">
        <f ca="1">IFERROR(__xludf.DUMMYFUNCTION("""COMPUTED_VALUE"""),"")</f>
        <v/>
      </c>
      <c r="L1262" t="str">
        <f ca="1">IFERROR(__xludf.DUMMYFUNCTION("""COMPUTED_VALUE"""),"")</f>
        <v/>
      </c>
      <c r="M1262" t="str">
        <f ca="1">IFERROR(__xludf.DUMMYFUNCTION("""COMPUTED_VALUE"""),"")</f>
        <v/>
      </c>
      <c r="N1262" t="str">
        <f ca="1">IFERROR(__xludf.DUMMYFUNCTION("""COMPUTED_VALUE"""),"")</f>
        <v/>
      </c>
      <c r="O1262" t="str">
        <f ca="1">IFERROR(__xludf.DUMMYFUNCTION("""COMPUTED_VALUE"""),"")</f>
        <v/>
      </c>
      <c r="P1262" t="str">
        <f ca="1">IFERROR(__xludf.DUMMYFUNCTION("""COMPUTED_VALUE"""),"")</f>
        <v/>
      </c>
      <c r="Q1262" s="5" t="str">
        <f ca="1">IFERROR(__xludf.DUMMYFUNCTION("""COMPUTED_VALUE"""),"")</f>
        <v/>
      </c>
      <c r="R1262" s="6" t="str">
        <f ca="1">IFERROR(__xludf.DUMMYFUNCTION("""COMPUTED_VALUE"""),"")</f>
        <v/>
      </c>
      <c r="S1262" t="str">
        <f ca="1">IFERROR(__xludf.DUMMYFUNCTION("""COMPUTED_VALUE"""),"")</f>
        <v/>
      </c>
      <c r="T1262" t="str">
        <f ca="1">IFERROR(__xludf.DUMMYFUNCTION("""COMPUTED_VALUE"""),"")</f>
        <v/>
      </c>
      <c r="U1262" t="str">
        <f ca="1">IFERROR(__xludf.DUMMYFUNCTION("""COMPUTED_VALUE"""),"")</f>
        <v/>
      </c>
      <c r="V1262" t="str">
        <f ca="1">IFERROR(__xludf.DUMMYFUNCTION("""COMPUTED_VALUE"""),"")</f>
        <v/>
      </c>
      <c r="W1262" t="str">
        <f ca="1">IFERROR(__xludf.DUMMYFUNCTION("""COMPUTED_VALUE"""),"")</f>
        <v/>
      </c>
      <c r="X1262" t="str">
        <f ca="1">IFERROR(__xludf.DUMMYFUNCTION("""COMPUTED_VALUE"""),"")</f>
        <v/>
      </c>
      <c r="Y1262" t="str">
        <f ca="1">IFERROR(__xludf.DUMMYFUNCTION("""COMPUTED_VALUE"""),"")</f>
        <v/>
      </c>
      <c r="Z1262" t="str">
        <f ca="1">IFERROR(__xludf.DUMMYFUNCTION("""COMPUTED_VALUE"""),"")</f>
        <v/>
      </c>
      <c r="AA1262" t="str">
        <f ca="1">IFERROR(__xludf.DUMMYFUNCTION("""COMPUTED_VALUE"""),"")</f>
        <v/>
      </c>
      <c r="AB1262" s="8" t="str">
        <f ca="1">IFERROR(__xludf.DUMMYFUNCTION("""COMPUTED_VALUE"""),"")</f>
        <v/>
      </c>
      <c r="AC1262" s="8" t="str">
        <f ca="1">IFERROR(__xludf.DUMMYFUNCTION("""COMPUTED_VALUE"""),"")</f>
        <v/>
      </c>
      <c r="AD1262" s="11" t="str">
        <f ca="1">IFERROR(__xludf.DUMMYFUNCTION("""COMPUTED_VALUE"""),"")</f>
        <v/>
      </c>
      <c r="AE1262" t="str">
        <f ca="1">IFERROR(__xludf.DUMMYFUNCTION("""COMPUTED_VALUE"""),"")</f>
        <v/>
      </c>
    </row>
    <row r="1263" spans="1:31" ht="12.75" x14ac:dyDescent="0.2">
      <c r="A1263" t="str">
        <f ca="1">IFERROR(__xludf.DUMMYFUNCTION("""COMPUTED_VALUE"""),"")</f>
        <v/>
      </c>
      <c r="B1263" t="str">
        <f ca="1">IFERROR(__xludf.DUMMYFUNCTION("""COMPUTED_VALUE"""),"")</f>
        <v/>
      </c>
      <c r="C1263" t="str">
        <f ca="1">IFERROR(__xludf.DUMMYFUNCTION("""COMPUTED_VALUE"""),"")</f>
        <v/>
      </c>
      <c r="D1263" t="str">
        <f ca="1">IFERROR(__xludf.DUMMYFUNCTION("""COMPUTED_VALUE"""),"")</f>
        <v/>
      </c>
      <c r="E1263" t="str">
        <f ca="1">IFERROR(__xludf.DUMMYFUNCTION("""COMPUTED_VALUE"""),"")</f>
        <v/>
      </c>
      <c r="F1263" t="str">
        <f ca="1">IFERROR(__xludf.DUMMYFUNCTION("""COMPUTED_VALUE"""),"")</f>
        <v/>
      </c>
      <c r="G1263" t="str">
        <f ca="1">IFERROR(__xludf.DUMMYFUNCTION("""COMPUTED_VALUE"""),"")</f>
        <v/>
      </c>
      <c r="H1263" t="str">
        <f ca="1">IFERROR(__xludf.DUMMYFUNCTION("""COMPUTED_VALUE"""),"")</f>
        <v/>
      </c>
      <c r="I1263" t="str">
        <f ca="1">IFERROR(__xludf.DUMMYFUNCTION("""COMPUTED_VALUE"""),"")</f>
        <v/>
      </c>
      <c r="J1263" t="str">
        <f ca="1">IFERROR(__xludf.DUMMYFUNCTION("""COMPUTED_VALUE"""),"")</f>
        <v/>
      </c>
      <c r="K1263" t="str">
        <f ca="1">IFERROR(__xludf.DUMMYFUNCTION("""COMPUTED_VALUE"""),"")</f>
        <v/>
      </c>
      <c r="L1263" t="str">
        <f ca="1">IFERROR(__xludf.DUMMYFUNCTION("""COMPUTED_VALUE"""),"")</f>
        <v/>
      </c>
      <c r="M1263" t="str">
        <f ca="1">IFERROR(__xludf.DUMMYFUNCTION("""COMPUTED_VALUE"""),"")</f>
        <v/>
      </c>
      <c r="N1263" t="str">
        <f ca="1">IFERROR(__xludf.DUMMYFUNCTION("""COMPUTED_VALUE"""),"")</f>
        <v/>
      </c>
      <c r="O1263" t="str">
        <f ca="1">IFERROR(__xludf.DUMMYFUNCTION("""COMPUTED_VALUE"""),"")</f>
        <v/>
      </c>
      <c r="P1263" t="str">
        <f ca="1">IFERROR(__xludf.DUMMYFUNCTION("""COMPUTED_VALUE"""),"")</f>
        <v/>
      </c>
      <c r="Q1263" s="5" t="str">
        <f ca="1">IFERROR(__xludf.DUMMYFUNCTION("""COMPUTED_VALUE"""),"")</f>
        <v/>
      </c>
      <c r="R1263" s="6" t="str">
        <f ca="1">IFERROR(__xludf.DUMMYFUNCTION("""COMPUTED_VALUE"""),"")</f>
        <v/>
      </c>
      <c r="S1263" t="str">
        <f ca="1">IFERROR(__xludf.DUMMYFUNCTION("""COMPUTED_VALUE"""),"")</f>
        <v/>
      </c>
      <c r="T1263" t="str">
        <f ca="1">IFERROR(__xludf.DUMMYFUNCTION("""COMPUTED_VALUE"""),"")</f>
        <v/>
      </c>
      <c r="U1263" t="str">
        <f ca="1">IFERROR(__xludf.DUMMYFUNCTION("""COMPUTED_VALUE"""),"")</f>
        <v/>
      </c>
      <c r="V1263" t="str">
        <f ca="1">IFERROR(__xludf.DUMMYFUNCTION("""COMPUTED_VALUE"""),"")</f>
        <v/>
      </c>
      <c r="W1263" t="str">
        <f ca="1">IFERROR(__xludf.DUMMYFUNCTION("""COMPUTED_VALUE"""),"")</f>
        <v/>
      </c>
      <c r="X1263" t="str">
        <f ca="1">IFERROR(__xludf.DUMMYFUNCTION("""COMPUTED_VALUE"""),"")</f>
        <v/>
      </c>
      <c r="Y1263" t="str">
        <f ca="1">IFERROR(__xludf.DUMMYFUNCTION("""COMPUTED_VALUE"""),"")</f>
        <v/>
      </c>
      <c r="Z1263" t="str">
        <f ca="1">IFERROR(__xludf.DUMMYFUNCTION("""COMPUTED_VALUE"""),"")</f>
        <v/>
      </c>
      <c r="AA1263" t="str">
        <f ca="1">IFERROR(__xludf.DUMMYFUNCTION("""COMPUTED_VALUE"""),"")</f>
        <v/>
      </c>
      <c r="AB1263" s="8" t="str">
        <f ca="1">IFERROR(__xludf.DUMMYFUNCTION("""COMPUTED_VALUE"""),"")</f>
        <v/>
      </c>
      <c r="AC1263" s="8" t="str">
        <f ca="1">IFERROR(__xludf.DUMMYFUNCTION("""COMPUTED_VALUE"""),"")</f>
        <v/>
      </c>
      <c r="AD1263" s="11" t="str">
        <f ca="1">IFERROR(__xludf.DUMMYFUNCTION("""COMPUTED_VALUE"""),"")</f>
        <v/>
      </c>
      <c r="AE1263" t="str">
        <f ca="1">IFERROR(__xludf.DUMMYFUNCTION("""COMPUTED_VALUE"""),"")</f>
        <v/>
      </c>
    </row>
    <row r="1264" spans="1:31" ht="12.75" x14ac:dyDescent="0.2">
      <c r="A1264" t="str">
        <f ca="1">IFERROR(__xludf.DUMMYFUNCTION("""COMPUTED_VALUE"""),"")</f>
        <v/>
      </c>
      <c r="B1264" t="str">
        <f ca="1">IFERROR(__xludf.DUMMYFUNCTION("""COMPUTED_VALUE"""),"")</f>
        <v/>
      </c>
      <c r="C1264" t="str">
        <f ca="1">IFERROR(__xludf.DUMMYFUNCTION("""COMPUTED_VALUE"""),"")</f>
        <v/>
      </c>
      <c r="D1264" t="str">
        <f ca="1">IFERROR(__xludf.DUMMYFUNCTION("""COMPUTED_VALUE"""),"")</f>
        <v/>
      </c>
      <c r="E1264" t="str">
        <f ca="1">IFERROR(__xludf.DUMMYFUNCTION("""COMPUTED_VALUE"""),"")</f>
        <v/>
      </c>
      <c r="F1264" t="str">
        <f ca="1">IFERROR(__xludf.DUMMYFUNCTION("""COMPUTED_VALUE"""),"")</f>
        <v/>
      </c>
      <c r="G1264" t="str">
        <f ca="1">IFERROR(__xludf.DUMMYFUNCTION("""COMPUTED_VALUE"""),"")</f>
        <v/>
      </c>
      <c r="H1264" t="str">
        <f ca="1">IFERROR(__xludf.DUMMYFUNCTION("""COMPUTED_VALUE"""),"")</f>
        <v/>
      </c>
      <c r="I1264" t="str">
        <f ca="1">IFERROR(__xludf.DUMMYFUNCTION("""COMPUTED_VALUE"""),"")</f>
        <v/>
      </c>
      <c r="J1264" t="str">
        <f ca="1">IFERROR(__xludf.DUMMYFUNCTION("""COMPUTED_VALUE"""),"")</f>
        <v/>
      </c>
      <c r="K1264" t="str">
        <f ca="1">IFERROR(__xludf.DUMMYFUNCTION("""COMPUTED_VALUE"""),"")</f>
        <v/>
      </c>
      <c r="L1264" t="str">
        <f ca="1">IFERROR(__xludf.DUMMYFUNCTION("""COMPUTED_VALUE"""),"")</f>
        <v/>
      </c>
      <c r="M1264" t="str">
        <f ca="1">IFERROR(__xludf.DUMMYFUNCTION("""COMPUTED_VALUE"""),"")</f>
        <v/>
      </c>
      <c r="N1264" t="str">
        <f ca="1">IFERROR(__xludf.DUMMYFUNCTION("""COMPUTED_VALUE"""),"")</f>
        <v/>
      </c>
      <c r="O1264" t="str">
        <f ca="1">IFERROR(__xludf.DUMMYFUNCTION("""COMPUTED_VALUE"""),"")</f>
        <v/>
      </c>
      <c r="P1264" t="str">
        <f ca="1">IFERROR(__xludf.DUMMYFUNCTION("""COMPUTED_VALUE"""),"")</f>
        <v/>
      </c>
      <c r="Q1264" s="5" t="str">
        <f ca="1">IFERROR(__xludf.DUMMYFUNCTION("""COMPUTED_VALUE"""),"")</f>
        <v/>
      </c>
      <c r="R1264" s="6" t="str">
        <f ca="1">IFERROR(__xludf.DUMMYFUNCTION("""COMPUTED_VALUE"""),"")</f>
        <v/>
      </c>
      <c r="S1264" t="str">
        <f ca="1">IFERROR(__xludf.DUMMYFUNCTION("""COMPUTED_VALUE"""),"")</f>
        <v/>
      </c>
      <c r="T1264" t="str">
        <f ca="1">IFERROR(__xludf.DUMMYFUNCTION("""COMPUTED_VALUE"""),"")</f>
        <v/>
      </c>
      <c r="U1264" t="str">
        <f ca="1">IFERROR(__xludf.DUMMYFUNCTION("""COMPUTED_VALUE"""),"")</f>
        <v/>
      </c>
      <c r="V1264" t="str">
        <f ca="1">IFERROR(__xludf.DUMMYFUNCTION("""COMPUTED_VALUE"""),"")</f>
        <v/>
      </c>
      <c r="W1264" t="str">
        <f ca="1">IFERROR(__xludf.DUMMYFUNCTION("""COMPUTED_VALUE"""),"")</f>
        <v/>
      </c>
      <c r="X1264" t="str">
        <f ca="1">IFERROR(__xludf.DUMMYFUNCTION("""COMPUTED_VALUE"""),"")</f>
        <v/>
      </c>
      <c r="Y1264" t="str">
        <f ca="1">IFERROR(__xludf.DUMMYFUNCTION("""COMPUTED_VALUE"""),"")</f>
        <v/>
      </c>
      <c r="Z1264" t="str">
        <f ca="1">IFERROR(__xludf.DUMMYFUNCTION("""COMPUTED_VALUE"""),"")</f>
        <v/>
      </c>
      <c r="AA1264" t="str">
        <f ca="1">IFERROR(__xludf.DUMMYFUNCTION("""COMPUTED_VALUE"""),"")</f>
        <v/>
      </c>
      <c r="AB1264" s="8" t="str">
        <f ca="1">IFERROR(__xludf.DUMMYFUNCTION("""COMPUTED_VALUE"""),"")</f>
        <v/>
      </c>
      <c r="AC1264" s="8" t="str">
        <f ca="1">IFERROR(__xludf.DUMMYFUNCTION("""COMPUTED_VALUE"""),"")</f>
        <v/>
      </c>
      <c r="AD1264" s="11" t="str">
        <f ca="1">IFERROR(__xludf.DUMMYFUNCTION("""COMPUTED_VALUE"""),"")</f>
        <v/>
      </c>
      <c r="AE1264" t="str">
        <f ca="1">IFERROR(__xludf.DUMMYFUNCTION("""COMPUTED_VALUE"""),"")</f>
        <v/>
      </c>
    </row>
    <row r="1265" spans="1:31" ht="12.75" x14ac:dyDescent="0.2">
      <c r="A1265" t="str">
        <f ca="1">IFERROR(__xludf.DUMMYFUNCTION("""COMPUTED_VALUE"""),"")</f>
        <v/>
      </c>
      <c r="B1265" t="str">
        <f ca="1">IFERROR(__xludf.DUMMYFUNCTION("""COMPUTED_VALUE"""),"")</f>
        <v/>
      </c>
      <c r="C1265" t="str">
        <f ca="1">IFERROR(__xludf.DUMMYFUNCTION("""COMPUTED_VALUE"""),"")</f>
        <v/>
      </c>
      <c r="D1265" t="str">
        <f ca="1">IFERROR(__xludf.DUMMYFUNCTION("""COMPUTED_VALUE"""),"")</f>
        <v/>
      </c>
      <c r="E1265" t="str">
        <f ca="1">IFERROR(__xludf.DUMMYFUNCTION("""COMPUTED_VALUE"""),"")</f>
        <v/>
      </c>
      <c r="F1265" t="str">
        <f ca="1">IFERROR(__xludf.DUMMYFUNCTION("""COMPUTED_VALUE"""),"")</f>
        <v/>
      </c>
      <c r="G1265" t="str">
        <f ca="1">IFERROR(__xludf.DUMMYFUNCTION("""COMPUTED_VALUE"""),"")</f>
        <v/>
      </c>
      <c r="H1265" t="str">
        <f ca="1">IFERROR(__xludf.DUMMYFUNCTION("""COMPUTED_VALUE"""),"")</f>
        <v/>
      </c>
      <c r="I1265" t="str">
        <f ca="1">IFERROR(__xludf.DUMMYFUNCTION("""COMPUTED_VALUE"""),"")</f>
        <v/>
      </c>
      <c r="J1265" t="str">
        <f ca="1">IFERROR(__xludf.DUMMYFUNCTION("""COMPUTED_VALUE"""),"")</f>
        <v/>
      </c>
      <c r="K1265" t="str">
        <f ca="1">IFERROR(__xludf.DUMMYFUNCTION("""COMPUTED_VALUE"""),"")</f>
        <v/>
      </c>
      <c r="L1265" t="str">
        <f ca="1">IFERROR(__xludf.DUMMYFUNCTION("""COMPUTED_VALUE"""),"")</f>
        <v/>
      </c>
      <c r="M1265" t="str">
        <f ca="1">IFERROR(__xludf.DUMMYFUNCTION("""COMPUTED_VALUE"""),"")</f>
        <v/>
      </c>
      <c r="N1265" t="str">
        <f ca="1">IFERROR(__xludf.DUMMYFUNCTION("""COMPUTED_VALUE"""),"")</f>
        <v/>
      </c>
      <c r="O1265" t="str">
        <f ca="1">IFERROR(__xludf.DUMMYFUNCTION("""COMPUTED_VALUE"""),"")</f>
        <v/>
      </c>
      <c r="P1265" t="str">
        <f ca="1">IFERROR(__xludf.DUMMYFUNCTION("""COMPUTED_VALUE"""),"")</f>
        <v/>
      </c>
      <c r="Q1265" s="5" t="str">
        <f ca="1">IFERROR(__xludf.DUMMYFUNCTION("""COMPUTED_VALUE"""),"")</f>
        <v/>
      </c>
      <c r="R1265" s="6" t="str">
        <f ca="1">IFERROR(__xludf.DUMMYFUNCTION("""COMPUTED_VALUE"""),"")</f>
        <v/>
      </c>
      <c r="S1265" t="str">
        <f ca="1">IFERROR(__xludf.DUMMYFUNCTION("""COMPUTED_VALUE"""),"")</f>
        <v/>
      </c>
      <c r="T1265" t="str">
        <f ca="1">IFERROR(__xludf.DUMMYFUNCTION("""COMPUTED_VALUE"""),"")</f>
        <v/>
      </c>
      <c r="U1265" t="str">
        <f ca="1">IFERROR(__xludf.DUMMYFUNCTION("""COMPUTED_VALUE"""),"")</f>
        <v/>
      </c>
      <c r="V1265" t="str">
        <f ca="1">IFERROR(__xludf.DUMMYFUNCTION("""COMPUTED_VALUE"""),"")</f>
        <v/>
      </c>
      <c r="W1265" t="str">
        <f ca="1">IFERROR(__xludf.DUMMYFUNCTION("""COMPUTED_VALUE"""),"")</f>
        <v/>
      </c>
      <c r="X1265" t="str">
        <f ca="1">IFERROR(__xludf.DUMMYFUNCTION("""COMPUTED_VALUE"""),"")</f>
        <v/>
      </c>
      <c r="Y1265" t="str">
        <f ca="1">IFERROR(__xludf.DUMMYFUNCTION("""COMPUTED_VALUE"""),"")</f>
        <v/>
      </c>
      <c r="Z1265" t="str">
        <f ca="1">IFERROR(__xludf.DUMMYFUNCTION("""COMPUTED_VALUE"""),"")</f>
        <v/>
      </c>
      <c r="AA1265" t="str">
        <f ca="1">IFERROR(__xludf.DUMMYFUNCTION("""COMPUTED_VALUE"""),"")</f>
        <v/>
      </c>
      <c r="AB1265" s="8" t="str">
        <f ca="1">IFERROR(__xludf.DUMMYFUNCTION("""COMPUTED_VALUE"""),"")</f>
        <v/>
      </c>
      <c r="AC1265" s="8" t="str">
        <f ca="1">IFERROR(__xludf.DUMMYFUNCTION("""COMPUTED_VALUE"""),"")</f>
        <v/>
      </c>
      <c r="AD1265" s="11" t="str">
        <f ca="1">IFERROR(__xludf.DUMMYFUNCTION("""COMPUTED_VALUE"""),"")</f>
        <v/>
      </c>
      <c r="AE1265" t="str">
        <f ca="1">IFERROR(__xludf.DUMMYFUNCTION("""COMPUTED_VALUE"""),"")</f>
        <v/>
      </c>
    </row>
    <row r="1266" spans="1:31" ht="12.75" x14ac:dyDescent="0.2">
      <c r="A1266" t="str">
        <f ca="1">IFERROR(__xludf.DUMMYFUNCTION("""COMPUTED_VALUE"""),"")</f>
        <v/>
      </c>
      <c r="B1266" t="str">
        <f ca="1">IFERROR(__xludf.DUMMYFUNCTION("""COMPUTED_VALUE"""),"")</f>
        <v/>
      </c>
      <c r="C1266" t="str">
        <f ca="1">IFERROR(__xludf.DUMMYFUNCTION("""COMPUTED_VALUE"""),"")</f>
        <v/>
      </c>
      <c r="D1266" t="str">
        <f ca="1">IFERROR(__xludf.DUMMYFUNCTION("""COMPUTED_VALUE"""),"")</f>
        <v/>
      </c>
      <c r="E1266" t="str">
        <f ca="1">IFERROR(__xludf.DUMMYFUNCTION("""COMPUTED_VALUE"""),"")</f>
        <v/>
      </c>
      <c r="F1266" t="str">
        <f ca="1">IFERROR(__xludf.DUMMYFUNCTION("""COMPUTED_VALUE"""),"")</f>
        <v/>
      </c>
      <c r="G1266" t="str">
        <f ca="1">IFERROR(__xludf.DUMMYFUNCTION("""COMPUTED_VALUE"""),"")</f>
        <v/>
      </c>
      <c r="H1266" t="str">
        <f ca="1">IFERROR(__xludf.DUMMYFUNCTION("""COMPUTED_VALUE"""),"")</f>
        <v/>
      </c>
      <c r="I1266" t="str">
        <f ca="1">IFERROR(__xludf.DUMMYFUNCTION("""COMPUTED_VALUE"""),"")</f>
        <v/>
      </c>
      <c r="J1266" t="str">
        <f ca="1">IFERROR(__xludf.DUMMYFUNCTION("""COMPUTED_VALUE"""),"")</f>
        <v/>
      </c>
      <c r="K1266" t="str">
        <f ca="1">IFERROR(__xludf.DUMMYFUNCTION("""COMPUTED_VALUE"""),"")</f>
        <v/>
      </c>
      <c r="L1266" t="str">
        <f ca="1">IFERROR(__xludf.DUMMYFUNCTION("""COMPUTED_VALUE"""),"")</f>
        <v/>
      </c>
      <c r="M1266" t="str">
        <f ca="1">IFERROR(__xludf.DUMMYFUNCTION("""COMPUTED_VALUE"""),"")</f>
        <v/>
      </c>
      <c r="N1266" t="str">
        <f ca="1">IFERROR(__xludf.DUMMYFUNCTION("""COMPUTED_VALUE"""),"")</f>
        <v/>
      </c>
      <c r="O1266" t="str">
        <f ca="1">IFERROR(__xludf.DUMMYFUNCTION("""COMPUTED_VALUE"""),"")</f>
        <v/>
      </c>
      <c r="P1266" t="str">
        <f ca="1">IFERROR(__xludf.DUMMYFUNCTION("""COMPUTED_VALUE"""),"")</f>
        <v/>
      </c>
      <c r="Q1266" s="5" t="str">
        <f ca="1">IFERROR(__xludf.DUMMYFUNCTION("""COMPUTED_VALUE"""),"")</f>
        <v/>
      </c>
      <c r="R1266" s="6" t="str">
        <f ca="1">IFERROR(__xludf.DUMMYFUNCTION("""COMPUTED_VALUE"""),"")</f>
        <v/>
      </c>
      <c r="S1266" t="str">
        <f ca="1">IFERROR(__xludf.DUMMYFUNCTION("""COMPUTED_VALUE"""),"")</f>
        <v/>
      </c>
      <c r="T1266" t="str">
        <f ca="1">IFERROR(__xludf.DUMMYFUNCTION("""COMPUTED_VALUE"""),"")</f>
        <v/>
      </c>
      <c r="U1266" t="str">
        <f ca="1">IFERROR(__xludf.DUMMYFUNCTION("""COMPUTED_VALUE"""),"")</f>
        <v/>
      </c>
      <c r="V1266" t="str">
        <f ca="1">IFERROR(__xludf.DUMMYFUNCTION("""COMPUTED_VALUE"""),"")</f>
        <v/>
      </c>
      <c r="W1266" t="str">
        <f ca="1">IFERROR(__xludf.DUMMYFUNCTION("""COMPUTED_VALUE"""),"")</f>
        <v/>
      </c>
      <c r="X1266" t="str">
        <f ca="1">IFERROR(__xludf.DUMMYFUNCTION("""COMPUTED_VALUE"""),"")</f>
        <v/>
      </c>
      <c r="Y1266" t="str">
        <f ca="1">IFERROR(__xludf.DUMMYFUNCTION("""COMPUTED_VALUE"""),"")</f>
        <v/>
      </c>
      <c r="Z1266" t="str">
        <f ca="1">IFERROR(__xludf.DUMMYFUNCTION("""COMPUTED_VALUE"""),"")</f>
        <v/>
      </c>
      <c r="AA1266" t="str">
        <f ca="1">IFERROR(__xludf.DUMMYFUNCTION("""COMPUTED_VALUE"""),"")</f>
        <v/>
      </c>
      <c r="AB1266" s="8" t="str">
        <f ca="1">IFERROR(__xludf.DUMMYFUNCTION("""COMPUTED_VALUE"""),"")</f>
        <v/>
      </c>
      <c r="AC1266" s="8" t="str">
        <f ca="1">IFERROR(__xludf.DUMMYFUNCTION("""COMPUTED_VALUE"""),"")</f>
        <v/>
      </c>
      <c r="AD1266" s="11" t="str">
        <f ca="1">IFERROR(__xludf.DUMMYFUNCTION("""COMPUTED_VALUE"""),"")</f>
        <v/>
      </c>
      <c r="AE1266" t="str">
        <f ca="1">IFERROR(__xludf.DUMMYFUNCTION("""COMPUTED_VALUE"""),"")</f>
        <v/>
      </c>
    </row>
    <row r="1267" spans="1:31" ht="12.75" x14ac:dyDescent="0.2">
      <c r="A1267" t="str">
        <f ca="1">IFERROR(__xludf.DUMMYFUNCTION("""COMPUTED_VALUE"""),"")</f>
        <v/>
      </c>
      <c r="B1267" t="str">
        <f ca="1">IFERROR(__xludf.DUMMYFUNCTION("""COMPUTED_VALUE"""),"")</f>
        <v/>
      </c>
      <c r="C1267" t="str">
        <f ca="1">IFERROR(__xludf.DUMMYFUNCTION("""COMPUTED_VALUE"""),"")</f>
        <v/>
      </c>
      <c r="D1267" t="str">
        <f ca="1">IFERROR(__xludf.DUMMYFUNCTION("""COMPUTED_VALUE"""),"")</f>
        <v/>
      </c>
      <c r="E1267" t="str">
        <f ca="1">IFERROR(__xludf.DUMMYFUNCTION("""COMPUTED_VALUE"""),"")</f>
        <v/>
      </c>
      <c r="F1267" t="str">
        <f ca="1">IFERROR(__xludf.DUMMYFUNCTION("""COMPUTED_VALUE"""),"")</f>
        <v/>
      </c>
      <c r="G1267" t="str">
        <f ca="1">IFERROR(__xludf.DUMMYFUNCTION("""COMPUTED_VALUE"""),"")</f>
        <v/>
      </c>
      <c r="H1267" t="str">
        <f ca="1">IFERROR(__xludf.DUMMYFUNCTION("""COMPUTED_VALUE"""),"")</f>
        <v/>
      </c>
      <c r="I1267" t="str">
        <f ca="1">IFERROR(__xludf.DUMMYFUNCTION("""COMPUTED_VALUE"""),"")</f>
        <v/>
      </c>
      <c r="J1267" t="str">
        <f ca="1">IFERROR(__xludf.DUMMYFUNCTION("""COMPUTED_VALUE"""),"")</f>
        <v/>
      </c>
      <c r="K1267" t="str">
        <f ca="1">IFERROR(__xludf.DUMMYFUNCTION("""COMPUTED_VALUE"""),"")</f>
        <v/>
      </c>
      <c r="L1267" t="str">
        <f ca="1">IFERROR(__xludf.DUMMYFUNCTION("""COMPUTED_VALUE"""),"")</f>
        <v/>
      </c>
      <c r="M1267" t="str">
        <f ca="1">IFERROR(__xludf.DUMMYFUNCTION("""COMPUTED_VALUE"""),"")</f>
        <v/>
      </c>
      <c r="N1267" t="str">
        <f ca="1">IFERROR(__xludf.DUMMYFUNCTION("""COMPUTED_VALUE"""),"")</f>
        <v/>
      </c>
      <c r="O1267" t="str">
        <f ca="1">IFERROR(__xludf.DUMMYFUNCTION("""COMPUTED_VALUE"""),"")</f>
        <v/>
      </c>
      <c r="P1267" t="str">
        <f ca="1">IFERROR(__xludf.DUMMYFUNCTION("""COMPUTED_VALUE"""),"")</f>
        <v/>
      </c>
      <c r="Q1267" s="5" t="str">
        <f ca="1">IFERROR(__xludf.DUMMYFUNCTION("""COMPUTED_VALUE"""),"")</f>
        <v/>
      </c>
      <c r="R1267" s="6" t="str">
        <f ca="1">IFERROR(__xludf.DUMMYFUNCTION("""COMPUTED_VALUE"""),"")</f>
        <v/>
      </c>
      <c r="S1267" t="str">
        <f ca="1">IFERROR(__xludf.DUMMYFUNCTION("""COMPUTED_VALUE"""),"")</f>
        <v/>
      </c>
      <c r="T1267" t="str">
        <f ca="1">IFERROR(__xludf.DUMMYFUNCTION("""COMPUTED_VALUE"""),"")</f>
        <v/>
      </c>
      <c r="U1267" t="str">
        <f ca="1">IFERROR(__xludf.DUMMYFUNCTION("""COMPUTED_VALUE"""),"")</f>
        <v/>
      </c>
      <c r="V1267" t="str">
        <f ca="1">IFERROR(__xludf.DUMMYFUNCTION("""COMPUTED_VALUE"""),"")</f>
        <v/>
      </c>
      <c r="W1267" t="str">
        <f ca="1">IFERROR(__xludf.DUMMYFUNCTION("""COMPUTED_VALUE"""),"")</f>
        <v/>
      </c>
      <c r="X1267" t="str">
        <f ca="1">IFERROR(__xludf.DUMMYFUNCTION("""COMPUTED_VALUE"""),"")</f>
        <v/>
      </c>
      <c r="Y1267" t="str">
        <f ca="1">IFERROR(__xludf.DUMMYFUNCTION("""COMPUTED_VALUE"""),"")</f>
        <v/>
      </c>
      <c r="Z1267" t="str">
        <f ca="1">IFERROR(__xludf.DUMMYFUNCTION("""COMPUTED_VALUE"""),"")</f>
        <v/>
      </c>
      <c r="AA1267" t="str">
        <f ca="1">IFERROR(__xludf.DUMMYFUNCTION("""COMPUTED_VALUE"""),"")</f>
        <v/>
      </c>
      <c r="AB1267" s="8" t="str">
        <f ca="1">IFERROR(__xludf.DUMMYFUNCTION("""COMPUTED_VALUE"""),"")</f>
        <v/>
      </c>
      <c r="AC1267" s="8" t="str">
        <f ca="1">IFERROR(__xludf.DUMMYFUNCTION("""COMPUTED_VALUE"""),"")</f>
        <v/>
      </c>
      <c r="AD1267" s="11" t="str">
        <f ca="1">IFERROR(__xludf.DUMMYFUNCTION("""COMPUTED_VALUE"""),"")</f>
        <v/>
      </c>
      <c r="AE1267" t="str">
        <f ca="1">IFERROR(__xludf.DUMMYFUNCTION("""COMPUTED_VALUE"""),"")</f>
        <v/>
      </c>
    </row>
    <row r="1268" spans="1:31" ht="12.75" x14ac:dyDescent="0.2">
      <c r="A1268" t="str">
        <f ca="1">IFERROR(__xludf.DUMMYFUNCTION("""COMPUTED_VALUE"""),"")</f>
        <v/>
      </c>
      <c r="B1268" t="str">
        <f ca="1">IFERROR(__xludf.DUMMYFUNCTION("""COMPUTED_VALUE"""),"")</f>
        <v/>
      </c>
      <c r="C1268" t="str">
        <f ca="1">IFERROR(__xludf.DUMMYFUNCTION("""COMPUTED_VALUE"""),"")</f>
        <v/>
      </c>
      <c r="D1268" t="str">
        <f ca="1">IFERROR(__xludf.DUMMYFUNCTION("""COMPUTED_VALUE"""),"")</f>
        <v/>
      </c>
      <c r="E1268" t="str">
        <f ca="1">IFERROR(__xludf.DUMMYFUNCTION("""COMPUTED_VALUE"""),"")</f>
        <v/>
      </c>
      <c r="F1268" t="str">
        <f ca="1">IFERROR(__xludf.DUMMYFUNCTION("""COMPUTED_VALUE"""),"")</f>
        <v/>
      </c>
      <c r="G1268" t="str">
        <f ca="1">IFERROR(__xludf.DUMMYFUNCTION("""COMPUTED_VALUE"""),"")</f>
        <v/>
      </c>
      <c r="H1268" t="str">
        <f ca="1">IFERROR(__xludf.DUMMYFUNCTION("""COMPUTED_VALUE"""),"")</f>
        <v/>
      </c>
      <c r="I1268" t="str">
        <f ca="1">IFERROR(__xludf.DUMMYFUNCTION("""COMPUTED_VALUE"""),"")</f>
        <v/>
      </c>
      <c r="J1268" t="str">
        <f ca="1">IFERROR(__xludf.DUMMYFUNCTION("""COMPUTED_VALUE"""),"")</f>
        <v/>
      </c>
      <c r="K1268" t="str">
        <f ca="1">IFERROR(__xludf.DUMMYFUNCTION("""COMPUTED_VALUE"""),"")</f>
        <v/>
      </c>
      <c r="L1268" t="str">
        <f ca="1">IFERROR(__xludf.DUMMYFUNCTION("""COMPUTED_VALUE"""),"")</f>
        <v/>
      </c>
      <c r="M1268" t="str">
        <f ca="1">IFERROR(__xludf.DUMMYFUNCTION("""COMPUTED_VALUE"""),"")</f>
        <v/>
      </c>
      <c r="N1268" t="str">
        <f ca="1">IFERROR(__xludf.DUMMYFUNCTION("""COMPUTED_VALUE"""),"")</f>
        <v/>
      </c>
      <c r="O1268" t="str">
        <f ca="1">IFERROR(__xludf.DUMMYFUNCTION("""COMPUTED_VALUE"""),"")</f>
        <v/>
      </c>
      <c r="P1268" t="str">
        <f ca="1">IFERROR(__xludf.DUMMYFUNCTION("""COMPUTED_VALUE"""),"")</f>
        <v/>
      </c>
      <c r="Q1268" s="5" t="str">
        <f ca="1">IFERROR(__xludf.DUMMYFUNCTION("""COMPUTED_VALUE"""),"")</f>
        <v/>
      </c>
      <c r="R1268" s="6" t="str">
        <f ca="1">IFERROR(__xludf.DUMMYFUNCTION("""COMPUTED_VALUE"""),"")</f>
        <v/>
      </c>
      <c r="S1268" t="str">
        <f ca="1">IFERROR(__xludf.DUMMYFUNCTION("""COMPUTED_VALUE"""),"")</f>
        <v/>
      </c>
      <c r="T1268" t="str">
        <f ca="1">IFERROR(__xludf.DUMMYFUNCTION("""COMPUTED_VALUE"""),"")</f>
        <v/>
      </c>
      <c r="U1268" t="str">
        <f ca="1">IFERROR(__xludf.DUMMYFUNCTION("""COMPUTED_VALUE"""),"")</f>
        <v/>
      </c>
      <c r="V1268" t="str">
        <f ca="1">IFERROR(__xludf.DUMMYFUNCTION("""COMPUTED_VALUE"""),"")</f>
        <v/>
      </c>
      <c r="W1268" t="str">
        <f ca="1">IFERROR(__xludf.DUMMYFUNCTION("""COMPUTED_VALUE"""),"")</f>
        <v/>
      </c>
      <c r="X1268" t="str">
        <f ca="1">IFERROR(__xludf.DUMMYFUNCTION("""COMPUTED_VALUE"""),"")</f>
        <v/>
      </c>
      <c r="Y1268" t="str">
        <f ca="1">IFERROR(__xludf.DUMMYFUNCTION("""COMPUTED_VALUE"""),"")</f>
        <v/>
      </c>
      <c r="Z1268" t="str">
        <f ca="1">IFERROR(__xludf.DUMMYFUNCTION("""COMPUTED_VALUE"""),"")</f>
        <v/>
      </c>
      <c r="AA1268" t="str">
        <f ca="1">IFERROR(__xludf.DUMMYFUNCTION("""COMPUTED_VALUE"""),"")</f>
        <v/>
      </c>
      <c r="AB1268" s="8" t="str">
        <f ca="1">IFERROR(__xludf.DUMMYFUNCTION("""COMPUTED_VALUE"""),"")</f>
        <v/>
      </c>
      <c r="AC1268" s="8" t="str">
        <f ca="1">IFERROR(__xludf.DUMMYFUNCTION("""COMPUTED_VALUE"""),"")</f>
        <v/>
      </c>
      <c r="AD1268" s="11" t="str">
        <f ca="1">IFERROR(__xludf.DUMMYFUNCTION("""COMPUTED_VALUE"""),"")</f>
        <v/>
      </c>
      <c r="AE1268" t="str">
        <f ca="1">IFERROR(__xludf.DUMMYFUNCTION("""COMPUTED_VALUE"""),"")</f>
        <v/>
      </c>
    </row>
    <row r="1269" spans="1:31" ht="12.75" x14ac:dyDescent="0.2">
      <c r="A1269" t="str">
        <f ca="1">IFERROR(__xludf.DUMMYFUNCTION("""COMPUTED_VALUE"""),"")</f>
        <v/>
      </c>
      <c r="B1269" t="str">
        <f ca="1">IFERROR(__xludf.DUMMYFUNCTION("""COMPUTED_VALUE"""),"")</f>
        <v/>
      </c>
      <c r="C1269" t="str">
        <f ca="1">IFERROR(__xludf.DUMMYFUNCTION("""COMPUTED_VALUE"""),"")</f>
        <v/>
      </c>
      <c r="D1269" t="str">
        <f ca="1">IFERROR(__xludf.DUMMYFUNCTION("""COMPUTED_VALUE"""),"")</f>
        <v/>
      </c>
      <c r="E1269" t="str">
        <f ca="1">IFERROR(__xludf.DUMMYFUNCTION("""COMPUTED_VALUE"""),"")</f>
        <v/>
      </c>
      <c r="F1269" t="str">
        <f ca="1">IFERROR(__xludf.DUMMYFUNCTION("""COMPUTED_VALUE"""),"")</f>
        <v/>
      </c>
      <c r="G1269" t="str">
        <f ca="1">IFERROR(__xludf.DUMMYFUNCTION("""COMPUTED_VALUE"""),"")</f>
        <v/>
      </c>
      <c r="H1269" t="str">
        <f ca="1">IFERROR(__xludf.DUMMYFUNCTION("""COMPUTED_VALUE"""),"")</f>
        <v/>
      </c>
      <c r="I1269" t="str">
        <f ca="1">IFERROR(__xludf.DUMMYFUNCTION("""COMPUTED_VALUE"""),"")</f>
        <v/>
      </c>
      <c r="J1269" t="str">
        <f ca="1">IFERROR(__xludf.DUMMYFUNCTION("""COMPUTED_VALUE"""),"")</f>
        <v/>
      </c>
      <c r="K1269" t="str">
        <f ca="1">IFERROR(__xludf.DUMMYFUNCTION("""COMPUTED_VALUE"""),"")</f>
        <v/>
      </c>
      <c r="L1269" t="str">
        <f ca="1">IFERROR(__xludf.DUMMYFUNCTION("""COMPUTED_VALUE"""),"")</f>
        <v/>
      </c>
      <c r="M1269" t="str">
        <f ca="1">IFERROR(__xludf.DUMMYFUNCTION("""COMPUTED_VALUE"""),"")</f>
        <v/>
      </c>
      <c r="N1269" t="str">
        <f ca="1">IFERROR(__xludf.DUMMYFUNCTION("""COMPUTED_VALUE"""),"")</f>
        <v/>
      </c>
      <c r="O1269" t="str">
        <f ca="1">IFERROR(__xludf.DUMMYFUNCTION("""COMPUTED_VALUE"""),"")</f>
        <v/>
      </c>
      <c r="P1269" t="str">
        <f ca="1">IFERROR(__xludf.DUMMYFUNCTION("""COMPUTED_VALUE"""),"")</f>
        <v/>
      </c>
      <c r="Q1269" s="5" t="str">
        <f ca="1">IFERROR(__xludf.DUMMYFUNCTION("""COMPUTED_VALUE"""),"")</f>
        <v/>
      </c>
      <c r="R1269" s="6" t="str">
        <f ca="1">IFERROR(__xludf.DUMMYFUNCTION("""COMPUTED_VALUE"""),"")</f>
        <v/>
      </c>
      <c r="S1269" t="str">
        <f ca="1">IFERROR(__xludf.DUMMYFUNCTION("""COMPUTED_VALUE"""),"")</f>
        <v/>
      </c>
      <c r="T1269" t="str">
        <f ca="1">IFERROR(__xludf.DUMMYFUNCTION("""COMPUTED_VALUE"""),"")</f>
        <v/>
      </c>
      <c r="U1269" t="str">
        <f ca="1">IFERROR(__xludf.DUMMYFUNCTION("""COMPUTED_VALUE"""),"")</f>
        <v/>
      </c>
      <c r="V1269" t="str">
        <f ca="1">IFERROR(__xludf.DUMMYFUNCTION("""COMPUTED_VALUE"""),"")</f>
        <v/>
      </c>
      <c r="W1269" t="str">
        <f ca="1">IFERROR(__xludf.DUMMYFUNCTION("""COMPUTED_VALUE"""),"")</f>
        <v/>
      </c>
      <c r="X1269" t="str">
        <f ca="1">IFERROR(__xludf.DUMMYFUNCTION("""COMPUTED_VALUE"""),"")</f>
        <v/>
      </c>
      <c r="Y1269" t="str">
        <f ca="1">IFERROR(__xludf.DUMMYFUNCTION("""COMPUTED_VALUE"""),"")</f>
        <v/>
      </c>
      <c r="Z1269" t="str">
        <f ca="1">IFERROR(__xludf.DUMMYFUNCTION("""COMPUTED_VALUE"""),"")</f>
        <v/>
      </c>
      <c r="AA1269" t="str">
        <f ca="1">IFERROR(__xludf.DUMMYFUNCTION("""COMPUTED_VALUE"""),"")</f>
        <v/>
      </c>
      <c r="AB1269" s="8" t="str">
        <f ca="1">IFERROR(__xludf.DUMMYFUNCTION("""COMPUTED_VALUE"""),"")</f>
        <v/>
      </c>
      <c r="AC1269" s="8" t="str">
        <f ca="1">IFERROR(__xludf.DUMMYFUNCTION("""COMPUTED_VALUE"""),"")</f>
        <v/>
      </c>
      <c r="AD1269" s="11" t="str">
        <f ca="1">IFERROR(__xludf.DUMMYFUNCTION("""COMPUTED_VALUE"""),"")</f>
        <v/>
      </c>
      <c r="AE1269" t="str">
        <f ca="1">IFERROR(__xludf.DUMMYFUNCTION("""COMPUTED_VALUE"""),"")</f>
        <v/>
      </c>
    </row>
    <row r="1270" spans="1:31" ht="12.75" x14ac:dyDescent="0.2">
      <c r="A1270" t="str">
        <f ca="1">IFERROR(__xludf.DUMMYFUNCTION("""COMPUTED_VALUE"""),"")</f>
        <v/>
      </c>
      <c r="B1270" t="str">
        <f ca="1">IFERROR(__xludf.DUMMYFUNCTION("""COMPUTED_VALUE"""),"")</f>
        <v/>
      </c>
      <c r="C1270" t="str">
        <f ca="1">IFERROR(__xludf.DUMMYFUNCTION("""COMPUTED_VALUE"""),"")</f>
        <v/>
      </c>
      <c r="D1270" t="str">
        <f ca="1">IFERROR(__xludf.DUMMYFUNCTION("""COMPUTED_VALUE"""),"")</f>
        <v/>
      </c>
      <c r="E1270" t="str">
        <f ca="1">IFERROR(__xludf.DUMMYFUNCTION("""COMPUTED_VALUE"""),"")</f>
        <v/>
      </c>
      <c r="F1270" t="str">
        <f ca="1">IFERROR(__xludf.DUMMYFUNCTION("""COMPUTED_VALUE"""),"")</f>
        <v/>
      </c>
      <c r="G1270" t="str">
        <f ca="1">IFERROR(__xludf.DUMMYFUNCTION("""COMPUTED_VALUE"""),"")</f>
        <v/>
      </c>
      <c r="H1270" t="str">
        <f ca="1">IFERROR(__xludf.DUMMYFUNCTION("""COMPUTED_VALUE"""),"")</f>
        <v/>
      </c>
      <c r="I1270" t="str">
        <f ca="1">IFERROR(__xludf.DUMMYFUNCTION("""COMPUTED_VALUE"""),"")</f>
        <v/>
      </c>
      <c r="J1270" t="str">
        <f ca="1">IFERROR(__xludf.DUMMYFUNCTION("""COMPUTED_VALUE"""),"")</f>
        <v/>
      </c>
      <c r="K1270" t="str">
        <f ca="1">IFERROR(__xludf.DUMMYFUNCTION("""COMPUTED_VALUE"""),"")</f>
        <v/>
      </c>
      <c r="L1270" t="str">
        <f ca="1">IFERROR(__xludf.DUMMYFUNCTION("""COMPUTED_VALUE"""),"")</f>
        <v/>
      </c>
      <c r="M1270" t="str">
        <f ca="1">IFERROR(__xludf.DUMMYFUNCTION("""COMPUTED_VALUE"""),"")</f>
        <v/>
      </c>
      <c r="N1270" t="str">
        <f ca="1">IFERROR(__xludf.DUMMYFUNCTION("""COMPUTED_VALUE"""),"")</f>
        <v/>
      </c>
      <c r="O1270" t="str">
        <f ca="1">IFERROR(__xludf.DUMMYFUNCTION("""COMPUTED_VALUE"""),"")</f>
        <v/>
      </c>
      <c r="P1270" t="str">
        <f ca="1">IFERROR(__xludf.DUMMYFUNCTION("""COMPUTED_VALUE"""),"")</f>
        <v/>
      </c>
      <c r="Q1270" s="5" t="str">
        <f ca="1">IFERROR(__xludf.DUMMYFUNCTION("""COMPUTED_VALUE"""),"")</f>
        <v/>
      </c>
      <c r="R1270" s="6" t="str">
        <f ca="1">IFERROR(__xludf.DUMMYFUNCTION("""COMPUTED_VALUE"""),"")</f>
        <v/>
      </c>
      <c r="S1270" t="str">
        <f ca="1">IFERROR(__xludf.DUMMYFUNCTION("""COMPUTED_VALUE"""),"")</f>
        <v/>
      </c>
      <c r="T1270" t="str">
        <f ca="1">IFERROR(__xludf.DUMMYFUNCTION("""COMPUTED_VALUE"""),"")</f>
        <v/>
      </c>
      <c r="U1270" t="str">
        <f ca="1">IFERROR(__xludf.DUMMYFUNCTION("""COMPUTED_VALUE"""),"")</f>
        <v/>
      </c>
      <c r="V1270" t="str">
        <f ca="1">IFERROR(__xludf.DUMMYFUNCTION("""COMPUTED_VALUE"""),"")</f>
        <v/>
      </c>
      <c r="W1270" t="str">
        <f ca="1">IFERROR(__xludf.DUMMYFUNCTION("""COMPUTED_VALUE"""),"")</f>
        <v/>
      </c>
      <c r="X1270" t="str">
        <f ca="1">IFERROR(__xludf.DUMMYFUNCTION("""COMPUTED_VALUE"""),"")</f>
        <v/>
      </c>
      <c r="Y1270" t="str">
        <f ca="1">IFERROR(__xludf.DUMMYFUNCTION("""COMPUTED_VALUE"""),"")</f>
        <v/>
      </c>
      <c r="Z1270" t="str">
        <f ca="1">IFERROR(__xludf.DUMMYFUNCTION("""COMPUTED_VALUE"""),"")</f>
        <v/>
      </c>
      <c r="AA1270" t="str">
        <f ca="1">IFERROR(__xludf.DUMMYFUNCTION("""COMPUTED_VALUE"""),"")</f>
        <v/>
      </c>
      <c r="AB1270" s="8" t="str">
        <f ca="1">IFERROR(__xludf.DUMMYFUNCTION("""COMPUTED_VALUE"""),"")</f>
        <v/>
      </c>
      <c r="AC1270" s="8" t="str">
        <f ca="1">IFERROR(__xludf.DUMMYFUNCTION("""COMPUTED_VALUE"""),"")</f>
        <v/>
      </c>
      <c r="AD1270" s="11" t="str">
        <f ca="1">IFERROR(__xludf.DUMMYFUNCTION("""COMPUTED_VALUE"""),"")</f>
        <v/>
      </c>
      <c r="AE1270" t="str">
        <f ca="1">IFERROR(__xludf.DUMMYFUNCTION("""COMPUTED_VALUE"""),"")</f>
        <v/>
      </c>
    </row>
    <row r="1271" spans="1:31" ht="12.75" x14ac:dyDescent="0.2">
      <c r="A1271" t="str">
        <f ca="1">IFERROR(__xludf.DUMMYFUNCTION("""COMPUTED_VALUE"""),"")</f>
        <v/>
      </c>
      <c r="B1271" t="str">
        <f ca="1">IFERROR(__xludf.DUMMYFUNCTION("""COMPUTED_VALUE"""),"")</f>
        <v/>
      </c>
      <c r="C1271" t="str">
        <f ca="1">IFERROR(__xludf.DUMMYFUNCTION("""COMPUTED_VALUE"""),"")</f>
        <v/>
      </c>
      <c r="D1271" t="str">
        <f ca="1">IFERROR(__xludf.DUMMYFUNCTION("""COMPUTED_VALUE"""),"")</f>
        <v/>
      </c>
      <c r="E1271" t="str">
        <f ca="1">IFERROR(__xludf.DUMMYFUNCTION("""COMPUTED_VALUE"""),"")</f>
        <v/>
      </c>
      <c r="F1271" t="str">
        <f ca="1">IFERROR(__xludf.DUMMYFUNCTION("""COMPUTED_VALUE"""),"")</f>
        <v/>
      </c>
      <c r="G1271" t="str">
        <f ca="1">IFERROR(__xludf.DUMMYFUNCTION("""COMPUTED_VALUE"""),"")</f>
        <v/>
      </c>
      <c r="H1271" t="str">
        <f ca="1">IFERROR(__xludf.DUMMYFUNCTION("""COMPUTED_VALUE"""),"")</f>
        <v/>
      </c>
      <c r="I1271" t="str">
        <f ca="1">IFERROR(__xludf.DUMMYFUNCTION("""COMPUTED_VALUE"""),"")</f>
        <v/>
      </c>
      <c r="J1271" t="str">
        <f ca="1">IFERROR(__xludf.DUMMYFUNCTION("""COMPUTED_VALUE"""),"")</f>
        <v/>
      </c>
      <c r="K1271" t="str">
        <f ca="1">IFERROR(__xludf.DUMMYFUNCTION("""COMPUTED_VALUE"""),"")</f>
        <v/>
      </c>
      <c r="L1271" t="str">
        <f ca="1">IFERROR(__xludf.DUMMYFUNCTION("""COMPUTED_VALUE"""),"")</f>
        <v/>
      </c>
      <c r="M1271" t="str">
        <f ca="1">IFERROR(__xludf.DUMMYFUNCTION("""COMPUTED_VALUE"""),"")</f>
        <v/>
      </c>
      <c r="N1271" t="str">
        <f ca="1">IFERROR(__xludf.DUMMYFUNCTION("""COMPUTED_VALUE"""),"")</f>
        <v/>
      </c>
      <c r="O1271" t="str">
        <f ca="1">IFERROR(__xludf.DUMMYFUNCTION("""COMPUTED_VALUE"""),"")</f>
        <v/>
      </c>
      <c r="P1271" t="str">
        <f ca="1">IFERROR(__xludf.DUMMYFUNCTION("""COMPUTED_VALUE"""),"")</f>
        <v/>
      </c>
      <c r="Q1271" s="5" t="str">
        <f ca="1">IFERROR(__xludf.DUMMYFUNCTION("""COMPUTED_VALUE"""),"")</f>
        <v/>
      </c>
      <c r="R1271" s="6" t="str">
        <f ca="1">IFERROR(__xludf.DUMMYFUNCTION("""COMPUTED_VALUE"""),"")</f>
        <v/>
      </c>
      <c r="S1271" t="str">
        <f ca="1">IFERROR(__xludf.DUMMYFUNCTION("""COMPUTED_VALUE"""),"")</f>
        <v/>
      </c>
      <c r="T1271" t="str">
        <f ca="1">IFERROR(__xludf.DUMMYFUNCTION("""COMPUTED_VALUE"""),"")</f>
        <v/>
      </c>
      <c r="U1271" t="str">
        <f ca="1">IFERROR(__xludf.DUMMYFUNCTION("""COMPUTED_VALUE"""),"")</f>
        <v/>
      </c>
      <c r="V1271" t="str">
        <f ca="1">IFERROR(__xludf.DUMMYFUNCTION("""COMPUTED_VALUE"""),"")</f>
        <v/>
      </c>
      <c r="W1271" t="str">
        <f ca="1">IFERROR(__xludf.DUMMYFUNCTION("""COMPUTED_VALUE"""),"")</f>
        <v/>
      </c>
      <c r="X1271" t="str">
        <f ca="1">IFERROR(__xludf.DUMMYFUNCTION("""COMPUTED_VALUE"""),"")</f>
        <v/>
      </c>
      <c r="Y1271" t="str">
        <f ca="1">IFERROR(__xludf.DUMMYFUNCTION("""COMPUTED_VALUE"""),"")</f>
        <v/>
      </c>
      <c r="Z1271" t="str">
        <f ca="1">IFERROR(__xludf.DUMMYFUNCTION("""COMPUTED_VALUE"""),"")</f>
        <v/>
      </c>
      <c r="AA1271" t="str">
        <f ca="1">IFERROR(__xludf.DUMMYFUNCTION("""COMPUTED_VALUE"""),"")</f>
        <v/>
      </c>
      <c r="AB1271" s="8" t="str">
        <f ca="1">IFERROR(__xludf.DUMMYFUNCTION("""COMPUTED_VALUE"""),"")</f>
        <v/>
      </c>
      <c r="AC1271" s="8" t="str">
        <f ca="1">IFERROR(__xludf.DUMMYFUNCTION("""COMPUTED_VALUE"""),"")</f>
        <v/>
      </c>
      <c r="AD1271" s="11" t="str">
        <f ca="1">IFERROR(__xludf.DUMMYFUNCTION("""COMPUTED_VALUE"""),"")</f>
        <v/>
      </c>
      <c r="AE1271" t="str">
        <f ca="1">IFERROR(__xludf.DUMMYFUNCTION("""COMPUTED_VALUE"""),"")</f>
        <v/>
      </c>
    </row>
    <row r="1272" spans="1:31" ht="12.75" x14ac:dyDescent="0.2">
      <c r="A1272" t="str">
        <f ca="1">IFERROR(__xludf.DUMMYFUNCTION("""COMPUTED_VALUE"""),"")</f>
        <v/>
      </c>
      <c r="B1272" t="str">
        <f ca="1">IFERROR(__xludf.DUMMYFUNCTION("""COMPUTED_VALUE"""),"")</f>
        <v/>
      </c>
      <c r="C1272" t="str">
        <f ca="1">IFERROR(__xludf.DUMMYFUNCTION("""COMPUTED_VALUE"""),"")</f>
        <v/>
      </c>
      <c r="D1272" t="str">
        <f ca="1">IFERROR(__xludf.DUMMYFUNCTION("""COMPUTED_VALUE"""),"")</f>
        <v/>
      </c>
      <c r="E1272" t="str">
        <f ca="1">IFERROR(__xludf.DUMMYFUNCTION("""COMPUTED_VALUE"""),"")</f>
        <v/>
      </c>
      <c r="F1272" t="str">
        <f ca="1">IFERROR(__xludf.DUMMYFUNCTION("""COMPUTED_VALUE"""),"")</f>
        <v/>
      </c>
      <c r="G1272" t="str">
        <f ca="1">IFERROR(__xludf.DUMMYFUNCTION("""COMPUTED_VALUE"""),"")</f>
        <v/>
      </c>
      <c r="H1272" t="str">
        <f ca="1">IFERROR(__xludf.DUMMYFUNCTION("""COMPUTED_VALUE"""),"")</f>
        <v/>
      </c>
      <c r="I1272" t="str">
        <f ca="1">IFERROR(__xludf.DUMMYFUNCTION("""COMPUTED_VALUE"""),"")</f>
        <v/>
      </c>
      <c r="J1272" t="str">
        <f ca="1">IFERROR(__xludf.DUMMYFUNCTION("""COMPUTED_VALUE"""),"")</f>
        <v/>
      </c>
      <c r="K1272" t="str">
        <f ca="1">IFERROR(__xludf.DUMMYFUNCTION("""COMPUTED_VALUE"""),"")</f>
        <v/>
      </c>
      <c r="L1272" t="str">
        <f ca="1">IFERROR(__xludf.DUMMYFUNCTION("""COMPUTED_VALUE"""),"")</f>
        <v/>
      </c>
      <c r="M1272" t="str">
        <f ca="1">IFERROR(__xludf.DUMMYFUNCTION("""COMPUTED_VALUE"""),"")</f>
        <v/>
      </c>
      <c r="N1272" t="str">
        <f ca="1">IFERROR(__xludf.DUMMYFUNCTION("""COMPUTED_VALUE"""),"")</f>
        <v/>
      </c>
      <c r="O1272" t="str">
        <f ca="1">IFERROR(__xludf.DUMMYFUNCTION("""COMPUTED_VALUE"""),"")</f>
        <v/>
      </c>
      <c r="P1272" t="str">
        <f ca="1">IFERROR(__xludf.DUMMYFUNCTION("""COMPUTED_VALUE"""),"")</f>
        <v/>
      </c>
      <c r="Q1272" s="5" t="str">
        <f ca="1">IFERROR(__xludf.DUMMYFUNCTION("""COMPUTED_VALUE"""),"")</f>
        <v/>
      </c>
      <c r="R1272" s="6" t="str">
        <f ca="1">IFERROR(__xludf.DUMMYFUNCTION("""COMPUTED_VALUE"""),"")</f>
        <v/>
      </c>
      <c r="S1272" t="str">
        <f ca="1">IFERROR(__xludf.DUMMYFUNCTION("""COMPUTED_VALUE"""),"")</f>
        <v/>
      </c>
      <c r="T1272" t="str">
        <f ca="1">IFERROR(__xludf.DUMMYFUNCTION("""COMPUTED_VALUE"""),"")</f>
        <v/>
      </c>
      <c r="U1272" t="str">
        <f ca="1">IFERROR(__xludf.DUMMYFUNCTION("""COMPUTED_VALUE"""),"")</f>
        <v/>
      </c>
      <c r="V1272" t="str">
        <f ca="1">IFERROR(__xludf.DUMMYFUNCTION("""COMPUTED_VALUE"""),"")</f>
        <v/>
      </c>
      <c r="W1272" t="str">
        <f ca="1">IFERROR(__xludf.DUMMYFUNCTION("""COMPUTED_VALUE"""),"")</f>
        <v/>
      </c>
      <c r="X1272" t="str">
        <f ca="1">IFERROR(__xludf.DUMMYFUNCTION("""COMPUTED_VALUE"""),"")</f>
        <v/>
      </c>
      <c r="Y1272" t="str">
        <f ca="1">IFERROR(__xludf.DUMMYFUNCTION("""COMPUTED_VALUE"""),"")</f>
        <v/>
      </c>
      <c r="Z1272" t="str">
        <f ca="1">IFERROR(__xludf.DUMMYFUNCTION("""COMPUTED_VALUE"""),"")</f>
        <v/>
      </c>
      <c r="AA1272" t="str">
        <f ca="1">IFERROR(__xludf.DUMMYFUNCTION("""COMPUTED_VALUE"""),"")</f>
        <v/>
      </c>
      <c r="AB1272" s="8" t="str">
        <f ca="1">IFERROR(__xludf.DUMMYFUNCTION("""COMPUTED_VALUE"""),"")</f>
        <v/>
      </c>
      <c r="AC1272" s="8" t="str">
        <f ca="1">IFERROR(__xludf.DUMMYFUNCTION("""COMPUTED_VALUE"""),"")</f>
        <v/>
      </c>
      <c r="AD1272" s="11" t="str">
        <f ca="1">IFERROR(__xludf.DUMMYFUNCTION("""COMPUTED_VALUE"""),"")</f>
        <v/>
      </c>
      <c r="AE1272" t="str">
        <f ca="1">IFERROR(__xludf.DUMMYFUNCTION("""COMPUTED_VALUE"""),"")</f>
        <v/>
      </c>
    </row>
    <row r="1273" spans="1:31" ht="12.75" x14ac:dyDescent="0.2">
      <c r="A1273" t="str">
        <f ca="1">IFERROR(__xludf.DUMMYFUNCTION("""COMPUTED_VALUE"""),"")</f>
        <v/>
      </c>
      <c r="B1273" t="str">
        <f ca="1">IFERROR(__xludf.DUMMYFUNCTION("""COMPUTED_VALUE"""),"")</f>
        <v/>
      </c>
      <c r="C1273" t="str">
        <f ca="1">IFERROR(__xludf.DUMMYFUNCTION("""COMPUTED_VALUE"""),"")</f>
        <v/>
      </c>
      <c r="D1273" t="str">
        <f ca="1">IFERROR(__xludf.DUMMYFUNCTION("""COMPUTED_VALUE"""),"")</f>
        <v/>
      </c>
      <c r="E1273" t="str">
        <f ca="1">IFERROR(__xludf.DUMMYFUNCTION("""COMPUTED_VALUE"""),"")</f>
        <v/>
      </c>
      <c r="F1273" t="str">
        <f ca="1">IFERROR(__xludf.DUMMYFUNCTION("""COMPUTED_VALUE"""),"")</f>
        <v/>
      </c>
      <c r="G1273" t="str">
        <f ca="1">IFERROR(__xludf.DUMMYFUNCTION("""COMPUTED_VALUE"""),"")</f>
        <v/>
      </c>
      <c r="H1273" t="str">
        <f ca="1">IFERROR(__xludf.DUMMYFUNCTION("""COMPUTED_VALUE"""),"")</f>
        <v/>
      </c>
      <c r="I1273" t="str">
        <f ca="1">IFERROR(__xludf.DUMMYFUNCTION("""COMPUTED_VALUE"""),"")</f>
        <v/>
      </c>
      <c r="J1273" t="str">
        <f ca="1">IFERROR(__xludf.DUMMYFUNCTION("""COMPUTED_VALUE"""),"")</f>
        <v/>
      </c>
      <c r="K1273" t="str">
        <f ca="1">IFERROR(__xludf.DUMMYFUNCTION("""COMPUTED_VALUE"""),"")</f>
        <v/>
      </c>
      <c r="L1273" t="str">
        <f ca="1">IFERROR(__xludf.DUMMYFUNCTION("""COMPUTED_VALUE"""),"")</f>
        <v/>
      </c>
      <c r="M1273" t="str">
        <f ca="1">IFERROR(__xludf.DUMMYFUNCTION("""COMPUTED_VALUE"""),"")</f>
        <v/>
      </c>
      <c r="N1273" t="str">
        <f ca="1">IFERROR(__xludf.DUMMYFUNCTION("""COMPUTED_VALUE"""),"")</f>
        <v/>
      </c>
      <c r="O1273" t="str">
        <f ca="1">IFERROR(__xludf.DUMMYFUNCTION("""COMPUTED_VALUE"""),"")</f>
        <v/>
      </c>
      <c r="P1273" t="str">
        <f ca="1">IFERROR(__xludf.DUMMYFUNCTION("""COMPUTED_VALUE"""),"")</f>
        <v/>
      </c>
      <c r="Q1273" s="5" t="str">
        <f ca="1">IFERROR(__xludf.DUMMYFUNCTION("""COMPUTED_VALUE"""),"")</f>
        <v/>
      </c>
      <c r="R1273" s="6" t="str">
        <f ca="1">IFERROR(__xludf.DUMMYFUNCTION("""COMPUTED_VALUE"""),"")</f>
        <v/>
      </c>
      <c r="S1273" t="str">
        <f ca="1">IFERROR(__xludf.DUMMYFUNCTION("""COMPUTED_VALUE"""),"")</f>
        <v/>
      </c>
      <c r="T1273" t="str">
        <f ca="1">IFERROR(__xludf.DUMMYFUNCTION("""COMPUTED_VALUE"""),"")</f>
        <v/>
      </c>
      <c r="U1273" t="str">
        <f ca="1">IFERROR(__xludf.DUMMYFUNCTION("""COMPUTED_VALUE"""),"")</f>
        <v/>
      </c>
      <c r="V1273" t="str">
        <f ca="1">IFERROR(__xludf.DUMMYFUNCTION("""COMPUTED_VALUE"""),"")</f>
        <v/>
      </c>
      <c r="W1273" t="str">
        <f ca="1">IFERROR(__xludf.DUMMYFUNCTION("""COMPUTED_VALUE"""),"")</f>
        <v/>
      </c>
      <c r="X1273" t="str">
        <f ca="1">IFERROR(__xludf.DUMMYFUNCTION("""COMPUTED_VALUE"""),"")</f>
        <v/>
      </c>
      <c r="Y1273" t="str">
        <f ca="1">IFERROR(__xludf.DUMMYFUNCTION("""COMPUTED_VALUE"""),"")</f>
        <v/>
      </c>
      <c r="Z1273" t="str">
        <f ca="1">IFERROR(__xludf.DUMMYFUNCTION("""COMPUTED_VALUE"""),"")</f>
        <v/>
      </c>
      <c r="AA1273" t="str">
        <f ca="1">IFERROR(__xludf.DUMMYFUNCTION("""COMPUTED_VALUE"""),"")</f>
        <v/>
      </c>
      <c r="AB1273" s="8" t="str">
        <f ca="1">IFERROR(__xludf.DUMMYFUNCTION("""COMPUTED_VALUE"""),"")</f>
        <v/>
      </c>
      <c r="AC1273" s="8" t="str">
        <f ca="1">IFERROR(__xludf.DUMMYFUNCTION("""COMPUTED_VALUE"""),"")</f>
        <v/>
      </c>
      <c r="AD1273" s="11" t="str">
        <f ca="1">IFERROR(__xludf.DUMMYFUNCTION("""COMPUTED_VALUE"""),"")</f>
        <v/>
      </c>
      <c r="AE1273" t="str">
        <f ca="1">IFERROR(__xludf.DUMMYFUNCTION("""COMPUTED_VALUE"""),"")</f>
        <v/>
      </c>
    </row>
    <row r="1274" spans="1:31" ht="12.75" x14ac:dyDescent="0.2">
      <c r="A1274" t="str">
        <f ca="1">IFERROR(__xludf.DUMMYFUNCTION("""COMPUTED_VALUE"""),"")</f>
        <v/>
      </c>
      <c r="B1274" t="str">
        <f ca="1">IFERROR(__xludf.DUMMYFUNCTION("""COMPUTED_VALUE"""),"")</f>
        <v/>
      </c>
      <c r="C1274" t="str">
        <f ca="1">IFERROR(__xludf.DUMMYFUNCTION("""COMPUTED_VALUE"""),"")</f>
        <v/>
      </c>
      <c r="D1274" t="str">
        <f ca="1">IFERROR(__xludf.DUMMYFUNCTION("""COMPUTED_VALUE"""),"")</f>
        <v/>
      </c>
      <c r="E1274" t="str">
        <f ca="1">IFERROR(__xludf.DUMMYFUNCTION("""COMPUTED_VALUE"""),"")</f>
        <v/>
      </c>
      <c r="F1274" t="str">
        <f ca="1">IFERROR(__xludf.DUMMYFUNCTION("""COMPUTED_VALUE"""),"")</f>
        <v/>
      </c>
      <c r="G1274" t="str">
        <f ca="1">IFERROR(__xludf.DUMMYFUNCTION("""COMPUTED_VALUE"""),"")</f>
        <v/>
      </c>
      <c r="H1274" t="str">
        <f ca="1">IFERROR(__xludf.DUMMYFUNCTION("""COMPUTED_VALUE"""),"")</f>
        <v/>
      </c>
      <c r="I1274" t="str">
        <f ca="1">IFERROR(__xludf.DUMMYFUNCTION("""COMPUTED_VALUE"""),"")</f>
        <v/>
      </c>
      <c r="J1274" t="str">
        <f ca="1">IFERROR(__xludf.DUMMYFUNCTION("""COMPUTED_VALUE"""),"")</f>
        <v/>
      </c>
      <c r="K1274" t="str">
        <f ca="1">IFERROR(__xludf.DUMMYFUNCTION("""COMPUTED_VALUE"""),"")</f>
        <v/>
      </c>
      <c r="L1274" t="str">
        <f ca="1">IFERROR(__xludf.DUMMYFUNCTION("""COMPUTED_VALUE"""),"")</f>
        <v/>
      </c>
      <c r="M1274" t="str">
        <f ca="1">IFERROR(__xludf.DUMMYFUNCTION("""COMPUTED_VALUE"""),"")</f>
        <v/>
      </c>
      <c r="N1274" t="str">
        <f ca="1">IFERROR(__xludf.DUMMYFUNCTION("""COMPUTED_VALUE"""),"")</f>
        <v/>
      </c>
      <c r="O1274" t="str">
        <f ca="1">IFERROR(__xludf.DUMMYFUNCTION("""COMPUTED_VALUE"""),"")</f>
        <v/>
      </c>
      <c r="P1274" t="str">
        <f ca="1">IFERROR(__xludf.DUMMYFUNCTION("""COMPUTED_VALUE"""),"")</f>
        <v/>
      </c>
      <c r="Q1274" s="5" t="str">
        <f ca="1">IFERROR(__xludf.DUMMYFUNCTION("""COMPUTED_VALUE"""),"")</f>
        <v/>
      </c>
      <c r="R1274" s="6" t="str">
        <f ca="1">IFERROR(__xludf.DUMMYFUNCTION("""COMPUTED_VALUE"""),"")</f>
        <v/>
      </c>
      <c r="S1274" t="str">
        <f ca="1">IFERROR(__xludf.DUMMYFUNCTION("""COMPUTED_VALUE"""),"")</f>
        <v/>
      </c>
      <c r="T1274" t="str">
        <f ca="1">IFERROR(__xludf.DUMMYFUNCTION("""COMPUTED_VALUE"""),"")</f>
        <v/>
      </c>
      <c r="U1274" t="str">
        <f ca="1">IFERROR(__xludf.DUMMYFUNCTION("""COMPUTED_VALUE"""),"")</f>
        <v/>
      </c>
      <c r="V1274" t="str">
        <f ca="1">IFERROR(__xludf.DUMMYFUNCTION("""COMPUTED_VALUE"""),"")</f>
        <v/>
      </c>
      <c r="W1274" t="str">
        <f ca="1">IFERROR(__xludf.DUMMYFUNCTION("""COMPUTED_VALUE"""),"")</f>
        <v/>
      </c>
      <c r="X1274" t="str">
        <f ca="1">IFERROR(__xludf.DUMMYFUNCTION("""COMPUTED_VALUE"""),"")</f>
        <v/>
      </c>
      <c r="Y1274" t="str">
        <f ca="1">IFERROR(__xludf.DUMMYFUNCTION("""COMPUTED_VALUE"""),"")</f>
        <v/>
      </c>
      <c r="Z1274" t="str">
        <f ca="1">IFERROR(__xludf.DUMMYFUNCTION("""COMPUTED_VALUE"""),"")</f>
        <v/>
      </c>
      <c r="AA1274" t="str">
        <f ca="1">IFERROR(__xludf.DUMMYFUNCTION("""COMPUTED_VALUE"""),"")</f>
        <v/>
      </c>
      <c r="AB1274" s="8" t="str">
        <f ca="1">IFERROR(__xludf.DUMMYFUNCTION("""COMPUTED_VALUE"""),"")</f>
        <v/>
      </c>
      <c r="AC1274" s="8" t="str">
        <f ca="1">IFERROR(__xludf.DUMMYFUNCTION("""COMPUTED_VALUE"""),"")</f>
        <v/>
      </c>
      <c r="AD1274" s="11" t="str">
        <f ca="1">IFERROR(__xludf.DUMMYFUNCTION("""COMPUTED_VALUE"""),"")</f>
        <v/>
      </c>
      <c r="AE1274" t="str">
        <f ca="1">IFERROR(__xludf.DUMMYFUNCTION("""COMPUTED_VALUE"""),"")</f>
        <v/>
      </c>
    </row>
    <row r="1275" spans="1:31" ht="12.75" x14ac:dyDescent="0.2">
      <c r="A1275" t="str">
        <f ca="1">IFERROR(__xludf.DUMMYFUNCTION("""COMPUTED_VALUE"""),"")</f>
        <v/>
      </c>
      <c r="B1275" t="str">
        <f ca="1">IFERROR(__xludf.DUMMYFUNCTION("""COMPUTED_VALUE"""),"")</f>
        <v/>
      </c>
      <c r="C1275" t="str">
        <f ca="1">IFERROR(__xludf.DUMMYFUNCTION("""COMPUTED_VALUE"""),"")</f>
        <v/>
      </c>
      <c r="D1275" t="str">
        <f ca="1">IFERROR(__xludf.DUMMYFUNCTION("""COMPUTED_VALUE"""),"")</f>
        <v/>
      </c>
      <c r="E1275" t="str">
        <f ca="1">IFERROR(__xludf.DUMMYFUNCTION("""COMPUTED_VALUE"""),"")</f>
        <v/>
      </c>
      <c r="F1275" t="str">
        <f ca="1">IFERROR(__xludf.DUMMYFUNCTION("""COMPUTED_VALUE"""),"")</f>
        <v/>
      </c>
      <c r="G1275" t="str">
        <f ca="1">IFERROR(__xludf.DUMMYFUNCTION("""COMPUTED_VALUE"""),"")</f>
        <v/>
      </c>
      <c r="H1275" t="str">
        <f ca="1">IFERROR(__xludf.DUMMYFUNCTION("""COMPUTED_VALUE"""),"")</f>
        <v/>
      </c>
      <c r="I1275" t="str">
        <f ca="1">IFERROR(__xludf.DUMMYFUNCTION("""COMPUTED_VALUE"""),"")</f>
        <v/>
      </c>
      <c r="J1275" t="str">
        <f ca="1">IFERROR(__xludf.DUMMYFUNCTION("""COMPUTED_VALUE"""),"")</f>
        <v/>
      </c>
      <c r="K1275" t="str">
        <f ca="1">IFERROR(__xludf.DUMMYFUNCTION("""COMPUTED_VALUE"""),"")</f>
        <v/>
      </c>
      <c r="L1275" t="str">
        <f ca="1">IFERROR(__xludf.DUMMYFUNCTION("""COMPUTED_VALUE"""),"")</f>
        <v/>
      </c>
      <c r="M1275" t="str">
        <f ca="1">IFERROR(__xludf.DUMMYFUNCTION("""COMPUTED_VALUE"""),"")</f>
        <v/>
      </c>
      <c r="N1275" t="str">
        <f ca="1">IFERROR(__xludf.DUMMYFUNCTION("""COMPUTED_VALUE"""),"")</f>
        <v/>
      </c>
      <c r="O1275" t="str">
        <f ca="1">IFERROR(__xludf.DUMMYFUNCTION("""COMPUTED_VALUE"""),"")</f>
        <v/>
      </c>
      <c r="P1275" t="str">
        <f ca="1">IFERROR(__xludf.DUMMYFUNCTION("""COMPUTED_VALUE"""),"")</f>
        <v/>
      </c>
      <c r="Q1275" s="5" t="str">
        <f ca="1">IFERROR(__xludf.DUMMYFUNCTION("""COMPUTED_VALUE"""),"")</f>
        <v/>
      </c>
      <c r="R1275" s="6" t="str">
        <f ca="1">IFERROR(__xludf.DUMMYFUNCTION("""COMPUTED_VALUE"""),"")</f>
        <v/>
      </c>
      <c r="S1275" t="str">
        <f ca="1">IFERROR(__xludf.DUMMYFUNCTION("""COMPUTED_VALUE"""),"")</f>
        <v/>
      </c>
      <c r="T1275" t="str">
        <f ca="1">IFERROR(__xludf.DUMMYFUNCTION("""COMPUTED_VALUE"""),"")</f>
        <v/>
      </c>
      <c r="U1275" t="str">
        <f ca="1">IFERROR(__xludf.DUMMYFUNCTION("""COMPUTED_VALUE"""),"")</f>
        <v/>
      </c>
      <c r="V1275" t="str">
        <f ca="1">IFERROR(__xludf.DUMMYFUNCTION("""COMPUTED_VALUE"""),"")</f>
        <v/>
      </c>
      <c r="W1275" t="str">
        <f ca="1">IFERROR(__xludf.DUMMYFUNCTION("""COMPUTED_VALUE"""),"")</f>
        <v/>
      </c>
      <c r="X1275" t="str">
        <f ca="1">IFERROR(__xludf.DUMMYFUNCTION("""COMPUTED_VALUE"""),"")</f>
        <v/>
      </c>
      <c r="Y1275" t="str">
        <f ca="1">IFERROR(__xludf.DUMMYFUNCTION("""COMPUTED_VALUE"""),"")</f>
        <v/>
      </c>
      <c r="Z1275" t="str">
        <f ca="1">IFERROR(__xludf.DUMMYFUNCTION("""COMPUTED_VALUE"""),"")</f>
        <v/>
      </c>
      <c r="AA1275" t="str">
        <f ca="1">IFERROR(__xludf.DUMMYFUNCTION("""COMPUTED_VALUE"""),"")</f>
        <v/>
      </c>
      <c r="AB1275" s="8" t="str">
        <f ca="1">IFERROR(__xludf.DUMMYFUNCTION("""COMPUTED_VALUE"""),"")</f>
        <v/>
      </c>
      <c r="AC1275" s="8" t="str">
        <f ca="1">IFERROR(__xludf.DUMMYFUNCTION("""COMPUTED_VALUE"""),"")</f>
        <v/>
      </c>
      <c r="AD1275" s="11" t="str">
        <f ca="1">IFERROR(__xludf.DUMMYFUNCTION("""COMPUTED_VALUE"""),"")</f>
        <v/>
      </c>
      <c r="AE1275" t="str">
        <f ca="1">IFERROR(__xludf.DUMMYFUNCTION("""COMPUTED_VALUE"""),"")</f>
        <v/>
      </c>
    </row>
    <row r="1276" spans="1:31" ht="12.75" x14ac:dyDescent="0.2">
      <c r="A1276" t="str">
        <f ca="1">IFERROR(__xludf.DUMMYFUNCTION("""COMPUTED_VALUE"""),"")</f>
        <v/>
      </c>
      <c r="B1276" t="str">
        <f ca="1">IFERROR(__xludf.DUMMYFUNCTION("""COMPUTED_VALUE"""),"")</f>
        <v/>
      </c>
      <c r="C1276" t="str">
        <f ca="1">IFERROR(__xludf.DUMMYFUNCTION("""COMPUTED_VALUE"""),"")</f>
        <v/>
      </c>
      <c r="D1276" t="str">
        <f ca="1">IFERROR(__xludf.DUMMYFUNCTION("""COMPUTED_VALUE"""),"")</f>
        <v/>
      </c>
      <c r="E1276" t="str">
        <f ca="1">IFERROR(__xludf.DUMMYFUNCTION("""COMPUTED_VALUE"""),"")</f>
        <v/>
      </c>
      <c r="F1276" t="str">
        <f ca="1">IFERROR(__xludf.DUMMYFUNCTION("""COMPUTED_VALUE"""),"")</f>
        <v/>
      </c>
      <c r="G1276" t="str">
        <f ca="1">IFERROR(__xludf.DUMMYFUNCTION("""COMPUTED_VALUE"""),"")</f>
        <v/>
      </c>
      <c r="H1276" t="str">
        <f ca="1">IFERROR(__xludf.DUMMYFUNCTION("""COMPUTED_VALUE"""),"")</f>
        <v/>
      </c>
      <c r="I1276" t="str">
        <f ca="1">IFERROR(__xludf.DUMMYFUNCTION("""COMPUTED_VALUE"""),"")</f>
        <v/>
      </c>
      <c r="J1276" t="str">
        <f ca="1">IFERROR(__xludf.DUMMYFUNCTION("""COMPUTED_VALUE"""),"")</f>
        <v/>
      </c>
      <c r="K1276" t="str">
        <f ca="1">IFERROR(__xludf.DUMMYFUNCTION("""COMPUTED_VALUE"""),"")</f>
        <v/>
      </c>
      <c r="L1276" t="str">
        <f ca="1">IFERROR(__xludf.DUMMYFUNCTION("""COMPUTED_VALUE"""),"")</f>
        <v/>
      </c>
      <c r="M1276" t="str">
        <f ca="1">IFERROR(__xludf.DUMMYFUNCTION("""COMPUTED_VALUE"""),"")</f>
        <v/>
      </c>
      <c r="N1276" t="str">
        <f ca="1">IFERROR(__xludf.DUMMYFUNCTION("""COMPUTED_VALUE"""),"")</f>
        <v/>
      </c>
      <c r="O1276" t="str">
        <f ca="1">IFERROR(__xludf.DUMMYFUNCTION("""COMPUTED_VALUE"""),"")</f>
        <v/>
      </c>
      <c r="P1276" t="str">
        <f ca="1">IFERROR(__xludf.DUMMYFUNCTION("""COMPUTED_VALUE"""),"")</f>
        <v/>
      </c>
      <c r="Q1276" s="5" t="str">
        <f ca="1">IFERROR(__xludf.DUMMYFUNCTION("""COMPUTED_VALUE"""),"")</f>
        <v/>
      </c>
      <c r="R1276" s="6" t="str">
        <f ca="1">IFERROR(__xludf.DUMMYFUNCTION("""COMPUTED_VALUE"""),"")</f>
        <v/>
      </c>
      <c r="S1276" t="str">
        <f ca="1">IFERROR(__xludf.DUMMYFUNCTION("""COMPUTED_VALUE"""),"")</f>
        <v/>
      </c>
      <c r="T1276" t="str">
        <f ca="1">IFERROR(__xludf.DUMMYFUNCTION("""COMPUTED_VALUE"""),"")</f>
        <v/>
      </c>
      <c r="U1276" t="str">
        <f ca="1">IFERROR(__xludf.DUMMYFUNCTION("""COMPUTED_VALUE"""),"")</f>
        <v/>
      </c>
      <c r="V1276" t="str">
        <f ca="1">IFERROR(__xludf.DUMMYFUNCTION("""COMPUTED_VALUE"""),"")</f>
        <v/>
      </c>
      <c r="W1276" t="str">
        <f ca="1">IFERROR(__xludf.DUMMYFUNCTION("""COMPUTED_VALUE"""),"")</f>
        <v/>
      </c>
      <c r="X1276" t="str">
        <f ca="1">IFERROR(__xludf.DUMMYFUNCTION("""COMPUTED_VALUE"""),"")</f>
        <v/>
      </c>
      <c r="Y1276" t="str">
        <f ca="1">IFERROR(__xludf.DUMMYFUNCTION("""COMPUTED_VALUE"""),"")</f>
        <v/>
      </c>
      <c r="Z1276" t="str">
        <f ca="1">IFERROR(__xludf.DUMMYFUNCTION("""COMPUTED_VALUE"""),"")</f>
        <v/>
      </c>
      <c r="AA1276" t="str">
        <f ca="1">IFERROR(__xludf.DUMMYFUNCTION("""COMPUTED_VALUE"""),"")</f>
        <v/>
      </c>
      <c r="AB1276" s="8" t="str">
        <f ca="1">IFERROR(__xludf.DUMMYFUNCTION("""COMPUTED_VALUE"""),"")</f>
        <v/>
      </c>
      <c r="AC1276" s="8" t="str">
        <f ca="1">IFERROR(__xludf.DUMMYFUNCTION("""COMPUTED_VALUE"""),"")</f>
        <v/>
      </c>
      <c r="AD1276" s="11" t="str">
        <f ca="1">IFERROR(__xludf.DUMMYFUNCTION("""COMPUTED_VALUE"""),"")</f>
        <v/>
      </c>
      <c r="AE1276" t="str">
        <f ca="1">IFERROR(__xludf.DUMMYFUNCTION("""COMPUTED_VALUE"""),"")</f>
        <v/>
      </c>
    </row>
    <row r="1277" spans="1:31" ht="12.75" x14ac:dyDescent="0.2">
      <c r="A1277" t="str">
        <f ca="1">IFERROR(__xludf.DUMMYFUNCTION("""COMPUTED_VALUE"""),"")</f>
        <v/>
      </c>
      <c r="B1277" t="str">
        <f ca="1">IFERROR(__xludf.DUMMYFUNCTION("""COMPUTED_VALUE"""),"")</f>
        <v/>
      </c>
      <c r="C1277" t="str">
        <f ca="1">IFERROR(__xludf.DUMMYFUNCTION("""COMPUTED_VALUE"""),"")</f>
        <v/>
      </c>
      <c r="D1277" t="str">
        <f ca="1">IFERROR(__xludf.DUMMYFUNCTION("""COMPUTED_VALUE"""),"")</f>
        <v/>
      </c>
      <c r="E1277" t="str">
        <f ca="1">IFERROR(__xludf.DUMMYFUNCTION("""COMPUTED_VALUE"""),"")</f>
        <v/>
      </c>
      <c r="F1277" t="str">
        <f ca="1">IFERROR(__xludf.DUMMYFUNCTION("""COMPUTED_VALUE"""),"")</f>
        <v/>
      </c>
      <c r="G1277" t="str">
        <f ca="1">IFERROR(__xludf.DUMMYFUNCTION("""COMPUTED_VALUE"""),"")</f>
        <v/>
      </c>
      <c r="H1277" t="str">
        <f ca="1">IFERROR(__xludf.DUMMYFUNCTION("""COMPUTED_VALUE"""),"")</f>
        <v/>
      </c>
      <c r="I1277" t="str">
        <f ca="1">IFERROR(__xludf.DUMMYFUNCTION("""COMPUTED_VALUE"""),"")</f>
        <v/>
      </c>
      <c r="J1277" t="str">
        <f ca="1">IFERROR(__xludf.DUMMYFUNCTION("""COMPUTED_VALUE"""),"")</f>
        <v/>
      </c>
      <c r="K1277" t="str">
        <f ca="1">IFERROR(__xludf.DUMMYFUNCTION("""COMPUTED_VALUE"""),"")</f>
        <v/>
      </c>
      <c r="L1277" t="str">
        <f ca="1">IFERROR(__xludf.DUMMYFUNCTION("""COMPUTED_VALUE"""),"")</f>
        <v/>
      </c>
      <c r="M1277" t="str">
        <f ca="1">IFERROR(__xludf.DUMMYFUNCTION("""COMPUTED_VALUE"""),"")</f>
        <v/>
      </c>
      <c r="N1277" t="str">
        <f ca="1">IFERROR(__xludf.DUMMYFUNCTION("""COMPUTED_VALUE"""),"")</f>
        <v/>
      </c>
      <c r="O1277" t="str">
        <f ca="1">IFERROR(__xludf.DUMMYFUNCTION("""COMPUTED_VALUE"""),"")</f>
        <v/>
      </c>
      <c r="P1277" t="str">
        <f ca="1">IFERROR(__xludf.DUMMYFUNCTION("""COMPUTED_VALUE"""),"")</f>
        <v/>
      </c>
      <c r="Q1277" s="5" t="str">
        <f ca="1">IFERROR(__xludf.DUMMYFUNCTION("""COMPUTED_VALUE"""),"")</f>
        <v/>
      </c>
      <c r="R1277" s="6" t="str">
        <f ca="1">IFERROR(__xludf.DUMMYFUNCTION("""COMPUTED_VALUE"""),"")</f>
        <v/>
      </c>
      <c r="S1277" t="str">
        <f ca="1">IFERROR(__xludf.DUMMYFUNCTION("""COMPUTED_VALUE"""),"")</f>
        <v/>
      </c>
      <c r="T1277" t="str">
        <f ca="1">IFERROR(__xludf.DUMMYFUNCTION("""COMPUTED_VALUE"""),"")</f>
        <v/>
      </c>
      <c r="U1277" t="str">
        <f ca="1">IFERROR(__xludf.DUMMYFUNCTION("""COMPUTED_VALUE"""),"")</f>
        <v/>
      </c>
      <c r="V1277" t="str">
        <f ca="1">IFERROR(__xludf.DUMMYFUNCTION("""COMPUTED_VALUE"""),"")</f>
        <v/>
      </c>
      <c r="W1277" t="str">
        <f ca="1">IFERROR(__xludf.DUMMYFUNCTION("""COMPUTED_VALUE"""),"")</f>
        <v/>
      </c>
      <c r="X1277" t="str">
        <f ca="1">IFERROR(__xludf.DUMMYFUNCTION("""COMPUTED_VALUE"""),"")</f>
        <v/>
      </c>
      <c r="Y1277" t="str">
        <f ca="1">IFERROR(__xludf.DUMMYFUNCTION("""COMPUTED_VALUE"""),"")</f>
        <v/>
      </c>
      <c r="Z1277" t="str">
        <f ca="1">IFERROR(__xludf.DUMMYFUNCTION("""COMPUTED_VALUE"""),"")</f>
        <v/>
      </c>
      <c r="AA1277" t="str">
        <f ca="1">IFERROR(__xludf.DUMMYFUNCTION("""COMPUTED_VALUE"""),"")</f>
        <v/>
      </c>
      <c r="AB1277" s="8" t="str">
        <f ca="1">IFERROR(__xludf.DUMMYFUNCTION("""COMPUTED_VALUE"""),"")</f>
        <v/>
      </c>
      <c r="AC1277" s="8" t="str">
        <f ca="1">IFERROR(__xludf.DUMMYFUNCTION("""COMPUTED_VALUE"""),"")</f>
        <v/>
      </c>
      <c r="AD1277" s="11" t="str">
        <f ca="1">IFERROR(__xludf.DUMMYFUNCTION("""COMPUTED_VALUE"""),"")</f>
        <v/>
      </c>
      <c r="AE1277" t="str">
        <f ca="1">IFERROR(__xludf.DUMMYFUNCTION("""COMPUTED_VALUE"""),"")</f>
        <v/>
      </c>
    </row>
    <row r="1278" spans="1:31" ht="12.75" x14ac:dyDescent="0.2">
      <c r="A1278" t="str">
        <f ca="1">IFERROR(__xludf.DUMMYFUNCTION("""COMPUTED_VALUE"""),"")</f>
        <v/>
      </c>
      <c r="B1278" t="str">
        <f ca="1">IFERROR(__xludf.DUMMYFUNCTION("""COMPUTED_VALUE"""),"")</f>
        <v/>
      </c>
      <c r="C1278" t="str">
        <f ca="1">IFERROR(__xludf.DUMMYFUNCTION("""COMPUTED_VALUE"""),"")</f>
        <v/>
      </c>
      <c r="D1278" t="str">
        <f ca="1">IFERROR(__xludf.DUMMYFUNCTION("""COMPUTED_VALUE"""),"")</f>
        <v/>
      </c>
      <c r="E1278" t="str">
        <f ca="1">IFERROR(__xludf.DUMMYFUNCTION("""COMPUTED_VALUE"""),"")</f>
        <v/>
      </c>
      <c r="F1278" t="str">
        <f ca="1">IFERROR(__xludf.DUMMYFUNCTION("""COMPUTED_VALUE"""),"")</f>
        <v/>
      </c>
      <c r="G1278" t="str">
        <f ca="1">IFERROR(__xludf.DUMMYFUNCTION("""COMPUTED_VALUE"""),"")</f>
        <v/>
      </c>
      <c r="H1278" t="str">
        <f ca="1">IFERROR(__xludf.DUMMYFUNCTION("""COMPUTED_VALUE"""),"")</f>
        <v/>
      </c>
      <c r="I1278" t="str">
        <f ca="1">IFERROR(__xludf.DUMMYFUNCTION("""COMPUTED_VALUE"""),"")</f>
        <v/>
      </c>
      <c r="J1278" t="str">
        <f ca="1">IFERROR(__xludf.DUMMYFUNCTION("""COMPUTED_VALUE"""),"")</f>
        <v/>
      </c>
      <c r="K1278" t="str">
        <f ca="1">IFERROR(__xludf.DUMMYFUNCTION("""COMPUTED_VALUE"""),"")</f>
        <v/>
      </c>
      <c r="L1278" t="str">
        <f ca="1">IFERROR(__xludf.DUMMYFUNCTION("""COMPUTED_VALUE"""),"")</f>
        <v/>
      </c>
      <c r="M1278" t="str">
        <f ca="1">IFERROR(__xludf.DUMMYFUNCTION("""COMPUTED_VALUE"""),"")</f>
        <v/>
      </c>
      <c r="N1278" t="str">
        <f ca="1">IFERROR(__xludf.DUMMYFUNCTION("""COMPUTED_VALUE"""),"")</f>
        <v/>
      </c>
      <c r="O1278" t="str">
        <f ca="1">IFERROR(__xludf.DUMMYFUNCTION("""COMPUTED_VALUE"""),"")</f>
        <v/>
      </c>
      <c r="P1278" t="str">
        <f ca="1">IFERROR(__xludf.DUMMYFUNCTION("""COMPUTED_VALUE"""),"")</f>
        <v/>
      </c>
      <c r="Q1278" s="5" t="str">
        <f ca="1">IFERROR(__xludf.DUMMYFUNCTION("""COMPUTED_VALUE"""),"")</f>
        <v/>
      </c>
      <c r="R1278" s="6" t="str">
        <f ca="1">IFERROR(__xludf.DUMMYFUNCTION("""COMPUTED_VALUE"""),"")</f>
        <v/>
      </c>
      <c r="S1278" t="str">
        <f ca="1">IFERROR(__xludf.DUMMYFUNCTION("""COMPUTED_VALUE"""),"")</f>
        <v/>
      </c>
      <c r="T1278" t="str">
        <f ca="1">IFERROR(__xludf.DUMMYFUNCTION("""COMPUTED_VALUE"""),"")</f>
        <v/>
      </c>
      <c r="U1278" t="str">
        <f ca="1">IFERROR(__xludf.DUMMYFUNCTION("""COMPUTED_VALUE"""),"")</f>
        <v/>
      </c>
      <c r="V1278" t="str">
        <f ca="1">IFERROR(__xludf.DUMMYFUNCTION("""COMPUTED_VALUE"""),"")</f>
        <v/>
      </c>
      <c r="W1278" t="str">
        <f ca="1">IFERROR(__xludf.DUMMYFUNCTION("""COMPUTED_VALUE"""),"")</f>
        <v/>
      </c>
      <c r="X1278" t="str">
        <f ca="1">IFERROR(__xludf.DUMMYFUNCTION("""COMPUTED_VALUE"""),"")</f>
        <v/>
      </c>
      <c r="Y1278" t="str">
        <f ca="1">IFERROR(__xludf.DUMMYFUNCTION("""COMPUTED_VALUE"""),"")</f>
        <v/>
      </c>
      <c r="Z1278" t="str">
        <f ca="1">IFERROR(__xludf.DUMMYFUNCTION("""COMPUTED_VALUE"""),"")</f>
        <v/>
      </c>
      <c r="AA1278" t="str">
        <f ca="1">IFERROR(__xludf.DUMMYFUNCTION("""COMPUTED_VALUE"""),"")</f>
        <v/>
      </c>
      <c r="AB1278" s="8" t="str">
        <f ca="1">IFERROR(__xludf.DUMMYFUNCTION("""COMPUTED_VALUE"""),"")</f>
        <v/>
      </c>
      <c r="AC1278" s="8" t="str">
        <f ca="1">IFERROR(__xludf.DUMMYFUNCTION("""COMPUTED_VALUE"""),"")</f>
        <v/>
      </c>
      <c r="AD1278" s="11" t="str">
        <f ca="1">IFERROR(__xludf.DUMMYFUNCTION("""COMPUTED_VALUE"""),"")</f>
        <v/>
      </c>
      <c r="AE1278" t="str">
        <f ca="1">IFERROR(__xludf.DUMMYFUNCTION("""COMPUTED_VALUE"""),"")</f>
        <v/>
      </c>
    </row>
    <row r="1279" spans="1:31" ht="12.75" x14ac:dyDescent="0.2">
      <c r="A1279" t="str">
        <f ca="1">IFERROR(__xludf.DUMMYFUNCTION("""COMPUTED_VALUE"""),"")</f>
        <v/>
      </c>
      <c r="B1279" t="str">
        <f ca="1">IFERROR(__xludf.DUMMYFUNCTION("""COMPUTED_VALUE"""),"")</f>
        <v/>
      </c>
      <c r="C1279" t="str">
        <f ca="1">IFERROR(__xludf.DUMMYFUNCTION("""COMPUTED_VALUE"""),"")</f>
        <v/>
      </c>
      <c r="D1279" t="str">
        <f ca="1">IFERROR(__xludf.DUMMYFUNCTION("""COMPUTED_VALUE"""),"")</f>
        <v/>
      </c>
      <c r="E1279" t="str">
        <f ca="1">IFERROR(__xludf.DUMMYFUNCTION("""COMPUTED_VALUE"""),"")</f>
        <v/>
      </c>
      <c r="F1279" t="str">
        <f ca="1">IFERROR(__xludf.DUMMYFUNCTION("""COMPUTED_VALUE"""),"")</f>
        <v/>
      </c>
      <c r="G1279" t="str">
        <f ca="1">IFERROR(__xludf.DUMMYFUNCTION("""COMPUTED_VALUE"""),"")</f>
        <v/>
      </c>
      <c r="H1279" t="str">
        <f ca="1">IFERROR(__xludf.DUMMYFUNCTION("""COMPUTED_VALUE"""),"")</f>
        <v/>
      </c>
      <c r="I1279" t="str">
        <f ca="1">IFERROR(__xludf.DUMMYFUNCTION("""COMPUTED_VALUE"""),"")</f>
        <v/>
      </c>
      <c r="J1279" t="str">
        <f ca="1">IFERROR(__xludf.DUMMYFUNCTION("""COMPUTED_VALUE"""),"")</f>
        <v/>
      </c>
      <c r="K1279" t="str">
        <f ca="1">IFERROR(__xludf.DUMMYFUNCTION("""COMPUTED_VALUE"""),"")</f>
        <v/>
      </c>
      <c r="L1279" t="str">
        <f ca="1">IFERROR(__xludf.DUMMYFUNCTION("""COMPUTED_VALUE"""),"")</f>
        <v/>
      </c>
      <c r="M1279" t="str">
        <f ca="1">IFERROR(__xludf.DUMMYFUNCTION("""COMPUTED_VALUE"""),"")</f>
        <v/>
      </c>
      <c r="N1279" t="str">
        <f ca="1">IFERROR(__xludf.DUMMYFUNCTION("""COMPUTED_VALUE"""),"")</f>
        <v/>
      </c>
      <c r="O1279" t="str">
        <f ca="1">IFERROR(__xludf.DUMMYFUNCTION("""COMPUTED_VALUE"""),"")</f>
        <v/>
      </c>
      <c r="P1279" t="str">
        <f ca="1">IFERROR(__xludf.DUMMYFUNCTION("""COMPUTED_VALUE"""),"")</f>
        <v/>
      </c>
      <c r="Q1279" s="5" t="str">
        <f ca="1">IFERROR(__xludf.DUMMYFUNCTION("""COMPUTED_VALUE"""),"")</f>
        <v/>
      </c>
      <c r="R1279" s="6" t="str">
        <f ca="1">IFERROR(__xludf.DUMMYFUNCTION("""COMPUTED_VALUE"""),"")</f>
        <v/>
      </c>
      <c r="S1279" t="str">
        <f ca="1">IFERROR(__xludf.DUMMYFUNCTION("""COMPUTED_VALUE"""),"")</f>
        <v/>
      </c>
      <c r="T1279" t="str">
        <f ca="1">IFERROR(__xludf.DUMMYFUNCTION("""COMPUTED_VALUE"""),"")</f>
        <v/>
      </c>
      <c r="U1279" t="str">
        <f ca="1">IFERROR(__xludf.DUMMYFUNCTION("""COMPUTED_VALUE"""),"")</f>
        <v/>
      </c>
      <c r="V1279" t="str">
        <f ca="1">IFERROR(__xludf.DUMMYFUNCTION("""COMPUTED_VALUE"""),"")</f>
        <v/>
      </c>
      <c r="W1279" t="str">
        <f ca="1">IFERROR(__xludf.DUMMYFUNCTION("""COMPUTED_VALUE"""),"")</f>
        <v/>
      </c>
      <c r="X1279" t="str">
        <f ca="1">IFERROR(__xludf.DUMMYFUNCTION("""COMPUTED_VALUE"""),"")</f>
        <v/>
      </c>
      <c r="Y1279" t="str">
        <f ca="1">IFERROR(__xludf.DUMMYFUNCTION("""COMPUTED_VALUE"""),"")</f>
        <v/>
      </c>
      <c r="Z1279" t="str">
        <f ca="1">IFERROR(__xludf.DUMMYFUNCTION("""COMPUTED_VALUE"""),"")</f>
        <v/>
      </c>
      <c r="AA1279" t="str">
        <f ca="1">IFERROR(__xludf.DUMMYFUNCTION("""COMPUTED_VALUE"""),"")</f>
        <v/>
      </c>
      <c r="AB1279" s="8" t="str">
        <f ca="1">IFERROR(__xludf.DUMMYFUNCTION("""COMPUTED_VALUE"""),"")</f>
        <v/>
      </c>
      <c r="AC1279" s="8" t="str">
        <f ca="1">IFERROR(__xludf.DUMMYFUNCTION("""COMPUTED_VALUE"""),"")</f>
        <v/>
      </c>
      <c r="AD1279" s="11" t="str">
        <f ca="1">IFERROR(__xludf.DUMMYFUNCTION("""COMPUTED_VALUE"""),"")</f>
        <v/>
      </c>
      <c r="AE1279" t="str">
        <f ca="1">IFERROR(__xludf.DUMMYFUNCTION("""COMPUTED_VALUE"""),"")</f>
        <v/>
      </c>
    </row>
    <row r="1280" spans="1:31" ht="12.75" x14ac:dyDescent="0.2">
      <c r="A1280" t="str">
        <f ca="1">IFERROR(__xludf.DUMMYFUNCTION("""COMPUTED_VALUE"""),"")</f>
        <v/>
      </c>
      <c r="B1280" t="str">
        <f ca="1">IFERROR(__xludf.DUMMYFUNCTION("""COMPUTED_VALUE"""),"")</f>
        <v/>
      </c>
      <c r="C1280" t="str">
        <f ca="1">IFERROR(__xludf.DUMMYFUNCTION("""COMPUTED_VALUE"""),"")</f>
        <v/>
      </c>
      <c r="D1280" t="str">
        <f ca="1">IFERROR(__xludf.DUMMYFUNCTION("""COMPUTED_VALUE"""),"")</f>
        <v/>
      </c>
      <c r="E1280" t="str">
        <f ca="1">IFERROR(__xludf.DUMMYFUNCTION("""COMPUTED_VALUE"""),"")</f>
        <v/>
      </c>
      <c r="F1280" t="str">
        <f ca="1">IFERROR(__xludf.DUMMYFUNCTION("""COMPUTED_VALUE"""),"")</f>
        <v/>
      </c>
      <c r="G1280" t="str">
        <f ca="1">IFERROR(__xludf.DUMMYFUNCTION("""COMPUTED_VALUE"""),"")</f>
        <v/>
      </c>
      <c r="H1280" t="str">
        <f ca="1">IFERROR(__xludf.DUMMYFUNCTION("""COMPUTED_VALUE"""),"")</f>
        <v/>
      </c>
      <c r="I1280" t="str">
        <f ca="1">IFERROR(__xludf.DUMMYFUNCTION("""COMPUTED_VALUE"""),"")</f>
        <v/>
      </c>
      <c r="J1280" t="str">
        <f ca="1">IFERROR(__xludf.DUMMYFUNCTION("""COMPUTED_VALUE"""),"")</f>
        <v/>
      </c>
      <c r="K1280" t="str">
        <f ca="1">IFERROR(__xludf.DUMMYFUNCTION("""COMPUTED_VALUE"""),"")</f>
        <v/>
      </c>
      <c r="L1280" t="str">
        <f ca="1">IFERROR(__xludf.DUMMYFUNCTION("""COMPUTED_VALUE"""),"")</f>
        <v/>
      </c>
      <c r="M1280" t="str">
        <f ca="1">IFERROR(__xludf.DUMMYFUNCTION("""COMPUTED_VALUE"""),"")</f>
        <v/>
      </c>
      <c r="N1280" t="str">
        <f ca="1">IFERROR(__xludf.DUMMYFUNCTION("""COMPUTED_VALUE"""),"")</f>
        <v/>
      </c>
      <c r="O1280" t="str">
        <f ca="1">IFERROR(__xludf.DUMMYFUNCTION("""COMPUTED_VALUE"""),"")</f>
        <v/>
      </c>
      <c r="P1280" t="str">
        <f ca="1">IFERROR(__xludf.DUMMYFUNCTION("""COMPUTED_VALUE"""),"")</f>
        <v/>
      </c>
      <c r="Q1280" s="5" t="str">
        <f ca="1">IFERROR(__xludf.DUMMYFUNCTION("""COMPUTED_VALUE"""),"")</f>
        <v/>
      </c>
      <c r="R1280" s="6" t="str">
        <f ca="1">IFERROR(__xludf.DUMMYFUNCTION("""COMPUTED_VALUE"""),"")</f>
        <v/>
      </c>
      <c r="S1280" t="str">
        <f ca="1">IFERROR(__xludf.DUMMYFUNCTION("""COMPUTED_VALUE"""),"")</f>
        <v/>
      </c>
      <c r="T1280" t="str">
        <f ca="1">IFERROR(__xludf.DUMMYFUNCTION("""COMPUTED_VALUE"""),"")</f>
        <v/>
      </c>
      <c r="U1280" t="str">
        <f ca="1">IFERROR(__xludf.DUMMYFUNCTION("""COMPUTED_VALUE"""),"")</f>
        <v/>
      </c>
      <c r="V1280" t="str">
        <f ca="1">IFERROR(__xludf.DUMMYFUNCTION("""COMPUTED_VALUE"""),"")</f>
        <v/>
      </c>
      <c r="W1280" t="str">
        <f ca="1">IFERROR(__xludf.DUMMYFUNCTION("""COMPUTED_VALUE"""),"")</f>
        <v/>
      </c>
      <c r="X1280" t="str">
        <f ca="1">IFERROR(__xludf.DUMMYFUNCTION("""COMPUTED_VALUE"""),"")</f>
        <v/>
      </c>
      <c r="Y1280" t="str">
        <f ca="1">IFERROR(__xludf.DUMMYFUNCTION("""COMPUTED_VALUE"""),"")</f>
        <v/>
      </c>
      <c r="Z1280" t="str">
        <f ca="1">IFERROR(__xludf.DUMMYFUNCTION("""COMPUTED_VALUE"""),"")</f>
        <v/>
      </c>
      <c r="AA1280" t="str">
        <f ca="1">IFERROR(__xludf.DUMMYFUNCTION("""COMPUTED_VALUE"""),"")</f>
        <v/>
      </c>
      <c r="AB1280" s="8" t="str">
        <f ca="1">IFERROR(__xludf.DUMMYFUNCTION("""COMPUTED_VALUE"""),"")</f>
        <v/>
      </c>
      <c r="AC1280" s="8" t="str">
        <f ca="1">IFERROR(__xludf.DUMMYFUNCTION("""COMPUTED_VALUE"""),"")</f>
        <v/>
      </c>
      <c r="AD1280" s="11" t="str">
        <f ca="1">IFERROR(__xludf.DUMMYFUNCTION("""COMPUTED_VALUE"""),"")</f>
        <v/>
      </c>
      <c r="AE1280" t="str">
        <f ca="1">IFERROR(__xludf.DUMMYFUNCTION("""COMPUTED_VALUE"""),"")</f>
        <v/>
      </c>
    </row>
    <row r="1281" spans="1:31" ht="12.75" x14ac:dyDescent="0.2">
      <c r="A1281" t="str">
        <f ca="1">IFERROR(__xludf.DUMMYFUNCTION("""COMPUTED_VALUE"""),"")</f>
        <v/>
      </c>
      <c r="B1281" t="str">
        <f ca="1">IFERROR(__xludf.DUMMYFUNCTION("""COMPUTED_VALUE"""),"")</f>
        <v/>
      </c>
      <c r="C1281" t="str">
        <f ca="1">IFERROR(__xludf.DUMMYFUNCTION("""COMPUTED_VALUE"""),"")</f>
        <v/>
      </c>
      <c r="D1281" t="str">
        <f ca="1">IFERROR(__xludf.DUMMYFUNCTION("""COMPUTED_VALUE"""),"")</f>
        <v/>
      </c>
      <c r="E1281" t="str">
        <f ca="1">IFERROR(__xludf.DUMMYFUNCTION("""COMPUTED_VALUE"""),"")</f>
        <v/>
      </c>
      <c r="F1281" t="str">
        <f ca="1">IFERROR(__xludf.DUMMYFUNCTION("""COMPUTED_VALUE"""),"")</f>
        <v/>
      </c>
      <c r="G1281" t="str">
        <f ca="1">IFERROR(__xludf.DUMMYFUNCTION("""COMPUTED_VALUE"""),"")</f>
        <v/>
      </c>
      <c r="H1281" t="str">
        <f ca="1">IFERROR(__xludf.DUMMYFUNCTION("""COMPUTED_VALUE"""),"")</f>
        <v/>
      </c>
      <c r="I1281" t="str">
        <f ca="1">IFERROR(__xludf.DUMMYFUNCTION("""COMPUTED_VALUE"""),"")</f>
        <v/>
      </c>
      <c r="J1281" t="str">
        <f ca="1">IFERROR(__xludf.DUMMYFUNCTION("""COMPUTED_VALUE"""),"")</f>
        <v/>
      </c>
      <c r="K1281" t="str">
        <f ca="1">IFERROR(__xludf.DUMMYFUNCTION("""COMPUTED_VALUE"""),"")</f>
        <v/>
      </c>
      <c r="L1281" t="str">
        <f ca="1">IFERROR(__xludf.DUMMYFUNCTION("""COMPUTED_VALUE"""),"")</f>
        <v/>
      </c>
      <c r="M1281" t="str">
        <f ca="1">IFERROR(__xludf.DUMMYFUNCTION("""COMPUTED_VALUE"""),"")</f>
        <v/>
      </c>
      <c r="N1281" t="str">
        <f ca="1">IFERROR(__xludf.DUMMYFUNCTION("""COMPUTED_VALUE"""),"")</f>
        <v/>
      </c>
      <c r="O1281" t="str">
        <f ca="1">IFERROR(__xludf.DUMMYFUNCTION("""COMPUTED_VALUE"""),"")</f>
        <v/>
      </c>
      <c r="P1281" t="str">
        <f ca="1">IFERROR(__xludf.DUMMYFUNCTION("""COMPUTED_VALUE"""),"")</f>
        <v/>
      </c>
      <c r="Q1281" s="5" t="str">
        <f ca="1">IFERROR(__xludf.DUMMYFUNCTION("""COMPUTED_VALUE"""),"")</f>
        <v/>
      </c>
      <c r="R1281" s="6" t="str">
        <f ca="1">IFERROR(__xludf.DUMMYFUNCTION("""COMPUTED_VALUE"""),"")</f>
        <v/>
      </c>
      <c r="S1281" t="str">
        <f ca="1">IFERROR(__xludf.DUMMYFUNCTION("""COMPUTED_VALUE"""),"")</f>
        <v/>
      </c>
      <c r="T1281" t="str">
        <f ca="1">IFERROR(__xludf.DUMMYFUNCTION("""COMPUTED_VALUE"""),"")</f>
        <v/>
      </c>
      <c r="U1281" t="str">
        <f ca="1">IFERROR(__xludf.DUMMYFUNCTION("""COMPUTED_VALUE"""),"")</f>
        <v/>
      </c>
      <c r="V1281" t="str">
        <f ca="1">IFERROR(__xludf.DUMMYFUNCTION("""COMPUTED_VALUE"""),"")</f>
        <v/>
      </c>
      <c r="W1281" t="str">
        <f ca="1">IFERROR(__xludf.DUMMYFUNCTION("""COMPUTED_VALUE"""),"")</f>
        <v/>
      </c>
      <c r="X1281" t="str">
        <f ca="1">IFERROR(__xludf.DUMMYFUNCTION("""COMPUTED_VALUE"""),"")</f>
        <v/>
      </c>
      <c r="Y1281" t="str">
        <f ca="1">IFERROR(__xludf.DUMMYFUNCTION("""COMPUTED_VALUE"""),"")</f>
        <v/>
      </c>
      <c r="Z1281" t="str">
        <f ca="1">IFERROR(__xludf.DUMMYFUNCTION("""COMPUTED_VALUE"""),"")</f>
        <v/>
      </c>
      <c r="AA1281" t="str">
        <f ca="1">IFERROR(__xludf.DUMMYFUNCTION("""COMPUTED_VALUE"""),"")</f>
        <v/>
      </c>
      <c r="AB1281" s="8" t="str">
        <f ca="1">IFERROR(__xludf.DUMMYFUNCTION("""COMPUTED_VALUE"""),"")</f>
        <v/>
      </c>
      <c r="AC1281" s="8" t="str">
        <f ca="1">IFERROR(__xludf.DUMMYFUNCTION("""COMPUTED_VALUE"""),"")</f>
        <v/>
      </c>
      <c r="AD1281" s="11" t="str">
        <f ca="1">IFERROR(__xludf.DUMMYFUNCTION("""COMPUTED_VALUE"""),"")</f>
        <v/>
      </c>
      <c r="AE1281" t="str">
        <f ca="1">IFERROR(__xludf.DUMMYFUNCTION("""COMPUTED_VALUE"""),"")</f>
        <v/>
      </c>
    </row>
    <row r="1282" spans="1:31" ht="12.75" x14ac:dyDescent="0.2">
      <c r="A1282" t="str">
        <f ca="1">IFERROR(__xludf.DUMMYFUNCTION("""COMPUTED_VALUE"""),"")</f>
        <v/>
      </c>
      <c r="B1282" t="str">
        <f ca="1">IFERROR(__xludf.DUMMYFUNCTION("""COMPUTED_VALUE"""),"")</f>
        <v/>
      </c>
      <c r="C1282" t="str">
        <f ca="1">IFERROR(__xludf.DUMMYFUNCTION("""COMPUTED_VALUE"""),"")</f>
        <v/>
      </c>
      <c r="D1282" t="str">
        <f ca="1">IFERROR(__xludf.DUMMYFUNCTION("""COMPUTED_VALUE"""),"")</f>
        <v/>
      </c>
      <c r="E1282" t="str">
        <f ca="1">IFERROR(__xludf.DUMMYFUNCTION("""COMPUTED_VALUE"""),"")</f>
        <v/>
      </c>
      <c r="F1282" t="str">
        <f ca="1">IFERROR(__xludf.DUMMYFUNCTION("""COMPUTED_VALUE"""),"")</f>
        <v/>
      </c>
      <c r="G1282" t="str">
        <f ca="1">IFERROR(__xludf.DUMMYFUNCTION("""COMPUTED_VALUE"""),"")</f>
        <v/>
      </c>
      <c r="H1282" t="str">
        <f ca="1">IFERROR(__xludf.DUMMYFUNCTION("""COMPUTED_VALUE"""),"")</f>
        <v/>
      </c>
      <c r="I1282" t="str">
        <f ca="1">IFERROR(__xludf.DUMMYFUNCTION("""COMPUTED_VALUE"""),"")</f>
        <v/>
      </c>
      <c r="J1282" t="str">
        <f ca="1">IFERROR(__xludf.DUMMYFUNCTION("""COMPUTED_VALUE"""),"")</f>
        <v/>
      </c>
      <c r="K1282" t="str">
        <f ca="1">IFERROR(__xludf.DUMMYFUNCTION("""COMPUTED_VALUE"""),"")</f>
        <v/>
      </c>
      <c r="L1282" t="str">
        <f ca="1">IFERROR(__xludf.DUMMYFUNCTION("""COMPUTED_VALUE"""),"")</f>
        <v/>
      </c>
      <c r="M1282" t="str">
        <f ca="1">IFERROR(__xludf.DUMMYFUNCTION("""COMPUTED_VALUE"""),"")</f>
        <v/>
      </c>
      <c r="N1282" t="str">
        <f ca="1">IFERROR(__xludf.DUMMYFUNCTION("""COMPUTED_VALUE"""),"")</f>
        <v/>
      </c>
      <c r="O1282" t="str">
        <f ca="1">IFERROR(__xludf.DUMMYFUNCTION("""COMPUTED_VALUE"""),"")</f>
        <v/>
      </c>
      <c r="P1282" t="str">
        <f ca="1">IFERROR(__xludf.DUMMYFUNCTION("""COMPUTED_VALUE"""),"")</f>
        <v/>
      </c>
      <c r="Q1282" s="5" t="str">
        <f ca="1">IFERROR(__xludf.DUMMYFUNCTION("""COMPUTED_VALUE"""),"")</f>
        <v/>
      </c>
      <c r="R1282" s="6" t="str">
        <f ca="1">IFERROR(__xludf.DUMMYFUNCTION("""COMPUTED_VALUE"""),"")</f>
        <v/>
      </c>
      <c r="S1282" t="str">
        <f ca="1">IFERROR(__xludf.DUMMYFUNCTION("""COMPUTED_VALUE"""),"")</f>
        <v/>
      </c>
      <c r="T1282" t="str">
        <f ca="1">IFERROR(__xludf.DUMMYFUNCTION("""COMPUTED_VALUE"""),"")</f>
        <v/>
      </c>
      <c r="U1282" t="str">
        <f ca="1">IFERROR(__xludf.DUMMYFUNCTION("""COMPUTED_VALUE"""),"")</f>
        <v/>
      </c>
      <c r="V1282" t="str">
        <f ca="1">IFERROR(__xludf.DUMMYFUNCTION("""COMPUTED_VALUE"""),"")</f>
        <v/>
      </c>
      <c r="W1282" t="str">
        <f ca="1">IFERROR(__xludf.DUMMYFUNCTION("""COMPUTED_VALUE"""),"")</f>
        <v/>
      </c>
      <c r="X1282" t="str">
        <f ca="1">IFERROR(__xludf.DUMMYFUNCTION("""COMPUTED_VALUE"""),"")</f>
        <v/>
      </c>
      <c r="Y1282" t="str">
        <f ca="1">IFERROR(__xludf.DUMMYFUNCTION("""COMPUTED_VALUE"""),"")</f>
        <v/>
      </c>
      <c r="Z1282" t="str">
        <f ca="1">IFERROR(__xludf.DUMMYFUNCTION("""COMPUTED_VALUE"""),"")</f>
        <v/>
      </c>
      <c r="AA1282" t="str">
        <f ca="1">IFERROR(__xludf.DUMMYFUNCTION("""COMPUTED_VALUE"""),"")</f>
        <v/>
      </c>
      <c r="AB1282" s="8" t="str">
        <f ca="1">IFERROR(__xludf.DUMMYFUNCTION("""COMPUTED_VALUE"""),"")</f>
        <v/>
      </c>
      <c r="AC1282" s="8" t="str">
        <f ca="1">IFERROR(__xludf.DUMMYFUNCTION("""COMPUTED_VALUE"""),"")</f>
        <v/>
      </c>
      <c r="AD1282" s="11" t="str">
        <f ca="1">IFERROR(__xludf.DUMMYFUNCTION("""COMPUTED_VALUE"""),"")</f>
        <v/>
      </c>
      <c r="AE1282" t="str">
        <f ca="1">IFERROR(__xludf.DUMMYFUNCTION("""COMPUTED_VALUE"""),"")</f>
        <v/>
      </c>
    </row>
    <row r="1283" spans="1:31" ht="12.75" x14ac:dyDescent="0.2">
      <c r="A1283" t="str">
        <f ca="1">IFERROR(__xludf.DUMMYFUNCTION("""COMPUTED_VALUE"""),"")</f>
        <v/>
      </c>
      <c r="B1283" t="str">
        <f ca="1">IFERROR(__xludf.DUMMYFUNCTION("""COMPUTED_VALUE"""),"")</f>
        <v/>
      </c>
      <c r="C1283" t="str">
        <f ca="1">IFERROR(__xludf.DUMMYFUNCTION("""COMPUTED_VALUE"""),"")</f>
        <v/>
      </c>
      <c r="D1283" t="str">
        <f ca="1">IFERROR(__xludf.DUMMYFUNCTION("""COMPUTED_VALUE"""),"")</f>
        <v/>
      </c>
      <c r="E1283" t="str">
        <f ca="1">IFERROR(__xludf.DUMMYFUNCTION("""COMPUTED_VALUE"""),"")</f>
        <v/>
      </c>
      <c r="F1283" t="str">
        <f ca="1">IFERROR(__xludf.DUMMYFUNCTION("""COMPUTED_VALUE"""),"")</f>
        <v/>
      </c>
      <c r="G1283" t="str">
        <f ca="1">IFERROR(__xludf.DUMMYFUNCTION("""COMPUTED_VALUE"""),"")</f>
        <v/>
      </c>
      <c r="H1283" t="str">
        <f ca="1">IFERROR(__xludf.DUMMYFUNCTION("""COMPUTED_VALUE"""),"")</f>
        <v/>
      </c>
      <c r="I1283" t="str">
        <f ca="1">IFERROR(__xludf.DUMMYFUNCTION("""COMPUTED_VALUE"""),"")</f>
        <v/>
      </c>
      <c r="J1283" t="str">
        <f ca="1">IFERROR(__xludf.DUMMYFUNCTION("""COMPUTED_VALUE"""),"")</f>
        <v/>
      </c>
      <c r="K1283" t="str">
        <f ca="1">IFERROR(__xludf.DUMMYFUNCTION("""COMPUTED_VALUE"""),"")</f>
        <v/>
      </c>
      <c r="L1283" t="str">
        <f ca="1">IFERROR(__xludf.DUMMYFUNCTION("""COMPUTED_VALUE"""),"")</f>
        <v/>
      </c>
      <c r="M1283" t="str">
        <f ca="1">IFERROR(__xludf.DUMMYFUNCTION("""COMPUTED_VALUE"""),"")</f>
        <v/>
      </c>
      <c r="N1283" t="str">
        <f ca="1">IFERROR(__xludf.DUMMYFUNCTION("""COMPUTED_VALUE"""),"")</f>
        <v/>
      </c>
      <c r="O1283" t="str">
        <f ca="1">IFERROR(__xludf.DUMMYFUNCTION("""COMPUTED_VALUE"""),"")</f>
        <v/>
      </c>
      <c r="P1283" t="str">
        <f ca="1">IFERROR(__xludf.DUMMYFUNCTION("""COMPUTED_VALUE"""),"")</f>
        <v/>
      </c>
      <c r="Q1283" s="5" t="str">
        <f ca="1">IFERROR(__xludf.DUMMYFUNCTION("""COMPUTED_VALUE"""),"")</f>
        <v/>
      </c>
      <c r="R1283" s="6" t="str">
        <f ca="1">IFERROR(__xludf.DUMMYFUNCTION("""COMPUTED_VALUE"""),"")</f>
        <v/>
      </c>
      <c r="S1283" t="str">
        <f ca="1">IFERROR(__xludf.DUMMYFUNCTION("""COMPUTED_VALUE"""),"")</f>
        <v/>
      </c>
      <c r="T1283" t="str">
        <f ca="1">IFERROR(__xludf.DUMMYFUNCTION("""COMPUTED_VALUE"""),"")</f>
        <v/>
      </c>
      <c r="U1283" t="str">
        <f ca="1">IFERROR(__xludf.DUMMYFUNCTION("""COMPUTED_VALUE"""),"")</f>
        <v/>
      </c>
      <c r="V1283" t="str">
        <f ca="1">IFERROR(__xludf.DUMMYFUNCTION("""COMPUTED_VALUE"""),"")</f>
        <v/>
      </c>
      <c r="W1283" t="str">
        <f ca="1">IFERROR(__xludf.DUMMYFUNCTION("""COMPUTED_VALUE"""),"")</f>
        <v/>
      </c>
      <c r="X1283" t="str">
        <f ca="1">IFERROR(__xludf.DUMMYFUNCTION("""COMPUTED_VALUE"""),"")</f>
        <v/>
      </c>
      <c r="Y1283" t="str">
        <f ca="1">IFERROR(__xludf.DUMMYFUNCTION("""COMPUTED_VALUE"""),"")</f>
        <v/>
      </c>
      <c r="Z1283" t="str">
        <f ca="1">IFERROR(__xludf.DUMMYFUNCTION("""COMPUTED_VALUE"""),"")</f>
        <v/>
      </c>
      <c r="AA1283" t="str">
        <f ca="1">IFERROR(__xludf.DUMMYFUNCTION("""COMPUTED_VALUE"""),"")</f>
        <v/>
      </c>
      <c r="AB1283" s="8" t="str">
        <f ca="1">IFERROR(__xludf.DUMMYFUNCTION("""COMPUTED_VALUE"""),"")</f>
        <v/>
      </c>
      <c r="AC1283" s="8" t="str">
        <f ca="1">IFERROR(__xludf.DUMMYFUNCTION("""COMPUTED_VALUE"""),"")</f>
        <v/>
      </c>
      <c r="AD1283" s="11" t="str">
        <f ca="1">IFERROR(__xludf.DUMMYFUNCTION("""COMPUTED_VALUE"""),"")</f>
        <v/>
      </c>
      <c r="AE1283" t="str">
        <f ca="1">IFERROR(__xludf.DUMMYFUNCTION("""COMPUTED_VALUE"""),"")</f>
        <v/>
      </c>
    </row>
    <row r="1284" spans="1:31" ht="12.75" x14ac:dyDescent="0.2">
      <c r="A1284" t="str">
        <f ca="1">IFERROR(__xludf.DUMMYFUNCTION("""COMPUTED_VALUE"""),"")</f>
        <v/>
      </c>
      <c r="B1284" t="str">
        <f ca="1">IFERROR(__xludf.DUMMYFUNCTION("""COMPUTED_VALUE"""),"")</f>
        <v/>
      </c>
      <c r="C1284" t="str">
        <f ca="1">IFERROR(__xludf.DUMMYFUNCTION("""COMPUTED_VALUE"""),"")</f>
        <v/>
      </c>
      <c r="D1284" t="str">
        <f ca="1">IFERROR(__xludf.DUMMYFUNCTION("""COMPUTED_VALUE"""),"")</f>
        <v/>
      </c>
      <c r="E1284" t="str">
        <f ca="1">IFERROR(__xludf.DUMMYFUNCTION("""COMPUTED_VALUE"""),"")</f>
        <v/>
      </c>
      <c r="F1284" t="str">
        <f ca="1">IFERROR(__xludf.DUMMYFUNCTION("""COMPUTED_VALUE"""),"")</f>
        <v/>
      </c>
      <c r="G1284" t="str">
        <f ca="1">IFERROR(__xludf.DUMMYFUNCTION("""COMPUTED_VALUE"""),"")</f>
        <v/>
      </c>
      <c r="H1284" t="str">
        <f ca="1">IFERROR(__xludf.DUMMYFUNCTION("""COMPUTED_VALUE"""),"")</f>
        <v/>
      </c>
      <c r="I1284" t="str">
        <f ca="1">IFERROR(__xludf.DUMMYFUNCTION("""COMPUTED_VALUE"""),"")</f>
        <v/>
      </c>
      <c r="J1284" t="str">
        <f ca="1">IFERROR(__xludf.DUMMYFUNCTION("""COMPUTED_VALUE"""),"")</f>
        <v/>
      </c>
      <c r="K1284" t="str">
        <f ca="1">IFERROR(__xludf.DUMMYFUNCTION("""COMPUTED_VALUE"""),"")</f>
        <v/>
      </c>
      <c r="L1284" t="str">
        <f ca="1">IFERROR(__xludf.DUMMYFUNCTION("""COMPUTED_VALUE"""),"")</f>
        <v/>
      </c>
      <c r="M1284" t="str">
        <f ca="1">IFERROR(__xludf.DUMMYFUNCTION("""COMPUTED_VALUE"""),"")</f>
        <v/>
      </c>
      <c r="N1284" t="str">
        <f ca="1">IFERROR(__xludf.DUMMYFUNCTION("""COMPUTED_VALUE"""),"")</f>
        <v/>
      </c>
      <c r="O1284" t="str">
        <f ca="1">IFERROR(__xludf.DUMMYFUNCTION("""COMPUTED_VALUE"""),"")</f>
        <v/>
      </c>
      <c r="P1284" t="str">
        <f ca="1">IFERROR(__xludf.DUMMYFUNCTION("""COMPUTED_VALUE"""),"")</f>
        <v/>
      </c>
      <c r="Q1284" s="5" t="str">
        <f ca="1">IFERROR(__xludf.DUMMYFUNCTION("""COMPUTED_VALUE"""),"")</f>
        <v/>
      </c>
      <c r="R1284" s="6" t="str">
        <f ca="1">IFERROR(__xludf.DUMMYFUNCTION("""COMPUTED_VALUE"""),"")</f>
        <v/>
      </c>
      <c r="S1284" t="str">
        <f ca="1">IFERROR(__xludf.DUMMYFUNCTION("""COMPUTED_VALUE"""),"")</f>
        <v/>
      </c>
      <c r="T1284" t="str">
        <f ca="1">IFERROR(__xludf.DUMMYFUNCTION("""COMPUTED_VALUE"""),"")</f>
        <v/>
      </c>
      <c r="U1284" t="str">
        <f ca="1">IFERROR(__xludf.DUMMYFUNCTION("""COMPUTED_VALUE"""),"")</f>
        <v/>
      </c>
      <c r="V1284" t="str">
        <f ca="1">IFERROR(__xludf.DUMMYFUNCTION("""COMPUTED_VALUE"""),"")</f>
        <v/>
      </c>
      <c r="W1284" t="str">
        <f ca="1">IFERROR(__xludf.DUMMYFUNCTION("""COMPUTED_VALUE"""),"")</f>
        <v/>
      </c>
      <c r="X1284" t="str">
        <f ca="1">IFERROR(__xludf.DUMMYFUNCTION("""COMPUTED_VALUE"""),"")</f>
        <v/>
      </c>
      <c r="Y1284" t="str">
        <f ca="1">IFERROR(__xludf.DUMMYFUNCTION("""COMPUTED_VALUE"""),"")</f>
        <v/>
      </c>
      <c r="Z1284" t="str">
        <f ca="1">IFERROR(__xludf.DUMMYFUNCTION("""COMPUTED_VALUE"""),"")</f>
        <v/>
      </c>
      <c r="AA1284" t="str">
        <f ca="1">IFERROR(__xludf.DUMMYFUNCTION("""COMPUTED_VALUE"""),"")</f>
        <v/>
      </c>
      <c r="AB1284" s="8" t="str">
        <f ca="1">IFERROR(__xludf.DUMMYFUNCTION("""COMPUTED_VALUE"""),"")</f>
        <v/>
      </c>
      <c r="AC1284" s="8" t="str">
        <f ca="1">IFERROR(__xludf.DUMMYFUNCTION("""COMPUTED_VALUE"""),"")</f>
        <v/>
      </c>
      <c r="AD1284" s="11" t="str">
        <f ca="1">IFERROR(__xludf.DUMMYFUNCTION("""COMPUTED_VALUE"""),"")</f>
        <v/>
      </c>
      <c r="AE1284" t="str">
        <f ca="1">IFERROR(__xludf.DUMMYFUNCTION("""COMPUTED_VALUE"""),"")</f>
        <v/>
      </c>
    </row>
    <row r="1285" spans="1:31" ht="12.75" x14ac:dyDescent="0.2">
      <c r="A1285" t="str">
        <f ca="1">IFERROR(__xludf.DUMMYFUNCTION("""COMPUTED_VALUE"""),"")</f>
        <v/>
      </c>
      <c r="B1285" t="str">
        <f ca="1">IFERROR(__xludf.DUMMYFUNCTION("""COMPUTED_VALUE"""),"")</f>
        <v/>
      </c>
      <c r="C1285" t="str">
        <f ca="1">IFERROR(__xludf.DUMMYFUNCTION("""COMPUTED_VALUE"""),"")</f>
        <v/>
      </c>
      <c r="D1285" t="str">
        <f ca="1">IFERROR(__xludf.DUMMYFUNCTION("""COMPUTED_VALUE"""),"")</f>
        <v/>
      </c>
      <c r="E1285" t="str">
        <f ca="1">IFERROR(__xludf.DUMMYFUNCTION("""COMPUTED_VALUE"""),"")</f>
        <v/>
      </c>
      <c r="F1285" t="str">
        <f ca="1">IFERROR(__xludf.DUMMYFUNCTION("""COMPUTED_VALUE"""),"")</f>
        <v/>
      </c>
      <c r="G1285" t="str">
        <f ca="1">IFERROR(__xludf.DUMMYFUNCTION("""COMPUTED_VALUE"""),"")</f>
        <v/>
      </c>
      <c r="H1285" t="str">
        <f ca="1">IFERROR(__xludf.DUMMYFUNCTION("""COMPUTED_VALUE"""),"")</f>
        <v/>
      </c>
      <c r="I1285" t="str">
        <f ca="1">IFERROR(__xludf.DUMMYFUNCTION("""COMPUTED_VALUE"""),"")</f>
        <v/>
      </c>
      <c r="J1285" t="str">
        <f ca="1">IFERROR(__xludf.DUMMYFUNCTION("""COMPUTED_VALUE"""),"")</f>
        <v/>
      </c>
      <c r="K1285" t="str">
        <f ca="1">IFERROR(__xludf.DUMMYFUNCTION("""COMPUTED_VALUE"""),"")</f>
        <v/>
      </c>
      <c r="L1285" t="str">
        <f ca="1">IFERROR(__xludf.DUMMYFUNCTION("""COMPUTED_VALUE"""),"")</f>
        <v/>
      </c>
      <c r="M1285" t="str">
        <f ca="1">IFERROR(__xludf.DUMMYFUNCTION("""COMPUTED_VALUE"""),"")</f>
        <v/>
      </c>
      <c r="N1285" t="str">
        <f ca="1">IFERROR(__xludf.DUMMYFUNCTION("""COMPUTED_VALUE"""),"")</f>
        <v/>
      </c>
      <c r="O1285" t="str">
        <f ca="1">IFERROR(__xludf.DUMMYFUNCTION("""COMPUTED_VALUE"""),"")</f>
        <v/>
      </c>
      <c r="P1285" t="str">
        <f ca="1">IFERROR(__xludf.DUMMYFUNCTION("""COMPUTED_VALUE"""),"")</f>
        <v/>
      </c>
      <c r="Q1285" s="5" t="str">
        <f ca="1">IFERROR(__xludf.DUMMYFUNCTION("""COMPUTED_VALUE"""),"")</f>
        <v/>
      </c>
      <c r="R1285" s="6" t="str">
        <f ca="1">IFERROR(__xludf.DUMMYFUNCTION("""COMPUTED_VALUE"""),"")</f>
        <v/>
      </c>
      <c r="S1285" t="str">
        <f ca="1">IFERROR(__xludf.DUMMYFUNCTION("""COMPUTED_VALUE"""),"")</f>
        <v/>
      </c>
      <c r="T1285" t="str">
        <f ca="1">IFERROR(__xludf.DUMMYFUNCTION("""COMPUTED_VALUE"""),"")</f>
        <v/>
      </c>
      <c r="U1285" t="str">
        <f ca="1">IFERROR(__xludf.DUMMYFUNCTION("""COMPUTED_VALUE"""),"")</f>
        <v/>
      </c>
      <c r="V1285" t="str">
        <f ca="1">IFERROR(__xludf.DUMMYFUNCTION("""COMPUTED_VALUE"""),"")</f>
        <v/>
      </c>
      <c r="W1285" t="str">
        <f ca="1">IFERROR(__xludf.DUMMYFUNCTION("""COMPUTED_VALUE"""),"")</f>
        <v/>
      </c>
      <c r="X1285" t="str">
        <f ca="1">IFERROR(__xludf.DUMMYFUNCTION("""COMPUTED_VALUE"""),"")</f>
        <v/>
      </c>
      <c r="Y1285" t="str">
        <f ca="1">IFERROR(__xludf.DUMMYFUNCTION("""COMPUTED_VALUE"""),"")</f>
        <v/>
      </c>
      <c r="Z1285" t="str">
        <f ca="1">IFERROR(__xludf.DUMMYFUNCTION("""COMPUTED_VALUE"""),"")</f>
        <v/>
      </c>
      <c r="AA1285" t="str">
        <f ca="1">IFERROR(__xludf.DUMMYFUNCTION("""COMPUTED_VALUE"""),"")</f>
        <v/>
      </c>
      <c r="AB1285" s="8" t="str">
        <f ca="1">IFERROR(__xludf.DUMMYFUNCTION("""COMPUTED_VALUE"""),"")</f>
        <v/>
      </c>
      <c r="AC1285" s="8" t="str">
        <f ca="1">IFERROR(__xludf.DUMMYFUNCTION("""COMPUTED_VALUE"""),"")</f>
        <v/>
      </c>
      <c r="AD1285" s="11" t="str">
        <f ca="1">IFERROR(__xludf.DUMMYFUNCTION("""COMPUTED_VALUE"""),"")</f>
        <v/>
      </c>
      <c r="AE1285" t="str">
        <f ca="1">IFERROR(__xludf.DUMMYFUNCTION("""COMPUTED_VALUE"""),"")</f>
        <v/>
      </c>
    </row>
    <row r="1286" spans="1:31" ht="12.75" x14ac:dyDescent="0.2">
      <c r="A1286" t="str">
        <f ca="1">IFERROR(__xludf.DUMMYFUNCTION("""COMPUTED_VALUE"""),"")</f>
        <v/>
      </c>
      <c r="B1286" t="str">
        <f ca="1">IFERROR(__xludf.DUMMYFUNCTION("""COMPUTED_VALUE"""),"")</f>
        <v/>
      </c>
      <c r="C1286" t="str">
        <f ca="1">IFERROR(__xludf.DUMMYFUNCTION("""COMPUTED_VALUE"""),"")</f>
        <v/>
      </c>
      <c r="D1286" t="str">
        <f ca="1">IFERROR(__xludf.DUMMYFUNCTION("""COMPUTED_VALUE"""),"")</f>
        <v/>
      </c>
      <c r="E1286" t="str">
        <f ca="1">IFERROR(__xludf.DUMMYFUNCTION("""COMPUTED_VALUE"""),"")</f>
        <v/>
      </c>
      <c r="F1286" t="str">
        <f ca="1">IFERROR(__xludf.DUMMYFUNCTION("""COMPUTED_VALUE"""),"")</f>
        <v/>
      </c>
      <c r="G1286" t="str">
        <f ca="1">IFERROR(__xludf.DUMMYFUNCTION("""COMPUTED_VALUE"""),"")</f>
        <v/>
      </c>
      <c r="H1286" t="str">
        <f ca="1">IFERROR(__xludf.DUMMYFUNCTION("""COMPUTED_VALUE"""),"")</f>
        <v/>
      </c>
      <c r="I1286" t="str">
        <f ca="1">IFERROR(__xludf.DUMMYFUNCTION("""COMPUTED_VALUE"""),"")</f>
        <v/>
      </c>
      <c r="J1286" t="str">
        <f ca="1">IFERROR(__xludf.DUMMYFUNCTION("""COMPUTED_VALUE"""),"")</f>
        <v/>
      </c>
      <c r="K1286" t="str">
        <f ca="1">IFERROR(__xludf.DUMMYFUNCTION("""COMPUTED_VALUE"""),"")</f>
        <v/>
      </c>
      <c r="L1286" t="str">
        <f ca="1">IFERROR(__xludf.DUMMYFUNCTION("""COMPUTED_VALUE"""),"")</f>
        <v/>
      </c>
      <c r="M1286" t="str">
        <f ca="1">IFERROR(__xludf.DUMMYFUNCTION("""COMPUTED_VALUE"""),"")</f>
        <v/>
      </c>
      <c r="N1286" t="str">
        <f ca="1">IFERROR(__xludf.DUMMYFUNCTION("""COMPUTED_VALUE"""),"")</f>
        <v/>
      </c>
      <c r="O1286" t="str">
        <f ca="1">IFERROR(__xludf.DUMMYFUNCTION("""COMPUTED_VALUE"""),"")</f>
        <v/>
      </c>
      <c r="P1286" t="str">
        <f ca="1">IFERROR(__xludf.DUMMYFUNCTION("""COMPUTED_VALUE"""),"")</f>
        <v/>
      </c>
      <c r="Q1286" s="5" t="str">
        <f ca="1">IFERROR(__xludf.DUMMYFUNCTION("""COMPUTED_VALUE"""),"")</f>
        <v/>
      </c>
      <c r="R1286" s="6" t="str">
        <f ca="1">IFERROR(__xludf.DUMMYFUNCTION("""COMPUTED_VALUE"""),"")</f>
        <v/>
      </c>
      <c r="S1286" t="str">
        <f ca="1">IFERROR(__xludf.DUMMYFUNCTION("""COMPUTED_VALUE"""),"")</f>
        <v/>
      </c>
      <c r="T1286" t="str">
        <f ca="1">IFERROR(__xludf.DUMMYFUNCTION("""COMPUTED_VALUE"""),"")</f>
        <v/>
      </c>
      <c r="U1286" t="str">
        <f ca="1">IFERROR(__xludf.DUMMYFUNCTION("""COMPUTED_VALUE"""),"")</f>
        <v/>
      </c>
      <c r="V1286" t="str">
        <f ca="1">IFERROR(__xludf.DUMMYFUNCTION("""COMPUTED_VALUE"""),"")</f>
        <v/>
      </c>
      <c r="W1286" t="str">
        <f ca="1">IFERROR(__xludf.DUMMYFUNCTION("""COMPUTED_VALUE"""),"")</f>
        <v/>
      </c>
      <c r="X1286" t="str">
        <f ca="1">IFERROR(__xludf.DUMMYFUNCTION("""COMPUTED_VALUE"""),"")</f>
        <v/>
      </c>
      <c r="Y1286" t="str">
        <f ca="1">IFERROR(__xludf.DUMMYFUNCTION("""COMPUTED_VALUE"""),"")</f>
        <v/>
      </c>
      <c r="Z1286" t="str">
        <f ca="1">IFERROR(__xludf.DUMMYFUNCTION("""COMPUTED_VALUE"""),"")</f>
        <v/>
      </c>
      <c r="AA1286" t="str">
        <f ca="1">IFERROR(__xludf.DUMMYFUNCTION("""COMPUTED_VALUE"""),"")</f>
        <v/>
      </c>
      <c r="AB1286" s="8" t="str">
        <f ca="1">IFERROR(__xludf.DUMMYFUNCTION("""COMPUTED_VALUE"""),"")</f>
        <v/>
      </c>
      <c r="AC1286" s="8" t="str">
        <f ca="1">IFERROR(__xludf.DUMMYFUNCTION("""COMPUTED_VALUE"""),"")</f>
        <v/>
      </c>
      <c r="AD1286" s="11" t="str">
        <f ca="1">IFERROR(__xludf.DUMMYFUNCTION("""COMPUTED_VALUE"""),"")</f>
        <v/>
      </c>
      <c r="AE1286" t="str">
        <f ca="1">IFERROR(__xludf.DUMMYFUNCTION("""COMPUTED_VALUE"""),"")</f>
        <v/>
      </c>
    </row>
    <row r="1287" spans="1:31" ht="12.75" x14ac:dyDescent="0.2">
      <c r="A1287" t="str">
        <f ca="1">IFERROR(__xludf.DUMMYFUNCTION("""COMPUTED_VALUE"""),"")</f>
        <v/>
      </c>
      <c r="B1287" t="str">
        <f ca="1">IFERROR(__xludf.DUMMYFUNCTION("""COMPUTED_VALUE"""),"")</f>
        <v/>
      </c>
      <c r="C1287" t="str">
        <f ca="1">IFERROR(__xludf.DUMMYFUNCTION("""COMPUTED_VALUE"""),"")</f>
        <v/>
      </c>
      <c r="D1287" t="str">
        <f ca="1">IFERROR(__xludf.DUMMYFUNCTION("""COMPUTED_VALUE"""),"")</f>
        <v/>
      </c>
      <c r="E1287" t="str">
        <f ca="1">IFERROR(__xludf.DUMMYFUNCTION("""COMPUTED_VALUE"""),"")</f>
        <v/>
      </c>
      <c r="F1287" t="str">
        <f ca="1">IFERROR(__xludf.DUMMYFUNCTION("""COMPUTED_VALUE"""),"")</f>
        <v/>
      </c>
      <c r="G1287" t="str">
        <f ca="1">IFERROR(__xludf.DUMMYFUNCTION("""COMPUTED_VALUE"""),"")</f>
        <v/>
      </c>
      <c r="H1287" t="str">
        <f ca="1">IFERROR(__xludf.DUMMYFUNCTION("""COMPUTED_VALUE"""),"")</f>
        <v/>
      </c>
      <c r="I1287" t="str">
        <f ca="1">IFERROR(__xludf.DUMMYFUNCTION("""COMPUTED_VALUE"""),"")</f>
        <v/>
      </c>
      <c r="J1287" t="str">
        <f ca="1">IFERROR(__xludf.DUMMYFUNCTION("""COMPUTED_VALUE"""),"")</f>
        <v/>
      </c>
      <c r="K1287" t="str">
        <f ca="1">IFERROR(__xludf.DUMMYFUNCTION("""COMPUTED_VALUE"""),"")</f>
        <v/>
      </c>
      <c r="L1287" t="str">
        <f ca="1">IFERROR(__xludf.DUMMYFUNCTION("""COMPUTED_VALUE"""),"")</f>
        <v/>
      </c>
      <c r="M1287" t="str">
        <f ca="1">IFERROR(__xludf.DUMMYFUNCTION("""COMPUTED_VALUE"""),"")</f>
        <v/>
      </c>
      <c r="N1287" t="str">
        <f ca="1">IFERROR(__xludf.DUMMYFUNCTION("""COMPUTED_VALUE"""),"")</f>
        <v/>
      </c>
      <c r="O1287" t="str">
        <f ca="1">IFERROR(__xludf.DUMMYFUNCTION("""COMPUTED_VALUE"""),"")</f>
        <v/>
      </c>
      <c r="P1287" t="str">
        <f ca="1">IFERROR(__xludf.DUMMYFUNCTION("""COMPUTED_VALUE"""),"")</f>
        <v/>
      </c>
      <c r="Q1287" s="5" t="str">
        <f ca="1">IFERROR(__xludf.DUMMYFUNCTION("""COMPUTED_VALUE"""),"")</f>
        <v/>
      </c>
      <c r="R1287" s="6" t="str">
        <f ca="1">IFERROR(__xludf.DUMMYFUNCTION("""COMPUTED_VALUE"""),"")</f>
        <v/>
      </c>
      <c r="S1287" t="str">
        <f ca="1">IFERROR(__xludf.DUMMYFUNCTION("""COMPUTED_VALUE"""),"")</f>
        <v/>
      </c>
      <c r="T1287" t="str">
        <f ca="1">IFERROR(__xludf.DUMMYFUNCTION("""COMPUTED_VALUE"""),"")</f>
        <v/>
      </c>
      <c r="U1287" t="str">
        <f ca="1">IFERROR(__xludf.DUMMYFUNCTION("""COMPUTED_VALUE"""),"")</f>
        <v/>
      </c>
      <c r="V1287" t="str">
        <f ca="1">IFERROR(__xludf.DUMMYFUNCTION("""COMPUTED_VALUE"""),"")</f>
        <v/>
      </c>
      <c r="W1287" t="str">
        <f ca="1">IFERROR(__xludf.DUMMYFUNCTION("""COMPUTED_VALUE"""),"")</f>
        <v/>
      </c>
      <c r="X1287" t="str">
        <f ca="1">IFERROR(__xludf.DUMMYFUNCTION("""COMPUTED_VALUE"""),"")</f>
        <v/>
      </c>
      <c r="Y1287" t="str">
        <f ca="1">IFERROR(__xludf.DUMMYFUNCTION("""COMPUTED_VALUE"""),"")</f>
        <v/>
      </c>
      <c r="Z1287" t="str">
        <f ca="1">IFERROR(__xludf.DUMMYFUNCTION("""COMPUTED_VALUE"""),"")</f>
        <v/>
      </c>
      <c r="AA1287" t="str">
        <f ca="1">IFERROR(__xludf.DUMMYFUNCTION("""COMPUTED_VALUE"""),"")</f>
        <v/>
      </c>
      <c r="AB1287" s="8" t="str">
        <f ca="1">IFERROR(__xludf.DUMMYFUNCTION("""COMPUTED_VALUE"""),"")</f>
        <v/>
      </c>
      <c r="AC1287" s="8" t="str">
        <f ca="1">IFERROR(__xludf.DUMMYFUNCTION("""COMPUTED_VALUE"""),"")</f>
        <v/>
      </c>
      <c r="AD1287" s="11" t="str">
        <f ca="1">IFERROR(__xludf.DUMMYFUNCTION("""COMPUTED_VALUE"""),"")</f>
        <v/>
      </c>
      <c r="AE1287" t="str">
        <f ca="1">IFERROR(__xludf.DUMMYFUNCTION("""COMPUTED_VALUE"""),"")</f>
        <v/>
      </c>
    </row>
    <row r="1288" spans="1:31" ht="12.75" x14ac:dyDescent="0.2">
      <c r="A1288" t="str">
        <f ca="1">IFERROR(__xludf.DUMMYFUNCTION("""COMPUTED_VALUE"""),"")</f>
        <v/>
      </c>
      <c r="B1288" t="str">
        <f ca="1">IFERROR(__xludf.DUMMYFUNCTION("""COMPUTED_VALUE"""),"")</f>
        <v/>
      </c>
      <c r="C1288" t="str">
        <f ca="1">IFERROR(__xludf.DUMMYFUNCTION("""COMPUTED_VALUE"""),"")</f>
        <v/>
      </c>
      <c r="D1288" t="str">
        <f ca="1">IFERROR(__xludf.DUMMYFUNCTION("""COMPUTED_VALUE"""),"")</f>
        <v/>
      </c>
      <c r="E1288" t="str">
        <f ca="1">IFERROR(__xludf.DUMMYFUNCTION("""COMPUTED_VALUE"""),"")</f>
        <v/>
      </c>
      <c r="F1288" t="str">
        <f ca="1">IFERROR(__xludf.DUMMYFUNCTION("""COMPUTED_VALUE"""),"")</f>
        <v/>
      </c>
      <c r="G1288" t="str">
        <f ca="1">IFERROR(__xludf.DUMMYFUNCTION("""COMPUTED_VALUE"""),"")</f>
        <v/>
      </c>
      <c r="H1288" t="str">
        <f ca="1">IFERROR(__xludf.DUMMYFUNCTION("""COMPUTED_VALUE"""),"")</f>
        <v/>
      </c>
      <c r="I1288" t="str">
        <f ca="1">IFERROR(__xludf.DUMMYFUNCTION("""COMPUTED_VALUE"""),"")</f>
        <v/>
      </c>
      <c r="J1288" t="str">
        <f ca="1">IFERROR(__xludf.DUMMYFUNCTION("""COMPUTED_VALUE"""),"")</f>
        <v/>
      </c>
      <c r="K1288" t="str">
        <f ca="1">IFERROR(__xludf.DUMMYFUNCTION("""COMPUTED_VALUE"""),"")</f>
        <v/>
      </c>
      <c r="L1288" t="str">
        <f ca="1">IFERROR(__xludf.DUMMYFUNCTION("""COMPUTED_VALUE"""),"")</f>
        <v/>
      </c>
      <c r="M1288" t="str">
        <f ca="1">IFERROR(__xludf.DUMMYFUNCTION("""COMPUTED_VALUE"""),"")</f>
        <v/>
      </c>
      <c r="N1288" t="str">
        <f ca="1">IFERROR(__xludf.DUMMYFUNCTION("""COMPUTED_VALUE"""),"")</f>
        <v/>
      </c>
      <c r="O1288" t="str">
        <f ca="1">IFERROR(__xludf.DUMMYFUNCTION("""COMPUTED_VALUE"""),"")</f>
        <v/>
      </c>
      <c r="P1288" t="str">
        <f ca="1">IFERROR(__xludf.DUMMYFUNCTION("""COMPUTED_VALUE"""),"")</f>
        <v/>
      </c>
      <c r="Q1288" s="5" t="str">
        <f ca="1">IFERROR(__xludf.DUMMYFUNCTION("""COMPUTED_VALUE"""),"")</f>
        <v/>
      </c>
      <c r="R1288" s="6" t="str">
        <f ca="1">IFERROR(__xludf.DUMMYFUNCTION("""COMPUTED_VALUE"""),"")</f>
        <v/>
      </c>
      <c r="S1288" t="str">
        <f ca="1">IFERROR(__xludf.DUMMYFUNCTION("""COMPUTED_VALUE"""),"")</f>
        <v/>
      </c>
      <c r="T1288" t="str">
        <f ca="1">IFERROR(__xludf.DUMMYFUNCTION("""COMPUTED_VALUE"""),"")</f>
        <v/>
      </c>
      <c r="U1288" t="str">
        <f ca="1">IFERROR(__xludf.DUMMYFUNCTION("""COMPUTED_VALUE"""),"")</f>
        <v/>
      </c>
      <c r="V1288" t="str">
        <f ca="1">IFERROR(__xludf.DUMMYFUNCTION("""COMPUTED_VALUE"""),"")</f>
        <v/>
      </c>
      <c r="W1288" t="str">
        <f ca="1">IFERROR(__xludf.DUMMYFUNCTION("""COMPUTED_VALUE"""),"")</f>
        <v/>
      </c>
      <c r="X1288" t="str">
        <f ca="1">IFERROR(__xludf.DUMMYFUNCTION("""COMPUTED_VALUE"""),"")</f>
        <v/>
      </c>
      <c r="Y1288" t="str">
        <f ca="1">IFERROR(__xludf.DUMMYFUNCTION("""COMPUTED_VALUE"""),"")</f>
        <v/>
      </c>
      <c r="Z1288" t="str">
        <f ca="1">IFERROR(__xludf.DUMMYFUNCTION("""COMPUTED_VALUE"""),"")</f>
        <v/>
      </c>
      <c r="AA1288" t="str">
        <f ca="1">IFERROR(__xludf.DUMMYFUNCTION("""COMPUTED_VALUE"""),"")</f>
        <v/>
      </c>
      <c r="AB1288" s="8" t="str">
        <f ca="1">IFERROR(__xludf.DUMMYFUNCTION("""COMPUTED_VALUE"""),"")</f>
        <v/>
      </c>
      <c r="AC1288" s="8" t="str">
        <f ca="1">IFERROR(__xludf.DUMMYFUNCTION("""COMPUTED_VALUE"""),"")</f>
        <v/>
      </c>
      <c r="AD1288" s="11" t="str">
        <f ca="1">IFERROR(__xludf.DUMMYFUNCTION("""COMPUTED_VALUE"""),"")</f>
        <v/>
      </c>
      <c r="AE1288" t="str">
        <f ca="1">IFERROR(__xludf.DUMMYFUNCTION("""COMPUTED_VALUE"""),"")</f>
        <v/>
      </c>
    </row>
    <row r="1289" spans="1:31" ht="12.75" x14ac:dyDescent="0.2">
      <c r="A1289" t="str">
        <f ca="1">IFERROR(__xludf.DUMMYFUNCTION("""COMPUTED_VALUE"""),"")</f>
        <v/>
      </c>
      <c r="B1289" t="str">
        <f ca="1">IFERROR(__xludf.DUMMYFUNCTION("""COMPUTED_VALUE"""),"")</f>
        <v/>
      </c>
      <c r="C1289" t="str">
        <f ca="1">IFERROR(__xludf.DUMMYFUNCTION("""COMPUTED_VALUE"""),"")</f>
        <v/>
      </c>
      <c r="D1289" t="str">
        <f ca="1">IFERROR(__xludf.DUMMYFUNCTION("""COMPUTED_VALUE"""),"")</f>
        <v/>
      </c>
      <c r="E1289" t="str">
        <f ca="1">IFERROR(__xludf.DUMMYFUNCTION("""COMPUTED_VALUE"""),"")</f>
        <v/>
      </c>
      <c r="F1289" t="str">
        <f ca="1">IFERROR(__xludf.DUMMYFUNCTION("""COMPUTED_VALUE"""),"")</f>
        <v/>
      </c>
      <c r="G1289" t="str">
        <f ca="1">IFERROR(__xludf.DUMMYFUNCTION("""COMPUTED_VALUE"""),"")</f>
        <v/>
      </c>
      <c r="H1289" t="str">
        <f ca="1">IFERROR(__xludf.DUMMYFUNCTION("""COMPUTED_VALUE"""),"")</f>
        <v/>
      </c>
      <c r="I1289" t="str">
        <f ca="1">IFERROR(__xludf.DUMMYFUNCTION("""COMPUTED_VALUE"""),"")</f>
        <v/>
      </c>
      <c r="J1289" t="str">
        <f ca="1">IFERROR(__xludf.DUMMYFUNCTION("""COMPUTED_VALUE"""),"")</f>
        <v/>
      </c>
      <c r="K1289" t="str">
        <f ca="1">IFERROR(__xludf.DUMMYFUNCTION("""COMPUTED_VALUE"""),"")</f>
        <v/>
      </c>
      <c r="L1289" t="str">
        <f ca="1">IFERROR(__xludf.DUMMYFUNCTION("""COMPUTED_VALUE"""),"")</f>
        <v/>
      </c>
      <c r="M1289" t="str">
        <f ca="1">IFERROR(__xludf.DUMMYFUNCTION("""COMPUTED_VALUE"""),"")</f>
        <v/>
      </c>
      <c r="N1289" t="str">
        <f ca="1">IFERROR(__xludf.DUMMYFUNCTION("""COMPUTED_VALUE"""),"")</f>
        <v/>
      </c>
      <c r="O1289" t="str">
        <f ca="1">IFERROR(__xludf.DUMMYFUNCTION("""COMPUTED_VALUE"""),"")</f>
        <v/>
      </c>
      <c r="P1289" t="str">
        <f ca="1">IFERROR(__xludf.DUMMYFUNCTION("""COMPUTED_VALUE"""),"")</f>
        <v/>
      </c>
      <c r="Q1289" s="5" t="str">
        <f ca="1">IFERROR(__xludf.DUMMYFUNCTION("""COMPUTED_VALUE"""),"")</f>
        <v/>
      </c>
      <c r="R1289" s="6" t="str">
        <f ca="1">IFERROR(__xludf.DUMMYFUNCTION("""COMPUTED_VALUE"""),"")</f>
        <v/>
      </c>
      <c r="S1289" t="str">
        <f ca="1">IFERROR(__xludf.DUMMYFUNCTION("""COMPUTED_VALUE"""),"")</f>
        <v/>
      </c>
      <c r="T1289" t="str">
        <f ca="1">IFERROR(__xludf.DUMMYFUNCTION("""COMPUTED_VALUE"""),"")</f>
        <v/>
      </c>
      <c r="U1289" t="str">
        <f ca="1">IFERROR(__xludf.DUMMYFUNCTION("""COMPUTED_VALUE"""),"")</f>
        <v/>
      </c>
      <c r="V1289" t="str">
        <f ca="1">IFERROR(__xludf.DUMMYFUNCTION("""COMPUTED_VALUE"""),"")</f>
        <v/>
      </c>
      <c r="W1289" t="str">
        <f ca="1">IFERROR(__xludf.DUMMYFUNCTION("""COMPUTED_VALUE"""),"")</f>
        <v/>
      </c>
      <c r="X1289" t="str">
        <f ca="1">IFERROR(__xludf.DUMMYFUNCTION("""COMPUTED_VALUE"""),"")</f>
        <v/>
      </c>
      <c r="Y1289" t="str">
        <f ca="1">IFERROR(__xludf.DUMMYFUNCTION("""COMPUTED_VALUE"""),"")</f>
        <v/>
      </c>
      <c r="Z1289" t="str">
        <f ca="1">IFERROR(__xludf.DUMMYFUNCTION("""COMPUTED_VALUE"""),"")</f>
        <v/>
      </c>
      <c r="AA1289" t="str">
        <f ca="1">IFERROR(__xludf.DUMMYFUNCTION("""COMPUTED_VALUE"""),"")</f>
        <v/>
      </c>
      <c r="AB1289" s="8" t="str">
        <f ca="1">IFERROR(__xludf.DUMMYFUNCTION("""COMPUTED_VALUE"""),"")</f>
        <v/>
      </c>
      <c r="AC1289" s="8" t="str">
        <f ca="1">IFERROR(__xludf.DUMMYFUNCTION("""COMPUTED_VALUE"""),"")</f>
        <v/>
      </c>
      <c r="AD1289" s="11" t="str">
        <f ca="1">IFERROR(__xludf.DUMMYFUNCTION("""COMPUTED_VALUE"""),"")</f>
        <v/>
      </c>
      <c r="AE1289" t="str">
        <f ca="1">IFERROR(__xludf.DUMMYFUNCTION("""COMPUTED_VALUE"""),"")</f>
        <v/>
      </c>
    </row>
    <row r="1290" spans="1:31" ht="12.75" x14ac:dyDescent="0.2">
      <c r="A1290" t="str">
        <f ca="1">IFERROR(__xludf.DUMMYFUNCTION("""COMPUTED_VALUE"""),"")</f>
        <v/>
      </c>
      <c r="B1290" t="str">
        <f ca="1">IFERROR(__xludf.DUMMYFUNCTION("""COMPUTED_VALUE"""),"")</f>
        <v/>
      </c>
      <c r="C1290" t="str">
        <f ca="1">IFERROR(__xludf.DUMMYFUNCTION("""COMPUTED_VALUE"""),"")</f>
        <v/>
      </c>
      <c r="D1290" t="str">
        <f ca="1">IFERROR(__xludf.DUMMYFUNCTION("""COMPUTED_VALUE"""),"")</f>
        <v/>
      </c>
      <c r="E1290" t="str">
        <f ca="1">IFERROR(__xludf.DUMMYFUNCTION("""COMPUTED_VALUE"""),"")</f>
        <v/>
      </c>
      <c r="F1290" t="str">
        <f ca="1">IFERROR(__xludf.DUMMYFUNCTION("""COMPUTED_VALUE"""),"")</f>
        <v/>
      </c>
      <c r="G1290" t="str">
        <f ca="1">IFERROR(__xludf.DUMMYFUNCTION("""COMPUTED_VALUE"""),"")</f>
        <v/>
      </c>
      <c r="H1290" t="str">
        <f ca="1">IFERROR(__xludf.DUMMYFUNCTION("""COMPUTED_VALUE"""),"")</f>
        <v/>
      </c>
      <c r="I1290" t="str">
        <f ca="1">IFERROR(__xludf.DUMMYFUNCTION("""COMPUTED_VALUE"""),"")</f>
        <v/>
      </c>
      <c r="J1290" t="str">
        <f ca="1">IFERROR(__xludf.DUMMYFUNCTION("""COMPUTED_VALUE"""),"")</f>
        <v/>
      </c>
      <c r="K1290" t="str">
        <f ca="1">IFERROR(__xludf.DUMMYFUNCTION("""COMPUTED_VALUE"""),"")</f>
        <v/>
      </c>
      <c r="L1290" t="str">
        <f ca="1">IFERROR(__xludf.DUMMYFUNCTION("""COMPUTED_VALUE"""),"")</f>
        <v/>
      </c>
      <c r="M1290" t="str">
        <f ca="1">IFERROR(__xludf.DUMMYFUNCTION("""COMPUTED_VALUE"""),"")</f>
        <v/>
      </c>
      <c r="N1290" t="str">
        <f ca="1">IFERROR(__xludf.DUMMYFUNCTION("""COMPUTED_VALUE"""),"")</f>
        <v/>
      </c>
      <c r="O1290" t="str">
        <f ca="1">IFERROR(__xludf.DUMMYFUNCTION("""COMPUTED_VALUE"""),"")</f>
        <v/>
      </c>
      <c r="P1290" t="str">
        <f ca="1">IFERROR(__xludf.DUMMYFUNCTION("""COMPUTED_VALUE"""),"")</f>
        <v/>
      </c>
      <c r="Q1290" s="5" t="str">
        <f ca="1">IFERROR(__xludf.DUMMYFUNCTION("""COMPUTED_VALUE"""),"")</f>
        <v/>
      </c>
      <c r="R1290" s="6" t="str">
        <f ca="1">IFERROR(__xludf.DUMMYFUNCTION("""COMPUTED_VALUE"""),"")</f>
        <v/>
      </c>
      <c r="S1290" t="str">
        <f ca="1">IFERROR(__xludf.DUMMYFUNCTION("""COMPUTED_VALUE"""),"")</f>
        <v/>
      </c>
      <c r="T1290" t="str">
        <f ca="1">IFERROR(__xludf.DUMMYFUNCTION("""COMPUTED_VALUE"""),"")</f>
        <v/>
      </c>
      <c r="U1290" t="str">
        <f ca="1">IFERROR(__xludf.DUMMYFUNCTION("""COMPUTED_VALUE"""),"")</f>
        <v/>
      </c>
      <c r="V1290" t="str">
        <f ca="1">IFERROR(__xludf.DUMMYFUNCTION("""COMPUTED_VALUE"""),"")</f>
        <v/>
      </c>
      <c r="W1290" t="str">
        <f ca="1">IFERROR(__xludf.DUMMYFUNCTION("""COMPUTED_VALUE"""),"")</f>
        <v/>
      </c>
      <c r="X1290" t="str">
        <f ca="1">IFERROR(__xludf.DUMMYFUNCTION("""COMPUTED_VALUE"""),"")</f>
        <v/>
      </c>
      <c r="Y1290" t="str">
        <f ca="1">IFERROR(__xludf.DUMMYFUNCTION("""COMPUTED_VALUE"""),"")</f>
        <v/>
      </c>
      <c r="Z1290" t="str">
        <f ca="1">IFERROR(__xludf.DUMMYFUNCTION("""COMPUTED_VALUE"""),"")</f>
        <v/>
      </c>
      <c r="AA1290" t="str">
        <f ca="1">IFERROR(__xludf.DUMMYFUNCTION("""COMPUTED_VALUE"""),"")</f>
        <v/>
      </c>
      <c r="AB1290" s="8" t="str">
        <f ca="1">IFERROR(__xludf.DUMMYFUNCTION("""COMPUTED_VALUE"""),"")</f>
        <v/>
      </c>
      <c r="AC1290" s="8" t="str">
        <f ca="1">IFERROR(__xludf.DUMMYFUNCTION("""COMPUTED_VALUE"""),"")</f>
        <v/>
      </c>
      <c r="AD1290" s="11" t="str">
        <f ca="1">IFERROR(__xludf.DUMMYFUNCTION("""COMPUTED_VALUE"""),"")</f>
        <v/>
      </c>
      <c r="AE1290" t="str">
        <f ca="1">IFERROR(__xludf.DUMMYFUNCTION("""COMPUTED_VALUE"""),"")</f>
        <v/>
      </c>
    </row>
    <row r="1291" spans="1:31" ht="12.75" x14ac:dyDescent="0.2">
      <c r="A1291" t="str">
        <f ca="1">IFERROR(__xludf.DUMMYFUNCTION("""COMPUTED_VALUE"""),"")</f>
        <v/>
      </c>
      <c r="B1291" t="str">
        <f ca="1">IFERROR(__xludf.DUMMYFUNCTION("""COMPUTED_VALUE"""),"")</f>
        <v/>
      </c>
      <c r="C1291" t="str">
        <f ca="1">IFERROR(__xludf.DUMMYFUNCTION("""COMPUTED_VALUE"""),"")</f>
        <v/>
      </c>
      <c r="D1291" t="str">
        <f ca="1">IFERROR(__xludf.DUMMYFUNCTION("""COMPUTED_VALUE"""),"")</f>
        <v/>
      </c>
      <c r="E1291" t="str">
        <f ca="1">IFERROR(__xludf.DUMMYFUNCTION("""COMPUTED_VALUE"""),"")</f>
        <v/>
      </c>
      <c r="F1291" t="str">
        <f ca="1">IFERROR(__xludf.DUMMYFUNCTION("""COMPUTED_VALUE"""),"")</f>
        <v/>
      </c>
      <c r="G1291" t="str">
        <f ca="1">IFERROR(__xludf.DUMMYFUNCTION("""COMPUTED_VALUE"""),"")</f>
        <v/>
      </c>
      <c r="H1291" t="str">
        <f ca="1">IFERROR(__xludf.DUMMYFUNCTION("""COMPUTED_VALUE"""),"")</f>
        <v/>
      </c>
      <c r="I1291" t="str">
        <f ca="1">IFERROR(__xludf.DUMMYFUNCTION("""COMPUTED_VALUE"""),"")</f>
        <v/>
      </c>
      <c r="J1291" t="str">
        <f ca="1">IFERROR(__xludf.DUMMYFUNCTION("""COMPUTED_VALUE"""),"")</f>
        <v/>
      </c>
      <c r="K1291" t="str">
        <f ca="1">IFERROR(__xludf.DUMMYFUNCTION("""COMPUTED_VALUE"""),"")</f>
        <v/>
      </c>
      <c r="L1291" t="str">
        <f ca="1">IFERROR(__xludf.DUMMYFUNCTION("""COMPUTED_VALUE"""),"")</f>
        <v/>
      </c>
      <c r="M1291" t="str">
        <f ca="1">IFERROR(__xludf.DUMMYFUNCTION("""COMPUTED_VALUE"""),"")</f>
        <v/>
      </c>
      <c r="N1291" t="str">
        <f ca="1">IFERROR(__xludf.DUMMYFUNCTION("""COMPUTED_VALUE"""),"")</f>
        <v/>
      </c>
      <c r="O1291" t="str">
        <f ca="1">IFERROR(__xludf.DUMMYFUNCTION("""COMPUTED_VALUE"""),"")</f>
        <v/>
      </c>
      <c r="P1291" t="str">
        <f ca="1">IFERROR(__xludf.DUMMYFUNCTION("""COMPUTED_VALUE"""),"")</f>
        <v/>
      </c>
      <c r="Q1291" s="5" t="str">
        <f ca="1">IFERROR(__xludf.DUMMYFUNCTION("""COMPUTED_VALUE"""),"")</f>
        <v/>
      </c>
      <c r="R1291" s="6" t="str">
        <f ca="1">IFERROR(__xludf.DUMMYFUNCTION("""COMPUTED_VALUE"""),"")</f>
        <v/>
      </c>
      <c r="S1291" t="str">
        <f ca="1">IFERROR(__xludf.DUMMYFUNCTION("""COMPUTED_VALUE"""),"")</f>
        <v/>
      </c>
      <c r="T1291" t="str">
        <f ca="1">IFERROR(__xludf.DUMMYFUNCTION("""COMPUTED_VALUE"""),"")</f>
        <v/>
      </c>
      <c r="U1291" t="str">
        <f ca="1">IFERROR(__xludf.DUMMYFUNCTION("""COMPUTED_VALUE"""),"")</f>
        <v/>
      </c>
      <c r="V1291" t="str">
        <f ca="1">IFERROR(__xludf.DUMMYFUNCTION("""COMPUTED_VALUE"""),"")</f>
        <v/>
      </c>
      <c r="W1291" t="str">
        <f ca="1">IFERROR(__xludf.DUMMYFUNCTION("""COMPUTED_VALUE"""),"")</f>
        <v/>
      </c>
      <c r="X1291" t="str">
        <f ca="1">IFERROR(__xludf.DUMMYFUNCTION("""COMPUTED_VALUE"""),"")</f>
        <v/>
      </c>
      <c r="Y1291" t="str">
        <f ca="1">IFERROR(__xludf.DUMMYFUNCTION("""COMPUTED_VALUE"""),"")</f>
        <v/>
      </c>
      <c r="Z1291" t="str">
        <f ca="1">IFERROR(__xludf.DUMMYFUNCTION("""COMPUTED_VALUE"""),"")</f>
        <v/>
      </c>
      <c r="AA1291" t="str">
        <f ca="1">IFERROR(__xludf.DUMMYFUNCTION("""COMPUTED_VALUE"""),"")</f>
        <v/>
      </c>
      <c r="AB1291" s="8" t="str">
        <f ca="1">IFERROR(__xludf.DUMMYFUNCTION("""COMPUTED_VALUE"""),"")</f>
        <v/>
      </c>
      <c r="AC1291" s="8" t="str">
        <f ca="1">IFERROR(__xludf.DUMMYFUNCTION("""COMPUTED_VALUE"""),"")</f>
        <v/>
      </c>
      <c r="AD1291" s="11" t="str">
        <f ca="1">IFERROR(__xludf.DUMMYFUNCTION("""COMPUTED_VALUE"""),"")</f>
        <v/>
      </c>
      <c r="AE1291" t="str">
        <f ca="1">IFERROR(__xludf.DUMMYFUNCTION("""COMPUTED_VALUE"""),"")</f>
        <v/>
      </c>
    </row>
    <row r="1292" spans="1:31" ht="12.75" x14ac:dyDescent="0.2">
      <c r="A1292" t="str">
        <f ca="1">IFERROR(__xludf.DUMMYFUNCTION("""COMPUTED_VALUE"""),"")</f>
        <v/>
      </c>
      <c r="B1292" t="str">
        <f ca="1">IFERROR(__xludf.DUMMYFUNCTION("""COMPUTED_VALUE"""),"")</f>
        <v/>
      </c>
      <c r="C1292" t="str">
        <f ca="1">IFERROR(__xludf.DUMMYFUNCTION("""COMPUTED_VALUE"""),"")</f>
        <v/>
      </c>
      <c r="D1292" t="str">
        <f ca="1">IFERROR(__xludf.DUMMYFUNCTION("""COMPUTED_VALUE"""),"")</f>
        <v/>
      </c>
      <c r="E1292" t="str">
        <f ca="1">IFERROR(__xludf.DUMMYFUNCTION("""COMPUTED_VALUE"""),"")</f>
        <v/>
      </c>
      <c r="F1292" t="str">
        <f ca="1">IFERROR(__xludf.DUMMYFUNCTION("""COMPUTED_VALUE"""),"")</f>
        <v/>
      </c>
      <c r="G1292" t="str">
        <f ca="1">IFERROR(__xludf.DUMMYFUNCTION("""COMPUTED_VALUE"""),"")</f>
        <v/>
      </c>
      <c r="H1292" t="str">
        <f ca="1">IFERROR(__xludf.DUMMYFUNCTION("""COMPUTED_VALUE"""),"")</f>
        <v/>
      </c>
      <c r="I1292" t="str">
        <f ca="1">IFERROR(__xludf.DUMMYFUNCTION("""COMPUTED_VALUE"""),"")</f>
        <v/>
      </c>
      <c r="J1292" t="str">
        <f ca="1">IFERROR(__xludf.DUMMYFUNCTION("""COMPUTED_VALUE"""),"")</f>
        <v/>
      </c>
      <c r="K1292" t="str">
        <f ca="1">IFERROR(__xludf.DUMMYFUNCTION("""COMPUTED_VALUE"""),"")</f>
        <v/>
      </c>
      <c r="L1292" t="str">
        <f ca="1">IFERROR(__xludf.DUMMYFUNCTION("""COMPUTED_VALUE"""),"")</f>
        <v/>
      </c>
      <c r="M1292" t="str">
        <f ca="1">IFERROR(__xludf.DUMMYFUNCTION("""COMPUTED_VALUE"""),"")</f>
        <v/>
      </c>
      <c r="N1292" t="str">
        <f ca="1">IFERROR(__xludf.DUMMYFUNCTION("""COMPUTED_VALUE"""),"")</f>
        <v/>
      </c>
      <c r="O1292" t="str">
        <f ca="1">IFERROR(__xludf.DUMMYFUNCTION("""COMPUTED_VALUE"""),"")</f>
        <v/>
      </c>
      <c r="P1292" t="str">
        <f ca="1">IFERROR(__xludf.DUMMYFUNCTION("""COMPUTED_VALUE"""),"")</f>
        <v/>
      </c>
      <c r="Q1292" s="5" t="str">
        <f ca="1">IFERROR(__xludf.DUMMYFUNCTION("""COMPUTED_VALUE"""),"")</f>
        <v/>
      </c>
      <c r="R1292" s="6" t="str">
        <f ca="1">IFERROR(__xludf.DUMMYFUNCTION("""COMPUTED_VALUE"""),"")</f>
        <v/>
      </c>
      <c r="S1292" t="str">
        <f ca="1">IFERROR(__xludf.DUMMYFUNCTION("""COMPUTED_VALUE"""),"")</f>
        <v/>
      </c>
      <c r="T1292" t="str">
        <f ca="1">IFERROR(__xludf.DUMMYFUNCTION("""COMPUTED_VALUE"""),"")</f>
        <v/>
      </c>
      <c r="U1292" t="str">
        <f ca="1">IFERROR(__xludf.DUMMYFUNCTION("""COMPUTED_VALUE"""),"")</f>
        <v/>
      </c>
      <c r="V1292" t="str">
        <f ca="1">IFERROR(__xludf.DUMMYFUNCTION("""COMPUTED_VALUE"""),"")</f>
        <v/>
      </c>
      <c r="W1292" t="str">
        <f ca="1">IFERROR(__xludf.DUMMYFUNCTION("""COMPUTED_VALUE"""),"")</f>
        <v/>
      </c>
      <c r="X1292" t="str">
        <f ca="1">IFERROR(__xludf.DUMMYFUNCTION("""COMPUTED_VALUE"""),"")</f>
        <v/>
      </c>
      <c r="Y1292" t="str">
        <f ca="1">IFERROR(__xludf.DUMMYFUNCTION("""COMPUTED_VALUE"""),"")</f>
        <v/>
      </c>
      <c r="Z1292" t="str">
        <f ca="1">IFERROR(__xludf.DUMMYFUNCTION("""COMPUTED_VALUE"""),"")</f>
        <v/>
      </c>
      <c r="AA1292" t="str">
        <f ca="1">IFERROR(__xludf.DUMMYFUNCTION("""COMPUTED_VALUE"""),"")</f>
        <v/>
      </c>
      <c r="AB1292" s="8" t="str">
        <f ca="1">IFERROR(__xludf.DUMMYFUNCTION("""COMPUTED_VALUE"""),"")</f>
        <v/>
      </c>
      <c r="AC1292" s="8" t="str">
        <f ca="1">IFERROR(__xludf.DUMMYFUNCTION("""COMPUTED_VALUE"""),"")</f>
        <v/>
      </c>
      <c r="AD1292" s="11" t="str">
        <f ca="1">IFERROR(__xludf.DUMMYFUNCTION("""COMPUTED_VALUE"""),"")</f>
        <v/>
      </c>
      <c r="AE1292" t="str">
        <f ca="1">IFERROR(__xludf.DUMMYFUNCTION("""COMPUTED_VALUE"""),"")</f>
        <v/>
      </c>
    </row>
    <row r="1293" spans="1:31" ht="12.75" x14ac:dyDescent="0.2">
      <c r="A1293" t="str">
        <f ca="1">IFERROR(__xludf.DUMMYFUNCTION("""COMPUTED_VALUE"""),"")</f>
        <v/>
      </c>
      <c r="B1293" t="str">
        <f ca="1">IFERROR(__xludf.DUMMYFUNCTION("""COMPUTED_VALUE"""),"")</f>
        <v/>
      </c>
      <c r="C1293" t="str">
        <f ca="1">IFERROR(__xludf.DUMMYFUNCTION("""COMPUTED_VALUE"""),"")</f>
        <v/>
      </c>
      <c r="D1293" t="str">
        <f ca="1">IFERROR(__xludf.DUMMYFUNCTION("""COMPUTED_VALUE"""),"")</f>
        <v/>
      </c>
      <c r="E1293" t="str">
        <f ca="1">IFERROR(__xludf.DUMMYFUNCTION("""COMPUTED_VALUE"""),"")</f>
        <v/>
      </c>
      <c r="F1293" t="str">
        <f ca="1">IFERROR(__xludf.DUMMYFUNCTION("""COMPUTED_VALUE"""),"")</f>
        <v/>
      </c>
      <c r="G1293" t="str">
        <f ca="1">IFERROR(__xludf.DUMMYFUNCTION("""COMPUTED_VALUE"""),"")</f>
        <v/>
      </c>
      <c r="H1293" t="str">
        <f ca="1">IFERROR(__xludf.DUMMYFUNCTION("""COMPUTED_VALUE"""),"")</f>
        <v/>
      </c>
      <c r="I1293" t="str">
        <f ca="1">IFERROR(__xludf.DUMMYFUNCTION("""COMPUTED_VALUE"""),"")</f>
        <v/>
      </c>
      <c r="J1293" t="str">
        <f ca="1">IFERROR(__xludf.DUMMYFUNCTION("""COMPUTED_VALUE"""),"")</f>
        <v/>
      </c>
      <c r="K1293" t="str">
        <f ca="1">IFERROR(__xludf.DUMMYFUNCTION("""COMPUTED_VALUE"""),"")</f>
        <v/>
      </c>
      <c r="L1293" t="str">
        <f ca="1">IFERROR(__xludf.DUMMYFUNCTION("""COMPUTED_VALUE"""),"")</f>
        <v/>
      </c>
      <c r="M1293" t="str">
        <f ca="1">IFERROR(__xludf.DUMMYFUNCTION("""COMPUTED_VALUE"""),"")</f>
        <v/>
      </c>
      <c r="N1293" t="str">
        <f ca="1">IFERROR(__xludf.DUMMYFUNCTION("""COMPUTED_VALUE"""),"")</f>
        <v/>
      </c>
      <c r="O1293" t="str">
        <f ca="1">IFERROR(__xludf.DUMMYFUNCTION("""COMPUTED_VALUE"""),"")</f>
        <v/>
      </c>
      <c r="P1293" t="str">
        <f ca="1">IFERROR(__xludf.DUMMYFUNCTION("""COMPUTED_VALUE"""),"")</f>
        <v/>
      </c>
      <c r="Q1293" s="5" t="str">
        <f ca="1">IFERROR(__xludf.DUMMYFUNCTION("""COMPUTED_VALUE"""),"")</f>
        <v/>
      </c>
      <c r="R1293" s="6" t="str">
        <f ca="1">IFERROR(__xludf.DUMMYFUNCTION("""COMPUTED_VALUE"""),"")</f>
        <v/>
      </c>
      <c r="S1293" t="str">
        <f ca="1">IFERROR(__xludf.DUMMYFUNCTION("""COMPUTED_VALUE"""),"")</f>
        <v/>
      </c>
      <c r="T1293" t="str">
        <f ca="1">IFERROR(__xludf.DUMMYFUNCTION("""COMPUTED_VALUE"""),"")</f>
        <v/>
      </c>
      <c r="U1293" t="str">
        <f ca="1">IFERROR(__xludf.DUMMYFUNCTION("""COMPUTED_VALUE"""),"")</f>
        <v/>
      </c>
      <c r="V1293" t="str">
        <f ca="1">IFERROR(__xludf.DUMMYFUNCTION("""COMPUTED_VALUE"""),"")</f>
        <v/>
      </c>
      <c r="W1293" t="str">
        <f ca="1">IFERROR(__xludf.DUMMYFUNCTION("""COMPUTED_VALUE"""),"")</f>
        <v/>
      </c>
      <c r="X1293" t="str">
        <f ca="1">IFERROR(__xludf.DUMMYFUNCTION("""COMPUTED_VALUE"""),"")</f>
        <v/>
      </c>
      <c r="Y1293" t="str">
        <f ca="1">IFERROR(__xludf.DUMMYFUNCTION("""COMPUTED_VALUE"""),"")</f>
        <v/>
      </c>
      <c r="Z1293" t="str">
        <f ca="1">IFERROR(__xludf.DUMMYFUNCTION("""COMPUTED_VALUE"""),"")</f>
        <v/>
      </c>
      <c r="AA1293" t="str">
        <f ca="1">IFERROR(__xludf.DUMMYFUNCTION("""COMPUTED_VALUE"""),"")</f>
        <v/>
      </c>
      <c r="AB1293" s="8" t="str">
        <f ca="1">IFERROR(__xludf.DUMMYFUNCTION("""COMPUTED_VALUE"""),"")</f>
        <v/>
      </c>
      <c r="AC1293" s="8" t="str">
        <f ca="1">IFERROR(__xludf.DUMMYFUNCTION("""COMPUTED_VALUE"""),"")</f>
        <v/>
      </c>
      <c r="AD1293" s="11" t="str">
        <f ca="1">IFERROR(__xludf.DUMMYFUNCTION("""COMPUTED_VALUE"""),"")</f>
        <v/>
      </c>
      <c r="AE1293" t="str">
        <f ca="1">IFERROR(__xludf.DUMMYFUNCTION("""COMPUTED_VALUE"""),"")</f>
        <v/>
      </c>
    </row>
    <row r="1294" spans="1:31" ht="12.75" x14ac:dyDescent="0.2">
      <c r="A1294" t="str">
        <f ca="1">IFERROR(__xludf.DUMMYFUNCTION("""COMPUTED_VALUE"""),"")</f>
        <v/>
      </c>
      <c r="B1294" t="str">
        <f ca="1">IFERROR(__xludf.DUMMYFUNCTION("""COMPUTED_VALUE"""),"")</f>
        <v/>
      </c>
      <c r="C1294" t="str">
        <f ca="1">IFERROR(__xludf.DUMMYFUNCTION("""COMPUTED_VALUE"""),"")</f>
        <v/>
      </c>
      <c r="D1294" t="str">
        <f ca="1">IFERROR(__xludf.DUMMYFUNCTION("""COMPUTED_VALUE"""),"")</f>
        <v/>
      </c>
      <c r="E1294" t="str">
        <f ca="1">IFERROR(__xludf.DUMMYFUNCTION("""COMPUTED_VALUE"""),"")</f>
        <v/>
      </c>
      <c r="F1294" t="str">
        <f ca="1">IFERROR(__xludf.DUMMYFUNCTION("""COMPUTED_VALUE"""),"")</f>
        <v/>
      </c>
      <c r="G1294" t="str">
        <f ca="1">IFERROR(__xludf.DUMMYFUNCTION("""COMPUTED_VALUE"""),"")</f>
        <v/>
      </c>
      <c r="H1294" t="str">
        <f ca="1">IFERROR(__xludf.DUMMYFUNCTION("""COMPUTED_VALUE"""),"")</f>
        <v/>
      </c>
      <c r="I1294" t="str">
        <f ca="1">IFERROR(__xludf.DUMMYFUNCTION("""COMPUTED_VALUE"""),"")</f>
        <v/>
      </c>
      <c r="J1294" t="str">
        <f ca="1">IFERROR(__xludf.DUMMYFUNCTION("""COMPUTED_VALUE"""),"")</f>
        <v/>
      </c>
      <c r="K1294" t="str">
        <f ca="1">IFERROR(__xludf.DUMMYFUNCTION("""COMPUTED_VALUE"""),"")</f>
        <v/>
      </c>
      <c r="L1294" t="str">
        <f ca="1">IFERROR(__xludf.DUMMYFUNCTION("""COMPUTED_VALUE"""),"")</f>
        <v/>
      </c>
      <c r="M1294" t="str">
        <f ca="1">IFERROR(__xludf.DUMMYFUNCTION("""COMPUTED_VALUE"""),"")</f>
        <v/>
      </c>
      <c r="N1294" t="str">
        <f ca="1">IFERROR(__xludf.DUMMYFUNCTION("""COMPUTED_VALUE"""),"")</f>
        <v/>
      </c>
      <c r="O1294" t="str">
        <f ca="1">IFERROR(__xludf.DUMMYFUNCTION("""COMPUTED_VALUE"""),"")</f>
        <v/>
      </c>
      <c r="P1294" t="str">
        <f ca="1">IFERROR(__xludf.DUMMYFUNCTION("""COMPUTED_VALUE"""),"")</f>
        <v/>
      </c>
      <c r="Q1294" s="5" t="str">
        <f ca="1">IFERROR(__xludf.DUMMYFUNCTION("""COMPUTED_VALUE"""),"")</f>
        <v/>
      </c>
      <c r="R1294" s="6" t="str">
        <f ca="1">IFERROR(__xludf.DUMMYFUNCTION("""COMPUTED_VALUE"""),"")</f>
        <v/>
      </c>
      <c r="S1294" t="str">
        <f ca="1">IFERROR(__xludf.DUMMYFUNCTION("""COMPUTED_VALUE"""),"")</f>
        <v/>
      </c>
      <c r="T1294" t="str">
        <f ca="1">IFERROR(__xludf.DUMMYFUNCTION("""COMPUTED_VALUE"""),"")</f>
        <v/>
      </c>
      <c r="U1294" t="str">
        <f ca="1">IFERROR(__xludf.DUMMYFUNCTION("""COMPUTED_VALUE"""),"")</f>
        <v/>
      </c>
      <c r="V1294" t="str">
        <f ca="1">IFERROR(__xludf.DUMMYFUNCTION("""COMPUTED_VALUE"""),"")</f>
        <v/>
      </c>
      <c r="W1294" t="str">
        <f ca="1">IFERROR(__xludf.DUMMYFUNCTION("""COMPUTED_VALUE"""),"")</f>
        <v/>
      </c>
      <c r="X1294" t="str">
        <f ca="1">IFERROR(__xludf.DUMMYFUNCTION("""COMPUTED_VALUE"""),"")</f>
        <v/>
      </c>
      <c r="Y1294" t="str">
        <f ca="1">IFERROR(__xludf.DUMMYFUNCTION("""COMPUTED_VALUE"""),"")</f>
        <v/>
      </c>
      <c r="Z1294" t="str">
        <f ca="1">IFERROR(__xludf.DUMMYFUNCTION("""COMPUTED_VALUE"""),"")</f>
        <v/>
      </c>
      <c r="AA1294" t="str">
        <f ca="1">IFERROR(__xludf.DUMMYFUNCTION("""COMPUTED_VALUE"""),"")</f>
        <v/>
      </c>
      <c r="AB1294" s="8" t="str">
        <f ca="1">IFERROR(__xludf.DUMMYFUNCTION("""COMPUTED_VALUE"""),"")</f>
        <v/>
      </c>
      <c r="AC1294" s="8" t="str">
        <f ca="1">IFERROR(__xludf.DUMMYFUNCTION("""COMPUTED_VALUE"""),"")</f>
        <v/>
      </c>
      <c r="AD1294" s="11" t="str">
        <f ca="1">IFERROR(__xludf.DUMMYFUNCTION("""COMPUTED_VALUE"""),"")</f>
        <v/>
      </c>
      <c r="AE1294" t="str">
        <f ca="1">IFERROR(__xludf.DUMMYFUNCTION("""COMPUTED_VALUE"""),"")</f>
        <v/>
      </c>
    </row>
    <row r="1295" spans="1:31" ht="12.75" x14ac:dyDescent="0.2">
      <c r="A1295" t="str">
        <f ca="1">IFERROR(__xludf.DUMMYFUNCTION("""COMPUTED_VALUE"""),"")</f>
        <v/>
      </c>
      <c r="B1295" t="str">
        <f ca="1">IFERROR(__xludf.DUMMYFUNCTION("""COMPUTED_VALUE"""),"")</f>
        <v/>
      </c>
      <c r="C1295" t="str">
        <f ca="1">IFERROR(__xludf.DUMMYFUNCTION("""COMPUTED_VALUE"""),"")</f>
        <v/>
      </c>
      <c r="D1295" t="str">
        <f ca="1">IFERROR(__xludf.DUMMYFUNCTION("""COMPUTED_VALUE"""),"")</f>
        <v/>
      </c>
      <c r="E1295" t="str">
        <f ca="1">IFERROR(__xludf.DUMMYFUNCTION("""COMPUTED_VALUE"""),"")</f>
        <v/>
      </c>
      <c r="F1295" t="str">
        <f ca="1">IFERROR(__xludf.DUMMYFUNCTION("""COMPUTED_VALUE"""),"")</f>
        <v/>
      </c>
      <c r="G1295" t="str">
        <f ca="1">IFERROR(__xludf.DUMMYFUNCTION("""COMPUTED_VALUE"""),"")</f>
        <v/>
      </c>
      <c r="H1295" t="str">
        <f ca="1">IFERROR(__xludf.DUMMYFUNCTION("""COMPUTED_VALUE"""),"")</f>
        <v/>
      </c>
      <c r="I1295" t="str">
        <f ca="1">IFERROR(__xludf.DUMMYFUNCTION("""COMPUTED_VALUE"""),"")</f>
        <v/>
      </c>
      <c r="J1295" t="str">
        <f ca="1">IFERROR(__xludf.DUMMYFUNCTION("""COMPUTED_VALUE"""),"")</f>
        <v/>
      </c>
      <c r="K1295" t="str">
        <f ca="1">IFERROR(__xludf.DUMMYFUNCTION("""COMPUTED_VALUE"""),"")</f>
        <v/>
      </c>
      <c r="L1295" t="str">
        <f ca="1">IFERROR(__xludf.DUMMYFUNCTION("""COMPUTED_VALUE"""),"")</f>
        <v/>
      </c>
      <c r="M1295" t="str">
        <f ca="1">IFERROR(__xludf.DUMMYFUNCTION("""COMPUTED_VALUE"""),"")</f>
        <v/>
      </c>
      <c r="N1295" t="str">
        <f ca="1">IFERROR(__xludf.DUMMYFUNCTION("""COMPUTED_VALUE"""),"")</f>
        <v/>
      </c>
      <c r="O1295" t="str">
        <f ca="1">IFERROR(__xludf.DUMMYFUNCTION("""COMPUTED_VALUE"""),"")</f>
        <v/>
      </c>
      <c r="P1295" t="str">
        <f ca="1">IFERROR(__xludf.DUMMYFUNCTION("""COMPUTED_VALUE"""),"")</f>
        <v/>
      </c>
      <c r="Q1295" s="5" t="str">
        <f ca="1">IFERROR(__xludf.DUMMYFUNCTION("""COMPUTED_VALUE"""),"")</f>
        <v/>
      </c>
      <c r="R1295" s="6" t="str">
        <f ca="1">IFERROR(__xludf.DUMMYFUNCTION("""COMPUTED_VALUE"""),"")</f>
        <v/>
      </c>
      <c r="S1295" t="str">
        <f ca="1">IFERROR(__xludf.DUMMYFUNCTION("""COMPUTED_VALUE"""),"")</f>
        <v/>
      </c>
      <c r="T1295" t="str">
        <f ca="1">IFERROR(__xludf.DUMMYFUNCTION("""COMPUTED_VALUE"""),"")</f>
        <v/>
      </c>
      <c r="U1295" t="str">
        <f ca="1">IFERROR(__xludf.DUMMYFUNCTION("""COMPUTED_VALUE"""),"")</f>
        <v/>
      </c>
      <c r="V1295" t="str">
        <f ca="1">IFERROR(__xludf.DUMMYFUNCTION("""COMPUTED_VALUE"""),"")</f>
        <v/>
      </c>
      <c r="W1295" t="str">
        <f ca="1">IFERROR(__xludf.DUMMYFUNCTION("""COMPUTED_VALUE"""),"")</f>
        <v/>
      </c>
      <c r="X1295" t="str">
        <f ca="1">IFERROR(__xludf.DUMMYFUNCTION("""COMPUTED_VALUE"""),"")</f>
        <v/>
      </c>
      <c r="Y1295" t="str">
        <f ca="1">IFERROR(__xludf.DUMMYFUNCTION("""COMPUTED_VALUE"""),"")</f>
        <v/>
      </c>
      <c r="Z1295" t="str">
        <f ca="1">IFERROR(__xludf.DUMMYFUNCTION("""COMPUTED_VALUE"""),"")</f>
        <v/>
      </c>
      <c r="AA1295" t="str">
        <f ca="1">IFERROR(__xludf.DUMMYFUNCTION("""COMPUTED_VALUE"""),"")</f>
        <v/>
      </c>
      <c r="AB1295" s="8" t="str">
        <f ca="1">IFERROR(__xludf.DUMMYFUNCTION("""COMPUTED_VALUE"""),"")</f>
        <v/>
      </c>
      <c r="AC1295" s="8" t="str">
        <f ca="1">IFERROR(__xludf.DUMMYFUNCTION("""COMPUTED_VALUE"""),"")</f>
        <v/>
      </c>
      <c r="AD1295" s="11" t="str">
        <f ca="1">IFERROR(__xludf.DUMMYFUNCTION("""COMPUTED_VALUE"""),"")</f>
        <v/>
      </c>
      <c r="AE1295" t="str">
        <f ca="1">IFERROR(__xludf.DUMMYFUNCTION("""COMPUTED_VALUE"""),"")</f>
        <v/>
      </c>
    </row>
    <row r="1296" spans="1:31" ht="12.75" x14ac:dyDescent="0.2">
      <c r="A1296" t="str">
        <f ca="1">IFERROR(__xludf.DUMMYFUNCTION("""COMPUTED_VALUE"""),"")</f>
        <v/>
      </c>
      <c r="B1296" t="str">
        <f ca="1">IFERROR(__xludf.DUMMYFUNCTION("""COMPUTED_VALUE"""),"")</f>
        <v/>
      </c>
      <c r="C1296" t="str">
        <f ca="1">IFERROR(__xludf.DUMMYFUNCTION("""COMPUTED_VALUE"""),"")</f>
        <v/>
      </c>
      <c r="D1296" t="str">
        <f ca="1">IFERROR(__xludf.DUMMYFUNCTION("""COMPUTED_VALUE"""),"")</f>
        <v/>
      </c>
      <c r="E1296" t="str">
        <f ca="1">IFERROR(__xludf.DUMMYFUNCTION("""COMPUTED_VALUE"""),"")</f>
        <v/>
      </c>
      <c r="F1296" t="str">
        <f ca="1">IFERROR(__xludf.DUMMYFUNCTION("""COMPUTED_VALUE"""),"")</f>
        <v/>
      </c>
      <c r="G1296" t="str">
        <f ca="1">IFERROR(__xludf.DUMMYFUNCTION("""COMPUTED_VALUE"""),"")</f>
        <v/>
      </c>
      <c r="H1296" t="str">
        <f ca="1">IFERROR(__xludf.DUMMYFUNCTION("""COMPUTED_VALUE"""),"")</f>
        <v/>
      </c>
      <c r="I1296" t="str">
        <f ca="1">IFERROR(__xludf.DUMMYFUNCTION("""COMPUTED_VALUE"""),"")</f>
        <v/>
      </c>
      <c r="J1296" t="str">
        <f ca="1">IFERROR(__xludf.DUMMYFUNCTION("""COMPUTED_VALUE"""),"")</f>
        <v/>
      </c>
      <c r="K1296" t="str">
        <f ca="1">IFERROR(__xludf.DUMMYFUNCTION("""COMPUTED_VALUE"""),"")</f>
        <v/>
      </c>
      <c r="L1296" t="str">
        <f ca="1">IFERROR(__xludf.DUMMYFUNCTION("""COMPUTED_VALUE"""),"")</f>
        <v/>
      </c>
      <c r="M1296" t="str">
        <f ca="1">IFERROR(__xludf.DUMMYFUNCTION("""COMPUTED_VALUE"""),"")</f>
        <v/>
      </c>
      <c r="N1296" t="str">
        <f ca="1">IFERROR(__xludf.DUMMYFUNCTION("""COMPUTED_VALUE"""),"")</f>
        <v/>
      </c>
      <c r="O1296" t="str">
        <f ca="1">IFERROR(__xludf.DUMMYFUNCTION("""COMPUTED_VALUE"""),"")</f>
        <v/>
      </c>
      <c r="P1296" t="str">
        <f ca="1">IFERROR(__xludf.DUMMYFUNCTION("""COMPUTED_VALUE"""),"")</f>
        <v/>
      </c>
      <c r="Q1296" s="5" t="str">
        <f ca="1">IFERROR(__xludf.DUMMYFUNCTION("""COMPUTED_VALUE"""),"")</f>
        <v/>
      </c>
      <c r="R1296" s="6" t="str">
        <f ca="1">IFERROR(__xludf.DUMMYFUNCTION("""COMPUTED_VALUE"""),"")</f>
        <v/>
      </c>
      <c r="S1296" t="str">
        <f ca="1">IFERROR(__xludf.DUMMYFUNCTION("""COMPUTED_VALUE"""),"")</f>
        <v/>
      </c>
      <c r="T1296" t="str">
        <f ca="1">IFERROR(__xludf.DUMMYFUNCTION("""COMPUTED_VALUE"""),"")</f>
        <v/>
      </c>
      <c r="U1296" t="str">
        <f ca="1">IFERROR(__xludf.DUMMYFUNCTION("""COMPUTED_VALUE"""),"")</f>
        <v/>
      </c>
      <c r="V1296" t="str">
        <f ca="1">IFERROR(__xludf.DUMMYFUNCTION("""COMPUTED_VALUE"""),"")</f>
        <v/>
      </c>
      <c r="W1296" t="str">
        <f ca="1">IFERROR(__xludf.DUMMYFUNCTION("""COMPUTED_VALUE"""),"")</f>
        <v/>
      </c>
      <c r="X1296" t="str">
        <f ca="1">IFERROR(__xludf.DUMMYFUNCTION("""COMPUTED_VALUE"""),"")</f>
        <v/>
      </c>
      <c r="Y1296" t="str">
        <f ca="1">IFERROR(__xludf.DUMMYFUNCTION("""COMPUTED_VALUE"""),"")</f>
        <v/>
      </c>
      <c r="Z1296" t="str">
        <f ca="1">IFERROR(__xludf.DUMMYFUNCTION("""COMPUTED_VALUE"""),"")</f>
        <v/>
      </c>
      <c r="AA1296" t="str">
        <f ca="1">IFERROR(__xludf.DUMMYFUNCTION("""COMPUTED_VALUE"""),"")</f>
        <v/>
      </c>
      <c r="AB1296" s="8" t="str">
        <f ca="1">IFERROR(__xludf.DUMMYFUNCTION("""COMPUTED_VALUE"""),"")</f>
        <v/>
      </c>
      <c r="AC1296" s="8" t="str">
        <f ca="1">IFERROR(__xludf.DUMMYFUNCTION("""COMPUTED_VALUE"""),"")</f>
        <v/>
      </c>
      <c r="AD1296" s="11" t="str">
        <f ca="1">IFERROR(__xludf.DUMMYFUNCTION("""COMPUTED_VALUE"""),"")</f>
        <v/>
      </c>
      <c r="AE1296" t="str">
        <f ca="1">IFERROR(__xludf.DUMMYFUNCTION("""COMPUTED_VALUE"""),"")</f>
        <v/>
      </c>
    </row>
    <row r="1297" spans="1:31" ht="12.75" x14ac:dyDescent="0.2">
      <c r="A1297" t="str">
        <f ca="1">IFERROR(__xludf.DUMMYFUNCTION("""COMPUTED_VALUE"""),"")</f>
        <v/>
      </c>
      <c r="B1297" t="str">
        <f ca="1">IFERROR(__xludf.DUMMYFUNCTION("""COMPUTED_VALUE"""),"")</f>
        <v/>
      </c>
      <c r="C1297" t="str">
        <f ca="1">IFERROR(__xludf.DUMMYFUNCTION("""COMPUTED_VALUE"""),"")</f>
        <v/>
      </c>
      <c r="D1297" t="str">
        <f ca="1">IFERROR(__xludf.DUMMYFUNCTION("""COMPUTED_VALUE"""),"")</f>
        <v/>
      </c>
      <c r="E1297" t="str">
        <f ca="1">IFERROR(__xludf.DUMMYFUNCTION("""COMPUTED_VALUE"""),"")</f>
        <v/>
      </c>
      <c r="F1297" t="str">
        <f ca="1">IFERROR(__xludf.DUMMYFUNCTION("""COMPUTED_VALUE"""),"")</f>
        <v/>
      </c>
      <c r="G1297" t="str">
        <f ca="1">IFERROR(__xludf.DUMMYFUNCTION("""COMPUTED_VALUE"""),"")</f>
        <v/>
      </c>
      <c r="H1297" t="str">
        <f ca="1">IFERROR(__xludf.DUMMYFUNCTION("""COMPUTED_VALUE"""),"")</f>
        <v/>
      </c>
      <c r="I1297" t="str">
        <f ca="1">IFERROR(__xludf.DUMMYFUNCTION("""COMPUTED_VALUE"""),"")</f>
        <v/>
      </c>
      <c r="J1297" t="str">
        <f ca="1">IFERROR(__xludf.DUMMYFUNCTION("""COMPUTED_VALUE"""),"")</f>
        <v/>
      </c>
      <c r="K1297" t="str">
        <f ca="1">IFERROR(__xludf.DUMMYFUNCTION("""COMPUTED_VALUE"""),"")</f>
        <v/>
      </c>
      <c r="L1297" t="str">
        <f ca="1">IFERROR(__xludf.DUMMYFUNCTION("""COMPUTED_VALUE"""),"")</f>
        <v/>
      </c>
      <c r="M1297" t="str">
        <f ca="1">IFERROR(__xludf.DUMMYFUNCTION("""COMPUTED_VALUE"""),"")</f>
        <v/>
      </c>
      <c r="N1297" t="str">
        <f ca="1">IFERROR(__xludf.DUMMYFUNCTION("""COMPUTED_VALUE"""),"")</f>
        <v/>
      </c>
      <c r="O1297" t="str">
        <f ca="1">IFERROR(__xludf.DUMMYFUNCTION("""COMPUTED_VALUE"""),"")</f>
        <v/>
      </c>
      <c r="P1297" t="str">
        <f ca="1">IFERROR(__xludf.DUMMYFUNCTION("""COMPUTED_VALUE"""),"")</f>
        <v/>
      </c>
      <c r="Q1297" s="5" t="str">
        <f ca="1">IFERROR(__xludf.DUMMYFUNCTION("""COMPUTED_VALUE"""),"")</f>
        <v/>
      </c>
      <c r="R1297" s="6" t="str">
        <f ca="1">IFERROR(__xludf.DUMMYFUNCTION("""COMPUTED_VALUE"""),"")</f>
        <v/>
      </c>
      <c r="S1297" t="str">
        <f ca="1">IFERROR(__xludf.DUMMYFUNCTION("""COMPUTED_VALUE"""),"")</f>
        <v/>
      </c>
      <c r="T1297" t="str">
        <f ca="1">IFERROR(__xludf.DUMMYFUNCTION("""COMPUTED_VALUE"""),"")</f>
        <v/>
      </c>
      <c r="U1297" t="str">
        <f ca="1">IFERROR(__xludf.DUMMYFUNCTION("""COMPUTED_VALUE"""),"")</f>
        <v/>
      </c>
      <c r="V1297" t="str">
        <f ca="1">IFERROR(__xludf.DUMMYFUNCTION("""COMPUTED_VALUE"""),"")</f>
        <v/>
      </c>
      <c r="W1297" t="str">
        <f ca="1">IFERROR(__xludf.DUMMYFUNCTION("""COMPUTED_VALUE"""),"")</f>
        <v/>
      </c>
      <c r="X1297" t="str">
        <f ca="1">IFERROR(__xludf.DUMMYFUNCTION("""COMPUTED_VALUE"""),"")</f>
        <v/>
      </c>
      <c r="Y1297" t="str">
        <f ca="1">IFERROR(__xludf.DUMMYFUNCTION("""COMPUTED_VALUE"""),"")</f>
        <v/>
      </c>
      <c r="Z1297" t="str">
        <f ca="1">IFERROR(__xludf.DUMMYFUNCTION("""COMPUTED_VALUE"""),"")</f>
        <v/>
      </c>
      <c r="AA1297" t="str">
        <f ca="1">IFERROR(__xludf.DUMMYFUNCTION("""COMPUTED_VALUE"""),"")</f>
        <v/>
      </c>
      <c r="AB1297" s="8" t="str">
        <f ca="1">IFERROR(__xludf.DUMMYFUNCTION("""COMPUTED_VALUE"""),"")</f>
        <v/>
      </c>
      <c r="AC1297" s="8" t="str">
        <f ca="1">IFERROR(__xludf.DUMMYFUNCTION("""COMPUTED_VALUE"""),"")</f>
        <v/>
      </c>
      <c r="AD1297" s="11" t="str">
        <f ca="1">IFERROR(__xludf.DUMMYFUNCTION("""COMPUTED_VALUE"""),"")</f>
        <v/>
      </c>
      <c r="AE1297" t="str">
        <f ca="1">IFERROR(__xludf.DUMMYFUNCTION("""COMPUTED_VALUE"""),"")</f>
        <v/>
      </c>
    </row>
    <row r="1298" spans="1:31" ht="12.75" x14ac:dyDescent="0.2">
      <c r="A1298" t="str">
        <f ca="1">IFERROR(__xludf.DUMMYFUNCTION("""COMPUTED_VALUE"""),"")</f>
        <v/>
      </c>
      <c r="B1298" t="str">
        <f ca="1">IFERROR(__xludf.DUMMYFUNCTION("""COMPUTED_VALUE"""),"")</f>
        <v/>
      </c>
      <c r="C1298" t="str">
        <f ca="1">IFERROR(__xludf.DUMMYFUNCTION("""COMPUTED_VALUE"""),"")</f>
        <v/>
      </c>
      <c r="D1298" t="str">
        <f ca="1">IFERROR(__xludf.DUMMYFUNCTION("""COMPUTED_VALUE"""),"")</f>
        <v/>
      </c>
      <c r="E1298" t="str">
        <f ca="1">IFERROR(__xludf.DUMMYFUNCTION("""COMPUTED_VALUE"""),"")</f>
        <v/>
      </c>
      <c r="F1298" t="str">
        <f ca="1">IFERROR(__xludf.DUMMYFUNCTION("""COMPUTED_VALUE"""),"")</f>
        <v/>
      </c>
      <c r="G1298" t="str">
        <f ca="1">IFERROR(__xludf.DUMMYFUNCTION("""COMPUTED_VALUE"""),"")</f>
        <v/>
      </c>
      <c r="H1298" t="str">
        <f ca="1">IFERROR(__xludf.DUMMYFUNCTION("""COMPUTED_VALUE"""),"")</f>
        <v/>
      </c>
      <c r="I1298" t="str">
        <f ca="1">IFERROR(__xludf.DUMMYFUNCTION("""COMPUTED_VALUE"""),"")</f>
        <v/>
      </c>
      <c r="J1298" t="str">
        <f ca="1">IFERROR(__xludf.DUMMYFUNCTION("""COMPUTED_VALUE"""),"")</f>
        <v/>
      </c>
      <c r="K1298" t="str">
        <f ca="1">IFERROR(__xludf.DUMMYFUNCTION("""COMPUTED_VALUE"""),"")</f>
        <v/>
      </c>
      <c r="L1298" t="str">
        <f ca="1">IFERROR(__xludf.DUMMYFUNCTION("""COMPUTED_VALUE"""),"")</f>
        <v/>
      </c>
      <c r="M1298" t="str">
        <f ca="1">IFERROR(__xludf.DUMMYFUNCTION("""COMPUTED_VALUE"""),"")</f>
        <v/>
      </c>
      <c r="N1298" t="str">
        <f ca="1">IFERROR(__xludf.DUMMYFUNCTION("""COMPUTED_VALUE"""),"")</f>
        <v/>
      </c>
      <c r="O1298" t="str">
        <f ca="1">IFERROR(__xludf.DUMMYFUNCTION("""COMPUTED_VALUE"""),"")</f>
        <v/>
      </c>
      <c r="P1298" t="str">
        <f ca="1">IFERROR(__xludf.DUMMYFUNCTION("""COMPUTED_VALUE"""),"")</f>
        <v/>
      </c>
      <c r="Q1298" s="5" t="str">
        <f ca="1">IFERROR(__xludf.DUMMYFUNCTION("""COMPUTED_VALUE"""),"")</f>
        <v/>
      </c>
      <c r="R1298" s="6" t="str">
        <f ca="1">IFERROR(__xludf.DUMMYFUNCTION("""COMPUTED_VALUE"""),"")</f>
        <v/>
      </c>
      <c r="S1298" t="str">
        <f ca="1">IFERROR(__xludf.DUMMYFUNCTION("""COMPUTED_VALUE"""),"")</f>
        <v/>
      </c>
      <c r="T1298" t="str">
        <f ca="1">IFERROR(__xludf.DUMMYFUNCTION("""COMPUTED_VALUE"""),"")</f>
        <v/>
      </c>
      <c r="U1298" t="str">
        <f ca="1">IFERROR(__xludf.DUMMYFUNCTION("""COMPUTED_VALUE"""),"")</f>
        <v/>
      </c>
      <c r="V1298" t="str">
        <f ca="1">IFERROR(__xludf.DUMMYFUNCTION("""COMPUTED_VALUE"""),"")</f>
        <v/>
      </c>
      <c r="W1298" t="str">
        <f ca="1">IFERROR(__xludf.DUMMYFUNCTION("""COMPUTED_VALUE"""),"")</f>
        <v/>
      </c>
      <c r="X1298" t="str">
        <f ca="1">IFERROR(__xludf.DUMMYFUNCTION("""COMPUTED_VALUE"""),"")</f>
        <v/>
      </c>
      <c r="Y1298" t="str">
        <f ca="1">IFERROR(__xludf.DUMMYFUNCTION("""COMPUTED_VALUE"""),"")</f>
        <v/>
      </c>
      <c r="Z1298" t="str">
        <f ca="1">IFERROR(__xludf.DUMMYFUNCTION("""COMPUTED_VALUE"""),"")</f>
        <v/>
      </c>
      <c r="AA1298" t="str">
        <f ca="1">IFERROR(__xludf.DUMMYFUNCTION("""COMPUTED_VALUE"""),"")</f>
        <v/>
      </c>
      <c r="AB1298" s="8" t="str">
        <f ca="1">IFERROR(__xludf.DUMMYFUNCTION("""COMPUTED_VALUE"""),"")</f>
        <v/>
      </c>
      <c r="AC1298" s="8" t="str">
        <f ca="1">IFERROR(__xludf.DUMMYFUNCTION("""COMPUTED_VALUE"""),"")</f>
        <v/>
      </c>
      <c r="AD1298" s="11" t="str">
        <f ca="1">IFERROR(__xludf.DUMMYFUNCTION("""COMPUTED_VALUE"""),"")</f>
        <v/>
      </c>
      <c r="AE1298" t="str">
        <f ca="1">IFERROR(__xludf.DUMMYFUNCTION("""COMPUTED_VALUE"""),"")</f>
        <v/>
      </c>
    </row>
    <row r="1299" spans="1:31" ht="12.75" x14ac:dyDescent="0.2">
      <c r="A1299" t="str">
        <f ca="1">IFERROR(__xludf.DUMMYFUNCTION("""COMPUTED_VALUE"""),"")</f>
        <v/>
      </c>
      <c r="B1299" t="str">
        <f ca="1">IFERROR(__xludf.DUMMYFUNCTION("""COMPUTED_VALUE"""),"")</f>
        <v/>
      </c>
      <c r="C1299" t="str">
        <f ca="1">IFERROR(__xludf.DUMMYFUNCTION("""COMPUTED_VALUE"""),"")</f>
        <v/>
      </c>
      <c r="D1299" t="str">
        <f ca="1">IFERROR(__xludf.DUMMYFUNCTION("""COMPUTED_VALUE"""),"")</f>
        <v/>
      </c>
      <c r="E1299" t="str">
        <f ca="1">IFERROR(__xludf.DUMMYFUNCTION("""COMPUTED_VALUE"""),"")</f>
        <v/>
      </c>
      <c r="F1299" t="str">
        <f ca="1">IFERROR(__xludf.DUMMYFUNCTION("""COMPUTED_VALUE"""),"")</f>
        <v/>
      </c>
      <c r="G1299" t="str">
        <f ca="1">IFERROR(__xludf.DUMMYFUNCTION("""COMPUTED_VALUE"""),"")</f>
        <v/>
      </c>
      <c r="H1299" t="str">
        <f ca="1">IFERROR(__xludf.DUMMYFUNCTION("""COMPUTED_VALUE"""),"")</f>
        <v/>
      </c>
      <c r="I1299" t="str">
        <f ca="1">IFERROR(__xludf.DUMMYFUNCTION("""COMPUTED_VALUE"""),"")</f>
        <v/>
      </c>
      <c r="J1299" t="str">
        <f ca="1">IFERROR(__xludf.DUMMYFUNCTION("""COMPUTED_VALUE"""),"")</f>
        <v/>
      </c>
      <c r="K1299" t="str">
        <f ca="1">IFERROR(__xludf.DUMMYFUNCTION("""COMPUTED_VALUE"""),"")</f>
        <v/>
      </c>
      <c r="L1299" t="str">
        <f ca="1">IFERROR(__xludf.DUMMYFUNCTION("""COMPUTED_VALUE"""),"")</f>
        <v/>
      </c>
      <c r="M1299" t="str">
        <f ca="1">IFERROR(__xludf.DUMMYFUNCTION("""COMPUTED_VALUE"""),"")</f>
        <v/>
      </c>
      <c r="N1299" t="str">
        <f ca="1">IFERROR(__xludf.DUMMYFUNCTION("""COMPUTED_VALUE"""),"")</f>
        <v/>
      </c>
      <c r="O1299" t="str">
        <f ca="1">IFERROR(__xludf.DUMMYFUNCTION("""COMPUTED_VALUE"""),"")</f>
        <v/>
      </c>
      <c r="P1299" t="str">
        <f ca="1">IFERROR(__xludf.DUMMYFUNCTION("""COMPUTED_VALUE"""),"")</f>
        <v/>
      </c>
      <c r="Q1299" s="5" t="str">
        <f ca="1">IFERROR(__xludf.DUMMYFUNCTION("""COMPUTED_VALUE"""),"")</f>
        <v/>
      </c>
      <c r="R1299" s="6" t="str">
        <f ca="1">IFERROR(__xludf.DUMMYFUNCTION("""COMPUTED_VALUE"""),"")</f>
        <v/>
      </c>
      <c r="S1299" t="str">
        <f ca="1">IFERROR(__xludf.DUMMYFUNCTION("""COMPUTED_VALUE"""),"")</f>
        <v/>
      </c>
      <c r="T1299" t="str">
        <f ca="1">IFERROR(__xludf.DUMMYFUNCTION("""COMPUTED_VALUE"""),"")</f>
        <v/>
      </c>
      <c r="U1299" t="str">
        <f ca="1">IFERROR(__xludf.DUMMYFUNCTION("""COMPUTED_VALUE"""),"")</f>
        <v/>
      </c>
      <c r="V1299" t="str">
        <f ca="1">IFERROR(__xludf.DUMMYFUNCTION("""COMPUTED_VALUE"""),"")</f>
        <v/>
      </c>
      <c r="W1299" t="str">
        <f ca="1">IFERROR(__xludf.DUMMYFUNCTION("""COMPUTED_VALUE"""),"")</f>
        <v/>
      </c>
      <c r="X1299" t="str">
        <f ca="1">IFERROR(__xludf.DUMMYFUNCTION("""COMPUTED_VALUE"""),"")</f>
        <v/>
      </c>
      <c r="Y1299" t="str">
        <f ca="1">IFERROR(__xludf.DUMMYFUNCTION("""COMPUTED_VALUE"""),"")</f>
        <v/>
      </c>
      <c r="Z1299" t="str">
        <f ca="1">IFERROR(__xludf.DUMMYFUNCTION("""COMPUTED_VALUE"""),"")</f>
        <v/>
      </c>
      <c r="AA1299" t="str">
        <f ca="1">IFERROR(__xludf.DUMMYFUNCTION("""COMPUTED_VALUE"""),"")</f>
        <v/>
      </c>
      <c r="AB1299" s="8" t="str">
        <f ca="1">IFERROR(__xludf.DUMMYFUNCTION("""COMPUTED_VALUE"""),"")</f>
        <v/>
      </c>
      <c r="AC1299" s="8" t="str">
        <f ca="1">IFERROR(__xludf.DUMMYFUNCTION("""COMPUTED_VALUE"""),"")</f>
        <v/>
      </c>
      <c r="AD1299" s="11" t="str">
        <f ca="1">IFERROR(__xludf.DUMMYFUNCTION("""COMPUTED_VALUE"""),"")</f>
        <v/>
      </c>
      <c r="AE1299" t="str">
        <f ca="1">IFERROR(__xludf.DUMMYFUNCTION("""COMPUTED_VALUE"""),"")</f>
        <v/>
      </c>
    </row>
    <row r="1300" spans="1:31" ht="12.75" x14ac:dyDescent="0.2">
      <c r="A1300" t="str">
        <f ca="1">IFERROR(__xludf.DUMMYFUNCTION("""COMPUTED_VALUE"""),"")</f>
        <v/>
      </c>
      <c r="B1300" t="str">
        <f ca="1">IFERROR(__xludf.DUMMYFUNCTION("""COMPUTED_VALUE"""),"")</f>
        <v/>
      </c>
      <c r="C1300" t="str">
        <f ca="1">IFERROR(__xludf.DUMMYFUNCTION("""COMPUTED_VALUE"""),"")</f>
        <v/>
      </c>
      <c r="D1300" t="str">
        <f ca="1">IFERROR(__xludf.DUMMYFUNCTION("""COMPUTED_VALUE"""),"")</f>
        <v/>
      </c>
      <c r="E1300" t="str">
        <f ca="1">IFERROR(__xludf.DUMMYFUNCTION("""COMPUTED_VALUE"""),"")</f>
        <v/>
      </c>
      <c r="F1300" t="str">
        <f ca="1">IFERROR(__xludf.DUMMYFUNCTION("""COMPUTED_VALUE"""),"")</f>
        <v/>
      </c>
      <c r="G1300" t="str">
        <f ca="1">IFERROR(__xludf.DUMMYFUNCTION("""COMPUTED_VALUE"""),"")</f>
        <v/>
      </c>
      <c r="H1300" t="str">
        <f ca="1">IFERROR(__xludf.DUMMYFUNCTION("""COMPUTED_VALUE"""),"")</f>
        <v/>
      </c>
      <c r="I1300" t="str">
        <f ca="1">IFERROR(__xludf.DUMMYFUNCTION("""COMPUTED_VALUE"""),"")</f>
        <v/>
      </c>
      <c r="J1300" t="str">
        <f ca="1">IFERROR(__xludf.DUMMYFUNCTION("""COMPUTED_VALUE"""),"")</f>
        <v/>
      </c>
      <c r="K1300" t="str">
        <f ca="1">IFERROR(__xludf.DUMMYFUNCTION("""COMPUTED_VALUE"""),"")</f>
        <v/>
      </c>
      <c r="L1300" t="str">
        <f ca="1">IFERROR(__xludf.DUMMYFUNCTION("""COMPUTED_VALUE"""),"")</f>
        <v/>
      </c>
      <c r="M1300" t="str">
        <f ca="1">IFERROR(__xludf.DUMMYFUNCTION("""COMPUTED_VALUE"""),"")</f>
        <v/>
      </c>
      <c r="N1300" t="str">
        <f ca="1">IFERROR(__xludf.DUMMYFUNCTION("""COMPUTED_VALUE"""),"")</f>
        <v/>
      </c>
      <c r="O1300" t="str">
        <f ca="1">IFERROR(__xludf.DUMMYFUNCTION("""COMPUTED_VALUE"""),"")</f>
        <v/>
      </c>
      <c r="P1300" t="str">
        <f ca="1">IFERROR(__xludf.DUMMYFUNCTION("""COMPUTED_VALUE"""),"")</f>
        <v/>
      </c>
      <c r="Q1300" s="5" t="str">
        <f ca="1">IFERROR(__xludf.DUMMYFUNCTION("""COMPUTED_VALUE"""),"")</f>
        <v/>
      </c>
      <c r="R1300" s="6" t="str">
        <f ca="1">IFERROR(__xludf.DUMMYFUNCTION("""COMPUTED_VALUE"""),"")</f>
        <v/>
      </c>
      <c r="S1300" t="str">
        <f ca="1">IFERROR(__xludf.DUMMYFUNCTION("""COMPUTED_VALUE"""),"")</f>
        <v/>
      </c>
      <c r="T1300" t="str">
        <f ca="1">IFERROR(__xludf.DUMMYFUNCTION("""COMPUTED_VALUE"""),"")</f>
        <v/>
      </c>
      <c r="U1300" t="str">
        <f ca="1">IFERROR(__xludf.DUMMYFUNCTION("""COMPUTED_VALUE"""),"")</f>
        <v/>
      </c>
      <c r="V1300" t="str">
        <f ca="1">IFERROR(__xludf.DUMMYFUNCTION("""COMPUTED_VALUE"""),"")</f>
        <v/>
      </c>
      <c r="W1300" t="str">
        <f ca="1">IFERROR(__xludf.DUMMYFUNCTION("""COMPUTED_VALUE"""),"")</f>
        <v/>
      </c>
      <c r="X1300" t="str">
        <f ca="1">IFERROR(__xludf.DUMMYFUNCTION("""COMPUTED_VALUE"""),"")</f>
        <v/>
      </c>
      <c r="Y1300" t="str">
        <f ca="1">IFERROR(__xludf.DUMMYFUNCTION("""COMPUTED_VALUE"""),"")</f>
        <v/>
      </c>
      <c r="Z1300" t="str">
        <f ca="1">IFERROR(__xludf.DUMMYFUNCTION("""COMPUTED_VALUE"""),"")</f>
        <v/>
      </c>
      <c r="AA1300" t="str">
        <f ca="1">IFERROR(__xludf.DUMMYFUNCTION("""COMPUTED_VALUE"""),"")</f>
        <v/>
      </c>
      <c r="AB1300" s="8" t="str">
        <f ca="1">IFERROR(__xludf.DUMMYFUNCTION("""COMPUTED_VALUE"""),"")</f>
        <v/>
      </c>
      <c r="AC1300" s="8" t="str">
        <f ca="1">IFERROR(__xludf.DUMMYFUNCTION("""COMPUTED_VALUE"""),"")</f>
        <v/>
      </c>
      <c r="AD1300" s="11" t="str">
        <f ca="1">IFERROR(__xludf.DUMMYFUNCTION("""COMPUTED_VALUE"""),"")</f>
        <v/>
      </c>
      <c r="AE1300" t="str">
        <f ca="1">IFERROR(__xludf.DUMMYFUNCTION("""COMPUTED_VALUE"""),"")</f>
        <v/>
      </c>
    </row>
    <row r="1301" spans="1:31" ht="12.75" x14ac:dyDescent="0.2">
      <c r="A1301" t="str">
        <f ca="1">IFERROR(__xludf.DUMMYFUNCTION("""COMPUTED_VALUE"""),"")</f>
        <v/>
      </c>
      <c r="B1301" t="str">
        <f ca="1">IFERROR(__xludf.DUMMYFUNCTION("""COMPUTED_VALUE"""),"")</f>
        <v/>
      </c>
      <c r="C1301" t="str">
        <f ca="1">IFERROR(__xludf.DUMMYFUNCTION("""COMPUTED_VALUE"""),"")</f>
        <v/>
      </c>
      <c r="D1301" t="str">
        <f ca="1">IFERROR(__xludf.DUMMYFUNCTION("""COMPUTED_VALUE"""),"")</f>
        <v/>
      </c>
      <c r="E1301" t="str">
        <f ca="1">IFERROR(__xludf.DUMMYFUNCTION("""COMPUTED_VALUE"""),"")</f>
        <v/>
      </c>
      <c r="F1301" t="str">
        <f ca="1">IFERROR(__xludf.DUMMYFUNCTION("""COMPUTED_VALUE"""),"")</f>
        <v/>
      </c>
      <c r="G1301" t="str">
        <f ca="1">IFERROR(__xludf.DUMMYFUNCTION("""COMPUTED_VALUE"""),"")</f>
        <v/>
      </c>
      <c r="H1301" t="str">
        <f ca="1">IFERROR(__xludf.DUMMYFUNCTION("""COMPUTED_VALUE"""),"")</f>
        <v/>
      </c>
      <c r="I1301" t="str">
        <f ca="1">IFERROR(__xludf.DUMMYFUNCTION("""COMPUTED_VALUE"""),"")</f>
        <v/>
      </c>
      <c r="J1301" t="str">
        <f ca="1">IFERROR(__xludf.DUMMYFUNCTION("""COMPUTED_VALUE"""),"")</f>
        <v/>
      </c>
      <c r="K1301" t="str">
        <f ca="1">IFERROR(__xludf.DUMMYFUNCTION("""COMPUTED_VALUE"""),"")</f>
        <v/>
      </c>
      <c r="L1301" t="str">
        <f ca="1">IFERROR(__xludf.DUMMYFUNCTION("""COMPUTED_VALUE"""),"")</f>
        <v/>
      </c>
      <c r="M1301" t="str">
        <f ca="1">IFERROR(__xludf.DUMMYFUNCTION("""COMPUTED_VALUE"""),"")</f>
        <v/>
      </c>
      <c r="N1301" t="str">
        <f ca="1">IFERROR(__xludf.DUMMYFUNCTION("""COMPUTED_VALUE"""),"")</f>
        <v/>
      </c>
      <c r="O1301" t="str">
        <f ca="1">IFERROR(__xludf.DUMMYFUNCTION("""COMPUTED_VALUE"""),"")</f>
        <v/>
      </c>
      <c r="P1301" t="str">
        <f ca="1">IFERROR(__xludf.DUMMYFUNCTION("""COMPUTED_VALUE"""),"")</f>
        <v/>
      </c>
      <c r="Q1301" s="5" t="str">
        <f ca="1">IFERROR(__xludf.DUMMYFUNCTION("""COMPUTED_VALUE"""),"")</f>
        <v/>
      </c>
      <c r="R1301" s="6" t="str">
        <f ca="1">IFERROR(__xludf.DUMMYFUNCTION("""COMPUTED_VALUE"""),"")</f>
        <v/>
      </c>
      <c r="S1301" t="str">
        <f ca="1">IFERROR(__xludf.DUMMYFUNCTION("""COMPUTED_VALUE"""),"")</f>
        <v/>
      </c>
      <c r="T1301" t="str">
        <f ca="1">IFERROR(__xludf.DUMMYFUNCTION("""COMPUTED_VALUE"""),"")</f>
        <v/>
      </c>
      <c r="U1301" t="str">
        <f ca="1">IFERROR(__xludf.DUMMYFUNCTION("""COMPUTED_VALUE"""),"")</f>
        <v/>
      </c>
      <c r="V1301" t="str">
        <f ca="1">IFERROR(__xludf.DUMMYFUNCTION("""COMPUTED_VALUE"""),"")</f>
        <v/>
      </c>
      <c r="W1301" t="str">
        <f ca="1">IFERROR(__xludf.DUMMYFUNCTION("""COMPUTED_VALUE"""),"")</f>
        <v/>
      </c>
      <c r="X1301" t="str">
        <f ca="1">IFERROR(__xludf.DUMMYFUNCTION("""COMPUTED_VALUE"""),"")</f>
        <v/>
      </c>
      <c r="Y1301" t="str">
        <f ca="1">IFERROR(__xludf.DUMMYFUNCTION("""COMPUTED_VALUE"""),"")</f>
        <v/>
      </c>
      <c r="Z1301" t="str">
        <f ca="1">IFERROR(__xludf.DUMMYFUNCTION("""COMPUTED_VALUE"""),"")</f>
        <v/>
      </c>
      <c r="AA1301" t="str">
        <f ca="1">IFERROR(__xludf.DUMMYFUNCTION("""COMPUTED_VALUE"""),"")</f>
        <v/>
      </c>
      <c r="AB1301" s="8" t="str">
        <f ca="1">IFERROR(__xludf.DUMMYFUNCTION("""COMPUTED_VALUE"""),"")</f>
        <v/>
      </c>
      <c r="AC1301" s="8" t="str">
        <f ca="1">IFERROR(__xludf.DUMMYFUNCTION("""COMPUTED_VALUE"""),"")</f>
        <v/>
      </c>
      <c r="AD1301" s="11" t="str">
        <f ca="1">IFERROR(__xludf.DUMMYFUNCTION("""COMPUTED_VALUE"""),"")</f>
        <v/>
      </c>
      <c r="AE1301" t="str">
        <f ca="1">IFERROR(__xludf.DUMMYFUNCTION("""COMPUTED_VALUE"""),"")</f>
        <v/>
      </c>
    </row>
    <row r="1302" spans="1:31" ht="12.75" x14ac:dyDescent="0.2">
      <c r="A1302" t="str">
        <f ca="1">IFERROR(__xludf.DUMMYFUNCTION("""COMPUTED_VALUE"""),"")</f>
        <v/>
      </c>
      <c r="B1302" t="str">
        <f ca="1">IFERROR(__xludf.DUMMYFUNCTION("""COMPUTED_VALUE"""),"")</f>
        <v/>
      </c>
      <c r="C1302" t="str">
        <f ca="1">IFERROR(__xludf.DUMMYFUNCTION("""COMPUTED_VALUE"""),"")</f>
        <v/>
      </c>
      <c r="D1302" t="str">
        <f ca="1">IFERROR(__xludf.DUMMYFUNCTION("""COMPUTED_VALUE"""),"")</f>
        <v/>
      </c>
      <c r="E1302" t="str">
        <f ca="1">IFERROR(__xludf.DUMMYFUNCTION("""COMPUTED_VALUE"""),"")</f>
        <v/>
      </c>
      <c r="F1302" t="str">
        <f ca="1">IFERROR(__xludf.DUMMYFUNCTION("""COMPUTED_VALUE"""),"")</f>
        <v/>
      </c>
      <c r="G1302" t="str">
        <f ca="1">IFERROR(__xludf.DUMMYFUNCTION("""COMPUTED_VALUE"""),"")</f>
        <v/>
      </c>
      <c r="H1302" t="str">
        <f ca="1">IFERROR(__xludf.DUMMYFUNCTION("""COMPUTED_VALUE"""),"")</f>
        <v/>
      </c>
      <c r="I1302" t="str">
        <f ca="1">IFERROR(__xludf.DUMMYFUNCTION("""COMPUTED_VALUE"""),"")</f>
        <v/>
      </c>
      <c r="J1302" t="str">
        <f ca="1">IFERROR(__xludf.DUMMYFUNCTION("""COMPUTED_VALUE"""),"")</f>
        <v/>
      </c>
      <c r="K1302" t="str">
        <f ca="1">IFERROR(__xludf.DUMMYFUNCTION("""COMPUTED_VALUE"""),"")</f>
        <v/>
      </c>
      <c r="L1302" t="str">
        <f ca="1">IFERROR(__xludf.DUMMYFUNCTION("""COMPUTED_VALUE"""),"")</f>
        <v/>
      </c>
      <c r="M1302" t="str">
        <f ca="1">IFERROR(__xludf.DUMMYFUNCTION("""COMPUTED_VALUE"""),"")</f>
        <v/>
      </c>
      <c r="N1302" t="str">
        <f ca="1">IFERROR(__xludf.DUMMYFUNCTION("""COMPUTED_VALUE"""),"")</f>
        <v/>
      </c>
      <c r="O1302" t="str">
        <f ca="1">IFERROR(__xludf.DUMMYFUNCTION("""COMPUTED_VALUE"""),"")</f>
        <v/>
      </c>
      <c r="P1302" t="str">
        <f ca="1">IFERROR(__xludf.DUMMYFUNCTION("""COMPUTED_VALUE"""),"")</f>
        <v/>
      </c>
      <c r="Q1302" s="5" t="str">
        <f ca="1">IFERROR(__xludf.DUMMYFUNCTION("""COMPUTED_VALUE"""),"")</f>
        <v/>
      </c>
      <c r="R1302" s="6" t="str">
        <f ca="1">IFERROR(__xludf.DUMMYFUNCTION("""COMPUTED_VALUE"""),"")</f>
        <v/>
      </c>
      <c r="S1302" t="str">
        <f ca="1">IFERROR(__xludf.DUMMYFUNCTION("""COMPUTED_VALUE"""),"")</f>
        <v/>
      </c>
      <c r="T1302" t="str">
        <f ca="1">IFERROR(__xludf.DUMMYFUNCTION("""COMPUTED_VALUE"""),"")</f>
        <v/>
      </c>
      <c r="U1302" t="str">
        <f ca="1">IFERROR(__xludf.DUMMYFUNCTION("""COMPUTED_VALUE"""),"")</f>
        <v/>
      </c>
      <c r="V1302" t="str">
        <f ca="1">IFERROR(__xludf.DUMMYFUNCTION("""COMPUTED_VALUE"""),"")</f>
        <v/>
      </c>
      <c r="W1302" t="str">
        <f ca="1">IFERROR(__xludf.DUMMYFUNCTION("""COMPUTED_VALUE"""),"")</f>
        <v/>
      </c>
      <c r="X1302" t="str">
        <f ca="1">IFERROR(__xludf.DUMMYFUNCTION("""COMPUTED_VALUE"""),"")</f>
        <v/>
      </c>
      <c r="Y1302" t="str">
        <f ca="1">IFERROR(__xludf.DUMMYFUNCTION("""COMPUTED_VALUE"""),"")</f>
        <v/>
      </c>
      <c r="Z1302" t="str">
        <f ca="1">IFERROR(__xludf.DUMMYFUNCTION("""COMPUTED_VALUE"""),"")</f>
        <v/>
      </c>
      <c r="AA1302" t="str">
        <f ca="1">IFERROR(__xludf.DUMMYFUNCTION("""COMPUTED_VALUE"""),"")</f>
        <v/>
      </c>
      <c r="AB1302" s="8" t="str">
        <f ca="1">IFERROR(__xludf.DUMMYFUNCTION("""COMPUTED_VALUE"""),"")</f>
        <v/>
      </c>
      <c r="AC1302" s="8" t="str">
        <f ca="1">IFERROR(__xludf.DUMMYFUNCTION("""COMPUTED_VALUE"""),"")</f>
        <v/>
      </c>
      <c r="AD1302" s="11" t="str">
        <f ca="1">IFERROR(__xludf.DUMMYFUNCTION("""COMPUTED_VALUE"""),"")</f>
        <v/>
      </c>
      <c r="AE1302" t="str">
        <f ca="1">IFERROR(__xludf.DUMMYFUNCTION("""COMPUTED_VALUE"""),"")</f>
        <v/>
      </c>
    </row>
    <row r="1303" spans="1:31" ht="12.75" x14ac:dyDescent="0.2">
      <c r="A1303" t="str">
        <f ca="1">IFERROR(__xludf.DUMMYFUNCTION("""COMPUTED_VALUE"""),"")</f>
        <v/>
      </c>
      <c r="B1303" t="str">
        <f ca="1">IFERROR(__xludf.DUMMYFUNCTION("""COMPUTED_VALUE"""),"")</f>
        <v/>
      </c>
      <c r="C1303" t="str">
        <f ca="1">IFERROR(__xludf.DUMMYFUNCTION("""COMPUTED_VALUE"""),"")</f>
        <v/>
      </c>
      <c r="D1303" t="str">
        <f ca="1">IFERROR(__xludf.DUMMYFUNCTION("""COMPUTED_VALUE"""),"")</f>
        <v/>
      </c>
      <c r="E1303" t="str">
        <f ca="1">IFERROR(__xludf.DUMMYFUNCTION("""COMPUTED_VALUE"""),"")</f>
        <v/>
      </c>
      <c r="F1303" t="str">
        <f ca="1">IFERROR(__xludf.DUMMYFUNCTION("""COMPUTED_VALUE"""),"")</f>
        <v/>
      </c>
      <c r="G1303" t="str">
        <f ca="1">IFERROR(__xludf.DUMMYFUNCTION("""COMPUTED_VALUE"""),"")</f>
        <v/>
      </c>
      <c r="H1303" t="str">
        <f ca="1">IFERROR(__xludf.DUMMYFUNCTION("""COMPUTED_VALUE"""),"")</f>
        <v/>
      </c>
      <c r="I1303" t="str">
        <f ca="1">IFERROR(__xludf.DUMMYFUNCTION("""COMPUTED_VALUE"""),"")</f>
        <v/>
      </c>
      <c r="J1303" t="str">
        <f ca="1">IFERROR(__xludf.DUMMYFUNCTION("""COMPUTED_VALUE"""),"")</f>
        <v/>
      </c>
      <c r="K1303" t="str">
        <f ca="1">IFERROR(__xludf.DUMMYFUNCTION("""COMPUTED_VALUE"""),"")</f>
        <v/>
      </c>
      <c r="L1303" t="str">
        <f ca="1">IFERROR(__xludf.DUMMYFUNCTION("""COMPUTED_VALUE"""),"")</f>
        <v/>
      </c>
      <c r="M1303" t="str">
        <f ca="1">IFERROR(__xludf.DUMMYFUNCTION("""COMPUTED_VALUE"""),"")</f>
        <v/>
      </c>
      <c r="N1303" t="str">
        <f ca="1">IFERROR(__xludf.DUMMYFUNCTION("""COMPUTED_VALUE"""),"")</f>
        <v/>
      </c>
      <c r="O1303" t="str">
        <f ca="1">IFERROR(__xludf.DUMMYFUNCTION("""COMPUTED_VALUE"""),"")</f>
        <v/>
      </c>
      <c r="P1303" t="str">
        <f ca="1">IFERROR(__xludf.DUMMYFUNCTION("""COMPUTED_VALUE"""),"")</f>
        <v/>
      </c>
      <c r="Q1303" s="5" t="str">
        <f ca="1">IFERROR(__xludf.DUMMYFUNCTION("""COMPUTED_VALUE"""),"")</f>
        <v/>
      </c>
      <c r="R1303" s="6" t="str">
        <f ca="1">IFERROR(__xludf.DUMMYFUNCTION("""COMPUTED_VALUE"""),"")</f>
        <v/>
      </c>
      <c r="S1303" t="str">
        <f ca="1">IFERROR(__xludf.DUMMYFUNCTION("""COMPUTED_VALUE"""),"")</f>
        <v/>
      </c>
      <c r="T1303" t="str">
        <f ca="1">IFERROR(__xludf.DUMMYFUNCTION("""COMPUTED_VALUE"""),"")</f>
        <v/>
      </c>
      <c r="U1303" t="str">
        <f ca="1">IFERROR(__xludf.DUMMYFUNCTION("""COMPUTED_VALUE"""),"")</f>
        <v/>
      </c>
      <c r="V1303" t="str">
        <f ca="1">IFERROR(__xludf.DUMMYFUNCTION("""COMPUTED_VALUE"""),"")</f>
        <v/>
      </c>
      <c r="W1303" t="str">
        <f ca="1">IFERROR(__xludf.DUMMYFUNCTION("""COMPUTED_VALUE"""),"")</f>
        <v/>
      </c>
      <c r="X1303" t="str">
        <f ca="1">IFERROR(__xludf.DUMMYFUNCTION("""COMPUTED_VALUE"""),"")</f>
        <v/>
      </c>
      <c r="Y1303" t="str">
        <f ca="1">IFERROR(__xludf.DUMMYFUNCTION("""COMPUTED_VALUE"""),"")</f>
        <v/>
      </c>
      <c r="Z1303" t="str">
        <f ca="1">IFERROR(__xludf.DUMMYFUNCTION("""COMPUTED_VALUE"""),"")</f>
        <v/>
      </c>
      <c r="AA1303" t="str">
        <f ca="1">IFERROR(__xludf.DUMMYFUNCTION("""COMPUTED_VALUE"""),"")</f>
        <v/>
      </c>
      <c r="AB1303" s="8" t="str">
        <f ca="1">IFERROR(__xludf.DUMMYFUNCTION("""COMPUTED_VALUE"""),"")</f>
        <v/>
      </c>
      <c r="AC1303" s="8" t="str">
        <f ca="1">IFERROR(__xludf.DUMMYFUNCTION("""COMPUTED_VALUE"""),"")</f>
        <v/>
      </c>
      <c r="AD1303" s="11" t="str">
        <f ca="1">IFERROR(__xludf.DUMMYFUNCTION("""COMPUTED_VALUE"""),"")</f>
        <v/>
      </c>
      <c r="AE1303" t="str">
        <f ca="1">IFERROR(__xludf.DUMMYFUNCTION("""COMPUTED_VALUE"""),"")</f>
        <v/>
      </c>
    </row>
    <row r="1304" spans="1:31" ht="12.75" x14ac:dyDescent="0.2">
      <c r="A1304" t="str">
        <f ca="1">IFERROR(__xludf.DUMMYFUNCTION("""COMPUTED_VALUE"""),"")</f>
        <v/>
      </c>
      <c r="B1304" t="str">
        <f ca="1">IFERROR(__xludf.DUMMYFUNCTION("""COMPUTED_VALUE"""),"")</f>
        <v/>
      </c>
      <c r="C1304" t="str">
        <f ca="1">IFERROR(__xludf.DUMMYFUNCTION("""COMPUTED_VALUE"""),"")</f>
        <v/>
      </c>
      <c r="D1304" t="str">
        <f ca="1">IFERROR(__xludf.DUMMYFUNCTION("""COMPUTED_VALUE"""),"")</f>
        <v/>
      </c>
      <c r="E1304" t="str">
        <f ca="1">IFERROR(__xludf.DUMMYFUNCTION("""COMPUTED_VALUE"""),"")</f>
        <v/>
      </c>
      <c r="F1304" t="str">
        <f ca="1">IFERROR(__xludf.DUMMYFUNCTION("""COMPUTED_VALUE"""),"")</f>
        <v/>
      </c>
      <c r="G1304" t="str">
        <f ca="1">IFERROR(__xludf.DUMMYFUNCTION("""COMPUTED_VALUE"""),"")</f>
        <v/>
      </c>
      <c r="H1304" t="str">
        <f ca="1">IFERROR(__xludf.DUMMYFUNCTION("""COMPUTED_VALUE"""),"")</f>
        <v/>
      </c>
      <c r="I1304" t="str">
        <f ca="1">IFERROR(__xludf.DUMMYFUNCTION("""COMPUTED_VALUE"""),"")</f>
        <v/>
      </c>
      <c r="J1304" t="str">
        <f ca="1">IFERROR(__xludf.DUMMYFUNCTION("""COMPUTED_VALUE"""),"")</f>
        <v/>
      </c>
      <c r="K1304" t="str">
        <f ca="1">IFERROR(__xludf.DUMMYFUNCTION("""COMPUTED_VALUE"""),"")</f>
        <v/>
      </c>
      <c r="L1304" t="str">
        <f ca="1">IFERROR(__xludf.DUMMYFUNCTION("""COMPUTED_VALUE"""),"")</f>
        <v/>
      </c>
      <c r="M1304" t="str">
        <f ca="1">IFERROR(__xludf.DUMMYFUNCTION("""COMPUTED_VALUE"""),"")</f>
        <v/>
      </c>
      <c r="N1304" t="str">
        <f ca="1">IFERROR(__xludf.DUMMYFUNCTION("""COMPUTED_VALUE"""),"")</f>
        <v/>
      </c>
      <c r="O1304" t="str">
        <f ca="1">IFERROR(__xludf.DUMMYFUNCTION("""COMPUTED_VALUE"""),"")</f>
        <v/>
      </c>
      <c r="P1304" t="str">
        <f ca="1">IFERROR(__xludf.DUMMYFUNCTION("""COMPUTED_VALUE"""),"")</f>
        <v/>
      </c>
      <c r="Q1304" s="5" t="str">
        <f ca="1">IFERROR(__xludf.DUMMYFUNCTION("""COMPUTED_VALUE"""),"")</f>
        <v/>
      </c>
      <c r="R1304" s="6" t="str">
        <f ca="1">IFERROR(__xludf.DUMMYFUNCTION("""COMPUTED_VALUE"""),"")</f>
        <v/>
      </c>
      <c r="S1304" t="str">
        <f ca="1">IFERROR(__xludf.DUMMYFUNCTION("""COMPUTED_VALUE"""),"")</f>
        <v/>
      </c>
      <c r="T1304" t="str">
        <f ca="1">IFERROR(__xludf.DUMMYFUNCTION("""COMPUTED_VALUE"""),"")</f>
        <v/>
      </c>
      <c r="U1304" t="str">
        <f ca="1">IFERROR(__xludf.DUMMYFUNCTION("""COMPUTED_VALUE"""),"")</f>
        <v/>
      </c>
      <c r="V1304" t="str">
        <f ca="1">IFERROR(__xludf.DUMMYFUNCTION("""COMPUTED_VALUE"""),"")</f>
        <v/>
      </c>
      <c r="W1304" t="str">
        <f ca="1">IFERROR(__xludf.DUMMYFUNCTION("""COMPUTED_VALUE"""),"")</f>
        <v/>
      </c>
      <c r="X1304" t="str">
        <f ca="1">IFERROR(__xludf.DUMMYFUNCTION("""COMPUTED_VALUE"""),"")</f>
        <v/>
      </c>
      <c r="Y1304" t="str">
        <f ca="1">IFERROR(__xludf.DUMMYFUNCTION("""COMPUTED_VALUE"""),"")</f>
        <v/>
      </c>
      <c r="Z1304" t="str">
        <f ca="1">IFERROR(__xludf.DUMMYFUNCTION("""COMPUTED_VALUE"""),"")</f>
        <v/>
      </c>
      <c r="AA1304" t="str">
        <f ca="1">IFERROR(__xludf.DUMMYFUNCTION("""COMPUTED_VALUE"""),"")</f>
        <v/>
      </c>
      <c r="AB1304" s="8" t="str">
        <f ca="1">IFERROR(__xludf.DUMMYFUNCTION("""COMPUTED_VALUE"""),"")</f>
        <v/>
      </c>
      <c r="AC1304" s="8" t="str">
        <f ca="1">IFERROR(__xludf.DUMMYFUNCTION("""COMPUTED_VALUE"""),"")</f>
        <v/>
      </c>
      <c r="AD1304" s="11" t="str">
        <f ca="1">IFERROR(__xludf.DUMMYFUNCTION("""COMPUTED_VALUE"""),"")</f>
        <v/>
      </c>
      <c r="AE1304" t="str">
        <f ca="1">IFERROR(__xludf.DUMMYFUNCTION("""COMPUTED_VALUE"""),"")</f>
        <v/>
      </c>
    </row>
    <row r="1305" spans="1:31" ht="12.75" x14ac:dyDescent="0.2">
      <c r="A1305" t="str">
        <f ca="1">IFERROR(__xludf.DUMMYFUNCTION("""COMPUTED_VALUE"""),"")</f>
        <v/>
      </c>
      <c r="B1305" t="str">
        <f ca="1">IFERROR(__xludf.DUMMYFUNCTION("""COMPUTED_VALUE"""),"")</f>
        <v/>
      </c>
      <c r="C1305" t="str">
        <f ca="1">IFERROR(__xludf.DUMMYFUNCTION("""COMPUTED_VALUE"""),"")</f>
        <v/>
      </c>
      <c r="D1305" t="str">
        <f ca="1">IFERROR(__xludf.DUMMYFUNCTION("""COMPUTED_VALUE"""),"")</f>
        <v/>
      </c>
      <c r="E1305" t="str">
        <f ca="1">IFERROR(__xludf.DUMMYFUNCTION("""COMPUTED_VALUE"""),"")</f>
        <v/>
      </c>
      <c r="F1305" t="str">
        <f ca="1">IFERROR(__xludf.DUMMYFUNCTION("""COMPUTED_VALUE"""),"")</f>
        <v/>
      </c>
      <c r="G1305" t="str">
        <f ca="1">IFERROR(__xludf.DUMMYFUNCTION("""COMPUTED_VALUE"""),"")</f>
        <v/>
      </c>
      <c r="H1305" t="str">
        <f ca="1">IFERROR(__xludf.DUMMYFUNCTION("""COMPUTED_VALUE"""),"")</f>
        <v/>
      </c>
      <c r="I1305" t="str">
        <f ca="1">IFERROR(__xludf.DUMMYFUNCTION("""COMPUTED_VALUE"""),"")</f>
        <v/>
      </c>
      <c r="J1305" t="str">
        <f ca="1">IFERROR(__xludf.DUMMYFUNCTION("""COMPUTED_VALUE"""),"")</f>
        <v/>
      </c>
      <c r="K1305" t="str">
        <f ca="1">IFERROR(__xludf.DUMMYFUNCTION("""COMPUTED_VALUE"""),"")</f>
        <v/>
      </c>
      <c r="L1305" t="str">
        <f ca="1">IFERROR(__xludf.DUMMYFUNCTION("""COMPUTED_VALUE"""),"")</f>
        <v/>
      </c>
      <c r="M1305" t="str">
        <f ca="1">IFERROR(__xludf.DUMMYFUNCTION("""COMPUTED_VALUE"""),"")</f>
        <v/>
      </c>
      <c r="N1305" t="str">
        <f ca="1">IFERROR(__xludf.DUMMYFUNCTION("""COMPUTED_VALUE"""),"")</f>
        <v/>
      </c>
      <c r="O1305" t="str">
        <f ca="1">IFERROR(__xludf.DUMMYFUNCTION("""COMPUTED_VALUE"""),"")</f>
        <v/>
      </c>
      <c r="P1305" t="str">
        <f ca="1">IFERROR(__xludf.DUMMYFUNCTION("""COMPUTED_VALUE"""),"")</f>
        <v/>
      </c>
      <c r="Q1305" s="5" t="str">
        <f ca="1">IFERROR(__xludf.DUMMYFUNCTION("""COMPUTED_VALUE"""),"")</f>
        <v/>
      </c>
      <c r="R1305" s="6" t="str">
        <f ca="1">IFERROR(__xludf.DUMMYFUNCTION("""COMPUTED_VALUE"""),"")</f>
        <v/>
      </c>
      <c r="S1305" t="str">
        <f ca="1">IFERROR(__xludf.DUMMYFUNCTION("""COMPUTED_VALUE"""),"")</f>
        <v/>
      </c>
      <c r="T1305" t="str">
        <f ca="1">IFERROR(__xludf.DUMMYFUNCTION("""COMPUTED_VALUE"""),"")</f>
        <v/>
      </c>
      <c r="U1305" t="str">
        <f ca="1">IFERROR(__xludf.DUMMYFUNCTION("""COMPUTED_VALUE"""),"")</f>
        <v/>
      </c>
      <c r="V1305" t="str">
        <f ca="1">IFERROR(__xludf.DUMMYFUNCTION("""COMPUTED_VALUE"""),"")</f>
        <v/>
      </c>
      <c r="W1305" t="str">
        <f ca="1">IFERROR(__xludf.DUMMYFUNCTION("""COMPUTED_VALUE"""),"")</f>
        <v/>
      </c>
      <c r="X1305" t="str">
        <f ca="1">IFERROR(__xludf.DUMMYFUNCTION("""COMPUTED_VALUE"""),"")</f>
        <v/>
      </c>
      <c r="Y1305" t="str">
        <f ca="1">IFERROR(__xludf.DUMMYFUNCTION("""COMPUTED_VALUE"""),"")</f>
        <v/>
      </c>
      <c r="Z1305" t="str">
        <f ca="1">IFERROR(__xludf.DUMMYFUNCTION("""COMPUTED_VALUE"""),"")</f>
        <v/>
      </c>
      <c r="AA1305" t="str">
        <f ca="1">IFERROR(__xludf.DUMMYFUNCTION("""COMPUTED_VALUE"""),"")</f>
        <v/>
      </c>
      <c r="AB1305" s="8" t="str">
        <f ca="1">IFERROR(__xludf.DUMMYFUNCTION("""COMPUTED_VALUE"""),"")</f>
        <v/>
      </c>
      <c r="AC1305" s="8" t="str">
        <f ca="1">IFERROR(__xludf.DUMMYFUNCTION("""COMPUTED_VALUE"""),"")</f>
        <v/>
      </c>
      <c r="AD1305" s="11" t="str">
        <f ca="1">IFERROR(__xludf.DUMMYFUNCTION("""COMPUTED_VALUE"""),"")</f>
        <v/>
      </c>
      <c r="AE1305" t="str">
        <f ca="1">IFERROR(__xludf.DUMMYFUNCTION("""COMPUTED_VALUE"""),"")</f>
        <v/>
      </c>
    </row>
    <row r="1306" spans="1:31" ht="12.75" x14ac:dyDescent="0.2">
      <c r="A1306" t="str">
        <f ca="1">IFERROR(__xludf.DUMMYFUNCTION("""COMPUTED_VALUE"""),"")</f>
        <v/>
      </c>
      <c r="B1306" t="str">
        <f ca="1">IFERROR(__xludf.DUMMYFUNCTION("""COMPUTED_VALUE"""),"")</f>
        <v/>
      </c>
      <c r="C1306" t="str">
        <f ca="1">IFERROR(__xludf.DUMMYFUNCTION("""COMPUTED_VALUE"""),"")</f>
        <v/>
      </c>
      <c r="D1306" t="str">
        <f ca="1">IFERROR(__xludf.DUMMYFUNCTION("""COMPUTED_VALUE"""),"")</f>
        <v/>
      </c>
      <c r="E1306" t="str">
        <f ca="1">IFERROR(__xludf.DUMMYFUNCTION("""COMPUTED_VALUE"""),"")</f>
        <v/>
      </c>
      <c r="F1306" t="str">
        <f ca="1">IFERROR(__xludf.DUMMYFUNCTION("""COMPUTED_VALUE"""),"")</f>
        <v/>
      </c>
      <c r="G1306" t="str">
        <f ca="1">IFERROR(__xludf.DUMMYFUNCTION("""COMPUTED_VALUE"""),"")</f>
        <v/>
      </c>
      <c r="H1306" t="str">
        <f ca="1">IFERROR(__xludf.DUMMYFUNCTION("""COMPUTED_VALUE"""),"")</f>
        <v/>
      </c>
      <c r="I1306" t="str">
        <f ca="1">IFERROR(__xludf.DUMMYFUNCTION("""COMPUTED_VALUE"""),"")</f>
        <v/>
      </c>
      <c r="J1306" t="str">
        <f ca="1">IFERROR(__xludf.DUMMYFUNCTION("""COMPUTED_VALUE"""),"")</f>
        <v/>
      </c>
      <c r="K1306" t="str">
        <f ca="1">IFERROR(__xludf.DUMMYFUNCTION("""COMPUTED_VALUE"""),"")</f>
        <v/>
      </c>
      <c r="L1306" t="str">
        <f ca="1">IFERROR(__xludf.DUMMYFUNCTION("""COMPUTED_VALUE"""),"")</f>
        <v/>
      </c>
      <c r="M1306" t="str">
        <f ca="1">IFERROR(__xludf.DUMMYFUNCTION("""COMPUTED_VALUE"""),"")</f>
        <v/>
      </c>
      <c r="N1306" t="str">
        <f ca="1">IFERROR(__xludf.DUMMYFUNCTION("""COMPUTED_VALUE"""),"")</f>
        <v/>
      </c>
      <c r="O1306" t="str">
        <f ca="1">IFERROR(__xludf.DUMMYFUNCTION("""COMPUTED_VALUE"""),"")</f>
        <v/>
      </c>
      <c r="P1306" t="str">
        <f ca="1">IFERROR(__xludf.DUMMYFUNCTION("""COMPUTED_VALUE"""),"")</f>
        <v/>
      </c>
      <c r="Q1306" s="5" t="str">
        <f ca="1">IFERROR(__xludf.DUMMYFUNCTION("""COMPUTED_VALUE"""),"")</f>
        <v/>
      </c>
      <c r="R1306" s="6" t="str">
        <f ca="1">IFERROR(__xludf.DUMMYFUNCTION("""COMPUTED_VALUE"""),"")</f>
        <v/>
      </c>
      <c r="S1306" t="str">
        <f ca="1">IFERROR(__xludf.DUMMYFUNCTION("""COMPUTED_VALUE"""),"")</f>
        <v/>
      </c>
      <c r="T1306" t="str">
        <f ca="1">IFERROR(__xludf.DUMMYFUNCTION("""COMPUTED_VALUE"""),"")</f>
        <v/>
      </c>
      <c r="U1306" t="str">
        <f ca="1">IFERROR(__xludf.DUMMYFUNCTION("""COMPUTED_VALUE"""),"")</f>
        <v/>
      </c>
      <c r="V1306" t="str">
        <f ca="1">IFERROR(__xludf.DUMMYFUNCTION("""COMPUTED_VALUE"""),"")</f>
        <v/>
      </c>
      <c r="W1306" t="str">
        <f ca="1">IFERROR(__xludf.DUMMYFUNCTION("""COMPUTED_VALUE"""),"")</f>
        <v/>
      </c>
      <c r="X1306" t="str">
        <f ca="1">IFERROR(__xludf.DUMMYFUNCTION("""COMPUTED_VALUE"""),"")</f>
        <v/>
      </c>
      <c r="Y1306" t="str">
        <f ca="1">IFERROR(__xludf.DUMMYFUNCTION("""COMPUTED_VALUE"""),"")</f>
        <v/>
      </c>
      <c r="Z1306" t="str">
        <f ca="1">IFERROR(__xludf.DUMMYFUNCTION("""COMPUTED_VALUE"""),"")</f>
        <v/>
      </c>
      <c r="AA1306" t="str">
        <f ca="1">IFERROR(__xludf.DUMMYFUNCTION("""COMPUTED_VALUE"""),"")</f>
        <v/>
      </c>
      <c r="AB1306" s="8" t="str">
        <f ca="1">IFERROR(__xludf.DUMMYFUNCTION("""COMPUTED_VALUE"""),"")</f>
        <v/>
      </c>
      <c r="AC1306" s="8" t="str">
        <f ca="1">IFERROR(__xludf.DUMMYFUNCTION("""COMPUTED_VALUE"""),"")</f>
        <v/>
      </c>
      <c r="AD1306" s="11" t="str">
        <f ca="1">IFERROR(__xludf.DUMMYFUNCTION("""COMPUTED_VALUE"""),"")</f>
        <v/>
      </c>
      <c r="AE1306" t="str">
        <f ca="1">IFERROR(__xludf.DUMMYFUNCTION("""COMPUTED_VALUE"""),"")</f>
        <v/>
      </c>
    </row>
    <row r="1307" spans="1:31" ht="12.75" x14ac:dyDescent="0.2">
      <c r="A1307" t="str">
        <f ca="1">IFERROR(__xludf.DUMMYFUNCTION("""COMPUTED_VALUE"""),"")</f>
        <v/>
      </c>
      <c r="B1307" t="str">
        <f ca="1">IFERROR(__xludf.DUMMYFUNCTION("""COMPUTED_VALUE"""),"")</f>
        <v/>
      </c>
      <c r="C1307" t="str">
        <f ca="1">IFERROR(__xludf.DUMMYFUNCTION("""COMPUTED_VALUE"""),"")</f>
        <v/>
      </c>
      <c r="D1307" t="str">
        <f ca="1">IFERROR(__xludf.DUMMYFUNCTION("""COMPUTED_VALUE"""),"")</f>
        <v/>
      </c>
      <c r="E1307" t="str">
        <f ca="1">IFERROR(__xludf.DUMMYFUNCTION("""COMPUTED_VALUE"""),"")</f>
        <v/>
      </c>
      <c r="F1307" t="str">
        <f ca="1">IFERROR(__xludf.DUMMYFUNCTION("""COMPUTED_VALUE"""),"")</f>
        <v/>
      </c>
      <c r="G1307" t="str">
        <f ca="1">IFERROR(__xludf.DUMMYFUNCTION("""COMPUTED_VALUE"""),"")</f>
        <v/>
      </c>
      <c r="H1307" t="str">
        <f ca="1">IFERROR(__xludf.DUMMYFUNCTION("""COMPUTED_VALUE"""),"")</f>
        <v/>
      </c>
      <c r="I1307" t="str">
        <f ca="1">IFERROR(__xludf.DUMMYFUNCTION("""COMPUTED_VALUE"""),"")</f>
        <v/>
      </c>
      <c r="J1307" t="str">
        <f ca="1">IFERROR(__xludf.DUMMYFUNCTION("""COMPUTED_VALUE"""),"")</f>
        <v/>
      </c>
      <c r="K1307" t="str">
        <f ca="1">IFERROR(__xludf.DUMMYFUNCTION("""COMPUTED_VALUE"""),"")</f>
        <v/>
      </c>
      <c r="L1307" t="str">
        <f ca="1">IFERROR(__xludf.DUMMYFUNCTION("""COMPUTED_VALUE"""),"")</f>
        <v/>
      </c>
      <c r="M1307" t="str">
        <f ca="1">IFERROR(__xludf.DUMMYFUNCTION("""COMPUTED_VALUE"""),"")</f>
        <v/>
      </c>
      <c r="N1307" t="str">
        <f ca="1">IFERROR(__xludf.DUMMYFUNCTION("""COMPUTED_VALUE"""),"")</f>
        <v/>
      </c>
      <c r="O1307" t="str">
        <f ca="1">IFERROR(__xludf.DUMMYFUNCTION("""COMPUTED_VALUE"""),"")</f>
        <v/>
      </c>
      <c r="P1307" t="str">
        <f ca="1">IFERROR(__xludf.DUMMYFUNCTION("""COMPUTED_VALUE"""),"")</f>
        <v/>
      </c>
      <c r="Q1307" s="5" t="str">
        <f ca="1">IFERROR(__xludf.DUMMYFUNCTION("""COMPUTED_VALUE"""),"")</f>
        <v/>
      </c>
      <c r="R1307" s="6" t="str">
        <f ca="1">IFERROR(__xludf.DUMMYFUNCTION("""COMPUTED_VALUE"""),"")</f>
        <v/>
      </c>
      <c r="S1307" t="str">
        <f ca="1">IFERROR(__xludf.DUMMYFUNCTION("""COMPUTED_VALUE"""),"")</f>
        <v/>
      </c>
      <c r="T1307" t="str">
        <f ca="1">IFERROR(__xludf.DUMMYFUNCTION("""COMPUTED_VALUE"""),"")</f>
        <v/>
      </c>
      <c r="U1307" t="str">
        <f ca="1">IFERROR(__xludf.DUMMYFUNCTION("""COMPUTED_VALUE"""),"")</f>
        <v/>
      </c>
      <c r="V1307" t="str">
        <f ca="1">IFERROR(__xludf.DUMMYFUNCTION("""COMPUTED_VALUE"""),"")</f>
        <v/>
      </c>
      <c r="W1307" t="str">
        <f ca="1">IFERROR(__xludf.DUMMYFUNCTION("""COMPUTED_VALUE"""),"")</f>
        <v/>
      </c>
      <c r="X1307" t="str">
        <f ca="1">IFERROR(__xludf.DUMMYFUNCTION("""COMPUTED_VALUE"""),"")</f>
        <v/>
      </c>
      <c r="Y1307" t="str">
        <f ca="1">IFERROR(__xludf.DUMMYFUNCTION("""COMPUTED_VALUE"""),"")</f>
        <v/>
      </c>
      <c r="Z1307" t="str">
        <f ca="1">IFERROR(__xludf.DUMMYFUNCTION("""COMPUTED_VALUE"""),"")</f>
        <v/>
      </c>
      <c r="AA1307" t="str">
        <f ca="1">IFERROR(__xludf.DUMMYFUNCTION("""COMPUTED_VALUE"""),"")</f>
        <v/>
      </c>
      <c r="AB1307" s="8" t="str">
        <f ca="1">IFERROR(__xludf.DUMMYFUNCTION("""COMPUTED_VALUE"""),"")</f>
        <v/>
      </c>
      <c r="AC1307" s="8" t="str">
        <f ca="1">IFERROR(__xludf.DUMMYFUNCTION("""COMPUTED_VALUE"""),"")</f>
        <v/>
      </c>
      <c r="AD1307" s="11" t="str">
        <f ca="1">IFERROR(__xludf.DUMMYFUNCTION("""COMPUTED_VALUE"""),"")</f>
        <v/>
      </c>
      <c r="AE1307" t="str">
        <f ca="1">IFERROR(__xludf.DUMMYFUNCTION("""COMPUTED_VALUE"""),"")</f>
        <v/>
      </c>
    </row>
    <row r="1308" spans="1:31" ht="12.75" x14ac:dyDescent="0.2">
      <c r="A1308" t="str">
        <f ca="1">IFERROR(__xludf.DUMMYFUNCTION("""COMPUTED_VALUE"""),"")</f>
        <v/>
      </c>
      <c r="B1308" t="str">
        <f ca="1">IFERROR(__xludf.DUMMYFUNCTION("""COMPUTED_VALUE"""),"")</f>
        <v/>
      </c>
      <c r="C1308" t="str">
        <f ca="1">IFERROR(__xludf.DUMMYFUNCTION("""COMPUTED_VALUE"""),"")</f>
        <v/>
      </c>
      <c r="D1308" t="str">
        <f ca="1">IFERROR(__xludf.DUMMYFUNCTION("""COMPUTED_VALUE"""),"")</f>
        <v/>
      </c>
      <c r="E1308" t="str">
        <f ca="1">IFERROR(__xludf.DUMMYFUNCTION("""COMPUTED_VALUE"""),"")</f>
        <v/>
      </c>
      <c r="F1308" t="str">
        <f ca="1">IFERROR(__xludf.DUMMYFUNCTION("""COMPUTED_VALUE"""),"")</f>
        <v/>
      </c>
      <c r="G1308" t="str">
        <f ca="1">IFERROR(__xludf.DUMMYFUNCTION("""COMPUTED_VALUE"""),"")</f>
        <v/>
      </c>
      <c r="H1308" t="str">
        <f ca="1">IFERROR(__xludf.DUMMYFUNCTION("""COMPUTED_VALUE"""),"")</f>
        <v/>
      </c>
      <c r="I1308" t="str">
        <f ca="1">IFERROR(__xludf.DUMMYFUNCTION("""COMPUTED_VALUE"""),"")</f>
        <v/>
      </c>
      <c r="J1308" t="str">
        <f ca="1">IFERROR(__xludf.DUMMYFUNCTION("""COMPUTED_VALUE"""),"")</f>
        <v/>
      </c>
      <c r="K1308" t="str">
        <f ca="1">IFERROR(__xludf.DUMMYFUNCTION("""COMPUTED_VALUE"""),"")</f>
        <v/>
      </c>
      <c r="L1308" t="str">
        <f ca="1">IFERROR(__xludf.DUMMYFUNCTION("""COMPUTED_VALUE"""),"")</f>
        <v/>
      </c>
      <c r="M1308" t="str">
        <f ca="1">IFERROR(__xludf.DUMMYFUNCTION("""COMPUTED_VALUE"""),"")</f>
        <v/>
      </c>
      <c r="N1308" t="str">
        <f ca="1">IFERROR(__xludf.DUMMYFUNCTION("""COMPUTED_VALUE"""),"")</f>
        <v/>
      </c>
      <c r="O1308" t="str">
        <f ca="1">IFERROR(__xludf.DUMMYFUNCTION("""COMPUTED_VALUE"""),"")</f>
        <v/>
      </c>
      <c r="P1308" t="str">
        <f ca="1">IFERROR(__xludf.DUMMYFUNCTION("""COMPUTED_VALUE"""),"")</f>
        <v/>
      </c>
      <c r="Q1308" s="5" t="str">
        <f ca="1">IFERROR(__xludf.DUMMYFUNCTION("""COMPUTED_VALUE"""),"")</f>
        <v/>
      </c>
      <c r="R1308" s="6" t="str">
        <f ca="1">IFERROR(__xludf.DUMMYFUNCTION("""COMPUTED_VALUE"""),"")</f>
        <v/>
      </c>
      <c r="S1308" t="str">
        <f ca="1">IFERROR(__xludf.DUMMYFUNCTION("""COMPUTED_VALUE"""),"")</f>
        <v/>
      </c>
      <c r="T1308" t="str">
        <f ca="1">IFERROR(__xludf.DUMMYFUNCTION("""COMPUTED_VALUE"""),"")</f>
        <v/>
      </c>
      <c r="U1308" t="str">
        <f ca="1">IFERROR(__xludf.DUMMYFUNCTION("""COMPUTED_VALUE"""),"")</f>
        <v/>
      </c>
      <c r="V1308" t="str">
        <f ca="1">IFERROR(__xludf.DUMMYFUNCTION("""COMPUTED_VALUE"""),"")</f>
        <v/>
      </c>
      <c r="W1308" t="str">
        <f ca="1">IFERROR(__xludf.DUMMYFUNCTION("""COMPUTED_VALUE"""),"")</f>
        <v/>
      </c>
      <c r="X1308" t="str">
        <f ca="1">IFERROR(__xludf.DUMMYFUNCTION("""COMPUTED_VALUE"""),"")</f>
        <v/>
      </c>
      <c r="Y1308" t="str">
        <f ca="1">IFERROR(__xludf.DUMMYFUNCTION("""COMPUTED_VALUE"""),"")</f>
        <v/>
      </c>
      <c r="Z1308" t="str">
        <f ca="1">IFERROR(__xludf.DUMMYFUNCTION("""COMPUTED_VALUE"""),"")</f>
        <v/>
      </c>
      <c r="AA1308" t="str">
        <f ca="1">IFERROR(__xludf.DUMMYFUNCTION("""COMPUTED_VALUE"""),"")</f>
        <v/>
      </c>
      <c r="AB1308" s="8" t="str">
        <f ca="1">IFERROR(__xludf.DUMMYFUNCTION("""COMPUTED_VALUE"""),"")</f>
        <v/>
      </c>
      <c r="AC1308" s="8" t="str">
        <f ca="1">IFERROR(__xludf.DUMMYFUNCTION("""COMPUTED_VALUE"""),"")</f>
        <v/>
      </c>
      <c r="AD1308" s="11" t="str">
        <f ca="1">IFERROR(__xludf.DUMMYFUNCTION("""COMPUTED_VALUE"""),"")</f>
        <v/>
      </c>
      <c r="AE1308" t="str">
        <f ca="1">IFERROR(__xludf.DUMMYFUNCTION("""COMPUTED_VALUE"""),"")</f>
        <v/>
      </c>
    </row>
    <row r="1309" spans="1:31" ht="12.75" x14ac:dyDescent="0.2">
      <c r="A1309" t="str">
        <f ca="1">IFERROR(__xludf.DUMMYFUNCTION("""COMPUTED_VALUE"""),"")</f>
        <v/>
      </c>
      <c r="B1309" t="str">
        <f ca="1">IFERROR(__xludf.DUMMYFUNCTION("""COMPUTED_VALUE"""),"")</f>
        <v/>
      </c>
      <c r="C1309" t="str">
        <f ca="1">IFERROR(__xludf.DUMMYFUNCTION("""COMPUTED_VALUE"""),"")</f>
        <v/>
      </c>
      <c r="D1309" t="str">
        <f ca="1">IFERROR(__xludf.DUMMYFUNCTION("""COMPUTED_VALUE"""),"")</f>
        <v/>
      </c>
      <c r="E1309" t="str">
        <f ca="1">IFERROR(__xludf.DUMMYFUNCTION("""COMPUTED_VALUE"""),"")</f>
        <v/>
      </c>
      <c r="F1309" t="str">
        <f ca="1">IFERROR(__xludf.DUMMYFUNCTION("""COMPUTED_VALUE"""),"")</f>
        <v/>
      </c>
      <c r="G1309" t="str">
        <f ca="1">IFERROR(__xludf.DUMMYFUNCTION("""COMPUTED_VALUE"""),"")</f>
        <v/>
      </c>
      <c r="H1309" t="str">
        <f ca="1">IFERROR(__xludf.DUMMYFUNCTION("""COMPUTED_VALUE"""),"")</f>
        <v/>
      </c>
      <c r="I1309" t="str">
        <f ca="1">IFERROR(__xludf.DUMMYFUNCTION("""COMPUTED_VALUE"""),"")</f>
        <v/>
      </c>
      <c r="J1309" t="str">
        <f ca="1">IFERROR(__xludf.DUMMYFUNCTION("""COMPUTED_VALUE"""),"")</f>
        <v/>
      </c>
      <c r="K1309" t="str">
        <f ca="1">IFERROR(__xludf.DUMMYFUNCTION("""COMPUTED_VALUE"""),"")</f>
        <v/>
      </c>
      <c r="L1309" t="str">
        <f ca="1">IFERROR(__xludf.DUMMYFUNCTION("""COMPUTED_VALUE"""),"")</f>
        <v/>
      </c>
      <c r="M1309" t="str">
        <f ca="1">IFERROR(__xludf.DUMMYFUNCTION("""COMPUTED_VALUE"""),"")</f>
        <v/>
      </c>
      <c r="N1309" t="str">
        <f ca="1">IFERROR(__xludf.DUMMYFUNCTION("""COMPUTED_VALUE"""),"")</f>
        <v/>
      </c>
      <c r="O1309" t="str">
        <f ca="1">IFERROR(__xludf.DUMMYFUNCTION("""COMPUTED_VALUE"""),"")</f>
        <v/>
      </c>
      <c r="P1309" t="str">
        <f ca="1">IFERROR(__xludf.DUMMYFUNCTION("""COMPUTED_VALUE"""),"")</f>
        <v/>
      </c>
      <c r="Q1309" s="5" t="str">
        <f ca="1">IFERROR(__xludf.DUMMYFUNCTION("""COMPUTED_VALUE"""),"")</f>
        <v/>
      </c>
      <c r="R1309" s="6" t="str">
        <f ca="1">IFERROR(__xludf.DUMMYFUNCTION("""COMPUTED_VALUE"""),"")</f>
        <v/>
      </c>
      <c r="S1309" t="str">
        <f ca="1">IFERROR(__xludf.DUMMYFUNCTION("""COMPUTED_VALUE"""),"")</f>
        <v/>
      </c>
      <c r="T1309" t="str">
        <f ca="1">IFERROR(__xludf.DUMMYFUNCTION("""COMPUTED_VALUE"""),"")</f>
        <v/>
      </c>
      <c r="U1309" t="str">
        <f ca="1">IFERROR(__xludf.DUMMYFUNCTION("""COMPUTED_VALUE"""),"")</f>
        <v/>
      </c>
      <c r="V1309" t="str">
        <f ca="1">IFERROR(__xludf.DUMMYFUNCTION("""COMPUTED_VALUE"""),"")</f>
        <v/>
      </c>
      <c r="W1309" t="str">
        <f ca="1">IFERROR(__xludf.DUMMYFUNCTION("""COMPUTED_VALUE"""),"")</f>
        <v/>
      </c>
      <c r="X1309" t="str">
        <f ca="1">IFERROR(__xludf.DUMMYFUNCTION("""COMPUTED_VALUE"""),"")</f>
        <v/>
      </c>
      <c r="Y1309" t="str">
        <f ca="1">IFERROR(__xludf.DUMMYFUNCTION("""COMPUTED_VALUE"""),"")</f>
        <v/>
      </c>
      <c r="Z1309" t="str">
        <f ca="1">IFERROR(__xludf.DUMMYFUNCTION("""COMPUTED_VALUE"""),"")</f>
        <v/>
      </c>
      <c r="AA1309" t="str">
        <f ca="1">IFERROR(__xludf.DUMMYFUNCTION("""COMPUTED_VALUE"""),"")</f>
        <v/>
      </c>
      <c r="AB1309" s="8" t="str">
        <f ca="1">IFERROR(__xludf.DUMMYFUNCTION("""COMPUTED_VALUE"""),"")</f>
        <v/>
      </c>
      <c r="AC1309" s="8" t="str">
        <f ca="1">IFERROR(__xludf.DUMMYFUNCTION("""COMPUTED_VALUE"""),"")</f>
        <v/>
      </c>
      <c r="AD1309" s="11" t="str">
        <f ca="1">IFERROR(__xludf.DUMMYFUNCTION("""COMPUTED_VALUE"""),"")</f>
        <v/>
      </c>
      <c r="AE1309" t="str">
        <f ca="1">IFERROR(__xludf.DUMMYFUNCTION("""COMPUTED_VALUE"""),"")</f>
        <v/>
      </c>
    </row>
    <row r="1310" spans="1:31" ht="12.75" x14ac:dyDescent="0.2">
      <c r="A1310" t="str">
        <f ca="1">IFERROR(__xludf.DUMMYFUNCTION("""COMPUTED_VALUE"""),"")</f>
        <v/>
      </c>
      <c r="B1310" t="str">
        <f ca="1">IFERROR(__xludf.DUMMYFUNCTION("""COMPUTED_VALUE"""),"")</f>
        <v/>
      </c>
      <c r="C1310" t="str">
        <f ca="1">IFERROR(__xludf.DUMMYFUNCTION("""COMPUTED_VALUE"""),"")</f>
        <v/>
      </c>
      <c r="D1310" t="str">
        <f ca="1">IFERROR(__xludf.DUMMYFUNCTION("""COMPUTED_VALUE"""),"")</f>
        <v/>
      </c>
      <c r="E1310" t="str">
        <f ca="1">IFERROR(__xludf.DUMMYFUNCTION("""COMPUTED_VALUE"""),"")</f>
        <v/>
      </c>
      <c r="F1310" t="str">
        <f ca="1">IFERROR(__xludf.DUMMYFUNCTION("""COMPUTED_VALUE"""),"")</f>
        <v/>
      </c>
      <c r="G1310" t="str">
        <f ca="1">IFERROR(__xludf.DUMMYFUNCTION("""COMPUTED_VALUE"""),"")</f>
        <v/>
      </c>
      <c r="H1310" t="str">
        <f ca="1">IFERROR(__xludf.DUMMYFUNCTION("""COMPUTED_VALUE"""),"")</f>
        <v/>
      </c>
      <c r="I1310" t="str">
        <f ca="1">IFERROR(__xludf.DUMMYFUNCTION("""COMPUTED_VALUE"""),"")</f>
        <v/>
      </c>
      <c r="J1310" t="str">
        <f ca="1">IFERROR(__xludf.DUMMYFUNCTION("""COMPUTED_VALUE"""),"")</f>
        <v/>
      </c>
      <c r="K1310" t="str">
        <f ca="1">IFERROR(__xludf.DUMMYFUNCTION("""COMPUTED_VALUE"""),"")</f>
        <v/>
      </c>
      <c r="L1310" t="str">
        <f ca="1">IFERROR(__xludf.DUMMYFUNCTION("""COMPUTED_VALUE"""),"")</f>
        <v/>
      </c>
      <c r="M1310" t="str">
        <f ca="1">IFERROR(__xludf.DUMMYFUNCTION("""COMPUTED_VALUE"""),"")</f>
        <v/>
      </c>
      <c r="N1310" t="str">
        <f ca="1">IFERROR(__xludf.DUMMYFUNCTION("""COMPUTED_VALUE"""),"")</f>
        <v/>
      </c>
      <c r="O1310" t="str">
        <f ca="1">IFERROR(__xludf.DUMMYFUNCTION("""COMPUTED_VALUE"""),"")</f>
        <v/>
      </c>
      <c r="P1310" t="str">
        <f ca="1">IFERROR(__xludf.DUMMYFUNCTION("""COMPUTED_VALUE"""),"")</f>
        <v/>
      </c>
      <c r="Q1310" s="5" t="str">
        <f ca="1">IFERROR(__xludf.DUMMYFUNCTION("""COMPUTED_VALUE"""),"")</f>
        <v/>
      </c>
      <c r="R1310" s="6" t="str">
        <f ca="1">IFERROR(__xludf.DUMMYFUNCTION("""COMPUTED_VALUE"""),"")</f>
        <v/>
      </c>
      <c r="S1310" t="str">
        <f ca="1">IFERROR(__xludf.DUMMYFUNCTION("""COMPUTED_VALUE"""),"")</f>
        <v/>
      </c>
      <c r="T1310" t="str">
        <f ca="1">IFERROR(__xludf.DUMMYFUNCTION("""COMPUTED_VALUE"""),"")</f>
        <v/>
      </c>
      <c r="U1310" t="str">
        <f ca="1">IFERROR(__xludf.DUMMYFUNCTION("""COMPUTED_VALUE"""),"")</f>
        <v/>
      </c>
      <c r="V1310" t="str">
        <f ca="1">IFERROR(__xludf.DUMMYFUNCTION("""COMPUTED_VALUE"""),"")</f>
        <v/>
      </c>
      <c r="W1310" t="str">
        <f ca="1">IFERROR(__xludf.DUMMYFUNCTION("""COMPUTED_VALUE"""),"")</f>
        <v/>
      </c>
      <c r="X1310" t="str">
        <f ca="1">IFERROR(__xludf.DUMMYFUNCTION("""COMPUTED_VALUE"""),"")</f>
        <v/>
      </c>
      <c r="Y1310" t="str">
        <f ca="1">IFERROR(__xludf.DUMMYFUNCTION("""COMPUTED_VALUE"""),"")</f>
        <v/>
      </c>
      <c r="Z1310" t="str">
        <f ca="1">IFERROR(__xludf.DUMMYFUNCTION("""COMPUTED_VALUE"""),"")</f>
        <v/>
      </c>
      <c r="AA1310" t="str">
        <f ca="1">IFERROR(__xludf.DUMMYFUNCTION("""COMPUTED_VALUE"""),"")</f>
        <v/>
      </c>
      <c r="AB1310" s="8" t="str">
        <f ca="1">IFERROR(__xludf.DUMMYFUNCTION("""COMPUTED_VALUE"""),"")</f>
        <v/>
      </c>
      <c r="AC1310" s="8" t="str">
        <f ca="1">IFERROR(__xludf.DUMMYFUNCTION("""COMPUTED_VALUE"""),"")</f>
        <v/>
      </c>
      <c r="AD1310" s="11" t="str">
        <f ca="1">IFERROR(__xludf.DUMMYFUNCTION("""COMPUTED_VALUE"""),"")</f>
        <v/>
      </c>
      <c r="AE1310" t="str">
        <f ca="1">IFERROR(__xludf.DUMMYFUNCTION("""COMPUTED_VALUE"""),"")</f>
        <v/>
      </c>
    </row>
    <row r="1311" spans="1:31" ht="12.75" x14ac:dyDescent="0.2">
      <c r="A1311" t="str">
        <f ca="1">IFERROR(__xludf.DUMMYFUNCTION("""COMPUTED_VALUE"""),"")</f>
        <v/>
      </c>
      <c r="B1311" t="str">
        <f ca="1">IFERROR(__xludf.DUMMYFUNCTION("""COMPUTED_VALUE"""),"")</f>
        <v/>
      </c>
      <c r="C1311" t="str">
        <f ca="1">IFERROR(__xludf.DUMMYFUNCTION("""COMPUTED_VALUE"""),"")</f>
        <v/>
      </c>
      <c r="D1311" t="str">
        <f ca="1">IFERROR(__xludf.DUMMYFUNCTION("""COMPUTED_VALUE"""),"")</f>
        <v/>
      </c>
      <c r="E1311" t="str">
        <f ca="1">IFERROR(__xludf.DUMMYFUNCTION("""COMPUTED_VALUE"""),"")</f>
        <v/>
      </c>
      <c r="F1311" t="str">
        <f ca="1">IFERROR(__xludf.DUMMYFUNCTION("""COMPUTED_VALUE"""),"")</f>
        <v/>
      </c>
      <c r="G1311" t="str">
        <f ca="1">IFERROR(__xludf.DUMMYFUNCTION("""COMPUTED_VALUE"""),"")</f>
        <v/>
      </c>
      <c r="H1311" t="str">
        <f ca="1">IFERROR(__xludf.DUMMYFUNCTION("""COMPUTED_VALUE"""),"")</f>
        <v/>
      </c>
      <c r="I1311" t="str">
        <f ca="1">IFERROR(__xludf.DUMMYFUNCTION("""COMPUTED_VALUE"""),"")</f>
        <v/>
      </c>
      <c r="J1311" t="str">
        <f ca="1">IFERROR(__xludf.DUMMYFUNCTION("""COMPUTED_VALUE"""),"")</f>
        <v/>
      </c>
      <c r="K1311" t="str">
        <f ca="1">IFERROR(__xludf.DUMMYFUNCTION("""COMPUTED_VALUE"""),"")</f>
        <v/>
      </c>
      <c r="L1311" t="str">
        <f ca="1">IFERROR(__xludf.DUMMYFUNCTION("""COMPUTED_VALUE"""),"")</f>
        <v/>
      </c>
      <c r="M1311" t="str">
        <f ca="1">IFERROR(__xludf.DUMMYFUNCTION("""COMPUTED_VALUE"""),"")</f>
        <v/>
      </c>
      <c r="N1311" t="str">
        <f ca="1">IFERROR(__xludf.DUMMYFUNCTION("""COMPUTED_VALUE"""),"")</f>
        <v/>
      </c>
      <c r="O1311" t="str">
        <f ca="1">IFERROR(__xludf.DUMMYFUNCTION("""COMPUTED_VALUE"""),"")</f>
        <v/>
      </c>
      <c r="P1311" t="str">
        <f ca="1">IFERROR(__xludf.DUMMYFUNCTION("""COMPUTED_VALUE"""),"")</f>
        <v/>
      </c>
      <c r="Q1311" s="5" t="str">
        <f ca="1">IFERROR(__xludf.DUMMYFUNCTION("""COMPUTED_VALUE"""),"")</f>
        <v/>
      </c>
      <c r="R1311" s="6" t="str">
        <f ca="1">IFERROR(__xludf.DUMMYFUNCTION("""COMPUTED_VALUE"""),"")</f>
        <v/>
      </c>
      <c r="S1311" t="str">
        <f ca="1">IFERROR(__xludf.DUMMYFUNCTION("""COMPUTED_VALUE"""),"")</f>
        <v/>
      </c>
      <c r="T1311" t="str">
        <f ca="1">IFERROR(__xludf.DUMMYFUNCTION("""COMPUTED_VALUE"""),"")</f>
        <v/>
      </c>
      <c r="U1311" t="str">
        <f ca="1">IFERROR(__xludf.DUMMYFUNCTION("""COMPUTED_VALUE"""),"")</f>
        <v/>
      </c>
      <c r="V1311" t="str">
        <f ca="1">IFERROR(__xludf.DUMMYFUNCTION("""COMPUTED_VALUE"""),"")</f>
        <v/>
      </c>
      <c r="W1311" t="str">
        <f ca="1">IFERROR(__xludf.DUMMYFUNCTION("""COMPUTED_VALUE"""),"")</f>
        <v/>
      </c>
      <c r="X1311" t="str">
        <f ca="1">IFERROR(__xludf.DUMMYFUNCTION("""COMPUTED_VALUE"""),"")</f>
        <v/>
      </c>
      <c r="Y1311" t="str">
        <f ca="1">IFERROR(__xludf.DUMMYFUNCTION("""COMPUTED_VALUE"""),"")</f>
        <v/>
      </c>
      <c r="Z1311" t="str">
        <f ca="1">IFERROR(__xludf.DUMMYFUNCTION("""COMPUTED_VALUE"""),"")</f>
        <v/>
      </c>
      <c r="AA1311" t="str">
        <f ca="1">IFERROR(__xludf.DUMMYFUNCTION("""COMPUTED_VALUE"""),"")</f>
        <v/>
      </c>
      <c r="AB1311" s="8" t="str">
        <f ca="1">IFERROR(__xludf.DUMMYFUNCTION("""COMPUTED_VALUE"""),"")</f>
        <v/>
      </c>
      <c r="AC1311" s="8" t="str">
        <f ca="1">IFERROR(__xludf.DUMMYFUNCTION("""COMPUTED_VALUE"""),"")</f>
        <v/>
      </c>
      <c r="AD1311" s="11" t="str">
        <f ca="1">IFERROR(__xludf.DUMMYFUNCTION("""COMPUTED_VALUE"""),"")</f>
        <v/>
      </c>
      <c r="AE1311" t="str">
        <f ca="1">IFERROR(__xludf.DUMMYFUNCTION("""COMPUTED_VALUE"""),"")</f>
        <v/>
      </c>
    </row>
    <row r="1312" spans="1:31" ht="12.75" x14ac:dyDescent="0.2">
      <c r="A1312" t="str">
        <f ca="1">IFERROR(__xludf.DUMMYFUNCTION("""COMPUTED_VALUE"""),"")</f>
        <v/>
      </c>
      <c r="B1312" t="str">
        <f ca="1">IFERROR(__xludf.DUMMYFUNCTION("""COMPUTED_VALUE"""),"")</f>
        <v/>
      </c>
      <c r="C1312" t="str">
        <f ca="1">IFERROR(__xludf.DUMMYFUNCTION("""COMPUTED_VALUE"""),"")</f>
        <v/>
      </c>
      <c r="D1312" t="str">
        <f ca="1">IFERROR(__xludf.DUMMYFUNCTION("""COMPUTED_VALUE"""),"")</f>
        <v/>
      </c>
      <c r="E1312" t="str">
        <f ca="1">IFERROR(__xludf.DUMMYFUNCTION("""COMPUTED_VALUE"""),"")</f>
        <v/>
      </c>
      <c r="F1312" t="str">
        <f ca="1">IFERROR(__xludf.DUMMYFUNCTION("""COMPUTED_VALUE"""),"")</f>
        <v/>
      </c>
      <c r="G1312" t="str">
        <f ca="1">IFERROR(__xludf.DUMMYFUNCTION("""COMPUTED_VALUE"""),"")</f>
        <v/>
      </c>
      <c r="H1312" t="str">
        <f ca="1">IFERROR(__xludf.DUMMYFUNCTION("""COMPUTED_VALUE"""),"")</f>
        <v/>
      </c>
      <c r="I1312" t="str">
        <f ca="1">IFERROR(__xludf.DUMMYFUNCTION("""COMPUTED_VALUE"""),"")</f>
        <v/>
      </c>
      <c r="J1312" t="str">
        <f ca="1">IFERROR(__xludf.DUMMYFUNCTION("""COMPUTED_VALUE"""),"")</f>
        <v/>
      </c>
      <c r="K1312" t="str">
        <f ca="1">IFERROR(__xludf.DUMMYFUNCTION("""COMPUTED_VALUE"""),"")</f>
        <v/>
      </c>
      <c r="L1312" t="str">
        <f ca="1">IFERROR(__xludf.DUMMYFUNCTION("""COMPUTED_VALUE"""),"")</f>
        <v/>
      </c>
      <c r="M1312" t="str">
        <f ca="1">IFERROR(__xludf.DUMMYFUNCTION("""COMPUTED_VALUE"""),"")</f>
        <v/>
      </c>
      <c r="N1312" t="str">
        <f ca="1">IFERROR(__xludf.DUMMYFUNCTION("""COMPUTED_VALUE"""),"")</f>
        <v/>
      </c>
      <c r="O1312" t="str">
        <f ca="1">IFERROR(__xludf.DUMMYFUNCTION("""COMPUTED_VALUE"""),"")</f>
        <v/>
      </c>
      <c r="P1312" t="str">
        <f ca="1">IFERROR(__xludf.DUMMYFUNCTION("""COMPUTED_VALUE"""),"")</f>
        <v/>
      </c>
      <c r="Q1312" s="5" t="str">
        <f ca="1">IFERROR(__xludf.DUMMYFUNCTION("""COMPUTED_VALUE"""),"")</f>
        <v/>
      </c>
      <c r="R1312" s="6" t="str">
        <f ca="1">IFERROR(__xludf.DUMMYFUNCTION("""COMPUTED_VALUE"""),"")</f>
        <v/>
      </c>
      <c r="S1312" t="str">
        <f ca="1">IFERROR(__xludf.DUMMYFUNCTION("""COMPUTED_VALUE"""),"")</f>
        <v/>
      </c>
      <c r="T1312" t="str">
        <f ca="1">IFERROR(__xludf.DUMMYFUNCTION("""COMPUTED_VALUE"""),"")</f>
        <v/>
      </c>
      <c r="U1312" t="str">
        <f ca="1">IFERROR(__xludf.DUMMYFUNCTION("""COMPUTED_VALUE"""),"")</f>
        <v/>
      </c>
      <c r="V1312" t="str">
        <f ca="1">IFERROR(__xludf.DUMMYFUNCTION("""COMPUTED_VALUE"""),"")</f>
        <v/>
      </c>
      <c r="W1312" t="str">
        <f ca="1">IFERROR(__xludf.DUMMYFUNCTION("""COMPUTED_VALUE"""),"")</f>
        <v/>
      </c>
      <c r="X1312" t="str">
        <f ca="1">IFERROR(__xludf.DUMMYFUNCTION("""COMPUTED_VALUE"""),"")</f>
        <v/>
      </c>
      <c r="Y1312" t="str">
        <f ca="1">IFERROR(__xludf.DUMMYFUNCTION("""COMPUTED_VALUE"""),"")</f>
        <v/>
      </c>
      <c r="Z1312" t="str">
        <f ca="1">IFERROR(__xludf.DUMMYFUNCTION("""COMPUTED_VALUE"""),"")</f>
        <v/>
      </c>
      <c r="AA1312" t="str">
        <f ca="1">IFERROR(__xludf.DUMMYFUNCTION("""COMPUTED_VALUE"""),"")</f>
        <v/>
      </c>
      <c r="AB1312" s="8" t="str">
        <f ca="1">IFERROR(__xludf.DUMMYFUNCTION("""COMPUTED_VALUE"""),"")</f>
        <v/>
      </c>
      <c r="AC1312" s="8" t="str">
        <f ca="1">IFERROR(__xludf.DUMMYFUNCTION("""COMPUTED_VALUE"""),"")</f>
        <v/>
      </c>
      <c r="AD1312" s="11" t="str">
        <f ca="1">IFERROR(__xludf.DUMMYFUNCTION("""COMPUTED_VALUE"""),"")</f>
        <v/>
      </c>
      <c r="AE1312" t="str">
        <f ca="1">IFERROR(__xludf.DUMMYFUNCTION("""COMPUTED_VALUE"""),"")</f>
        <v/>
      </c>
    </row>
    <row r="1313" spans="1:31" ht="12.75" x14ac:dyDescent="0.2">
      <c r="A1313" t="str">
        <f ca="1">IFERROR(__xludf.DUMMYFUNCTION("""COMPUTED_VALUE"""),"")</f>
        <v/>
      </c>
      <c r="B1313" t="str">
        <f ca="1">IFERROR(__xludf.DUMMYFUNCTION("""COMPUTED_VALUE"""),"")</f>
        <v/>
      </c>
      <c r="C1313" t="str">
        <f ca="1">IFERROR(__xludf.DUMMYFUNCTION("""COMPUTED_VALUE"""),"")</f>
        <v/>
      </c>
      <c r="D1313" t="str">
        <f ca="1">IFERROR(__xludf.DUMMYFUNCTION("""COMPUTED_VALUE"""),"")</f>
        <v/>
      </c>
      <c r="E1313" t="str">
        <f ca="1">IFERROR(__xludf.DUMMYFUNCTION("""COMPUTED_VALUE"""),"")</f>
        <v/>
      </c>
      <c r="F1313" t="str">
        <f ca="1">IFERROR(__xludf.DUMMYFUNCTION("""COMPUTED_VALUE"""),"")</f>
        <v/>
      </c>
      <c r="G1313" t="str">
        <f ca="1">IFERROR(__xludf.DUMMYFUNCTION("""COMPUTED_VALUE"""),"")</f>
        <v/>
      </c>
      <c r="H1313" t="str">
        <f ca="1">IFERROR(__xludf.DUMMYFUNCTION("""COMPUTED_VALUE"""),"")</f>
        <v/>
      </c>
      <c r="I1313" t="str">
        <f ca="1">IFERROR(__xludf.DUMMYFUNCTION("""COMPUTED_VALUE"""),"")</f>
        <v/>
      </c>
      <c r="J1313" t="str">
        <f ca="1">IFERROR(__xludf.DUMMYFUNCTION("""COMPUTED_VALUE"""),"")</f>
        <v/>
      </c>
      <c r="K1313" t="str">
        <f ca="1">IFERROR(__xludf.DUMMYFUNCTION("""COMPUTED_VALUE"""),"")</f>
        <v/>
      </c>
      <c r="L1313" t="str">
        <f ca="1">IFERROR(__xludf.DUMMYFUNCTION("""COMPUTED_VALUE"""),"")</f>
        <v/>
      </c>
      <c r="M1313" t="str">
        <f ca="1">IFERROR(__xludf.DUMMYFUNCTION("""COMPUTED_VALUE"""),"")</f>
        <v/>
      </c>
      <c r="N1313" t="str">
        <f ca="1">IFERROR(__xludf.DUMMYFUNCTION("""COMPUTED_VALUE"""),"")</f>
        <v/>
      </c>
      <c r="O1313" t="str">
        <f ca="1">IFERROR(__xludf.DUMMYFUNCTION("""COMPUTED_VALUE"""),"")</f>
        <v/>
      </c>
      <c r="P1313" t="str">
        <f ca="1">IFERROR(__xludf.DUMMYFUNCTION("""COMPUTED_VALUE"""),"")</f>
        <v/>
      </c>
      <c r="Q1313" s="5" t="str">
        <f ca="1">IFERROR(__xludf.DUMMYFUNCTION("""COMPUTED_VALUE"""),"")</f>
        <v/>
      </c>
      <c r="R1313" s="6" t="str">
        <f ca="1">IFERROR(__xludf.DUMMYFUNCTION("""COMPUTED_VALUE"""),"")</f>
        <v/>
      </c>
      <c r="S1313" t="str">
        <f ca="1">IFERROR(__xludf.DUMMYFUNCTION("""COMPUTED_VALUE"""),"")</f>
        <v/>
      </c>
      <c r="T1313" t="str">
        <f ca="1">IFERROR(__xludf.DUMMYFUNCTION("""COMPUTED_VALUE"""),"")</f>
        <v/>
      </c>
      <c r="U1313" t="str">
        <f ca="1">IFERROR(__xludf.DUMMYFUNCTION("""COMPUTED_VALUE"""),"")</f>
        <v/>
      </c>
      <c r="V1313" t="str">
        <f ca="1">IFERROR(__xludf.DUMMYFUNCTION("""COMPUTED_VALUE"""),"")</f>
        <v/>
      </c>
      <c r="W1313" t="str">
        <f ca="1">IFERROR(__xludf.DUMMYFUNCTION("""COMPUTED_VALUE"""),"")</f>
        <v/>
      </c>
      <c r="X1313" t="str">
        <f ca="1">IFERROR(__xludf.DUMMYFUNCTION("""COMPUTED_VALUE"""),"")</f>
        <v/>
      </c>
      <c r="Y1313" t="str">
        <f ca="1">IFERROR(__xludf.DUMMYFUNCTION("""COMPUTED_VALUE"""),"")</f>
        <v/>
      </c>
      <c r="Z1313" t="str">
        <f ca="1">IFERROR(__xludf.DUMMYFUNCTION("""COMPUTED_VALUE"""),"")</f>
        <v/>
      </c>
      <c r="AA1313" t="str">
        <f ca="1">IFERROR(__xludf.DUMMYFUNCTION("""COMPUTED_VALUE"""),"")</f>
        <v/>
      </c>
      <c r="AB1313" s="8" t="str">
        <f ca="1">IFERROR(__xludf.DUMMYFUNCTION("""COMPUTED_VALUE"""),"")</f>
        <v/>
      </c>
      <c r="AC1313" s="8" t="str">
        <f ca="1">IFERROR(__xludf.DUMMYFUNCTION("""COMPUTED_VALUE"""),"")</f>
        <v/>
      </c>
      <c r="AD1313" s="11" t="str">
        <f ca="1">IFERROR(__xludf.DUMMYFUNCTION("""COMPUTED_VALUE"""),"")</f>
        <v/>
      </c>
      <c r="AE1313" t="str">
        <f ca="1">IFERROR(__xludf.DUMMYFUNCTION("""COMPUTED_VALUE"""),"")</f>
        <v/>
      </c>
    </row>
    <row r="1314" spans="1:31" ht="12.75" x14ac:dyDescent="0.2">
      <c r="A1314" t="str">
        <f ca="1">IFERROR(__xludf.DUMMYFUNCTION("""COMPUTED_VALUE"""),"")</f>
        <v/>
      </c>
      <c r="B1314" t="str">
        <f ca="1">IFERROR(__xludf.DUMMYFUNCTION("""COMPUTED_VALUE"""),"")</f>
        <v/>
      </c>
      <c r="C1314" t="str">
        <f ca="1">IFERROR(__xludf.DUMMYFUNCTION("""COMPUTED_VALUE"""),"")</f>
        <v/>
      </c>
      <c r="D1314" t="str">
        <f ca="1">IFERROR(__xludf.DUMMYFUNCTION("""COMPUTED_VALUE"""),"")</f>
        <v/>
      </c>
      <c r="E1314" t="str">
        <f ca="1">IFERROR(__xludf.DUMMYFUNCTION("""COMPUTED_VALUE"""),"")</f>
        <v/>
      </c>
      <c r="F1314" t="str">
        <f ca="1">IFERROR(__xludf.DUMMYFUNCTION("""COMPUTED_VALUE"""),"")</f>
        <v/>
      </c>
      <c r="G1314" t="str">
        <f ca="1">IFERROR(__xludf.DUMMYFUNCTION("""COMPUTED_VALUE"""),"")</f>
        <v/>
      </c>
      <c r="H1314" t="str">
        <f ca="1">IFERROR(__xludf.DUMMYFUNCTION("""COMPUTED_VALUE"""),"")</f>
        <v/>
      </c>
      <c r="I1314" t="str">
        <f ca="1">IFERROR(__xludf.DUMMYFUNCTION("""COMPUTED_VALUE"""),"")</f>
        <v/>
      </c>
      <c r="J1314" t="str">
        <f ca="1">IFERROR(__xludf.DUMMYFUNCTION("""COMPUTED_VALUE"""),"")</f>
        <v/>
      </c>
      <c r="K1314" t="str">
        <f ca="1">IFERROR(__xludf.DUMMYFUNCTION("""COMPUTED_VALUE"""),"")</f>
        <v/>
      </c>
      <c r="L1314" t="str">
        <f ca="1">IFERROR(__xludf.DUMMYFUNCTION("""COMPUTED_VALUE"""),"")</f>
        <v/>
      </c>
      <c r="M1314" t="str">
        <f ca="1">IFERROR(__xludf.DUMMYFUNCTION("""COMPUTED_VALUE"""),"")</f>
        <v/>
      </c>
      <c r="N1314" t="str">
        <f ca="1">IFERROR(__xludf.DUMMYFUNCTION("""COMPUTED_VALUE"""),"")</f>
        <v/>
      </c>
      <c r="O1314" t="str">
        <f ca="1">IFERROR(__xludf.DUMMYFUNCTION("""COMPUTED_VALUE"""),"")</f>
        <v/>
      </c>
      <c r="P1314" t="str">
        <f ca="1">IFERROR(__xludf.DUMMYFUNCTION("""COMPUTED_VALUE"""),"")</f>
        <v/>
      </c>
      <c r="Q1314" s="5" t="str">
        <f ca="1">IFERROR(__xludf.DUMMYFUNCTION("""COMPUTED_VALUE"""),"")</f>
        <v/>
      </c>
      <c r="R1314" s="6" t="str">
        <f ca="1">IFERROR(__xludf.DUMMYFUNCTION("""COMPUTED_VALUE"""),"")</f>
        <v/>
      </c>
      <c r="S1314" t="str">
        <f ca="1">IFERROR(__xludf.DUMMYFUNCTION("""COMPUTED_VALUE"""),"")</f>
        <v/>
      </c>
      <c r="T1314" t="str">
        <f ca="1">IFERROR(__xludf.DUMMYFUNCTION("""COMPUTED_VALUE"""),"")</f>
        <v/>
      </c>
      <c r="U1314" t="str">
        <f ca="1">IFERROR(__xludf.DUMMYFUNCTION("""COMPUTED_VALUE"""),"")</f>
        <v/>
      </c>
      <c r="V1314" t="str">
        <f ca="1">IFERROR(__xludf.DUMMYFUNCTION("""COMPUTED_VALUE"""),"")</f>
        <v/>
      </c>
      <c r="W1314" t="str">
        <f ca="1">IFERROR(__xludf.DUMMYFUNCTION("""COMPUTED_VALUE"""),"")</f>
        <v/>
      </c>
      <c r="X1314" t="str">
        <f ca="1">IFERROR(__xludf.DUMMYFUNCTION("""COMPUTED_VALUE"""),"")</f>
        <v/>
      </c>
      <c r="Y1314" t="str">
        <f ca="1">IFERROR(__xludf.DUMMYFUNCTION("""COMPUTED_VALUE"""),"")</f>
        <v/>
      </c>
      <c r="Z1314" t="str">
        <f ca="1">IFERROR(__xludf.DUMMYFUNCTION("""COMPUTED_VALUE"""),"")</f>
        <v/>
      </c>
      <c r="AA1314" t="str">
        <f ca="1">IFERROR(__xludf.DUMMYFUNCTION("""COMPUTED_VALUE"""),"")</f>
        <v/>
      </c>
      <c r="AB1314" s="8" t="str">
        <f ca="1">IFERROR(__xludf.DUMMYFUNCTION("""COMPUTED_VALUE"""),"")</f>
        <v/>
      </c>
      <c r="AC1314" s="8" t="str">
        <f ca="1">IFERROR(__xludf.DUMMYFUNCTION("""COMPUTED_VALUE"""),"")</f>
        <v/>
      </c>
      <c r="AD1314" s="11" t="str">
        <f ca="1">IFERROR(__xludf.DUMMYFUNCTION("""COMPUTED_VALUE"""),"")</f>
        <v/>
      </c>
      <c r="AE1314" t="str">
        <f ca="1">IFERROR(__xludf.DUMMYFUNCTION("""COMPUTED_VALUE"""),"")</f>
        <v/>
      </c>
    </row>
    <row r="1315" spans="1:31" ht="12.75" x14ac:dyDescent="0.2">
      <c r="A1315" t="str">
        <f ca="1">IFERROR(__xludf.DUMMYFUNCTION("""COMPUTED_VALUE"""),"")</f>
        <v/>
      </c>
      <c r="B1315" t="str">
        <f ca="1">IFERROR(__xludf.DUMMYFUNCTION("""COMPUTED_VALUE"""),"")</f>
        <v/>
      </c>
      <c r="C1315" t="str">
        <f ca="1">IFERROR(__xludf.DUMMYFUNCTION("""COMPUTED_VALUE"""),"")</f>
        <v/>
      </c>
      <c r="D1315" t="str">
        <f ca="1">IFERROR(__xludf.DUMMYFUNCTION("""COMPUTED_VALUE"""),"")</f>
        <v/>
      </c>
      <c r="E1315" t="str">
        <f ca="1">IFERROR(__xludf.DUMMYFUNCTION("""COMPUTED_VALUE"""),"")</f>
        <v/>
      </c>
      <c r="F1315" t="str">
        <f ca="1">IFERROR(__xludf.DUMMYFUNCTION("""COMPUTED_VALUE"""),"")</f>
        <v/>
      </c>
      <c r="G1315" t="str">
        <f ca="1">IFERROR(__xludf.DUMMYFUNCTION("""COMPUTED_VALUE"""),"")</f>
        <v/>
      </c>
      <c r="H1315" t="str">
        <f ca="1">IFERROR(__xludf.DUMMYFUNCTION("""COMPUTED_VALUE"""),"")</f>
        <v/>
      </c>
      <c r="I1315" t="str">
        <f ca="1">IFERROR(__xludf.DUMMYFUNCTION("""COMPUTED_VALUE"""),"")</f>
        <v/>
      </c>
      <c r="J1315" t="str">
        <f ca="1">IFERROR(__xludf.DUMMYFUNCTION("""COMPUTED_VALUE"""),"")</f>
        <v/>
      </c>
      <c r="K1315" t="str">
        <f ca="1">IFERROR(__xludf.DUMMYFUNCTION("""COMPUTED_VALUE"""),"")</f>
        <v/>
      </c>
      <c r="L1315" t="str">
        <f ca="1">IFERROR(__xludf.DUMMYFUNCTION("""COMPUTED_VALUE"""),"")</f>
        <v/>
      </c>
      <c r="M1315" t="str">
        <f ca="1">IFERROR(__xludf.DUMMYFUNCTION("""COMPUTED_VALUE"""),"")</f>
        <v/>
      </c>
      <c r="N1315" t="str">
        <f ca="1">IFERROR(__xludf.DUMMYFUNCTION("""COMPUTED_VALUE"""),"")</f>
        <v/>
      </c>
      <c r="O1315" t="str">
        <f ca="1">IFERROR(__xludf.DUMMYFUNCTION("""COMPUTED_VALUE"""),"")</f>
        <v/>
      </c>
      <c r="P1315" t="str">
        <f ca="1">IFERROR(__xludf.DUMMYFUNCTION("""COMPUTED_VALUE"""),"")</f>
        <v/>
      </c>
      <c r="Q1315" s="5" t="str">
        <f ca="1">IFERROR(__xludf.DUMMYFUNCTION("""COMPUTED_VALUE"""),"")</f>
        <v/>
      </c>
      <c r="R1315" s="6" t="str">
        <f ca="1">IFERROR(__xludf.DUMMYFUNCTION("""COMPUTED_VALUE"""),"")</f>
        <v/>
      </c>
      <c r="S1315" t="str">
        <f ca="1">IFERROR(__xludf.DUMMYFUNCTION("""COMPUTED_VALUE"""),"")</f>
        <v/>
      </c>
      <c r="T1315" t="str">
        <f ca="1">IFERROR(__xludf.DUMMYFUNCTION("""COMPUTED_VALUE"""),"")</f>
        <v/>
      </c>
      <c r="U1315" t="str">
        <f ca="1">IFERROR(__xludf.DUMMYFUNCTION("""COMPUTED_VALUE"""),"")</f>
        <v/>
      </c>
      <c r="V1315" t="str">
        <f ca="1">IFERROR(__xludf.DUMMYFUNCTION("""COMPUTED_VALUE"""),"")</f>
        <v/>
      </c>
      <c r="W1315" t="str">
        <f ca="1">IFERROR(__xludf.DUMMYFUNCTION("""COMPUTED_VALUE"""),"")</f>
        <v/>
      </c>
      <c r="X1315" t="str">
        <f ca="1">IFERROR(__xludf.DUMMYFUNCTION("""COMPUTED_VALUE"""),"")</f>
        <v/>
      </c>
      <c r="Y1315" t="str">
        <f ca="1">IFERROR(__xludf.DUMMYFUNCTION("""COMPUTED_VALUE"""),"")</f>
        <v/>
      </c>
      <c r="Z1315" t="str">
        <f ca="1">IFERROR(__xludf.DUMMYFUNCTION("""COMPUTED_VALUE"""),"")</f>
        <v/>
      </c>
      <c r="AA1315" t="str">
        <f ca="1">IFERROR(__xludf.DUMMYFUNCTION("""COMPUTED_VALUE"""),"")</f>
        <v/>
      </c>
      <c r="AB1315" s="8" t="str">
        <f ca="1">IFERROR(__xludf.DUMMYFUNCTION("""COMPUTED_VALUE"""),"")</f>
        <v/>
      </c>
      <c r="AC1315" s="8" t="str">
        <f ca="1">IFERROR(__xludf.DUMMYFUNCTION("""COMPUTED_VALUE"""),"")</f>
        <v/>
      </c>
      <c r="AD1315" s="11" t="str">
        <f ca="1">IFERROR(__xludf.DUMMYFUNCTION("""COMPUTED_VALUE"""),"")</f>
        <v/>
      </c>
      <c r="AE1315" t="str">
        <f ca="1">IFERROR(__xludf.DUMMYFUNCTION("""COMPUTED_VALUE"""),"")</f>
        <v/>
      </c>
    </row>
    <row r="1316" spans="1:31" ht="12.75" x14ac:dyDescent="0.2">
      <c r="A1316" t="str">
        <f ca="1">IFERROR(__xludf.DUMMYFUNCTION("""COMPUTED_VALUE"""),"")</f>
        <v/>
      </c>
      <c r="B1316" t="str">
        <f ca="1">IFERROR(__xludf.DUMMYFUNCTION("""COMPUTED_VALUE"""),"")</f>
        <v/>
      </c>
      <c r="C1316" t="str">
        <f ca="1">IFERROR(__xludf.DUMMYFUNCTION("""COMPUTED_VALUE"""),"")</f>
        <v/>
      </c>
      <c r="D1316" t="str">
        <f ca="1">IFERROR(__xludf.DUMMYFUNCTION("""COMPUTED_VALUE"""),"")</f>
        <v/>
      </c>
      <c r="E1316" t="str">
        <f ca="1">IFERROR(__xludf.DUMMYFUNCTION("""COMPUTED_VALUE"""),"")</f>
        <v/>
      </c>
      <c r="F1316" t="str">
        <f ca="1">IFERROR(__xludf.DUMMYFUNCTION("""COMPUTED_VALUE"""),"")</f>
        <v/>
      </c>
      <c r="G1316" t="str">
        <f ca="1">IFERROR(__xludf.DUMMYFUNCTION("""COMPUTED_VALUE"""),"")</f>
        <v/>
      </c>
      <c r="H1316" t="str">
        <f ca="1">IFERROR(__xludf.DUMMYFUNCTION("""COMPUTED_VALUE"""),"")</f>
        <v/>
      </c>
      <c r="I1316" t="str">
        <f ca="1">IFERROR(__xludf.DUMMYFUNCTION("""COMPUTED_VALUE"""),"")</f>
        <v/>
      </c>
      <c r="J1316" t="str">
        <f ca="1">IFERROR(__xludf.DUMMYFUNCTION("""COMPUTED_VALUE"""),"")</f>
        <v/>
      </c>
      <c r="K1316" t="str">
        <f ca="1">IFERROR(__xludf.DUMMYFUNCTION("""COMPUTED_VALUE"""),"")</f>
        <v/>
      </c>
      <c r="L1316" t="str">
        <f ca="1">IFERROR(__xludf.DUMMYFUNCTION("""COMPUTED_VALUE"""),"")</f>
        <v/>
      </c>
      <c r="M1316" t="str">
        <f ca="1">IFERROR(__xludf.DUMMYFUNCTION("""COMPUTED_VALUE"""),"")</f>
        <v/>
      </c>
      <c r="N1316" t="str">
        <f ca="1">IFERROR(__xludf.DUMMYFUNCTION("""COMPUTED_VALUE"""),"")</f>
        <v/>
      </c>
      <c r="O1316" t="str">
        <f ca="1">IFERROR(__xludf.DUMMYFUNCTION("""COMPUTED_VALUE"""),"")</f>
        <v/>
      </c>
      <c r="P1316" t="str">
        <f ca="1">IFERROR(__xludf.DUMMYFUNCTION("""COMPUTED_VALUE"""),"")</f>
        <v/>
      </c>
      <c r="Q1316" s="5" t="str">
        <f ca="1">IFERROR(__xludf.DUMMYFUNCTION("""COMPUTED_VALUE"""),"")</f>
        <v/>
      </c>
      <c r="R1316" s="6" t="str">
        <f ca="1">IFERROR(__xludf.DUMMYFUNCTION("""COMPUTED_VALUE"""),"")</f>
        <v/>
      </c>
      <c r="S1316" t="str">
        <f ca="1">IFERROR(__xludf.DUMMYFUNCTION("""COMPUTED_VALUE"""),"")</f>
        <v/>
      </c>
      <c r="T1316" t="str">
        <f ca="1">IFERROR(__xludf.DUMMYFUNCTION("""COMPUTED_VALUE"""),"")</f>
        <v/>
      </c>
      <c r="U1316" t="str">
        <f ca="1">IFERROR(__xludf.DUMMYFUNCTION("""COMPUTED_VALUE"""),"")</f>
        <v/>
      </c>
      <c r="V1316" t="str">
        <f ca="1">IFERROR(__xludf.DUMMYFUNCTION("""COMPUTED_VALUE"""),"")</f>
        <v/>
      </c>
      <c r="W1316" t="str">
        <f ca="1">IFERROR(__xludf.DUMMYFUNCTION("""COMPUTED_VALUE"""),"")</f>
        <v/>
      </c>
      <c r="X1316" t="str">
        <f ca="1">IFERROR(__xludf.DUMMYFUNCTION("""COMPUTED_VALUE"""),"")</f>
        <v/>
      </c>
      <c r="Y1316" t="str">
        <f ca="1">IFERROR(__xludf.DUMMYFUNCTION("""COMPUTED_VALUE"""),"")</f>
        <v/>
      </c>
      <c r="Z1316" t="str">
        <f ca="1">IFERROR(__xludf.DUMMYFUNCTION("""COMPUTED_VALUE"""),"")</f>
        <v/>
      </c>
      <c r="AA1316" t="str">
        <f ca="1">IFERROR(__xludf.DUMMYFUNCTION("""COMPUTED_VALUE"""),"")</f>
        <v/>
      </c>
      <c r="AB1316" s="8" t="str">
        <f ca="1">IFERROR(__xludf.DUMMYFUNCTION("""COMPUTED_VALUE"""),"")</f>
        <v/>
      </c>
      <c r="AC1316" s="8" t="str">
        <f ca="1">IFERROR(__xludf.DUMMYFUNCTION("""COMPUTED_VALUE"""),"")</f>
        <v/>
      </c>
      <c r="AD1316" s="11" t="str">
        <f ca="1">IFERROR(__xludf.DUMMYFUNCTION("""COMPUTED_VALUE"""),"")</f>
        <v/>
      </c>
      <c r="AE1316" t="str">
        <f ca="1">IFERROR(__xludf.DUMMYFUNCTION("""COMPUTED_VALUE"""),"")</f>
        <v/>
      </c>
    </row>
    <row r="1317" spans="1:31" ht="12.75" x14ac:dyDescent="0.2">
      <c r="A1317" t="str">
        <f ca="1">IFERROR(__xludf.DUMMYFUNCTION("""COMPUTED_VALUE"""),"")</f>
        <v/>
      </c>
      <c r="B1317" t="str">
        <f ca="1">IFERROR(__xludf.DUMMYFUNCTION("""COMPUTED_VALUE"""),"")</f>
        <v/>
      </c>
      <c r="C1317" t="str">
        <f ca="1">IFERROR(__xludf.DUMMYFUNCTION("""COMPUTED_VALUE"""),"")</f>
        <v/>
      </c>
      <c r="D1317" t="str">
        <f ca="1">IFERROR(__xludf.DUMMYFUNCTION("""COMPUTED_VALUE"""),"")</f>
        <v/>
      </c>
      <c r="E1317" t="str">
        <f ca="1">IFERROR(__xludf.DUMMYFUNCTION("""COMPUTED_VALUE"""),"")</f>
        <v/>
      </c>
      <c r="F1317" t="str">
        <f ca="1">IFERROR(__xludf.DUMMYFUNCTION("""COMPUTED_VALUE"""),"")</f>
        <v/>
      </c>
      <c r="G1317" t="str">
        <f ca="1">IFERROR(__xludf.DUMMYFUNCTION("""COMPUTED_VALUE"""),"")</f>
        <v/>
      </c>
      <c r="H1317" t="str">
        <f ca="1">IFERROR(__xludf.DUMMYFUNCTION("""COMPUTED_VALUE"""),"")</f>
        <v/>
      </c>
      <c r="I1317" t="str">
        <f ca="1">IFERROR(__xludf.DUMMYFUNCTION("""COMPUTED_VALUE"""),"")</f>
        <v/>
      </c>
      <c r="J1317" t="str">
        <f ca="1">IFERROR(__xludf.DUMMYFUNCTION("""COMPUTED_VALUE"""),"")</f>
        <v/>
      </c>
      <c r="K1317" t="str">
        <f ca="1">IFERROR(__xludf.DUMMYFUNCTION("""COMPUTED_VALUE"""),"")</f>
        <v/>
      </c>
      <c r="L1317" t="str">
        <f ca="1">IFERROR(__xludf.DUMMYFUNCTION("""COMPUTED_VALUE"""),"")</f>
        <v/>
      </c>
      <c r="M1317" t="str">
        <f ca="1">IFERROR(__xludf.DUMMYFUNCTION("""COMPUTED_VALUE"""),"")</f>
        <v/>
      </c>
      <c r="N1317" t="str">
        <f ca="1">IFERROR(__xludf.DUMMYFUNCTION("""COMPUTED_VALUE"""),"")</f>
        <v/>
      </c>
      <c r="O1317" t="str">
        <f ca="1">IFERROR(__xludf.DUMMYFUNCTION("""COMPUTED_VALUE"""),"")</f>
        <v/>
      </c>
      <c r="P1317" t="str">
        <f ca="1">IFERROR(__xludf.DUMMYFUNCTION("""COMPUTED_VALUE"""),"")</f>
        <v/>
      </c>
      <c r="Q1317" s="5" t="str">
        <f ca="1">IFERROR(__xludf.DUMMYFUNCTION("""COMPUTED_VALUE"""),"")</f>
        <v/>
      </c>
      <c r="R1317" s="6" t="str">
        <f ca="1">IFERROR(__xludf.DUMMYFUNCTION("""COMPUTED_VALUE"""),"")</f>
        <v/>
      </c>
      <c r="S1317" t="str">
        <f ca="1">IFERROR(__xludf.DUMMYFUNCTION("""COMPUTED_VALUE"""),"")</f>
        <v/>
      </c>
      <c r="T1317" t="str">
        <f ca="1">IFERROR(__xludf.DUMMYFUNCTION("""COMPUTED_VALUE"""),"")</f>
        <v/>
      </c>
      <c r="U1317" t="str">
        <f ca="1">IFERROR(__xludf.DUMMYFUNCTION("""COMPUTED_VALUE"""),"")</f>
        <v/>
      </c>
      <c r="V1317" t="str">
        <f ca="1">IFERROR(__xludf.DUMMYFUNCTION("""COMPUTED_VALUE"""),"")</f>
        <v/>
      </c>
      <c r="W1317" t="str">
        <f ca="1">IFERROR(__xludf.DUMMYFUNCTION("""COMPUTED_VALUE"""),"")</f>
        <v/>
      </c>
      <c r="X1317" t="str">
        <f ca="1">IFERROR(__xludf.DUMMYFUNCTION("""COMPUTED_VALUE"""),"")</f>
        <v/>
      </c>
      <c r="Y1317" t="str">
        <f ca="1">IFERROR(__xludf.DUMMYFUNCTION("""COMPUTED_VALUE"""),"")</f>
        <v/>
      </c>
      <c r="Z1317" t="str">
        <f ca="1">IFERROR(__xludf.DUMMYFUNCTION("""COMPUTED_VALUE"""),"")</f>
        <v/>
      </c>
      <c r="AA1317" t="str">
        <f ca="1">IFERROR(__xludf.DUMMYFUNCTION("""COMPUTED_VALUE"""),"")</f>
        <v/>
      </c>
      <c r="AB1317" s="8" t="str">
        <f ca="1">IFERROR(__xludf.DUMMYFUNCTION("""COMPUTED_VALUE"""),"")</f>
        <v/>
      </c>
      <c r="AC1317" s="8" t="str">
        <f ca="1">IFERROR(__xludf.DUMMYFUNCTION("""COMPUTED_VALUE"""),"")</f>
        <v/>
      </c>
      <c r="AD1317" s="11" t="str">
        <f ca="1">IFERROR(__xludf.DUMMYFUNCTION("""COMPUTED_VALUE"""),"")</f>
        <v/>
      </c>
      <c r="AE1317" t="str">
        <f ca="1">IFERROR(__xludf.DUMMYFUNCTION("""COMPUTED_VALUE"""),"")</f>
        <v/>
      </c>
    </row>
    <row r="1318" spans="1:31" ht="12.75" x14ac:dyDescent="0.2">
      <c r="A1318" t="str">
        <f ca="1">IFERROR(__xludf.DUMMYFUNCTION("""COMPUTED_VALUE"""),"")</f>
        <v/>
      </c>
      <c r="B1318" t="str">
        <f ca="1">IFERROR(__xludf.DUMMYFUNCTION("""COMPUTED_VALUE"""),"")</f>
        <v/>
      </c>
      <c r="C1318" t="str">
        <f ca="1">IFERROR(__xludf.DUMMYFUNCTION("""COMPUTED_VALUE"""),"")</f>
        <v/>
      </c>
      <c r="D1318" t="str">
        <f ca="1">IFERROR(__xludf.DUMMYFUNCTION("""COMPUTED_VALUE"""),"")</f>
        <v/>
      </c>
      <c r="E1318" t="str">
        <f ca="1">IFERROR(__xludf.DUMMYFUNCTION("""COMPUTED_VALUE"""),"")</f>
        <v/>
      </c>
      <c r="F1318" t="str">
        <f ca="1">IFERROR(__xludf.DUMMYFUNCTION("""COMPUTED_VALUE"""),"")</f>
        <v/>
      </c>
      <c r="G1318" t="str">
        <f ca="1">IFERROR(__xludf.DUMMYFUNCTION("""COMPUTED_VALUE"""),"")</f>
        <v/>
      </c>
      <c r="H1318" t="str">
        <f ca="1">IFERROR(__xludf.DUMMYFUNCTION("""COMPUTED_VALUE"""),"")</f>
        <v/>
      </c>
      <c r="I1318" t="str">
        <f ca="1">IFERROR(__xludf.DUMMYFUNCTION("""COMPUTED_VALUE"""),"")</f>
        <v/>
      </c>
      <c r="J1318" t="str">
        <f ca="1">IFERROR(__xludf.DUMMYFUNCTION("""COMPUTED_VALUE"""),"")</f>
        <v/>
      </c>
      <c r="K1318" t="str">
        <f ca="1">IFERROR(__xludf.DUMMYFUNCTION("""COMPUTED_VALUE"""),"")</f>
        <v/>
      </c>
      <c r="L1318" t="str">
        <f ca="1">IFERROR(__xludf.DUMMYFUNCTION("""COMPUTED_VALUE"""),"")</f>
        <v/>
      </c>
      <c r="M1318" t="str">
        <f ca="1">IFERROR(__xludf.DUMMYFUNCTION("""COMPUTED_VALUE"""),"")</f>
        <v/>
      </c>
      <c r="N1318" t="str">
        <f ca="1">IFERROR(__xludf.DUMMYFUNCTION("""COMPUTED_VALUE"""),"")</f>
        <v/>
      </c>
      <c r="O1318" t="str">
        <f ca="1">IFERROR(__xludf.DUMMYFUNCTION("""COMPUTED_VALUE"""),"")</f>
        <v/>
      </c>
      <c r="P1318" t="str">
        <f ca="1">IFERROR(__xludf.DUMMYFUNCTION("""COMPUTED_VALUE"""),"")</f>
        <v/>
      </c>
      <c r="Q1318" s="5" t="str">
        <f ca="1">IFERROR(__xludf.DUMMYFUNCTION("""COMPUTED_VALUE"""),"")</f>
        <v/>
      </c>
      <c r="R1318" s="6" t="str">
        <f ca="1">IFERROR(__xludf.DUMMYFUNCTION("""COMPUTED_VALUE"""),"")</f>
        <v/>
      </c>
      <c r="S1318" t="str">
        <f ca="1">IFERROR(__xludf.DUMMYFUNCTION("""COMPUTED_VALUE"""),"")</f>
        <v/>
      </c>
      <c r="T1318" t="str">
        <f ca="1">IFERROR(__xludf.DUMMYFUNCTION("""COMPUTED_VALUE"""),"")</f>
        <v/>
      </c>
      <c r="U1318" t="str">
        <f ca="1">IFERROR(__xludf.DUMMYFUNCTION("""COMPUTED_VALUE"""),"")</f>
        <v/>
      </c>
      <c r="V1318" t="str">
        <f ca="1">IFERROR(__xludf.DUMMYFUNCTION("""COMPUTED_VALUE"""),"")</f>
        <v/>
      </c>
      <c r="W1318" t="str">
        <f ca="1">IFERROR(__xludf.DUMMYFUNCTION("""COMPUTED_VALUE"""),"")</f>
        <v/>
      </c>
      <c r="X1318" t="str">
        <f ca="1">IFERROR(__xludf.DUMMYFUNCTION("""COMPUTED_VALUE"""),"")</f>
        <v/>
      </c>
      <c r="Y1318" t="str">
        <f ca="1">IFERROR(__xludf.DUMMYFUNCTION("""COMPUTED_VALUE"""),"")</f>
        <v/>
      </c>
      <c r="Z1318" t="str">
        <f ca="1">IFERROR(__xludf.DUMMYFUNCTION("""COMPUTED_VALUE"""),"")</f>
        <v/>
      </c>
      <c r="AA1318" t="str">
        <f ca="1">IFERROR(__xludf.DUMMYFUNCTION("""COMPUTED_VALUE"""),"")</f>
        <v/>
      </c>
      <c r="AB1318" s="8" t="str">
        <f ca="1">IFERROR(__xludf.DUMMYFUNCTION("""COMPUTED_VALUE"""),"")</f>
        <v/>
      </c>
      <c r="AC1318" s="8" t="str">
        <f ca="1">IFERROR(__xludf.DUMMYFUNCTION("""COMPUTED_VALUE"""),"")</f>
        <v/>
      </c>
      <c r="AD1318" s="11" t="str">
        <f ca="1">IFERROR(__xludf.DUMMYFUNCTION("""COMPUTED_VALUE"""),"")</f>
        <v/>
      </c>
      <c r="AE1318" t="str">
        <f ca="1">IFERROR(__xludf.DUMMYFUNCTION("""COMPUTED_VALUE"""),"")</f>
        <v/>
      </c>
    </row>
    <row r="1319" spans="1:31" ht="12.75" x14ac:dyDescent="0.2">
      <c r="A1319" t="str">
        <f ca="1">IFERROR(__xludf.DUMMYFUNCTION("""COMPUTED_VALUE"""),"")</f>
        <v/>
      </c>
      <c r="B1319" t="str">
        <f ca="1">IFERROR(__xludf.DUMMYFUNCTION("""COMPUTED_VALUE"""),"")</f>
        <v/>
      </c>
      <c r="C1319" t="str">
        <f ca="1">IFERROR(__xludf.DUMMYFUNCTION("""COMPUTED_VALUE"""),"")</f>
        <v/>
      </c>
      <c r="D1319" t="str">
        <f ca="1">IFERROR(__xludf.DUMMYFUNCTION("""COMPUTED_VALUE"""),"")</f>
        <v/>
      </c>
      <c r="E1319" t="str">
        <f ca="1">IFERROR(__xludf.DUMMYFUNCTION("""COMPUTED_VALUE"""),"")</f>
        <v/>
      </c>
      <c r="F1319" t="str">
        <f ca="1">IFERROR(__xludf.DUMMYFUNCTION("""COMPUTED_VALUE"""),"")</f>
        <v/>
      </c>
      <c r="G1319" t="str">
        <f ca="1">IFERROR(__xludf.DUMMYFUNCTION("""COMPUTED_VALUE"""),"")</f>
        <v/>
      </c>
      <c r="H1319" t="str">
        <f ca="1">IFERROR(__xludf.DUMMYFUNCTION("""COMPUTED_VALUE"""),"")</f>
        <v/>
      </c>
      <c r="I1319" t="str">
        <f ca="1">IFERROR(__xludf.DUMMYFUNCTION("""COMPUTED_VALUE"""),"")</f>
        <v/>
      </c>
      <c r="J1319" t="str">
        <f ca="1">IFERROR(__xludf.DUMMYFUNCTION("""COMPUTED_VALUE"""),"")</f>
        <v/>
      </c>
      <c r="K1319" t="str">
        <f ca="1">IFERROR(__xludf.DUMMYFUNCTION("""COMPUTED_VALUE"""),"")</f>
        <v/>
      </c>
      <c r="L1319" t="str">
        <f ca="1">IFERROR(__xludf.DUMMYFUNCTION("""COMPUTED_VALUE"""),"")</f>
        <v/>
      </c>
      <c r="M1319" t="str">
        <f ca="1">IFERROR(__xludf.DUMMYFUNCTION("""COMPUTED_VALUE"""),"")</f>
        <v/>
      </c>
      <c r="N1319" t="str">
        <f ca="1">IFERROR(__xludf.DUMMYFUNCTION("""COMPUTED_VALUE"""),"")</f>
        <v/>
      </c>
      <c r="O1319" t="str">
        <f ca="1">IFERROR(__xludf.DUMMYFUNCTION("""COMPUTED_VALUE"""),"")</f>
        <v/>
      </c>
      <c r="P1319" t="str">
        <f ca="1">IFERROR(__xludf.DUMMYFUNCTION("""COMPUTED_VALUE"""),"")</f>
        <v/>
      </c>
      <c r="Q1319" s="5" t="str">
        <f ca="1">IFERROR(__xludf.DUMMYFUNCTION("""COMPUTED_VALUE"""),"")</f>
        <v/>
      </c>
      <c r="R1319" s="6" t="str">
        <f ca="1">IFERROR(__xludf.DUMMYFUNCTION("""COMPUTED_VALUE"""),"")</f>
        <v/>
      </c>
      <c r="S1319" t="str">
        <f ca="1">IFERROR(__xludf.DUMMYFUNCTION("""COMPUTED_VALUE"""),"")</f>
        <v/>
      </c>
      <c r="T1319" t="str">
        <f ca="1">IFERROR(__xludf.DUMMYFUNCTION("""COMPUTED_VALUE"""),"")</f>
        <v/>
      </c>
      <c r="U1319" t="str">
        <f ca="1">IFERROR(__xludf.DUMMYFUNCTION("""COMPUTED_VALUE"""),"")</f>
        <v/>
      </c>
      <c r="V1319" t="str">
        <f ca="1">IFERROR(__xludf.DUMMYFUNCTION("""COMPUTED_VALUE"""),"")</f>
        <v/>
      </c>
      <c r="W1319" t="str">
        <f ca="1">IFERROR(__xludf.DUMMYFUNCTION("""COMPUTED_VALUE"""),"")</f>
        <v/>
      </c>
      <c r="X1319" t="str">
        <f ca="1">IFERROR(__xludf.DUMMYFUNCTION("""COMPUTED_VALUE"""),"")</f>
        <v/>
      </c>
      <c r="Y1319" t="str">
        <f ca="1">IFERROR(__xludf.DUMMYFUNCTION("""COMPUTED_VALUE"""),"")</f>
        <v/>
      </c>
      <c r="Z1319" t="str">
        <f ca="1">IFERROR(__xludf.DUMMYFUNCTION("""COMPUTED_VALUE"""),"")</f>
        <v/>
      </c>
      <c r="AA1319" t="str">
        <f ca="1">IFERROR(__xludf.DUMMYFUNCTION("""COMPUTED_VALUE"""),"")</f>
        <v/>
      </c>
      <c r="AB1319" s="8" t="str">
        <f ca="1">IFERROR(__xludf.DUMMYFUNCTION("""COMPUTED_VALUE"""),"")</f>
        <v/>
      </c>
      <c r="AC1319" s="8" t="str">
        <f ca="1">IFERROR(__xludf.DUMMYFUNCTION("""COMPUTED_VALUE"""),"")</f>
        <v/>
      </c>
      <c r="AD1319" s="11" t="str">
        <f ca="1">IFERROR(__xludf.DUMMYFUNCTION("""COMPUTED_VALUE"""),"")</f>
        <v/>
      </c>
      <c r="AE1319" t="str">
        <f ca="1">IFERROR(__xludf.DUMMYFUNCTION("""COMPUTED_VALUE"""),"")</f>
        <v/>
      </c>
    </row>
    <row r="1320" spans="1:31" ht="12.75" x14ac:dyDescent="0.2">
      <c r="A1320" t="str">
        <f ca="1">IFERROR(__xludf.DUMMYFUNCTION("""COMPUTED_VALUE"""),"")</f>
        <v/>
      </c>
      <c r="B1320" t="str">
        <f ca="1">IFERROR(__xludf.DUMMYFUNCTION("""COMPUTED_VALUE"""),"")</f>
        <v/>
      </c>
      <c r="C1320" t="str">
        <f ca="1">IFERROR(__xludf.DUMMYFUNCTION("""COMPUTED_VALUE"""),"")</f>
        <v/>
      </c>
      <c r="D1320" t="str">
        <f ca="1">IFERROR(__xludf.DUMMYFUNCTION("""COMPUTED_VALUE"""),"")</f>
        <v/>
      </c>
      <c r="E1320" t="str">
        <f ca="1">IFERROR(__xludf.DUMMYFUNCTION("""COMPUTED_VALUE"""),"")</f>
        <v/>
      </c>
      <c r="F1320" t="str">
        <f ca="1">IFERROR(__xludf.DUMMYFUNCTION("""COMPUTED_VALUE"""),"")</f>
        <v/>
      </c>
      <c r="G1320" t="str">
        <f ca="1">IFERROR(__xludf.DUMMYFUNCTION("""COMPUTED_VALUE"""),"")</f>
        <v/>
      </c>
      <c r="H1320" t="str">
        <f ca="1">IFERROR(__xludf.DUMMYFUNCTION("""COMPUTED_VALUE"""),"")</f>
        <v/>
      </c>
      <c r="I1320" t="str">
        <f ca="1">IFERROR(__xludf.DUMMYFUNCTION("""COMPUTED_VALUE"""),"")</f>
        <v/>
      </c>
      <c r="J1320" t="str">
        <f ca="1">IFERROR(__xludf.DUMMYFUNCTION("""COMPUTED_VALUE"""),"")</f>
        <v/>
      </c>
      <c r="K1320" t="str">
        <f ca="1">IFERROR(__xludf.DUMMYFUNCTION("""COMPUTED_VALUE"""),"")</f>
        <v/>
      </c>
      <c r="L1320" t="str">
        <f ca="1">IFERROR(__xludf.DUMMYFUNCTION("""COMPUTED_VALUE"""),"")</f>
        <v/>
      </c>
      <c r="M1320" t="str">
        <f ca="1">IFERROR(__xludf.DUMMYFUNCTION("""COMPUTED_VALUE"""),"")</f>
        <v/>
      </c>
      <c r="N1320" t="str">
        <f ca="1">IFERROR(__xludf.DUMMYFUNCTION("""COMPUTED_VALUE"""),"")</f>
        <v/>
      </c>
      <c r="O1320" t="str">
        <f ca="1">IFERROR(__xludf.DUMMYFUNCTION("""COMPUTED_VALUE"""),"")</f>
        <v/>
      </c>
      <c r="P1320" t="str">
        <f ca="1">IFERROR(__xludf.DUMMYFUNCTION("""COMPUTED_VALUE"""),"")</f>
        <v/>
      </c>
      <c r="Q1320" s="5" t="str">
        <f ca="1">IFERROR(__xludf.DUMMYFUNCTION("""COMPUTED_VALUE"""),"")</f>
        <v/>
      </c>
      <c r="R1320" s="6" t="str">
        <f ca="1">IFERROR(__xludf.DUMMYFUNCTION("""COMPUTED_VALUE"""),"")</f>
        <v/>
      </c>
      <c r="S1320" t="str">
        <f ca="1">IFERROR(__xludf.DUMMYFUNCTION("""COMPUTED_VALUE"""),"")</f>
        <v/>
      </c>
      <c r="T1320" t="str">
        <f ca="1">IFERROR(__xludf.DUMMYFUNCTION("""COMPUTED_VALUE"""),"")</f>
        <v/>
      </c>
      <c r="U1320" t="str">
        <f ca="1">IFERROR(__xludf.DUMMYFUNCTION("""COMPUTED_VALUE"""),"")</f>
        <v/>
      </c>
      <c r="V1320" t="str">
        <f ca="1">IFERROR(__xludf.DUMMYFUNCTION("""COMPUTED_VALUE"""),"")</f>
        <v/>
      </c>
      <c r="W1320" t="str">
        <f ca="1">IFERROR(__xludf.DUMMYFUNCTION("""COMPUTED_VALUE"""),"")</f>
        <v/>
      </c>
      <c r="X1320" t="str">
        <f ca="1">IFERROR(__xludf.DUMMYFUNCTION("""COMPUTED_VALUE"""),"")</f>
        <v/>
      </c>
      <c r="Y1320" t="str">
        <f ca="1">IFERROR(__xludf.DUMMYFUNCTION("""COMPUTED_VALUE"""),"")</f>
        <v/>
      </c>
      <c r="Z1320" t="str">
        <f ca="1">IFERROR(__xludf.DUMMYFUNCTION("""COMPUTED_VALUE"""),"")</f>
        <v/>
      </c>
      <c r="AA1320" t="str">
        <f ca="1">IFERROR(__xludf.DUMMYFUNCTION("""COMPUTED_VALUE"""),"")</f>
        <v/>
      </c>
      <c r="AB1320" s="8" t="str">
        <f ca="1">IFERROR(__xludf.DUMMYFUNCTION("""COMPUTED_VALUE"""),"")</f>
        <v/>
      </c>
      <c r="AC1320" s="8" t="str">
        <f ca="1">IFERROR(__xludf.DUMMYFUNCTION("""COMPUTED_VALUE"""),"")</f>
        <v/>
      </c>
      <c r="AD1320" s="11" t="str">
        <f ca="1">IFERROR(__xludf.DUMMYFUNCTION("""COMPUTED_VALUE"""),"")</f>
        <v/>
      </c>
      <c r="AE1320" t="str">
        <f ca="1">IFERROR(__xludf.DUMMYFUNCTION("""COMPUTED_VALUE"""),"")</f>
        <v/>
      </c>
    </row>
    <row r="1321" spans="1:31" ht="12.75" x14ac:dyDescent="0.2">
      <c r="A1321" t="str">
        <f ca="1">IFERROR(__xludf.DUMMYFUNCTION("""COMPUTED_VALUE"""),"")</f>
        <v/>
      </c>
      <c r="B1321" t="str">
        <f ca="1">IFERROR(__xludf.DUMMYFUNCTION("""COMPUTED_VALUE"""),"")</f>
        <v/>
      </c>
      <c r="C1321" t="str">
        <f ca="1">IFERROR(__xludf.DUMMYFUNCTION("""COMPUTED_VALUE"""),"")</f>
        <v/>
      </c>
      <c r="D1321" t="str">
        <f ca="1">IFERROR(__xludf.DUMMYFUNCTION("""COMPUTED_VALUE"""),"")</f>
        <v/>
      </c>
      <c r="E1321" t="str">
        <f ca="1">IFERROR(__xludf.DUMMYFUNCTION("""COMPUTED_VALUE"""),"")</f>
        <v/>
      </c>
      <c r="F1321" t="str">
        <f ca="1">IFERROR(__xludf.DUMMYFUNCTION("""COMPUTED_VALUE"""),"")</f>
        <v/>
      </c>
      <c r="G1321" t="str">
        <f ca="1">IFERROR(__xludf.DUMMYFUNCTION("""COMPUTED_VALUE"""),"")</f>
        <v/>
      </c>
      <c r="H1321" t="str">
        <f ca="1">IFERROR(__xludf.DUMMYFUNCTION("""COMPUTED_VALUE"""),"")</f>
        <v/>
      </c>
      <c r="I1321" t="str">
        <f ca="1">IFERROR(__xludf.DUMMYFUNCTION("""COMPUTED_VALUE"""),"")</f>
        <v/>
      </c>
      <c r="J1321" t="str">
        <f ca="1">IFERROR(__xludf.DUMMYFUNCTION("""COMPUTED_VALUE"""),"")</f>
        <v/>
      </c>
      <c r="K1321" t="str">
        <f ca="1">IFERROR(__xludf.DUMMYFUNCTION("""COMPUTED_VALUE"""),"")</f>
        <v/>
      </c>
      <c r="L1321" t="str">
        <f ca="1">IFERROR(__xludf.DUMMYFUNCTION("""COMPUTED_VALUE"""),"")</f>
        <v/>
      </c>
      <c r="M1321" t="str">
        <f ca="1">IFERROR(__xludf.DUMMYFUNCTION("""COMPUTED_VALUE"""),"")</f>
        <v/>
      </c>
      <c r="N1321" t="str">
        <f ca="1">IFERROR(__xludf.DUMMYFUNCTION("""COMPUTED_VALUE"""),"")</f>
        <v/>
      </c>
      <c r="O1321" t="str">
        <f ca="1">IFERROR(__xludf.DUMMYFUNCTION("""COMPUTED_VALUE"""),"")</f>
        <v/>
      </c>
      <c r="P1321" t="str">
        <f ca="1">IFERROR(__xludf.DUMMYFUNCTION("""COMPUTED_VALUE"""),"")</f>
        <v/>
      </c>
      <c r="Q1321" s="5" t="str">
        <f ca="1">IFERROR(__xludf.DUMMYFUNCTION("""COMPUTED_VALUE"""),"")</f>
        <v/>
      </c>
      <c r="R1321" s="6" t="str">
        <f ca="1">IFERROR(__xludf.DUMMYFUNCTION("""COMPUTED_VALUE"""),"")</f>
        <v/>
      </c>
      <c r="S1321" t="str">
        <f ca="1">IFERROR(__xludf.DUMMYFUNCTION("""COMPUTED_VALUE"""),"")</f>
        <v/>
      </c>
      <c r="T1321" t="str">
        <f ca="1">IFERROR(__xludf.DUMMYFUNCTION("""COMPUTED_VALUE"""),"")</f>
        <v/>
      </c>
      <c r="U1321" t="str">
        <f ca="1">IFERROR(__xludf.DUMMYFUNCTION("""COMPUTED_VALUE"""),"")</f>
        <v/>
      </c>
      <c r="V1321" t="str">
        <f ca="1">IFERROR(__xludf.DUMMYFUNCTION("""COMPUTED_VALUE"""),"")</f>
        <v/>
      </c>
      <c r="W1321" t="str">
        <f ca="1">IFERROR(__xludf.DUMMYFUNCTION("""COMPUTED_VALUE"""),"")</f>
        <v/>
      </c>
      <c r="X1321" t="str">
        <f ca="1">IFERROR(__xludf.DUMMYFUNCTION("""COMPUTED_VALUE"""),"")</f>
        <v/>
      </c>
      <c r="Y1321" t="str">
        <f ca="1">IFERROR(__xludf.DUMMYFUNCTION("""COMPUTED_VALUE"""),"")</f>
        <v/>
      </c>
      <c r="Z1321" t="str">
        <f ca="1">IFERROR(__xludf.DUMMYFUNCTION("""COMPUTED_VALUE"""),"")</f>
        <v/>
      </c>
      <c r="AA1321" t="str">
        <f ca="1">IFERROR(__xludf.DUMMYFUNCTION("""COMPUTED_VALUE"""),"")</f>
        <v/>
      </c>
      <c r="AB1321" s="8" t="str">
        <f ca="1">IFERROR(__xludf.DUMMYFUNCTION("""COMPUTED_VALUE"""),"")</f>
        <v/>
      </c>
      <c r="AC1321" s="8" t="str">
        <f ca="1">IFERROR(__xludf.DUMMYFUNCTION("""COMPUTED_VALUE"""),"")</f>
        <v/>
      </c>
      <c r="AD1321" s="11" t="str">
        <f ca="1">IFERROR(__xludf.DUMMYFUNCTION("""COMPUTED_VALUE"""),"")</f>
        <v/>
      </c>
      <c r="AE1321" t="str">
        <f ca="1">IFERROR(__xludf.DUMMYFUNCTION("""COMPUTED_VALUE"""),"")</f>
        <v/>
      </c>
    </row>
    <row r="1322" spans="1:31" ht="12.75" x14ac:dyDescent="0.2">
      <c r="A1322" t="str">
        <f ca="1">IFERROR(__xludf.DUMMYFUNCTION("""COMPUTED_VALUE"""),"")</f>
        <v/>
      </c>
      <c r="B1322" t="str">
        <f ca="1">IFERROR(__xludf.DUMMYFUNCTION("""COMPUTED_VALUE"""),"")</f>
        <v/>
      </c>
      <c r="C1322" t="str">
        <f ca="1">IFERROR(__xludf.DUMMYFUNCTION("""COMPUTED_VALUE"""),"")</f>
        <v/>
      </c>
      <c r="D1322" t="str">
        <f ca="1">IFERROR(__xludf.DUMMYFUNCTION("""COMPUTED_VALUE"""),"")</f>
        <v/>
      </c>
      <c r="E1322" t="str">
        <f ca="1">IFERROR(__xludf.DUMMYFUNCTION("""COMPUTED_VALUE"""),"")</f>
        <v/>
      </c>
      <c r="F1322" t="str">
        <f ca="1">IFERROR(__xludf.DUMMYFUNCTION("""COMPUTED_VALUE"""),"")</f>
        <v/>
      </c>
      <c r="G1322" t="str">
        <f ca="1">IFERROR(__xludf.DUMMYFUNCTION("""COMPUTED_VALUE"""),"")</f>
        <v/>
      </c>
      <c r="H1322" t="str">
        <f ca="1">IFERROR(__xludf.DUMMYFUNCTION("""COMPUTED_VALUE"""),"")</f>
        <v/>
      </c>
      <c r="I1322" t="str">
        <f ca="1">IFERROR(__xludf.DUMMYFUNCTION("""COMPUTED_VALUE"""),"")</f>
        <v/>
      </c>
      <c r="J1322" t="str">
        <f ca="1">IFERROR(__xludf.DUMMYFUNCTION("""COMPUTED_VALUE"""),"")</f>
        <v/>
      </c>
      <c r="K1322" t="str">
        <f ca="1">IFERROR(__xludf.DUMMYFUNCTION("""COMPUTED_VALUE"""),"")</f>
        <v/>
      </c>
      <c r="L1322" t="str">
        <f ca="1">IFERROR(__xludf.DUMMYFUNCTION("""COMPUTED_VALUE"""),"")</f>
        <v/>
      </c>
      <c r="M1322" t="str">
        <f ca="1">IFERROR(__xludf.DUMMYFUNCTION("""COMPUTED_VALUE"""),"")</f>
        <v/>
      </c>
      <c r="N1322" t="str">
        <f ca="1">IFERROR(__xludf.DUMMYFUNCTION("""COMPUTED_VALUE"""),"")</f>
        <v/>
      </c>
      <c r="O1322" t="str">
        <f ca="1">IFERROR(__xludf.DUMMYFUNCTION("""COMPUTED_VALUE"""),"")</f>
        <v/>
      </c>
      <c r="P1322" t="str">
        <f ca="1">IFERROR(__xludf.DUMMYFUNCTION("""COMPUTED_VALUE"""),"")</f>
        <v/>
      </c>
      <c r="Q1322" s="5" t="str">
        <f ca="1">IFERROR(__xludf.DUMMYFUNCTION("""COMPUTED_VALUE"""),"")</f>
        <v/>
      </c>
      <c r="R1322" s="6" t="str">
        <f ca="1">IFERROR(__xludf.DUMMYFUNCTION("""COMPUTED_VALUE"""),"")</f>
        <v/>
      </c>
      <c r="S1322" t="str">
        <f ca="1">IFERROR(__xludf.DUMMYFUNCTION("""COMPUTED_VALUE"""),"")</f>
        <v/>
      </c>
      <c r="T1322" t="str">
        <f ca="1">IFERROR(__xludf.DUMMYFUNCTION("""COMPUTED_VALUE"""),"")</f>
        <v/>
      </c>
      <c r="U1322" t="str">
        <f ca="1">IFERROR(__xludf.DUMMYFUNCTION("""COMPUTED_VALUE"""),"")</f>
        <v/>
      </c>
      <c r="V1322" t="str">
        <f ca="1">IFERROR(__xludf.DUMMYFUNCTION("""COMPUTED_VALUE"""),"")</f>
        <v/>
      </c>
      <c r="W1322" t="str">
        <f ca="1">IFERROR(__xludf.DUMMYFUNCTION("""COMPUTED_VALUE"""),"")</f>
        <v/>
      </c>
      <c r="X1322" t="str">
        <f ca="1">IFERROR(__xludf.DUMMYFUNCTION("""COMPUTED_VALUE"""),"")</f>
        <v/>
      </c>
      <c r="Y1322" t="str">
        <f ca="1">IFERROR(__xludf.DUMMYFUNCTION("""COMPUTED_VALUE"""),"")</f>
        <v/>
      </c>
      <c r="Z1322" t="str">
        <f ca="1">IFERROR(__xludf.DUMMYFUNCTION("""COMPUTED_VALUE"""),"")</f>
        <v/>
      </c>
      <c r="AA1322" t="str">
        <f ca="1">IFERROR(__xludf.DUMMYFUNCTION("""COMPUTED_VALUE"""),"")</f>
        <v/>
      </c>
      <c r="AB1322" s="8" t="str">
        <f ca="1">IFERROR(__xludf.DUMMYFUNCTION("""COMPUTED_VALUE"""),"")</f>
        <v/>
      </c>
      <c r="AC1322" s="8" t="str">
        <f ca="1">IFERROR(__xludf.DUMMYFUNCTION("""COMPUTED_VALUE"""),"")</f>
        <v/>
      </c>
      <c r="AD1322" s="11" t="str">
        <f ca="1">IFERROR(__xludf.DUMMYFUNCTION("""COMPUTED_VALUE"""),"")</f>
        <v/>
      </c>
      <c r="AE1322" t="str">
        <f ca="1">IFERROR(__xludf.DUMMYFUNCTION("""COMPUTED_VALUE"""),"")</f>
        <v/>
      </c>
    </row>
    <row r="1323" spans="1:31" ht="12.75" x14ac:dyDescent="0.2">
      <c r="A1323" t="str">
        <f ca="1">IFERROR(__xludf.DUMMYFUNCTION("""COMPUTED_VALUE"""),"")</f>
        <v/>
      </c>
      <c r="B1323" t="str">
        <f ca="1">IFERROR(__xludf.DUMMYFUNCTION("""COMPUTED_VALUE"""),"")</f>
        <v/>
      </c>
      <c r="C1323" t="str">
        <f ca="1">IFERROR(__xludf.DUMMYFUNCTION("""COMPUTED_VALUE"""),"")</f>
        <v/>
      </c>
      <c r="D1323" t="str">
        <f ca="1">IFERROR(__xludf.DUMMYFUNCTION("""COMPUTED_VALUE"""),"")</f>
        <v/>
      </c>
      <c r="E1323" t="str">
        <f ca="1">IFERROR(__xludf.DUMMYFUNCTION("""COMPUTED_VALUE"""),"")</f>
        <v/>
      </c>
      <c r="F1323" t="str">
        <f ca="1">IFERROR(__xludf.DUMMYFUNCTION("""COMPUTED_VALUE"""),"")</f>
        <v/>
      </c>
      <c r="G1323" t="str">
        <f ca="1">IFERROR(__xludf.DUMMYFUNCTION("""COMPUTED_VALUE"""),"")</f>
        <v/>
      </c>
      <c r="H1323" t="str">
        <f ca="1">IFERROR(__xludf.DUMMYFUNCTION("""COMPUTED_VALUE"""),"")</f>
        <v/>
      </c>
      <c r="I1323" t="str">
        <f ca="1">IFERROR(__xludf.DUMMYFUNCTION("""COMPUTED_VALUE"""),"")</f>
        <v/>
      </c>
      <c r="J1323" t="str">
        <f ca="1">IFERROR(__xludf.DUMMYFUNCTION("""COMPUTED_VALUE"""),"")</f>
        <v/>
      </c>
      <c r="K1323" t="str">
        <f ca="1">IFERROR(__xludf.DUMMYFUNCTION("""COMPUTED_VALUE"""),"")</f>
        <v/>
      </c>
      <c r="L1323" t="str">
        <f ca="1">IFERROR(__xludf.DUMMYFUNCTION("""COMPUTED_VALUE"""),"")</f>
        <v/>
      </c>
      <c r="M1323" t="str">
        <f ca="1">IFERROR(__xludf.DUMMYFUNCTION("""COMPUTED_VALUE"""),"")</f>
        <v/>
      </c>
      <c r="N1323" t="str">
        <f ca="1">IFERROR(__xludf.DUMMYFUNCTION("""COMPUTED_VALUE"""),"")</f>
        <v/>
      </c>
      <c r="O1323" t="str">
        <f ca="1">IFERROR(__xludf.DUMMYFUNCTION("""COMPUTED_VALUE"""),"")</f>
        <v/>
      </c>
      <c r="P1323" t="str">
        <f ca="1">IFERROR(__xludf.DUMMYFUNCTION("""COMPUTED_VALUE"""),"")</f>
        <v/>
      </c>
      <c r="Q1323" s="5" t="str">
        <f ca="1">IFERROR(__xludf.DUMMYFUNCTION("""COMPUTED_VALUE"""),"")</f>
        <v/>
      </c>
      <c r="R1323" s="6" t="str">
        <f ca="1">IFERROR(__xludf.DUMMYFUNCTION("""COMPUTED_VALUE"""),"")</f>
        <v/>
      </c>
      <c r="S1323" t="str">
        <f ca="1">IFERROR(__xludf.DUMMYFUNCTION("""COMPUTED_VALUE"""),"")</f>
        <v/>
      </c>
      <c r="T1323" t="str">
        <f ca="1">IFERROR(__xludf.DUMMYFUNCTION("""COMPUTED_VALUE"""),"")</f>
        <v/>
      </c>
      <c r="U1323" t="str">
        <f ca="1">IFERROR(__xludf.DUMMYFUNCTION("""COMPUTED_VALUE"""),"")</f>
        <v/>
      </c>
      <c r="V1323" t="str">
        <f ca="1">IFERROR(__xludf.DUMMYFUNCTION("""COMPUTED_VALUE"""),"")</f>
        <v/>
      </c>
      <c r="W1323" t="str">
        <f ca="1">IFERROR(__xludf.DUMMYFUNCTION("""COMPUTED_VALUE"""),"")</f>
        <v/>
      </c>
      <c r="X1323" t="str">
        <f ca="1">IFERROR(__xludf.DUMMYFUNCTION("""COMPUTED_VALUE"""),"")</f>
        <v/>
      </c>
      <c r="Y1323" t="str">
        <f ca="1">IFERROR(__xludf.DUMMYFUNCTION("""COMPUTED_VALUE"""),"")</f>
        <v/>
      </c>
      <c r="Z1323" t="str">
        <f ca="1">IFERROR(__xludf.DUMMYFUNCTION("""COMPUTED_VALUE"""),"")</f>
        <v/>
      </c>
      <c r="AA1323" t="str">
        <f ca="1">IFERROR(__xludf.DUMMYFUNCTION("""COMPUTED_VALUE"""),"")</f>
        <v/>
      </c>
      <c r="AB1323" s="8" t="str">
        <f ca="1">IFERROR(__xludf.DUMMYFUNCTION("""COMPUTED_VALUE"""),"")</f>
        <v/>
      </c>
      <c r="AC1323" s="8" t="str">
        <f ca="1">IFERROR(__xludf.DUMMYFUNCTION("""COMPUTED_VALUE"""),"")</f>
        <v/>
      </c>
      <c r="AD1323" s="11" t="str">
        <f ca="1">IFERROR(__xludf.DUMMYFUNCTION("""COMPUTED_VALUE"""),"")</f>
        <v/>
      </c>
      <c r="AE1323" t="str">
        <f ca="1">IFERROR(__xludf.DUMMYFUNCTION("""COMPUTED_VALUE"""),"")</f>
        <v/>
      </c>
    </row>
    <row r="1324" spans="1:31" ht="12.75" x14ac:dyDescent="0.2">
      <c r="A1324" t="str">
        <f ca="1">IFERROR(__xludf.DUMMYFUNCTION("""COMPUTED_VALUE"""),"")</f>
        <v/>
      </c>
      <c r="B1324" t="str">
        <f ca="1">IFERROR(__xludf.DUMMYFUNCTION("""COMPUTED_VALUE"""),"")</f>
        <v/>
      </c>
      <c r="C1324" t="str">
        <f ca="1">IFERROR(__xludf.DUMMYFUNCTION("""COMPUTED_VALUE"""),"")</f>
        <v/>
      </c>
      <c r="D1324" t="str">
        <f ca="1">IFERROR(__xludf.DUMMYFUNCTION("""COMPUTED_VALUE"""),"")</f>
        <v/>
      </c>
      <c r="E1324" t="str">
        <f ca="1">IFERROR(__xludf.DUMMYFUNCTION("""COMPUTED_VALUE"""),"")</f>
        <v/>
      </c>
      <c r="F1324" t="str">
        <f ca="1">IFERROR(__xludf.DUMMYFUNCTION("""COMPUTED_VALUE"""),"")</f>
        <v/>
      </c>
      <c r="G1324" t="str">
        <f ca="1">IFERROR(__xludf.DUMMYFUNCTION("""COMPUTED_VALUE"""),"")</f>
        <v/>
      </c>
      <c r="H1324" t="str">
        <f ca="1">IFERROR(__xludf.DUMMYFUNCTION("""COMPUTED_VALUE"""),"")</f>
        <v/>
      </c>
      <c r="I1324" t="str">
        <f ca="1">IFERROR(__xludf.DUMMYFUNCTION("""COMPUTED_VALUE"""),"")</f>
        <v/>
      </c>
      <c r="J1324" t="str">
        <f ca="1">IFERROR(__xludf.DUMMYFUNCTION("""COMPUTED_VALUE"""),"")</f>
        <v/>
      </c>
      <c r="K1324" t="str">
        <f ca="1">IFERROR(__xludf.DUMMYFUNCTION("""COMPUTED_VALUE"""),"")</f>
        <v/>
      </c>
      <c r="L1324" t="str">
        <f ca="1">IFERROR(__xludf.DUMMYFUNCTION("""COMPUTED_VALUE"""),"")</f>
        <v/>
      </c>
      <c r="M1324" t="str">
        <f ca="1">IFERROR(__xludf.DUMMYFUNCTION("""COMPUTED_VALUE"""),"")</f>
        <v/>
      </c>
      <c r="N1324" t="str">
        <f ca="1">IFERROR(__xludf.DUMMYFUNCTION("""COMPUTED_VALUE"""),"")</f>
        <v/>
      </c>
      <c r="O1324" t="str">
        <f ca="1">IFERROR(__xludf.DUMMYFUNCTION("""COMPUTED_VALUE"""),"")</f>
        <v/>
      </c>
      <c r="P1324" t="str">
        <f ca="1">IFERROR(__xludf.DUMMYFUNCTION("""COMPUTED_VALUE"""),"")</f>
        <v/>
      </c>
      <c r="Q1324" s="5" t="str">
        <f ca="1">IFERROR(__xludf.DUMMYFUNCTION("""COMPUTED_VALUE"""),"")</f>
        <v/>
      </c>
      <c r="R1324" s="6" t="str">
        <f ca="1">IFERROR(__xludf.DUMMYFUNCTION("""COMPUTED_VALUE"""),"")</f>
        <v/>
      </c>
      <c r="S1324" t="str">
        <f ca="1">IFERROR(__xludf.DUMMYFUNCTION("""COMPUTED_VALUE"""),"")</f>
        <v/>
      </c>
      <c r="T1324" t="str">
        <f ca="1">IFERROR(__xludf.DUMMYFUNCTION("""COMPUTED_VALUE"""),"")</f>
        <v/>
      </c>
      <c r="U1324" t="str">
        <f ca="1">IFERROR(__xludf.DUMMYFUNCTION("""COMPUTED_VALUE"""),"")</f>
        <v/>
      </c>
      <c r="V1324" t="str">
        <f ca="1">IFERROR(__xludf.DUMMYFUNCTION("""COMPUTED_VALUE"""),"")</f>
        <v/>
      </c>
      <c r="W1324" t="str">
        <f ca="1">IFERROR(__xludf.DUMMYFUNCTION("""COMPUTED_VALUE"""),"")</f>
        <v/>
      </c>
      <c r="X1324" t="str">
        <f ca="1">IFERROR(__xludf.DUMMYFUNCTION("""COMPUTED_VALUE"""),"")</f>
        <v/>
      </c>
      <c r="Y1324" t="str">
        <f ca="1">IFERROR(__xludf.DUMMYFUNCTION("""COMPUTED_VALUE"""),"")</f>
        <v/>
      </c>
      <c r="Z1324" t="str">
        <f ca="1">IFERROR(__xludf.DUMMYFUNCTION("""COMPUTED_VALUE"""),"")</f>
        <v/>
      </c>
      <c r="AA1324" t="str">
        <f ca="1">IFERROR(__xludf.DUMMYFUNCTION("""COMPUTED_VALUE"""),"")</f>
        <v/>
      </c>
      <c r="AB1324" s="8" t="str">
        <f ca="1">IFERROR(__xludf.DUMMYFUNCTION("""COMPUTED_VALUE"""),"")</f>
        <v/>
      </c>
      <c r="AC1324" s="8" t="str">
        <f ca="1">IFERROR(__xludf.DUMMYFUNCTION("""COMPUTED_VALUE"""),"")</f>
        <v/>
      </c>
      <c r="AD1324" s="11" t="str">
        <f ca="1">IFERROR(__xludf.DUMMYFUNCTION("""COMPUTED_VALUE"""),"")</f>
        <v/>
      </c>
      <c r="AE1324" t="str">
        <f ca="1">IFERROR(__xludf.DUMMYFUNCTION("""COMPUTED_VALUE"""),"")</f>
        <v/>
      </c>
    </row>
    <row r="1325" spans="1:31" ht="12.75" x14ac:dyDescent="0.2">
      <c r="A1325" t="str">
        <f ca="1">IFERROR(__xludf.DUMMYFUNCTION("""COMPUTED_VALUE"""),"")</f>
        <v/>
      </c>
      <c r="B1325" t="str">
        <f ca="1">IFERROR(__xludf.DUMMYFUNCTION("""COMPUTED_VALUE"""),"")</f>
        <v/>
      </c>
      <c r="C1325" t="str">
        <f ca="1">IFERROR(__xludf.DUMMYFUNCTION("""COMPUTED_VALUE"""),"")</f>
        <v/>
      </c>
      <c r="D1325" t="str">
        <f ca="1">IFERROR(__xludf.DUMMYFUNCTION("""COMPUTED_VALUE"""),"")</f>
        <v/>
      </c>
      <c r="E1325" t="str">
        <f ca="1">IFERROR(__xludf.DUMMYFUNCTION("""COMPUTED_VALUE"""),"")</f>
        <v/>
      </c>
      <c r="F1325" t="str">
        <f ca="1">IFERROR(__xludf.DUMMYFUNCTION("""COMPUTED_VALUE"""),"")</f>
        <v/>
      </c>
      <c r="G1325" t="str">
        <f ca="1">IFERROR(__xludf.DUMMYFUNCTION("""COMPUTED_VALUE"""),"")</f>
        <v/>
      </c>
      <c r="H1325" t="str">
        <f ca="1">IFERROR(__xludf.DUMMYFUNCTION("""COMPUTED_VALUE"""),"")</f>
        <v/>
      </c>
      <c r="I1325" t="str">
        <f ca="1">IFERROR(__xludf.DUMMYFUNCTION("""COMPUTED_VALUE"""),"")</f>
        <v/>
      </c>
      <c r="J1325" t="str">
        <f ca="1">IFERROR(__xludf.DUMMYFUNCTION("""COMPUTED_VALUE"""),"")</f>
        <v/>
      </c>
      <c r="K1325" t="str">
        <f ca="1">IFERROR(__xludf.DUMMYFUNCTION("""COMPUTED_VALUE"""),"")</f>
        <v/>
      </c>
      <c r="L1325" t="str">
        <f ca="1">IFERROR(__xludf.DUMMYFUNCTION("""COMPUTED_VALUE"""),"")</f>
        <v/>
      </c>
      <c r="M1325" t="str">
        <f ca="1">IFERROR(__xludf.DUMMYFUNCTION("""COMPUTED_VALUE"""),"")</f>
        <v/>
      </c>
      <c r="N1325" t="str">
        <f ca="1">IFERROR(__xludf.DUMMYFUNCTION("""COMPUTED_VALUE"""),"")</f>
        <v/>
      </c>
      <c r="O1325" t="str">
        <f ca="1">IFERROR(__xludf.DUMMYFUNCTION("""COMPUTED_VALUE"""),"")</f>
        <v/>
      </c>
      <c r="P1325" t="str">
        <f ca="1">IFERROR(__xludf.DUMMYFUNCTION("""COMPUTED_VALUE"""),"")</f>
        <v/>
      </c>
      <c r="Q1325" s="5" t="str">
        <f ca="1">IFERROR(__xludf.DUMMYFUNCTION("""COMPUTED_VALUE"""),"")</f>
        <v/>
      </c>
      <c r="R1325" s="6" t="str">
        <f ca="1">IFERROR(__xludf.DUMMYFUNCTION("""COMPUTED_VALUE"""),"")</f>
        <v/>
      </c>
      <c r="S1325" t="str">
        <f ca="1">IFERROR(__xludf.DUMMYFUNCTION("""COMPUTED_VALUE"""),"")</f>
        <v/>
      </c>
      <c r="T1325" t="str">
        <f ca="1">IFERROR(__xludf.DUMMYFUNCTION("""COMPUTED_VALUE"""),"")</f>
        <v/>
      </c>
      <c r="U1325" t="str">
        <f ca="1">IFERROR(__xludf.DUMMYFUNCTION("""COMPUTED_VALUE"""),"")</f>
        <v/>
      </c>
      <c r="V1325" t="str">
        <f ca="1">IFERROR(__xludf.DUMMYFUNCTION("""COMPUTED_VALUE"""),"")</f>
        <v/>
      </c>
      <c r="W1325" t="str">
        <f ca="1">IFERROR(__xludf.DUMMYFUNCTION("""COMPUTED_VALUE"""),"")</f>
        <v/>
      </c>
      <c r="X1325" t="str">
        <f ca="1">IFERROR(__xludf.DUMMYFUNCTION("""COMPUTED_VALUE"""),"")</f>
        <v/>
      </c>
      <c r="Y1325" t="str">
        <f ca="1">IFERROR(__xludf.DUMMYFUNCTION("""COMPUTED_VALUE"""),"")</f>
        <v/>
      </c>
      <c r="Z1325" t="str">
        <f ca="1">IFERROR(__xludf.DUMMYFUNCTION("""COMPUTED_VALUE"""),"")</f>
        <v/>
      </c>
      <c r="AA1325" t="str">
        <f ca="1">IFERROR(__xludf.DUMMYFUNCTION("""COMPUTED_VALUE"""),"")</f>
        <v/>
      </c>
      <c r="AB1325" s="8" t="str">
        <f ca="1">IFERROR(__xludf.DUMMYFUNCTION("""COMPUTED_VALUE"""),"")</f>
        <v/>
      </c>
      <c r="AC1325" s="8" t="str">
        <f ca="1">IFERROR(__xludf.DUMMYFUNCTION("""COMPUTED_VALUE"""),"")</f>
        <v/>
      </c>
      <c r="AD1325" s="11" t="str">
        <f ca="1">IFERROR(__xludf.DUMMYFUNCTION("""COMPUTED_VALUE"""),"")</f>
        <v/>
      </c>
      <c r="AE1325" t="str">
        <f ca="1">IFERROR(__xludf.DUMMYFUNCTION("""COMPUTED_VALUE"""),"")</f>
        <v/>
      </c>
    </row>
    <row r="1326" spans="1:31" ht="12.75" x14ac:dyDescent="0.2">
      <c r="A1326" t="str">
        <f ca="1">IFERROR(__xludf.DUMMYFUNCTION("""COMPUTED_VALUE"""),"")</f>
        <v/>
      </c>
      <c r="B1326" t="str">
        <f ca="1">IFERROR(__xludf.DUMMYFUNCTION("""COMPUTED_VALUE"""),"")</f>
        <v/>
      </c>
      <c r="C1326" t="str">
        <f ca="1">IFERROR(__xludf.DUMMYFUNCTION("""COMPUTED_VALUE"""),"")</f>
        <v/>
      </c>
      <c r="D1326" t="str">
        <f ca="1">IFERROR(__xludf.DUMMYFUNCTION("""COMPUTED_VALUE"""),"")</f>
        <v/>
      </c>
      <c r="E1326" t="str">
        <f ca="1">IFERROR(__xludf.DUMMYFUNCTION("""COMPUTED_VALUE"""),"")</f>
        <v/>
      </c>
      <c r="F1326" t="str">
        <f ca="1">IFERROR(__xludf.DUMMYFUNCTION("""COMPUTED_VALUE"""),"")</f>
        <v/>
      </c>
      <c r="G1326" t="str">
        <f ca="1">IFERROR(__xludf.DUMMYFUNCTION("""COMPUTED_VALUE"""),"")</f>
        <v/>
      </c>
      <c r="H1326" t="str">
        <f ca="1">IFERROR(__xludf.DUMMYFUNCTION("""COMPUTED_VALUE"""),"")</f>
        <v/>
      </c>
      <c r="I1326" t="str">
        <f ca="1">IFERROR(__xludf.DUMMYFUNCTION("""COMPUTED_VALUE"""),"")</f>
        <v/>
      </c>
      <c r="J1326" t="str">
        <f ca="1">IFERROR(__xludf.DUMMYFUNCTION("""COMPUTED_VALUE"""),"")</f>
        <v/>
      </c>
      <c r="K1326" t="str">
        <f ca="1">IFERROR(__xludf.DUMMYFUNCTION("""COMPUTED_VALUE"""),"")</f>
        <v/>
      </c>
      <c r="L1326" t="str">
        <f ca="1">IFERROR(__xludf.DUMMYFUNCTION("""COMPUTED_VALUE"""),"")</f>
        <v/>
      </c>
      <c r="M1326" t="str">
        <f ca="1">IFERROR(__xludf.DUMMYFUNCTION("""COMPUTED_VALUE"""),"")</f>
        <v/>
      </c>
      <c r="N1326" t="str">
        <f ca="1">IFERROR(__xludf.DUMMYFUNCTION("""COMPUTED_VALUE"""),"")</f>
        <v/>
      </c>
      <c r="O1326" t="str">
        <f ca="1">IFERROR(__xludf.DUMMYFUNCTION("""COMPUTED_VALUE"""),"")</f>
        <v/>
      </c>
      <c r="P1326" t="str">
        <f ca="1">IFERROR(__xludf.DUMMYFUNCTION("""COMPUTED_VALUE"""),"")</f>
        <v/>
      </c>
      <c r="Q1326" s="5" t="str">
        <f ca="1">IFERROR(__xludf.DUMMYFUNCTION("""COMPUTED_VALUE"""),"")</f>
        <v/>
      </c>
      <c r="R1326" s="6" t="str">
        <f ca="1">IFERROR(__xludf.DUMMYFUNCTION("""COMPUTED_VALUE"""),"")</f>
        <v/>
      </c>
      <c r="S1326" t="str">
        <f ca="1">IFERROR(__xludf.DUMMYFUNCTION("""COMPUTED_VALUE"""),"")</f>
        <v/>
      </c>
      <c r="T1326" t="str">
        <f ca="1">IFERROR(__xludf.DUMMYFUNCTION("""COMPUTED_VALUE"""),"")</f>
        <v/>
      </c>
      <c r="U1326" t="str">
        <f ca="1">IFERROR(__xludf.DUMMYFUNCTION("""COMPUTED_VALUE"""),"")</f>
        <v/>
      </c>
      <c r="V1326" t="str">
        <f ca="1">IFERROR(__xludf.DUMMYFUNCTION("""COMPUTED_VALUE"""),"")</f>
        <v/>
      </c>
      <c r="W1326" t="str">
        <f ca="1">IFERROR(__xludf.DUMMYFUNCTION("""COMPUTED_VALUE"""),"")</f>
        <v/>
      </c>
      <c r="X1326" t="str">
        <f ca="1">IFERROR(__xludf.DUMMYFUNCTION("""COMPUTED_VALUE"""),"")</f>
        <v/>
      </c>
      <c r="Y1326" t="str">
        <f ca="1">IFERROR(__xludf.DUMMYFUNCTION("""COMPUTED_VALUE"""),"")</f>
        <v/>
      </c>
      <c r="Z1326" t="str">
        <f ca="1">IFERROR(__xludf.DUMMYFUNCTION("""COMPUTED_VALUE"""),"")</f>
        <v/>
      </c>
      <c r="AA1326" t="str">
        <f ca="1">IFERROR(__xludf.DUMMYFUNCTION("""COMPUTED_VALUE"""),"")</f>
        <v/>
      </c>
      <c r="AB1326" s="8" t="str">
        <f ca="1">IFERROR(__xludf.DUMMYFUNCTION("""COMPUTED_VALUE"""),"")</f>
        <v/>
      </c>
      <c r="AC1326" s="8" t="str">
        <f ca="1">IFERROR(__xludf.DUMMYFUNCTION("""COMPUTED_VALUE"""),"")</f>
        <v/>
      </c>
      <c r="AD1326" s="11" t="str">
        <f ca="1">IFERROR(__xludf.DUMMYFUNCTION("""COMPUTED_VALUE"""),"")</f>
        <v/>
      </c>
      <c r="AE1326" t="str">
        <f ca="1">IFERROR(__xludf.DUMMYFUNCTION("""COMPUTED_VALUE"""),"")</f>
        <v/>
      </c>
    </row>
    <row r="1327" spans="1:31" ht="12.75" x14ac:dyDescent="0.2">
      <c r="A1327" t="str">
        <f ca="1">IFERROR(__xludf.DUMMYFUNCTION("""COMPUTED_VALUE"""),"")</f>
        <v/>
      </c>
      <c r="B1327" t="str">
        <f ca="1">IFERROR(__xludf.DUMMYFUNCTION("""COMPUTED_VALUE"""),"")</f>
        <v/>
      </c>
      <c r="C1327" t="str">
        <f ca="1">IFERROR(__xludf.DUMMYFUNCTION("""COMPUTED_VALUE"""),"")</f>
        <v/>
      </c>
      <c r="D1327" t="str">
        <f ca="1">IFERROR(__xludf.DUMMYFUNCTION("""COMPUTED_VALUE"""),"")</f>
        <v/>
      </c>
      <c r="E1327" t="str">
        <f ca="1">IFERROR(__xludf.DUMMYFUNCTION("""COMPUTED_VALUE"""),"")</f>
        <v/>
      </c>
      <c r="F1327" t="str">
        <f ca="1">IFERROR(__xludf.DUMMYFUNCTION("""COMPUTED_VALUE"""),"")</f>
        <v/>
      </c>
      <c r="G1327" t="str">
        <f ca="1">IFERROR(__xludf.DUMMYFUNCTION("""COMPUTED_VALUE"""),"")</f>
        <v/>
      </c>
      <c r="H1327" t="str">
        <f ca="1">IFERROR(__xludf.DUMMYFUNCTION("""COMPUTED_VALUE"""),"")</f>
        <v/>
      </c>
      <c r="I1327" t="str">
        <f ca="1">IFERROR(__xludf.DUMMYFUNCTION("""COMPUTED_VALUE"""),"")</f>
        <v/>
      </c>
      <c r="J1327" t="str">
        <f ca="1">IFERROR(__xludf.DUMMYFUNCTION("""COMPUTED_VALUE"""),"")</f>
        <v/>
      </c>
      <c r="K1327" t="str">
        <f ca="1">IFERROR(__xludf.DUMMYFUNCTION("""COMPUTED_VALUE"""),"")</f>
        <v/>
      </c>
      <c r="L1327" t="str">
        <f ca="1">IFERROR(__xludf.DUMMYFUNCTION("""COMPUTED_VALUE"""),"")</f>
        <v/>
      </c>
      <c r="M1327" t="str">
        <f ca="1">IFERROR(__xludf.DUMMYFUNCTION("""COMPUTED_VALUE"""),"")</f>
        <v/>
      </c>
      <c r="N1327" t="str">
        <f ca="1">IFERROR(__xludf.DUMMYFUNCTION("""COMPUTED_VALUE"""),"")</f>
        <v/>
      </c>
      <c r="O1327" t="str">
        <f ca="1">IFERROR(__xludf.DUMMYFUNCTION("""COMPUTED_VALUE"""),"")</f>
        <v/>
      </c>
      <c r="P1327" t="str">
        <f ca="1">IFERROR(__xludf.DUMMYFUNCTION("""COMPUTED_VALUE"""),"")</f>
        <v/>
      </c>
      <c r="Q1327" s="5" t="str">
        <f ca="1">IFERROR(__xludf.DUMMYFUNCTION("""COMPUTED_VALUE"""),"")</f>
        <v/>
      </c>
      <c r="R1327" s="6" t="str">
        <f ca="1">IFERROR(__xludf.DUMMYFUNCTION("""COMPUTED_VALUE"""),"")</f>
        <v/>
      </c>
      <c r="S1327" t="str">
        <f ca="1">IFERROR(__xludf.DUMMYFUNCTION("""COMPUTED_VALUE"""),"")</f>
        <v/>
      </c>
      <c r="T1327" t="str">
        <f ca="1">IFERROR(__xludf.DUMMYFUNCTION("""COMPUTED_VALUE"""),"")</f>
        <v/>
      </c>
      <c r="U1327" t="str">
        <f ca="1">IFERROR(__xludf.DUMMYFUNCTION("""COMPUTED_VALUE"""),"")</f>
        <v/>
      </c>
      <c r="V1327" t="str">
        <f ca="1">IFERROR(__xludf.DUMMYFUNCTION("""COMPUTED_VALUE"""),"")</f>
        <v/>
      </c>
      <c r="W1327" t="str">
        <f ca="1">IFERROR(__xludf.DUMMYFUNCTION("""COMPUTED_VALUE"""),"")</f>
        <v/>
      </c>
      <c r="X1327" t="str">
        <f ca="1">IFERROR(__xludf.DUMMYFUNCTION("""COMPUTED_VALUE"""),"")</f>
        <v/>
      </c>
      <c r="Y1327" t="str">
        <f ca="1">IFERROR(__xludf.DUMMYFUNCTION("""COMPUTED_VALUE"""),"")</f>
        <v/>
      </c>
      <c r="Z1327" t="str">
        <f ca="1">IFERROR(__xludf.DUMMYFUNCTION("""COMPUTED_VALUE"""),"")</f>
        <v/>
      </c>
      <c r="AA1327" t="str">
        <f ca="1">IFERROR(__xludf.DUMMYFUNCTION("""COMPUTED_VALUE"""),"")</f>
        <v/>
      </c>
      <c r="AB1327" s="8" t="str">
        <f ca="1">IFERROR(__xludf.DUMMYFUNCTION("""COMPUTED_VALUE"""),"")</f>
        <v/>
      </c>
      <c r="AC1327" s="8" t="str">
        <f ca="1">IFERROR(__xludf.DUMMYFUNCTION("""COMPUTED_VALUE"""),"")</f>
        <v/>
      </c>
      <c r="AD1327" s="11" t="str">
        <f ca="1">IFERROR(__xludf.DUMMYFUNCTION("""COMPUTED_VALUE"""),"")</f>
        <v/>
      </c>
      <c r="AE1327" t="str">
        <f ca="1">IFERROR(__xludf.DUMMYFUNCTION("""COMPUTED_VALUE"""),"")</f>
        <v/>
      </c>
    </row>
    <row r="1328" spans="1:31" ht="12.75" x14ac:dyDescent="0.2">
      <c r="A1328" t="str">
        <f ca="1">IFERROR(__xludf.DUMMYFUNCTION("""COMPUTED_VALUE"""),"")</f>
        <v/>
      </c>
      <c r="B1328" t="str">
        <f ca="1">IFERROR(__xludf.DUMMYFUNCTION("""COMPUTED_VALUE"""),"")</f>
        <v/>
      </c>
      <c r="C1328" t="str">
        <f ca="1">IFERROR(__xludf.DUMMYFUNCTION("""COMPUTED_VALUE"""),"")</f>
        <v/>
      </c>
      <c r="D1328" t="str">
        <f ca="1">IFERROR(__xludf.DUMMYFUNCTION("""COMPUTED_VALUE"""),"")</f>
        <v/>
      </c>
      <c r="E1328" t="str">
        <f ca="1">IFERROR(__xludf.DUMMYFUNCTION("""COMPUTED_VALUE"""),"")</f>
        <v/>
      </c>
      <c r="F1328" t="str">
        <f ca="1">IFERROR(__xludf.DUMMYFUNCTION("""COMPUTED_VALUE"""),"")</f>
        <v/>
      </c>
      <c r="G1328" t="str">
        <f ca="1">IFERROR(__xludf.DUMMYFUNCTION("""COMPUTED_VALUE"""),"")</f>
        <v/>
      </c>
      <c r="H1328" t="str">
        <f ca="1">IFERROR(__xludf.DUMMYFUNCTION("""COMPUTED_VALUE"""),"")</f>
        <v/>
      </c>
      <c r="I1328" t="str">
        <f ca="1">IFERROR(__xludf.DUMMYFUNCTION("""COMPUTED_VALUE"""),"")</f>
        <v/>
      </c>
      <c r="J1328" t="str">
        <f ca="1">IFERROR(__xludf.DUMMYFUNCTION("""COMPUTED_VALUE"""),"")</f>
        <v/>
      </c>
      <c r="K1328" t="str">
        <f ca="1">IFERROR(__xludf.DUMMYFUNCTION("""COMPUTED_VALUE"""),"")</f>
        <v/>
      </c>
      <c r="L1328" t="str">
        <f ca="1">IFERROR(__xludf.DUMMYFUNCTION("""COMPUTED_VALUE"""),"")</f>
        <v/>
      </c>
      <c r="M1328" t="str">
        <f ca="1">IFERROR(__xludf.DUMMYFUNCTION("""COMPUTED_VALUE"""),"")</f>
        <v/>
      </c>
      <c r="N1328" t="str">
        <f ca="1">IFERROR(__xludf.DUMMYFUNCTION("""COMPUTED_VALUE"""),"")</f>
        <v/>
      </c>
      <c r="O1328" t="str">
        <f ca="1">IFERROR(__xludf.DUMMYFUNCTION("""COMPUTED_VALUE"""),"")</f>
        <v/>
      </c>
      <c r="P1328" t="str">
        <f ca="1">IFERROR(__xludf.DUMMYFUNCTION("""COMPUTED_VALUE"""),"")</f>
        <v/>
      </c>
      <c r="Q1328" s="5" t="str">
        <f ca="1">IFERROR(__xludf.DUMMYFUNCTION("""COMPUTED_VALUE"""),"")</f>
        <v/>
      </c>
      <c r="R1328" s="6" t="str">
        <f ca="1">IFERROR(__xludf.DUMMYFUNCTION("""COMPUTED_VALUE"""),"")</f>
        <v/>
      </c>
      <c r="S1328" t="str">
        <f ca="1">IFERROR(__xludf.DUMMYFUNCTION("""COMPUTED_VALUE"""),"")</f>
        <v/>
      </c>
      <c r="T1328" t="str">
        <f ca="1">IFERROR(__xludf.DUMMYFUNCTION("""COMPUTED_VALUE"""),"")</f>
        <v/>
      </c>
      <c r="U1328" t="str">
        <f ca="1">IFERROR(__xludf.DUMMYFUNCTION("""COMPUTED_VALUE"""),"")</f>
        <v/>
      </c>
      <c r="V1328" t="str">
        <f ca="1">IFERROR(__xludf.DUMMYFUNCTION("""COMPUTED_VALUE"""),"")</f>
        <v/>
      </c>
      <c r="W1328" t="str">
        <f ca="1">IFERROR(__xludf.DUMMYFUNCTION("""COMPUTED_VALUE"""),"")</f>
        <v/>
      </c>
      <c r="X1328" t="str">
        <f ca="1">IFERROR(__xludf.DUMMYFUNCTION("""COMPUTED_VALUE"""),"")</f>
        <v/>
      </c>
      <c r="Y1328" t="str">
        <f ca="1">IFERROR(__xludf.DUMMYFUNCTION("""COMPUTED_VALUE"""),"")</f>
        <v/>
      </c>
      <c r="Z1328" t="str">
        <f ca="1">IFERROR(__xludf.DUMMYFUNCTION("""COMPUTED_VALUE"""),"")</f>
        <v/>
      </c>
      <c r="AA1328" t="str">
        <f ca="1">IFERROR(__xludf.DUMMYFUNCTION("""COMPUTED_VALUE"""),"")</f>
        <v/>
      </c>
      <c r="AB1328" s="8" t="str">
        <f ca="1">IFERROR(__xludf.DUMMYFUNCTION("""COMPUTED_VALUE"""),"")</f>
        <v/>
      </c>
      <c r="AC1328" s="8" t="str">
        <f ca="1">IFERROR(__xludf.DUMMYFUNCTION("""COMPUTED_VALUE"""),"")</f>
        <v/>
      </c>
      <c r="AD1328" s="11" t="str">
        <f ca="1">IFERROR(__xludf.DUMMYFUNCTION("""COMPUTED_VALUE"""),"")</f>
        <v/>
      </c>
      <c r="AE1328" t="str">
        <f ca="1">IFERROR(__xludf.DUMMYFUNCTION("""COMPUTED_VALUE"""),"")</f>
        <v/>
      </c>
    </row>
    <row r="1329" spans="1:31" ht="12.75" x14ac:dyDescent="0.2">
      <c r="A1329" t="str">
        <f ca="1">IFERROR(__xludf.DUMMYFUNCTION("""COMPUTED_VALUE"""),"")</f>
        <v/>
      </c>
      <c r="B1329" t="str">
        <f ca="1">IFERROR(__xludf.DUMMYFUNCTION("""COMPUTED_VALUE"""),"")</f>
        <v/>
      </c>
      <c r="C1329" t="str">
        <f ca="1">IFERROR(__xludf.DUMMYFUNCTION("""COMPUTED_VALUE"""),"")</f>
        <v/>
      </c>
      <c r="D1329" t="str">
        <f ca="1">IFERROR(__xludf.DUMMYFUNCTION("""COMPUTED_VALUE"""),"")</f>
        <v/>
      </c>
      <c r="E1329" t="str">
        <f ca="1">IFERROR(__xludf.DUMMYFUNCTION("""COMPUTED_VALUE"""),"")</f>
        <v/>
      </c>
      <c r="F1329" t="str">
        <f ca="1">IFERROR(__xludf.DUMMYFUNCTION("""COMPUTED_VALUE"""),"")</f>
        <v/>
      </c>
      <c r="G1329" t="str">
        <f ca="1">IFERROR(__xludf.DUMMYFUNCTION("""COMPUTED_VALUE"""),"")</f>
        <v/>
      </c>
      <c r="H1329" t="str">
        <f ca="1">IFERROR(__xludf.DUMMYFUNCTION("""COMPUTED_VALUE"""),"")</f>
        <v/>
      </c>
      <c r="I1329" t="str">
        <f ca="1">IFERROR(__xludf.DUMMYFUNCTION("""COMPUTED_VALUE"""),"")</f>
        <v/>
      </c>
      <c r="J1329" t="str">
        <f ca="1">IFERROR(__xludf.DUMMYFUNCTION("""COMPUTED_VALUE"""),"")</f>
        <v/>
      </c>
      <c r="K1329" t="str">
        <f ca="1">IFERROR(__xludf.DUMMYFUNCTION("""COMPUTED_VALUE"""),"")</f>
        <v/>
      </c>
      <c r="L1329" t="str">
        <f ca="1">IFERROR(__xludf.DUMMYFUNCTION("""COMPUTED_VALUE"""),"")</f>
        <v/>
      </c>
      <c r="M1329" t="str">
        <f ca="1">IFERROR(__xludf.DUMMYFUNCTION("""COMPUTED_VALUE"""),"")</f>
        <v/>
      </c>
      <c r="N1329" t="str">
        <f ca="1">IFERROR(__xludf.DUMMYFUNCTION("""COMPUTED_VALUE"""),"")</f>
        <v/>
      </c>
      <c r="O1329" t="str">
        <f ca="1">IFERROR(__xludf.DUMMYFUNCTION("""COMPUTED_VALUE"""),"")</f>
        <v/>
      </c>
      <c r="P1329" t="str">
        <f ca="1">IFERROR(__xludf.DUMMYFUNCTION("""COMPUTED_VALUE"""),"")</f>
        <v/>
      </c>
      <c r="Q1329" s="5" t="str">
        <f ca="1">IFERROR(__xludf.DUMMYFUNCTION("""COMPUTED_VALUE"""),"")</f>
        <v/>
      </c>
      <c r="R1329" s="6" t="str">
        <f ca="1">IFERROR(__xludf.DUMMYFUNCTION("""COMPUTED_VALUE"""),"")</f>
        <v/>
      </c>
      <c r="S1329" t="str">
        <f ca="1">IFERROR(__xludf.DUMMYFUNCTION("""COMPUTED_VALUE"""),"")</f>
        <v/>
      </c>
      <c r="T1329" t="str">
        <f ca="1">IFERROR(__xludf.DUMMYFUNCTION("""COMPUTED_VALUE"""),"")</f>
        <v/>
      </c>
      <c r="U1329" t="str">
        <f ca="1">IFERROR(__xludf.DUMMYFUNCTION("""COMPUTED_VALUE"""),"")</f>
        <v/>
      </c>
      <c r="V1329" t="str">
        <f ca="1">IFERROR(__xludf.DUMMYFUNCTION("""COMPUTED_VALUE"""),"")</f>
        <v/>
      </c>
      <c r="W1329" t="str">
        <f ca="1">IFERROR(__xludf.DUMMYFUNCTION("""COMPUTED_VALUE"""),"")</f>
        <v/>
      </c>
      <c r="X1329" t="str">
        <f ca="1">IFERROR(__xludf.DUMMYFUNCTION("""COMPUTED_VALUE"""),"")</f>
        <v/>
      </c>
      <c r="Y1329" t="str">
        <f ca="1">IFERROR(__xludf.DUMMYFUNCTION("""COMPUTED_VALUE"""),"")</f>
        <v/>
      </c>
      <c r="Z1329" t="str">
        <f ca="1">IFERROR(__xludf.DUMMYFUNCTION("""COMPUTED_VALUE"""),"")</f>
        <v/>
      </c>
      <c r="AA1329" t="str">
        <f ca="1">IFERROR(__xludf.DUMMYFUNCTION("""COMPUTED_VALUE"""),"")</f>
        <v/>
      </c>
      <c r="AB1329" s="8" t="str">
        <f ca="1">IFERROR(__xludf.DUMMYFUNCTION("""COMPUTED_VALUE"""),"")</f>
        <v/>
      </c>
      <c r="AC1329" s="8" t="str">
        <f ca="1">IFERROR(__xludf.DUMMYFUNCTION("""COMPUTED_VALUE"""),"")</f>
        <v/>
      </c>
      <c r="AD1329" s="11" t="str">
        <f ca="1">IFERROR(__xludf.DUMMYFUNCTION("""COMPUTED_VALUE"""),"")</f>
        <v/>
      </c>
      <c r="AE1329" t="str">
        <f ca="1">IFERROR(__xludf.DUMMYFUNCTION("""COMPUTED_VALUE"""),"")</f>
        <v/>
      </c>
    </row>
    <row r="1330" spans="1:31" ht="12.75" x14ac:dyDescent="0.2">
      <c r="A1330" t="str">
        <f ca="1">IFERROR(__xludf.DUMMYFUNCTION("""COMPUTED_VALUE"""),"")</f>
        <v/>
      </c>
      <c r="B1330" t="str">
        <f ca="1">IFERROR(__xludf.DUMMYFUNCTION("""COMPUTED_VALUE"""),"")</f>
        <v/>
      </c>
      <c r="C1330" t="str">
        <f ca="1">IFERROR(__xludf.DUMMYFUNCTION("""COMPUTED_VALUE"""),"")</f>
        <v/>
      </c>
      <c r="D1330" t="str">
        <f ca="1">IFERROR(__xludf.DUMMYFUNCTION("""COMPUTED_VALUE"""),"")</f>
        <v/>
      </c>
      <c r="E1330" t="str">
        <f ca="1">IFERROR(__xludf.DUMMYFUNCTION("""COMPUTED_VALUE"""),"")</f>
        <v/>
      </c>
      <c r="F1330" t="str">
        <f ca="1">IFERROR(__xludf.DUMMYFUNCTION("""COMPUTED_VALUE"""),"")</f>
        <v/>
      </c>
      <c r="G1330" t="str">
        <f ca="1">IFERROR(__xludf.DUMMYFUNCTION("""COMPUTED_VALUE"""),"")</f>
        <v/>
      </c>
      <c r="H1330" t="str">
        <f ca="1">IFERROR(__xludf.DUMMYFUNCTION("""COMPUTED_VALUE"""),"")</f>
        <v/>
      </c>
      <c r="I1330" t="str">
        <f ca="1">IFERROR(__xludf.DUMMYFUNCTION("""COMPUTED_VALUE"""),"")</f>
        <v/>
      </c>
      <c r="J1330" t="str">
        <f ca="1">IFERROR(__xludf.DUMMYFUNCTION("""COMPUTED_VALUE"""),"")</f>
        <v/>
      </c>
      <c r="K1330" t="str">
        <f ca="1">IFERROR(__xludf.DUMMYFUNCTION("""COMPUTED_VALUE"""),"")</f>
        <v/>
      </c>
      <c r="L1330" t="str">
        <f ca="1">IFERROR(__xludf.DUMMYFUNCTION("""COMPUTED_VALUE"""),"")</f>
        <v/>
      </c>
      <c r="M1330" t="str">
        <f ca="1">IFERROR(__xludf.DUMMYFUNCTION("""COMPUTED_VALUE"""),"")</f>
        <v/>
      </c>
      <c r="N1330" t="str">
        <f ca="1">IFERROR(__xludf.DUMMYFUNCTION("""COMPUTED_VALUE"""),"")</f>
        <v/>
      </c>
      <c r="O1330" t="str">
        <f ca="1">IFERROR(__xludf.DUMMYFUNCTION("""COMPUTED_VALUE"""),"")</f>
        <v/>
      </c>
      <c r="P1330" t="str">
        <f ca="1">IFERROR(__xludf.DUMMYFUNCTION("""COMPUTED_VALUE"""),"")</f>
        <v/>
      </c>
      <c r="Q1330" s="5" t="str">
        <f ca="1">IFERROR(__xludf.DUMMYFUNCTION("""COMPUTED_VALUE"""),"")</f>
        <v/>
      </c>
      <c r="R1330" s="6" t="str">
        <f ca="1">IFERROR(__xludf.DUMMYFUNCTION("""COMPUTED_VALUE"""),"")</f>
        <v/>
      </c>
      <c r="S1330" t="str">
        <f ca="1">IFERROR(__xludf.DUMMYFUNCTION("""COMPUTED_VALUE"""),"")</f>
        <v/>
      </c>
      <c r="T1330" t="str">
        <f ca="1">IFERROR(__xludf.DUMMYFUNCTION("""COMPUTED_VALUE"""),"")</f>
        <v/>
      </c>
      <c r="U1330" t="str">
        <f ca="1">IFERROR(__xludf.DUMMYFUNCTION("""COMPUTED_VALUE"""),"")</f>
        <v/>
      </c>
      <c r="V1330" t="str">
        <f ca="1">IFERROR(__xludf.DUMMYFUNCTION("""COMPUTED_VALUE"""),"")</f>
        <v/>
      </c>
      <c r="W1330" t="str">
        <f ca="1">IFERROR(__xludf.DUMMYFUNCTION("""COMPUTED_VALUE"""),"")</f>
        <v/>
      </c>
      <c r="X1330" t="str">
        <f ca="1">IFERROR(__xludf.DUMMYFUNCTION("""COMPUTED_VALUE"""),"")</f>
        <v/>
      </c>
      <c r="Y1330" t="str">
        <f ca="1">IFERROR(__xludf.DUMMYFUNCTION("""COMPUTED_VALUE"""),"")</f>
        <v/>
      </c>
      <c r="Z1330" t="str">
        <f ca="1">IFERROR(__xludf.DUMMYFUNCTION("""COMPUTED_VALUE"""),"")</f>
        <v/>
      </c>
      <c r="AA1330" t="str">
        <f ca="1">IFERROR(__xludf.DUMMYFUNCTION("""COMPUTED_VALUE"""),"")</f>
        <v/>
      </c>
      <c r="AB1330" s="8" t="str">
        <f ca="1">IFERROR(__xludf.DUMMYFUNCTION("""COMPUTED_VALUE"""),"")</f>
        <v/>
      </c>
      <c r="AC1330" s="8" t="str">
        <f ca="1">IFERROR(__xludf.DUMMYFUNCTION("""COMPUTED_VALUE"""),"")</f>
        <v/>
      </c>
      <c r="AD1330" s="11" t="str">
        <f ca="1">IFERROR(__xludf.DUMMYFUNCTION("""COMPUTED_VALUE"""),"")</f>
        <v/>
      </c>
      <c r="AE1330" t="str">
        <f ca="1">IFERROR(__xludf.DUMMYFUNCTION("""COMPUTED_VALUE"""),"")</f>
        <v/>
      </c>
    </row>
    <row r="1331" spans="1:31" ht="12.75" x14ac:dyDescent="0.2">
      <c r="A1331" t="str">
        <f ca="1">IFERROR(__xludf.DUMMYFUNCTION("""COMPUTED_VALUE"""),"")</f>
        <v/>
      </c>
      <c r="B1331" t="str">
        <f ca="1">IFERROR(__xludf.DUMMYFUNCTION("""COMPUTED_VALUE"""),"")</f>
        <v/>
      </c>
      <c r="C1331" t="str">
        <f ca="1">IFERROR(__xludf.DUMMYFUNCTION("""COMPUTED_VALUE"""),"")</f>
        <v/>
      </c>
      <c r="D1331" t="str">
        <f ca="1">IFERROR(__xludf.DUMMYFUNCTION("""COMPUTED_VALUE"""),"")</f>
        <v/>
      </c>
      <c r="E1331" t="str">
        <f ca="1">IFERROR(__xludf.DUMMYFUNCTION("""COMPUTED_VALUE"""),"")</f>
        <v/>
      </c>
      <c r="F1331" t="str">
        <f ca="1">IFERROR(__xludf.DUMMYFUNCTION("""COMPUTED_VALUE"""),"")</f>
        <v/>
      </c>
      <c r="G1331" t="str">
        <f ca="1">IFERROR(__xludf.DUMMYFUNCTION("""COMPUTED_VALUE"""),"")</f>
        <v/>
      </c>
      <c r="H1331" t="str">
        <f ca="1">IFERROR(__xludf.DUMMYFUNCTION("""COMPUTED_VALUE"""),"")</f>
        <v/>
      </c>
      <c r="I1331" t="str">
        <f ca="1">IFERROR(__xludf.DUMMYFUNCTION("""COMPUTED_VALUE"""),"")</f>
        <v/>
      </c>
      <c r="J1331" t="str">
        <f ca="1">IFERROR(__xludf.DUMMYFUNCTION("""COMPUTED_VALUE"""),"")</f>
        <v/>
      </c>
      <c r="K1331" t="str">
        <f ca="1">IFERROR(__xludf.DUMMYFUNCTION("""COMPUTED_VALUE"""),"")</f>
        <v/>
      </c>
      <c r="L1331" t="str">
        <f ca="1">IFERROR(__xludf.DUMMYFUNCTION("""COMPUTED_VALUE"""),"")</f>
        <v/>
      </c>
      <c r="M1331" t="str">
        <f ca="1">IFERROR(__xludf.DUMMYFUNCTION("""COMPUTED_VALUE"""),"")</f>
        <v/>
      </c>
      <c r="N1331" t="str">
        <f ca="1">IFERROR(__xludf.DUMMYFUNCTION("""COMPUTED_VALUE"""),"")</f>
        <v/>
      </c>
      <c r="O1331" t="str">
        <f ca="1">IFERROR(__xludf.DUMMYFUNCTION("""COMPUTED_VALUE"""),"")</f>
        <v/>
      </c>
      <c r="P1331" t="str">
        <f ca="1">IFERROR(__xludf.DUMMYFUNCTION("""COMPUTED_VALUE"""),"")</f>
        <v/>
      </c>
      <c r="Q1331" s="5" t="str">
        <f ca="1">IFERROR(__xludf.DUMMYFUNCTION("""COMPUTED_VALUE"""),"")</f>
        <v/>
      </c>
      <c r="R1331" s="6" t="str">
        <f ca="1">IFERROR(__xludf.DUMMYFUNCTION("""COMPUTED_VALUE"""),"")</f>
        <v/>
      </c>
      <c r="S1331" t="str">
        <f ca="1">IFERROR(__xludf.DUMMYFUNCTION("""COMPUTED_VALUE"""),"")</f>
        <v/>
      </c>
      <c r="T1331" t="str">
        <f ca="1">IFERROR(__xludf.DUMMYFUNCTION("""COMPUTED_VALUE"""),"")</f>
        <v/>
      </c>
      <c r="U1331" t="str">
        <f ca="1">IFERROR(__xludf.DUMMYFUNCTION("""COMPUTED_VALUE"""),"")</f>
        <v/>
      </c>
      <c r="V1331" t="str">
        <f ca="1">IFERROR(__xludf.DUMMYFUNCTION("""COMPUTED_VALUE"""),"")</f>
        <v/>
      </c>
      <c r="W1331" t="str">
        <f ca="1">IFERROR(__xludf.DUMMYFUNCTION("""COMPUTED_VALUE"""),"")</f>
        <v/>
      </c>
      <c r="X1331" t="str">
        <f ca="1">IFERROR(__xludf.DUMMYFUNCTION("""COMPUTED_VALUE"""),"")</f>
        <v/>
      </c>
      <c r="Y1331" t="str">
        <f ca="1">IFERROR(__xludf.DUMMYFUNCTION("""COMPUTED_VALUE"""),"")</f>
        <v/>
      </c>
      <c r="Z1331" t="str">
        <f ca="1">IFERROR(__xludf.DUMMYFUNCTION("""COMPUTED_VALUE"""),"")</f>
        <v/>
      </c>
      <c r="AA1331" t="str">
        <f ca="1">IFERROR(__xludf.DUMMYFUNCTION("""COMPUTED_VALUE"""),"")</f>
        <v/>
      </c>
      <c r="AB1331" s="8" t="str">
        <f ca="1">IFERROR(__xludf.DUMMYFUNCTION("""COMPUTED_VALUE"""),"")</f>
        <v/>
      </c>
      <c r="AC1331" s="8" t="str">
        <f ca="1">IFERROR(__xludf.DUMMYFUNCTION("""COMPUTED_VALUE"""),"")</f>
        <v/>
      </c>
      <c r="AD1331" s="11" t="str">
        <f ca="1">IFERROR(__xludf.DUMMYFUNCTION("""COMPUTED_VALUE"""),"")</f>
        <v/>
      </c>
      <c r="AE1331" t="str">
        <f ca="1">IFERROR(__xludf.DUMMYFUNCTION("""COMPUTED_VALUE"""),"")</f>
        <v/>
      </c>
    </row>
    <row r="1332" spans="1:31" ht="12.75" x14ac:dyDescent="0.2">
      <c r="A1332" t="str">
        <f ca="1">IFERROR(__xludf.DUMMYFUNCTION("""COMPUTED_VALUE"""),"")</f>
        <v/>
      </c>
      <c r="B1332" t="str">
        <f ca="1">IFERROR(__xludf.DUMMYFUNCTION("""COMPUTED_VALUE"""),"")</f>
        <v/>
      </c>
      <c r="C1332" t="str">
        <f ca="1">IFERROR(__xludf.DUMMYFUNCTION("""COMPUTED_VALUE"""),"")</f>
        <v/>
      </c>
      <c r="D1332" t="str">
        <f ca="1">IFERROR(__xludf.DUMMYFUNCTION("""COMPUTED_VALUE"""),"")</f>
        <v/>
      </c>
      <c r="E1332" t="str">
        <f ca="1">IFERROR(__xludf.DUMMYFUNCTION("""COMPUTED_VALUE"""),"")</f>
        <v/>
      </c>
      <c r="F1332" t="str">
        <f ca="1">IFERROR(__xludf.DUMMYFUNCTION("""COMPUTED_VALUE"""),"")</f>
        <v/>
      </c>
      <c r="G1332" t="str">
        <f ca="1">IFERROR(__xludf.DUMMYFUNCTION("""COMPUTED_VALUE"""),"")</f>
        <v/>
      </c>
      <c r="H1332" t="str">
        <f ca="1">IFERROR(__xludf.DUMMYFUNCTION("""COMPUTED_VALUE"""),"")</f>
        <v/>
      </c>
      <c r="I1332" t="str">
        <f ca="1">IFERROR(__xludf.DUMMYFUNCTION("""COMPUTED_VALUE"""),"")</f>
        <v/>
      </c>
      <c r="J1332" t="str">
        <f ca="1">IFERROR(__xludf.DUMMYFUNCTION("""COMPUTED_VALUE"""),"")</f>
        <v/>
      </c>
      <c r="K1332" t="str">
        <f ca="1">IFERROR(__xludf.DUMMYFUNCTION("""COMPUTED_VALUE"""),"")</f>
        <v/>
      </c>
      <c r="L1332" t="str">
        <f ca="1">IFERROR(__xludf.DUMMYFUNCTION("""COMPUTED_VALUE"""),"")</f>
        <v/>
      </c>
      <c r="M1332" t="str">
        <f ca="1">IFERROR(__xludf.DUMMYFUNCTION("""COMPUTED_VALUE"""),"")</f>
        <v/>
      </c>
      <c r="N1332" t="str">
        <f ca="1">IFERROR(__xludf.DUMMYFUNCTION("""COMPUTED_VALUE"""),"")</f>
        <v/>
      </c>
      <c r="O1332" t="str">
        <f ca="1">IFERROR(__xludf.DUMMYFUNCTION("""COMPUTED_VALUE"""),"")</f>
        <v/>
      </c>
      <c r="P1332" t="str">
        <f ca="1">IFERROR(__xludf.DUMMYFUNCTION("""COMPUTED_VALUE"""),"")</f>
        <v/>
      </c>
      <c r="Q1332" s="5" t="str">
        <f ca="1">IFERROR(__xludf.DUMMYFUNCTION("""COMPUTED_VALUE"""),"")</f>
        <v/>
      </c>
      <c r="R1332" s="6" t="str">
        <f ca="1">IFERROR(__xludf.DUMMYFUNCTION("""COMPUTED_VALUE"""),"")</f>
        <v/>
      </c>
      <c r="S1332" t="str">
        <f ca="1">IFERROR(__xludf.DUMMYFUNCTION("""COMPUTED_VALUE"""),"")</f>
        <v/>
      </c>
      <c r="T1332" t="str">
        <f ca="1">IFERROR(__xludf.DUMMYFUNCTION("""COMPUTED_VALUE"""),"")</f>
        <v/>
      </c>
      <c r="U1332" t="str">
        <f ca="1">IFERROR(__xludf.DUMMYFUNCTION("""COMPUTED_VALUE"""),"")</f>
        <v/>
      </c>
      <c r="V1332" t="str">
        <f ca="1">IFERROR(__xludf.DUMMYFUNCTION("""COMPUTED_VALUE"""),"")</f>
        <v/>
      </c>
      <c r="W1332" t="str">
        <f ca="1">IFERROR(__xludf.DUMMYFUNCTION("""COMPUTED_VALUE"""),"")</f>
        <v/>
      </c>
      <c r="X1332" t="str">
        <f ca="1">IFERROR(__xludf.DUMMYFUNCTION("""COMPUTED_VALUE"""),"")</f>
        <v/>
      </c>
      <c r="Y1332" t="str">
        <f ca="1">IFERROR(__xludf.DUMMYFUNCTION("""COMPUTED_VALUE"""),"")</f>
        <v/>
      </c>
      <c r="Z1332" t="str">
        <f ca="1">IFERROR(__xludf.DUMMYFUNCTION("""COMPUTED_VALUE"""),"")</f>
        <v/>
      </c>
      <c r="AA1332" t="str">
        <f ca="1">IFERROR(__xludf.DUMMYFUNCTION("""COMPUTED_VALUE"""),"")</f>
        <v/>
      </c>
      <c r="AB1332" s="8" t="str">
        <f ca="1">IFERROR(__xludf.DUMMYFUNCTION("""COMPUTED_VALUE"""),"")</f>
        <v/>
      </c>
      <c r="AC1332" s="8" t="str">
        <f ca="1">IFERROR(__xludf.DUMMYFUNCTION("""COMPUTED_VALUE"""),"")</f>
        <v/>
      </c>
      <c r="AD1332" s="11" t="str">
        <f ca="1">IFERROR(__xludf.DUMMYFUNCTION("""COMPUTED_VALUE"""),"")</f>
        <v/>
      </c>
      <c r="AE1332" t="str">
        <f ca="1">IFERROR(__xludf.DUMMYFUNCTION("""COMPUTED_VALUE"""),"")</f>
        <v/>
      </c>
    </row>
    <row r="1333" spans="1:31" ht="12.75" x14ac:dyDescent="0.2">
      <c r="A1333" t="str">
        <f ca="1">IFERROR(__xludf.DUMMYFUNCTION("""COMPUTED_VALUE"""),"")</f>
        <v/>
      </c>
      <c r="B1333" t="str">
        <f ca="1">IFERROR(__xludf.DUMMYFUNCTION("""COMPUTED_VALUE"""),"")</f>
        <v/>
      </c>
      <c r="C1333" t="str">
        <f ca="1">IFERROR(__xludf.DUMMYFUNCTION("""COMPUTED_VALUE"""),"")</f>
        <v/>
      </c>
      <c r="D1333" t="str">
        <f ca="1">IFERROR(__xludf.DUMMYFUNCTION("""COMPUTED_VALUE"""),"")</f>
        <v/>
      </c>
      <c r="E1333" t="str">
        <f ca="1">IFERROR(__xludf.DUMMYFUNCTION("""COMPUTED_VALUE"""),"")</f>
        <v/>
      </c>
      <c r="F1333" t="str">
        <f ca="1">IFERROR(__xludf.DUMMYFUNCTION("""COMPUTED_VALUE"""),"")</f>
        <v/>
      </c>
      <c r="G1333" t="str">
        <f ca="1">IFERROR(__xludf.DUMMYFUNCTION("""COMPUTED_VALUE"""),"")</f>
        <v/>
      </c>
      <c r="H1333" t="str">
        <f ca="1">IFERROR(__xludf.DUMMYFUNCTION("""COMPUTED_VALUE"""),"")</f>
        <v/>
      </c>
      <c r="I1333" t="str">
        <f ca="1">IFERROR(__xludf.DUMMYFUNCTION("""COMPUTED_VALUE"""),"")</f>
        <v/>
      </c>
      <c r="J1333" t="str">
        <f ca="1">IFERROR(__xludf.DUMMYFUNCTION("""COMPUTED_VALUE"""),"")</f>
        <v/>
      </c>
      <c r="K1333" t="str">
        <f ca="1">IFERROR(__xludf.DUMMYFUNCTION("""COMPUTED_VALUE"""),"")</f>
        <v/>
      </c>
      <c r="L1333" t="str">
        <f ca="1">IFERROR(__xludf.DUMMYFUNCTION("""COMPUTED_VALUE"""),"")</f>
        <v/>
      </c>
      <c r="M1333" t="str">
        <f ca="1">IFERROR(__xludf.DUMMYFUNCTION("""COMPUTED_VALUE"""),"")</f>
        <v/>
      </c>
      <c r="N1333" t="str">
        <f ca="1">IFERROR(__xludf.DUMMYFUNCTION("""COMPUTED_VALUE"""),"")</f>
        <v/>
      </c>
      <c r="O1333" t="str">
        <f ca="1">IFERROR(__xludf.DUMMYFUNCTION("""COMPUTED_VALUE"""),"")</f>
        <v/>
      </c>
      <c r="P1333" t="str">
        <f ca="1">IFERROR(__xludf.DUMMYFUNCTION("""COMPUTED_VALUE"""),"")</f>
        <v/>
      </c>
      <c r="Q1333" s="5" t="str">
        <f ca="1">IFERROR(__xludf.DUMMYFUNCTION("""COMPUTED_VALUE"""),"")</f>
        <v/>
      </c>
      <c r="R1333" s="6" t="str">
        <f ca="1">IFERROR(__xludf.DUMMYFUNCTION("""COMPUTED_VALUE"""),"")</f>
        <v/>
      </c>
      <c r="S1333" t="str">
        <f ca="1">IFERROR(__xludf.DUMMYFUNCTION("""COMPUTED_VALUE"""),"")</f>
        <v/>
      </c>
      <c r="T1333" t="str">
        <f ca="1">IFERROR(__xludf.DUMMYFUNCTION("""COMPUTED_VALUE"""),"")</f>
        <v/>
      </c>
      <c r="U1333" t="str">
        <f ca="1">IFERROR(__xludf.DUMMYFUNCTION("""COMPUTED_VALUE"""),"")</f>
        <v/>
      </c>
      <c r="V1333" t="str">
        <f ca="1">IFERROR(__xludf.DUMMYFUNCTION("""COMPUTED_VALUE"""),"")</f>
        <v/>
      </c>
      <c r="W1333" t="str">
        <f ca="1">IFERROR(__xludf.DUMMYFUNCTION("""COMPUTED_VALUE"""),"")</f>
        <v/>
      </c>
      <c r="X1333" t="str">
        <f ca="1">IFERROR(__xludf.DUMMYFUNCTION("""COMPUTED_VALUE"""),"")</f>
        <v/>
      </c>
      <c r="Y1333" t="str">
        <f ca="1">IFERROR(__xludf.DUMMYFUNCTION("""COMPUTED_VALUE"""),"")</f>
        <v/>
      </c>
      <c r="Z1333" t="str">
        <f ca="1">IFERROR(__xludf.DUMMYFUNCTION("""COMPUTED_VALUE"""),"")</f>
        <v/>
      </c>
      <c r="AA1333" t="str">
        <f ca="1">IFERROR(__xludf.DUMMYFUNCTION("""COMPUTED_VALUE"""),"")</f>
        <v/>
      </c>
      <c r="AB1333" s="8" t="str">
        <f ca="1">IFERROR(__xludf.DUMMYFUNCTION("""COMPUTED_VALUE"""),"")</f>
        <v/>
      </c>
      <c r="AC1333" s="8" t="str">
        <f ca="1">IFERROR(__xludf.DUMMYFUNCTION("""COMPUTED_VALUE"""),"")</f>
        <v/>
      </c>
      <c r="AD1333" s="11" t="str">
        <f ca="1">IFERROR(__xludf.DUMMYFUNCTION("""COMPUTED_VALUE"""),"")</f>
        <v/>
      </c>
      <c r="AE1333" t="str">
        <f ca="1">IFERROR(__xludf.DUMMYFUNCTION("""COMPUTED_VALUE"""),"")</f>
        <v/>
      </c>
    </row>
    <row r="1334" spans="1:31" ht="12.75" x14ac:dyDescent="0.2">
      <c r="A1334" t="str">
        <f ca="1">IFERROR(__xludf.DUMMYFUNCTION("""COMPUTED_VALUE"""),"")</f>
        <v/>
      </c>
      <c r="B1334" t="str">
        <f ca="1">IFERROR(__xludf.DUMMYFUNCTION("""COMPUTED_VALUE"""),"")</f>
        <v/>
      </c>
      <c r="C1334" t="str">
        <f ca="1">IFERROR(__xludf.DUMMYFUNCTION("""COMPUTED_VALUE"""),"")</f>
        <v/>
      </c>
      <c r="D1334" t="str">
        <f ca="1">IFERROR(__xludf.DUMMYFUNCTION("""COMPUTED_VALUE"""),"")</f>
        <v/>
      </c>
      <c r="E1334" t="str">
        <f ca="1">IFERROR(__xludf.DUMMYFUNCTION("""COMPUTED_VALUE"""),"")</f>
        <v/>
      </c>
      <c r="F1334" t="str">
        <f ca="1">IFERROR(__xludf.DUMMYFUNCTION("""COMPUTED_VALUE"""),"")</f>
        <v/>
      </c>
      <c r="G1334" t="str">
        <f ca="1">IFERROR(__xludf.DUMMYFUNCTION("""COMPUTED_VALUE"""),"")</f>
        <v/>
      </c>
      <c r="H1334" t="str">
        <f ca="1">IFERROR(__xludf.DUMMYFUNCTION("""COMPUTED_VALUE"""),"")</f>
        <v/>
      </c>
      <c r="I1334" t="str">
        <f ca="1">IFERROR(__xludf.DUMMYFUNCTION("""COMPUTED_VALUE"""),"")</f>
        <v/>
      </c>
      <c r="J1334" t="str">
        <f ca="1">IFERROR(__xludf.DUMMYFUNCTION("""COMPUTED_VALUE"""),"")</f>
        <v/>
      </c>
      <c r="K1334" t="str">
        <f ca="1">IFERROR(__xludf.DUMMYFUNCTION("""COMPUTED_VALUE"""),"")</f>
        <v/>
      </c>
      <c r="L1334" t="str">
        <f ca="1">IFERROR(__xludf.DUMMYFUNCTION("""COMPUTED_VALUE"""),"")</f>
        <v/>
      </c>
      <c r="M1334" t="str">
        <f ca="1">IFERROR(__xludf.DUMMYFUNCTION("""COMPUTED_VALUE"""),"")</f>
        <v/>
      </c>
      <c r="N1334" t="str">
        <f ca="1">IFERROR(__xludf.DUMMYFUNCTION("""COMPUTED_VALUE"""),"")</f>
        <v/>
      </c>
      <c r="O1334" t="str">
        <f ca="1">IFERROR(__xludf.DUMMYFUNCTION("""COMPUTED_VALUE"""),"")</f>
        <v/>
      </c>
      <c r="P1334" t="str">
        <f ca="1">IFERROR(__xludf.DUMMYFUNCTION("""COMPUTED_VALUE"""),"")</f>
        <v/>
      </c>
      <c r="Q1334" s="5" t="str">
        <f ca="1">IFERROR(__xludf.DUMMYFUNCTION("""COMPUTED_VALUE"""),"")</f>
        <v/>
      </c>
      <c r="R1334" s="6" t="str">
        <f ca="1">IFERROR(__xludf.DUMMYFUNCTION("""COMPUTED_VALUE"""),"")</f>
        <v/>
      </c>
      <c r="S1334" t="str">
        <f ca="1">IFERROR(__xludf.DUMMYFUNCTION("""COMPUTED_VALUE"""),"")</f>
        <v/>
      </c>
      <c r="T1334" t="str">
        <f ca="1">IFERROR(__xludf.DUMMYFUNCTION("""COMPUTED_VALUE"""),"")</f>
        <v/>
      </c>
      <c r="U1334" t="str">
        <f ca="1">IFERROR(__xludf.DUMMYFUNCTION("""COMPUTED_VALUE"""),"")</f>
        <v/>
      </c>
      <c r="V1334" t="str">
        <f ca="1">IFERROR(__xludf.DUMMYFUNCTION("""COMPUTED_VALUE"""),"")</f>
        <v/>
      </c>
      <c r="W1334" t="str">
        <f ca="1">IFERROR(__xludf.DUMMYFUNCTION("""COMPUTED_VALUE"""),"")</f>
        <v/>
      </c>
      <c r="X1334" t="str">
        <f ca="1">IFERROR(__xludf.DUMMYFUNCTION("""COMPUTED_VALUE"""),"")</f>
        <v/>
      </c>
      <c r="Y1334" t="str">
        <f ca="1">IFERROR(__xludf.DUMMYFUNCTION("""COMPUTED_VALUE"""),"")</f>
        <v/>
      </c>
      <c r="Z1334" t="str">
        <f ca="1">IFERROR(__xludf.DUMMYFUNCTION("""COMPUTED_VALUE"""),"")</f>
        <v/>
      </c>
      <c r="AA1334" t="str">
        <f ca="1">IFERROR(__xludf.DUMMYFUNCTION("""COMPUTED_VALUE"""),"")</f>
        <v/>
      </c>
      <c r="AB1334" s="8" t="str">
        <f ca="1">IFERROR(__xludf.DUMMYFUNCTION("""COMPUTED_VALUE"""),"")</f>
        <v/>
      </c>
      <c r="AC1334" s="8" t="str">
        <f ca="1">IFERROR(__xludf.DUMMYFUNCTION("""COMPUTED_VALUE"""),"")</f>
        <v/>
      </c>
      <c r="AD1334" s="11" t="str">
        <f ca="1">IFERROR(__xludf.DUMMYFUNCTION("""COMPUTED_VALUE"""),"")</f>
        <v/>
      </c>
      <c r="AE1334" t="str">
        <f ca="1">IFERROR(__xludf.DUMMYFUNCTION("""COMPUTED_VALUE"""),"")</f>
        <v/>
      </c>
    </row>
    <row r="1335" spans="1:31" ht="12.75" x14ac:dyDescent="0.2">
      <c r="A1335" t="str">
        <f ca="1">IFERROR(__xludf.DUMMYFUNCTION("""COMPUTED_VALUE"""),"")</f>
        <v/>
      </c>
      <c r="B1335" t="str">
        <f ca="1">IFERROR(__xludf.DUMMYFUNCTION("""COMPUTED_VALUE"""),"")</f>
        <v/>
      </c>
      <c r="C1335" t="str">
        <f ca="1">IFERROR(__xludf.DUMMYFUNCTION("""COMPUTED_VALUE"""),"")</f>
        <v/>
      </c>
      <c r="D1335" t="str">
        <f ca="1">IFERROR(__xludf.DUMMYFUNCTION("""COMPUTED_VALUE"""),"")</f>
        <v/>
      </c>
      <c r="E1335" t="str">
        <f ca="1">IFERROR(__xludf.DUMMYFUNCTION("""COMPUTED_VALUE"""),"")</f>
        <v/>
      </c>
      <c r="F1335" t="str">
        <f ca="1">IFERROR(__xludf.DUMMYFUNCTION("""COMPUTED_VALUE"""),"")</f>
        <v/>
      </c>
      <c r="G1335" t="str">
        <f ca="1">IFERROR(__xludf.DUMMYFUNCTION("""COMPUTED_VALUE"""),"")</f>
        <v/>
      </c>
      <c r="H1335" t="str">
        <f ca="1">IFERROR(__xludf.DUMMYFUNCTION("""COMPUTED_VALUE"""),"")</f>
        <v/>
      </c>
      <c r="I1335" t="str">
        <f ca="1">IFERROR(__xludf.DUMMYFUNCTION("""COMPUTED_VALUE"""),"")</f>
        <v/>
      </c>
      <c r="J1335" t="str">
        <f ca="1">IFERROR(__xludf.DUMMYFUNCTION("""COMPUTED_VALUE"""),"")</f>
        <v/>
      </c>
      <c r="K1335" t="str">
        <f ca="1">IFERROR(__xludf.DUMMYFUNCTION("""COMPUTED_VALUE"""),"")</f>
        <v/>
      </c>
      <c r="L1335" t="str">
        <f ca="1">IFERROR(__xludf.DUMMYFUNCTION("""COMPUTED_VALUE"""),"")</f>
        <v/>
      </c>
      <c r="M1335" t="str">
        <f ca="1">IFERROR(__xludf.DUMMYFUNCTION("""COMPUTED_VALUE"""),"")</f>
        <v/>
      </c>
      <c r="N1335" t="str">
        <f ca="1">IFERROR(__xludf.DUMMYFUNCTION("""COMPUTED_VALUE"""),"")</f>
        <v/>
      </c>
      <c r="O1335" t="str">
        <f ca="1">IFERROR(__xludf.DUMMYFUNCTION("""COMPUTED_VALUE"""),"")</f>
        <v/>
      </c>
      <c r="P1335" t="str">
        <f ca="1">IFERROR(__xludf.DUMMYFUNCTION("""COMPUTED_VALUE"""),"")</f>
        <v/>
      </c>
      <c r="Q1335" s="5" t="str">
        <f ca="1">IFERROR(__xludf.DUMMYFUNCTION("""COMPUTED_VALUE"""),"")</f>
        <v/>
      </c>
      <c r="R1335" s="6" t="str">
        <f ca="1">IFERROR(__xludf.DUMMYFUNCTION("""COMPUTED_VALUE"""),"")</f>
        <v/>
      </c>
      <c r="S1335" t="str">
        <f ca="1">IFERROR(__xludf.DUMMYFUNCTION("""COMPUTED_VALUE"""),"")</f>
        <v/>
      </c>
      <c r="T1335" t="str">
        <f ca="1">IFERROR(__xludf.DUMMYFUNCTION("""COMPUTED_VALUE"""),"")</f>
        <v/>
      </c>
      <c r="U1335" t="str">
        <f ca="1">IFERROR(__xludf.DUMMYFUNCTION("""COMPUTED_VALUE"""),"")</f>
        <v/>
      </c>
      <c r="V1335" t="str">
        <f ca="1">IFERROR(__xludf.DUMMYFUNCTION("""COMPUTED_VALUE"""),"")</f>
        <v/>
      </c>
      <c r="W1335" t="str">
        <f ca="1">IFERROR(__xludf.DUMMYFUNCTION("""COMPUTED_VALUE"""),"")</f>
        <v/>
      </c>
      <c r="X1335" t="str">
        <f ca="1">IFERROR(__xludf.DUMMYFUNCTION("""COMPUTED_VALUE"""),"")</f>
        <v/>
      </c>
      <c r="Y1335" t="str">
        <f ca="1">IFERROR(__xludf.DUMMYFUNCTION("""COMPUTED_VALUE"""),"")</f>
        <v/>
      </c>
      <c r="Z1335" t="str">
        <f ca="1">IFERROR(__xludf.DUMMYFUNCTION("""COMPUTED_VALUE"""),"")</f>
        <v/>
      </c>
      <c r="AA1335" t="str">
        <f ca="1">IFERROR(__xludf.DUMMYFUNCTION("""COMPUTED_VALUE"""),"")</f>
        <v/>
      </c>
      <c r="AB1335" s="8" t="str">
        <f ca="1">IFERROR(__xludf.DUMMYFUNCTION("""COMPUTED_VALUE"""),"")</f>
        <v/>
      </c>
      <c r="AC1335" s="8" t="str">
        <f ca="1">IFERROR(__xludf.DUMMYFUNCTION("""COMPUTED_VALUE"""),"")</f>
        <v/>
      </c>
      <c r="AD1335" s="11" t="str">
        <f ca="1">IFERROR(__xludf.DUMMYFUNCTION("""COMPUTED_VALUE"""),"")</f>
        <v/>
      </c>
      <c r="AE1335" t="str">
        <f ca="1">IFERROR(__xludf.DUMMYFUNCTION("""COMPUTED_VALUE"""),"")</f>
        <v/>
      </c>
    </row>
    <row r="1336" spans="1:31" ht="12.75" x14ac:dyDescent="0.2">
      <c r="A1336" t="str">
        <f ca="1">IFERROR(__xludf.DUMMYFUNCTION("""COMPUTED_VALUE"""),"")</f>
        <v/>
      </c>
      <c r="B1336" t="str">
        <f ca="1">IFERROR(__xludf.DUMMYFUNCTION("""COMPUTED_VALUE"""),"")</f>
        <v/>
      </c>
      <c r="C1336" t="str">
        <f ca="1">IFERROR(__xludf.DUMMYFUNCTION("""COMPUTED_VALUE"""),"")</f>
        <v/>
      </c>
      <c r="D1336" t="str">
        <f ca="1">IFERROR(__xludf.DUMMYFUNCTION("""COMPUTED_VALUE"""),"")</f>
        <v/>
      </c>
      <c r="E1336" t="str">
        <f ca="1">IFERROR(__xludf.DUMMYFUNCTION("""COMPUTED_VALUE"""),"")</f>
        <v/>
      </c>
      <c r="F1336" t="str">
        <f ca="1">IFERROR(__xludf.DUMMYFUNCTION("""COMPUTED_VALUE"""),"")</f>
        <v/>
      </c>
      <c r="G1336" t="str">
        <f ca="1">IFERROR(__xludf.DUMMYFUNCTION("""COMPUTED_VALUE"""),"")</f>
        <v/>
      </c>
      <c r="H1336" t="str">
        <f ca="1">IFERROR(__xludf.DUMMYFUNCTION("""COMPUTED_VALUE"""),"")</f>
        <v/>
      </c>
      <c r="I1336" t="str">
        <f ca="1">IFERROR(__xludf.DUMMYFUNCTION("""COMPUTED_VALUE"""),"")</f>
        <v/>
      </c>
      <c r="J1336" t="str">
        <f ca="1">IFERROR(__xludf.DUMMYFUNCTION("""COMPUTED_VALUE"""),"")</f>
        <v/>
      </c>
      <c r="K1336" t="str">
        <f ca="1">IFERROR(__xludf.DUMMYFUNCTION("""COMPUTED_VALUE"""),"")</f>
        <v/>
      </c>
      <c r="L1336" t="str">
        <f ca="1">IFERROR(__xludf.DUMMYFUNCTION("""COMPUTED_VALUE"""),"")</f>
        <v/>
      </c>
      <c r="M1336" t="str">
        <f ca="1">IFERROR(__xludf.DUMMYFUNCTION("""COMPUTED_VALUE"""),"")</f>
        <v/>
      </c>
      <c r="N1336" t="str">
        <f ca="1">IFERROR(__xludf.DUMMYFUNCTION("""COMPUTED_VALUE"""),"")</f>
        <v/>
      </c>
      <c r="O1336" t="str">
        <f ca="1">IFERROR(__xludf.DUMMYFUNCTION("""COMPUTED_VALUE"""),"")</f>
        <v/>
      </c>
      <c r="P1336" t="str">
        <f ca="1">IFERROR(__xludf.DUMMYFUNCTION("""COMPUTED_VALUE"""),"")</f>
        <v/>
      </c>
      <c r="Q1336" s="5" t="str">
        <f ca="1">IFERROR(__xludf.DUMMYFUNCTION("""COMPUTED_VALUE"""),"")</f>
        <v/>
      </c>
      <c r="R1336" s="6" t="str">
        <f ca="1">IFERROR(__xludf.DUMMYFUNCTION("""COMPUTED_VALUE"""),"")</f>
        <v/>
      </c>
      <c r="S1336" t="str">
        <f ca="1">IFERROR(__xludf.DUMMYFUNCTION("""COMPUTED_VALUE"""),"")</f>
        <v/>
      </c>
      <c r="T1336" t="str">
        <f ca="1">IFERROR(__xludf.DUMMYFUNCTION("""COMPUTED_VALUE"""),"")</f>
        <v/>
      </c>
      <c r="U1336" t="str">
        <f ca="1">IFERROR(__xludf.DUMMYFUNCTION("""COMPUTED_VALUE"""),"")</f>
        <v/>
      </c>
      <c r="V1336" t="str">
        <f ca="1">IFERROR(__xludf.DUMMYFUNCTION("""COMPUTED_VALUE"""),"")</f>
        <v/>
      </c>
      <c r="W1336" t="str">
        <f ca="1">IFERROR(__xludf.DUMMYFUNCTION("""COMPUTED_VALUE"""),"")</f>
        <v/>
      </c>
      <c r="X1336" t="str">
        <f ca="1">IFERROR(__xludf.DUMMYFUNCTION("""COMPUTED_VALUE"""),"")</f>
        <v/>
      </c>
      <c r="Y1336" t="str">
        <f ca="1">IFERROR(__xludf.DUMMYFUNCTION("""COMPUTED_VALUE"""),"")</f>
        <v/>
      </c>
      <c r="Z1336" t="str">
        <f ca="1">IFERROR(__xludf.DUMMYFUNCTION("""COMPUTED_VALUE"""),"")</f>
        <v/>
      </c>
      <c r="AA1336" t="str">
        <f ca="1">IFERROR(__xludf.DUMMYFUNCTION("""COMPUTED_VALUE"""),"")</f>
        <v/>
      </c>
      <c r="AB1336" s="8" t="str">
        <f ca="1">IFERROR(__xludf.DUMMYFUNCTION("""COMPUTED_VALUE"""),"")</f>
        <v/>
      </c>
      <c r="AC1336" s="8" t="str">
        <f ca="1">IFERROR(__xludf.DUMMYFUNCTION("""COMPUTED_VALUE"""),"")</f>
        <v/>
      </c>
      <c r="AD1336" s="11" t="str">
        <f ca="1">IFERROR(__xludf.DUMMYFUNCTION("""COMPUTED_VALUE"""),"")</f>
        <v/>
      </c>
      <c r="AE1336" t="str">
        <f ca="1">IFERROR(__xludf.DUMMYFUNCTION("""COMPUTED_VALUE"""),"")</f>
        <v/>
      </c>
    </row>
    <row r="1337" spans="1:31" ht="12.75" x14ac:dyDescent="0.2">
      <c r="A1337" t="str">
        <f ca="1">IFERROR(__xludf.DUMMYFUNCTION("""COMPUTED_VALUE"""),"")</f>
        <v/>
      </c>
      <c r="B1337" t="str">
        <f ca="1">IFERROR(__xludf.DUMMYFUNCTION("""COMPUTED_VALUE"""),"")</f>
        <v/>
      </c>
      <c r="C1337" t="str">
        <f ca="1">IFERROR(__xludf.DUMMYFUNCTION("""COMPUTED_VALUE"""),"")</f>
        <v/>
      </c>
      <c r="D1337" t="str">
        <f ca="1">IFERROR(__xludf.DUMMYFUNCTION("""COMPUTED_VALUE"""),"")</f>
        <v/>
      </c>
      <c r="E1337" t="str">
        <f ca="1">IFERROR(__xludf.DUMMYFUNCTION("""COMPUTED_VALUE"""),"")</f>
        <v/>
      </c>
      <c r="F1337" t="str">
        <f ca="1">IFERROR(__xludf.DUMMYFUNCTION("""COMPUTED_VALUE"""),"")</f>
        <v/>
      </c>
      <c r="G1337" t="str">
        <f ca="1">IFERROR(__xludf.DUMMYFUNCTION("""COMPUTED_VALUE"""),"")</f>
        <v/>
      </c>
      <c r="H1337" t="str">
        <f ca="1">IFERROR(__xludf.DUMMYFUNCTION("""COMPUTED_VALUE"""),"")</f>
        <v/>
      </c>
      <c r="I1337" t="str">
        <f ca="1">IFERROR(__xludf.DUMMYFUNCTION("""COMPUTED_VALUE"""),"")</f>
        <v/>
      </c>
      <c r="J1337" t="str">
        <f ca="1">IFERROR(__xludf.DUMMYFUNCTION("""COMPUTED_VALUE"""),"")</f>
        <v/>
      </c>
      <c r="K1337" t="str">
        <f ca="1">IFERROR(__xludf.DUMMYFUNCTION("""COMPUTED_VALUE"""),"")</f>
        <v/>
      </c>
      <c r="L1337" t="str">
        <f ca="1">IFERROR(__xludf.DUMMYFUNCTION("""COMPUTED_VALUE"""),"")</f>
        <v/>
      </c>
      <c r="M1337" t="str">
        <f ca="1">IFERROR(__xludf.DUMMYFUNCTION("""COMPUTED_VALUE"""),"")</f>
        <v/>
      </c>
      <c r="N1337" t="str">
        <f ca="1">IFERROR(__xludf.DUMMYFUNCTION("""COMPUTED_VALUE"""),"")</f>
        <v/>
      </c>
      <c r="O1337" t="str">
        <f ca="1">IFERROR(__xludf.DUMMYFUNCTION("""COMPUTED_VALUE"""),"")</f>
        <v/>
      </c>
      <c r="P1337" t="str">
        <f ca="1">IFERROR(__xludf.DUMMYFUNCTION("""COMPUTED_VALUE"""),"")</f>
        <v/>
      </c>
      <c r="Q1337" s="5" t="str">
        <f ca="1">IFERROR(__xludf.DUMMYFUNCTION("""COMPUTED_VALUE"""),"")</f>
        <v/>
      </c>
      <c r="R1337" s="6" t="str">
        <f ca="1">IFERROR(__xludf.DUMMYFUNCTION("""COMPUTED_VALUE"""),"")</f>
        <v/>
      </c>
      <c r="S1337" t="str">
        <f ca="1">IFERROR(__xludf.DUMMYFUNCTION("""COMPUTED_VALUE"""),"")</f>
        <v/>
      </c>
      <c r="T1337" t="str">
        <f ca="1">IFERROR(__xludf.DUMMYFUNCTION("""COMPUTED_VALUE"""),"")</f>
        <v/>
      </c>
      <c r="U1337" t="str">
        <f ca="1">IFERROR(__xludf.DUMMYFUNCTION("""COMPUTED_VALUE"""),"")</f>
        <v/>
      </c>
      <c r="V1337" t="str">
        <f ca="1">IFERROR(__xludf.DUMMYFUNCTION("""COMPUTED_VALUE"""),"")</f>
        <v/>
      </c>
      <c r="W1337" t="str">
        <f ca="1">IFERROR(__xludf.DUMMYFUNCTION("""COMPUTED_VALUE"""),"")</f>
        <v/>
      </c>
      <c r="X1337" t="str">
        <f ca="1">IFERROR(__xludf.DUMMYFUNCTION("""COMPUTED_VALUE"""),"")</f>
        <v/>
      </c>
      <c r="Y1337" t="str">
        <f ca="1">IFERROR(__xludf.DUMMYFUNCTION("""COMPUTED_VALUE"""),"")</f>
        <v/>
      </c>
      <c r="Z1337" t="str">
        <f ca="1">IFERROR(__xludf.DUMMYFUNCTION("""COMPUTED_VALUE"""),"")</f>
        <v/>
      </c>
      <c r="AA1337" t="str">
        <f ca="1">IFERROR(__xludf.DUMMYFUNCTION("""COMPUTED_VALUE"""),"")</f>
        <v/>
      </c>
      <c r="AB1337" s="8" t="str">
        <f ca="1">IFERROR(__xludf.DUMMYFUNCTION("""COMPUTED_VALUE"""),"")</f>
        <v/>
      </c>
      <c r="AC1337" s="8" t="str">
        <f ca="1">IFERROR(__xludf.DUMMYFUNCTION("""COMPUTED_VALUE"""),"")</f>
        <v/>
      </c>
      <c r="AD1337" s="11" t="str">
        <f ca="1">IFERROR(__xludf.DUMMYFUNCTION("""COMPUTED_VALUE"""),"")</f>
        <v/>
      </c>
      <c r="AE1337" t="str">
        <f ca="1">IFERROR(__xludf.DUMMYFUNCTION("""COMPUTED_VALUE"""),"")</f>
        <v/>
      </c>
    </row>
    <row r="1338" spans="1:31" ht="12.75" x14ac:dyDescent="0.2">
      <c r="A1338" t="str">
        <f ca="1">IFERROR(__xludf.DUMMYFUNCTION("""COMPUTED_VALUE"""),"")</f>
        <v/>
      </c>
      <c r="B1338" t="str">
        <f ca="1">IFERROR(__xludf.DUMMYFUNCTION("""COMPUTED_VALUE"""),"")</f>
        <v/>
      </c>
      <c r="C1338" t="str">
        <f ca="1">IFERROR(__xludf.DUMMYFUNCTION("""COMPUTED_VALUE"""),"")</f>
        <v/>
      </c>
      <c r="D1338" t="str">
        <f ca="1">IFERROR(__xludf.DUMMYFUNCTION("""COMPUTED_VALUE"""),"")</f>
        <v/>
      </c>
      <c r="E1338" t="str">
        <f ca="1">IFERROR(__xludf.DUMMYFUNCTION("""COMPUTED_VALUE"""),"")</f>
        <v/>
      </c>
      <c r="F1338" t="str">
        <f ca="1">IFERROR(__xludf.DUMMYFUNCTION("""COMPUTED_VALUE"""),"")</f>
        <v/>
      </c>
      <c r="G1338" t="str">
        <f ca="1">IFERROR(__xludf.DUMMYFUNCTION("""COMPUTED_VALUE"""),"")</f>
        <v/>
      </c>
      <c r="H1338" t="str">
        <f ca="1">IFERROR(__xludf.DUMMYFUNCTION("""COMPUTED_VALUE"""),"")</f>
        <v/>
      </c>
      <c r="I1338" t="str">
        <f ca="1">IFERROR(__xludf.DUMMYFUNCTION("""COMPUTED_VALUE"""),"")</f>
        <v/>
      </c>
      <c r="J1338" t="str">
        <f ca="1">IFERROR(__xludf.DUMMYFUNCTION("""COMPUTED_VALUE"""),"")</f>
        <v/>
      </c>
      <c r="K1338" t="str">
        <f ca="1">IFERROR(__xludf.DUMMYFUNCTION("""COMPUTED_VALUE"""),"")</f>
        <v/>
      </c>
      <c r="L1338" t="str">
        <f ca="1">IFERROR(__xludf.DUMMYFUNCTION("""COMPUTED_VALUE"""),"")</f>
        <v/>
      </c>
      <c r="M1338" t="str">
        <f ca="1">IFERROR(__xludf.DUMMYFUNCTION("""COMPUTED_VALUE"""),"")</f>
        <v/>
      </c>
      <c r="N1338" t="str">
        <f ca="1">IFERROR(__xludf.DUMMYFUNCTION("""COMPUTED_VALUE"""),"")</f>
        <v/>
      </c>
      <c r="O1338" t="str">
        <f ca="1">IFERROR(__xludf.DUMMYFUNCTION("""COMPUTED_VALUE"""),"")</f>
        <v/>
      </c>
      <c r="P1338" t="str">
        <f ca="1">IFERROR(__xludf.DUMMYFUNCTION("""COMPUTED_VALUE"""),"")</f>
        <v/>
      </c>
      <c r="Q1338" s="5" t="str">
        <f ca="1">IFERROR(__xludf.DUMMYFUNCTION("""COMPUTED_VALUE"""),"")</f>
        <v/>
      </c>
      <c r="R1338" s="6" t="str">
        <f ca="1">IFERROR(__xludf.DUMMYFUNCTION("""COMPUTED_VALUE"""),"")</f>
        <v/>
      </c>
      <c r="S1338" t="str">
        <f ca="1">IFERROR(__xludf.DUMMYFUNCTION("""COMPUTED_VALUE"""),"")</f>
        <v/>
      </c>
      <c r="T1338" t="str">
        <f ca="1">IFERROR(__xludf.DUMMYFUNCTION("""COMPUTED_VALUE"""),"")</f>
        <v/>
      </c>
      <c r="U1338" t="str">
        <f ca="1">IFERROR(__xludf.DUMMYFUNCTION("""COMPUTED_VALUE"""),"")</f>
        <v/>
      </c>
      <c r="V1338" t="str">
        <f ca="1">IFERROR(__xludf.DUMMYFUNCTION("""COMPUTED_VALUE"""),"")</f>
        <v/>
      </c>
      <c r="W1338" t="str">
        <f ca="1">IFERROR(__xludf.DUMMYFUNCTION("""COMPUTED_VALUE"""),"")</f>
        <v/>
      </c>
      <c r="X1338" t="str">
        <f ca="1">IFERROR(__xludf.DUMMYFUNCTION("""COMPUTED_VALUE"""),"")</f>
        <v/>
      </c>
      <c r="Y1338" t="str">
        <f ca="1">IFERROR(__xludf.DUMMYFUNCTION("""COMPUTED_VALUE"""),"")</f>
        <v/>
      </c>
      <c r="Z1338" t="str">
        <f ca="1">IFERROR(__xludf.DUMMYFUNCTION("""COMPUTED_VALUE"""),"")</f>
        <v/>
      </c>
      <c r="AA1338" t="str">
        <f ca="1">IFERROR(__xludf.DUMMYFUNCTION("""COMPUTED_VALUE"""),"")</f>
        <v/>
      </c>
      <c r="AB1338" s="8" t="str">
        <f ca="1">IFERROR(__xludf.DUMMYFUNCTION("""COMPUTED_VALUE"""),"")</f>
        <v/>
      </c>
      <c r="AC1338" s="8" t="str">
        <f ca="1">IFERROR(__xludf.DUMMYFUNCTION("""COMPUTED_VALUE"""),"")</f>
        <v/>
      </c>
      <c r="AD1338" s="11" t="str">
        <f ca="1">IFERROR(__xludf.DUMMYFUNCTION("""COMPUTED_VALUE"""),"")</f>
        <v/>
      </c>
      <c r="AE1338" t="str">
        <f ca="1">IFERROR(__xludf.DUMMYFUNCTION("""COMPUTED_VALUE"""),"")</f>
        <v/>
      </c>
    </row>
    <row r="1339" spans="1:31" ht="12.75" x14ac:dyDescent="0.2">
      <c r="A1339" t="str">
        <f ca="1">IFERROR(__xludf.DUMMYFUNCTION("""COMPUTED_VALUE"""),"")</f>
        <v/>
      </c>
      <c r="B1339" t="str">
        <f ca="1">IFERROR(__xludf.DUMMYFUNCTION("""COMPUTED_VALUE"""),"")</f>
        <v/>
      </c>
      <c r="C1339" t="str">
        <f ca="1">IFERROR(__xludf.DUMMYFUNCTION("""COMPUTED_VALUE"""),"")</f>
        <v/>
      </c>
      <c r="D1339" t="str">
        <f ca="1">IFERROR(__xludf.DUMMYFUNCTION("""COMPUTED_VALUE"""),"")</f>
        <v/>
      </c>
      <c r="E1339" t="str">
        <f ca="1">IFERROR(__xludf.DUMMYFUNCTION("""COMPUTED_VALUE"""),"")</f>
        <v/>
      </c>
      <c r="F1339" t="str">
        <f ca="1">IFERROR(__xludf.DUMMYFUNCTION("""COMPUTED_VALUE"""),"")</f>
        <v/>
      </c>
      <c r="G1339" t="str">
        <f ca="1">IFERROR(__xludf.DUMMYFUNCTION("""COMPUTED_VALUE"""),"")</f>
        <v/>
      </c>
      <c r="H1339" t="str">
        <f ca="1">IFERROR(__xludf.DUMMYFUNCTION("""COMPUTED_VALUE"""),"")</f>
        <v/>
      </c>
      <c r="I1339" t="str">
        <f ca="1">IFERROR(__xludf.DUMMYFUNCTION("""COMPUTED_VALUE"""),"")</f>
        <v/>
      </c>
      <c r="J1339" t="str">
        <f ca="1">IFERROR(__xludf.DUMMYFUNCTION("""COMPUTED_VALUE"""),"")</f>
        <v/>
      </c>
      <c r="K1339" t="str">
        <f ca="1">IFERROR(__xludf.DUMMYFUNCTION("""COMPUTED_VALUE"""),"")</f>
        <v/>
      </c>
      <c r="L1339" t="str">
        <f ca="1">IFERROR(__xludf.DUMMYFUNCTION("""COMPUTED_VALUE"""),"")</f>
        <v/>
      </c>
      <c r="M1339" t="str">
        <f ca="1">IFERROR(__xludf.DUMMYFUNCTION("""COMPUTED_VALUE"""),"")</f>
        <v/>
      </c>
      <c r="N1339" t="str">
        <f ca="1">IFERROR(__xludf.DUMMYFUNCTION("""COMPUTED_VALUE"""),"")</f>
        <v/>
      </c>
      <c r="O1339" t="str">
        <f ca="1">IFERROR(__xludf.DUMMYFUNCTION("""COMPUTED_VALUE"""),"")</f>
        <v/>
      </c>
      <c r="P1339" t="str">
        <f ca="1">IFERROR(__xludf.DUMMYFUNCTION("""COMPUTED_VALUE"""),"")</f>
        <v/>
      </c>
      <c r="Q1339" s="5" t="str">
        <f ca="1">IFERROR(__xludf.DUMMYFUNCTION("""COMPUTED_VALUE"""),"")</f>
        <v/>
      </c>
      <c r="R1339" s="6" t="str">
        <f ca="1">IFERROR(__xludf.DUMMYFUNCTION("""COMPUTED_VALUE"""),"")</f>
        <v/>
      </c>
      <c r="S1339" t="str">
        <f ca="1">IFERROR(__xludf.DUMMYFUNCTION("""COMPUTED_VALUE"""),"")</f>
        <v/>
      </c>
      <c r="T1339" t="str">
        <f ca="1">IFERROR(__xludf.DUMMYFUNCTION("""COMPUTED_VALUE"""),"")</f>
        <v/>
      </c>
      <c r="U1339" t="str">
        <f ca="1">IFERROR(__xludf.DUMMYFUNCTION("""COMPUTED_VALUE"""),"")</f>
        <v/>
      </c>
      <c r="V1339" t="str">
        <f ca="1">IFERROR(__xludf.DUMMYFUNCTION("""COMPUTED_VALUE"""),"")</f>
        <v/>
      </c>
      <c r="W1339" t="str">
        <f ca="1">IFERROR(__xludf.DUMMYFUNCTION("""COMPUTED_VALUE"""),"")</f>
        <v/>
      </c>
      <c r="X1339" t="str">
        <f ca="1">IFERROR(__xludf.DUMMYFUNCTION("""COMPUTED_VALUE"""),"")</f>
        <v/>
      </c>
      <c r="Y1339" t="str">
        <f ca="1">IFERROR(__xludf.DUMMYFUNCTION("""COMPUTED_VALUE"""),"")</f>
        <v/>
      </c>
      <c r="Z1339" t="str">
        <f ca="1">IFERROR(__xludf.DUMMYFUNCTION("""COMPUTED_VALUE"""),"")</f>
        <v/>
      </c>
      <c r="AA1339" t="str">
        <f ca="1">IFERROR(__xludf.DUMMYFUNCTION("""COMPUTED_VALUE"""),"")</f>
        <v/>
      </c>
      <c r="AB1339" s="8" t="str">
        <f ca="1">IFERROR(__xludf.DUMMYFUNCTION("""COMPUTED_VALUE"""),"")</f>
        <v/>
      </c>
      <c r="AC1339" s="8" t="str">
        <f ca="1">IFERROR(__xludf.DUMMYFUNCTION("""COMPUTED_VALUE"""),"")</f>
        <v/>
      </c>
      <c r="AD1339" s="11" t="str">
        <f ca="1">IFERROR(__xludf.DUMMYFUNCTION("""COMPUTED_VALUE"""),"")</f>
        <v/>
      </c>
      <c r="AE1339" t="str">
        <f ca="1">IFERROR(__xludf.DUMMYFUNCTION("""COMPUTED_VALUE"""),"")</f>
        <v/>
      </c>
    </row>
    <row r="1340" spans="1:31" ht="12.75" x14ac:dyDescent="0.2">
      <c r="A1340" t="str">
        <f ca="1">IFERROR(__xludf.DUMMYFUNCTION("""COMPUTED_VALUE"""),"")</f>
        <v/>
      </c>
      <c r="B1340" t="str">
        <f ca="1">IFERROR(__xludf.DUMMYFUNCTION("""COMPUTED_VALUE"""),"")</f>
        <v/>
      </c>
      <c r="C1340" t="str">
        <f ca="1">IFERROR(__xludf.DUMMYFUNCTION("""COMPUTED_VALUE"""),"")</f>
        <v/>
      </c>
      <c r="D1340" t="str">
        <f ca="1">IFERROR(__xludf.DUMMYFUNCTION("""COMPUTED_VALUE"""),"")</f>
        <v/>
      </c>
      <c r="E1340" t="str">
        <f ca="1">IFERROR(__xludf.DUMMYFUNCTION("""COMPUTED_VALUE"""),"")</f>
        <v/>
      </c>
      <c r="F1340" t="str">
        <f ca="1">IFERROR(__xludf.DUMMYFUNCTION("""COMPUTED_VALUE"""),"")</f>
        <v/>
      </c>
      <c r="G1340" t="str">
        <f ca="1">IFERROR(__xludf.DUMMYFUNCTION("""COMPUTED_VALUE"""),"")</f>
        <v/>
      </c>
      <c r="H1340" t="str">
        <f ca="1">IFERROR(__xludf.DUMMYFUNCTION("""COMPUTED_VALUE"""),"")</f>
        <v/>
      </c>
      <c r="I1340" t="str">
        <f ca="1">IFERROR(__xludf.DUMMYFUNCTION("""COMPUTED_VALUE"""),"")</f>
        <v/>
      </c>
      <c r="J1340" t="str">
        <f ca="1">IFERROR(__xludf.DUMMYFUNCTION("""COMPUTED_VALUE"""),"")</f>
        <v/>
      </c>
      <c r="K1340" t="str">
        <f ca="1">IFERROR(__xludf.DUMMYFUNCTION("""COMPUTED_VALUE"""),"")</f>
        <v/>
      </c>
      <c r="L1340" t="str">
        <f ca="1">IFERROR(__xludf.DUMMYFUNCTION("""COMPUTED_VALUE"""),"")</f>
        <v/>
      </c>
      <c r="M1340" t="str">
        <f ca="1">IFERROR(__xludf.DUMMYFUNCTION("""COMPUTED_VALUE"""),"")</f>
        <v/>
      </c>
      <c r="N1340" t="str">
        <f ca="1">IFERROR(__xludf.DUMMYFUNCTION("""COMPUTED_VALUE"""),"")</f>
        <v/>
      </c>
      <c r="O1340" t="str">
        <f ca="1">IFERROR(__xludf.DUMMYFUNCTION("""COMPUTED_VALUE"""),"")</f>
        <v/>
      </c>
      <c r="P1340" t="str">
        <f ca="1">IFERROR(__xludf.DUMMYFUNCTION("""COMPUTED_VALUE"""),"")</f>
        <v/>
      </c>
      <c r="Q1340" s="5" t="str">
        <f ca="1">IFERROR(__xludf.DUMMYFUNCTION("""COMPUTED_VALUE"""),"")</f>
        <v/>
      </c>
      <c r="R1340" s="6" t="str">
        <f ca="1">IFERROR(__xludf.DUMMYFUNCTION("""COMPUTED_VALUE"""),"")</f>
        <v/>
      </c>
      <c r="S1340" t="str">
        <f ca="1">IFERROR(__xludf.DUMMYFUNCTION("""COMPUTED_VALUE"""),"")</f>
        <v/>
      </c>
      <c r="T1340" t="str">
        <f ca="1">IFERROR(__xludf.DUMMYFUNCTION("""COMPUTED_VALUE"""),"")</f>
        <v/>
      </c>
      <c r="U1340" t="str">
        <f ca="1">IFERROR(__xludf.DUMMYFUNCTION("""COMPUTED_VALUE"""),"")</f>
        <v/>
      </c>
      <c r="V1340" t="str">
        <f ca="1">IFERROR(__xludf.DUMMYFUNCTION("""COMPUTED_VALUE"""),"")</f>
        <v/>
      </c>
      <c r="W1340" t="str">
        <f ca="1">IFERROR(__xludf.DUMMYFUNCTION("""COMPUTED_VALUE"""),"")</f>
        <v/>
      </c>
      <c r="X1340" t="str">
        <f ca="1">IFERROR(__xludf.DUMMYFUNCTION("""COMPUTED_VALUE"""),"")</f>
        <v/>
      </c>
      <c r="Y1340" t="str">
        <f ca="1">IFERROR(__xludf.DUMMYFUNCTION("""COMPUTED_VALUE"""),"")</f>
        <v/>
      </c>
      <c r="Z1340" t="str">
        <f ca="1">IFERROR(__xludf.DUMMYFUNCTION("""COMPUTED_VALUE"""),"")</f>
        <v/>
      </c>
      <c r="AA1340" t="str">
        <f ca="1">IFERROR(__xludf.DUMMYFUNCTION("""COMPUTED_VALUE"""),"")</f>
        <v/>
      </c>
      <c r="AB1340" s="8" t="str">
        <f ca="1">IFERROR(__xludf.DUMMYFUNCTION("""COMPUTED_VALUE"""),"")</f>
        <v/>
      </c>
      <c r="AC1340" s="8" t="str">
        <f ca="1">IFERROR(__xludf.DUMMYFUNCTION("""COMPUTED_VALUE"""),"")</f>
        <v/>
      </c>
      <c r="AD1340" s="11" t="str">
        <f ca="1">IFERROR(__xludf.DUMMYFUNCTION("""COMPUTED_VALUE"""),"")</f>
        <v/>
      </c>
      <c r="AE1340" t="str">
        <f ca="1">IFERROR(__xludf.DUMMYFUNCTION("""COMPUTED_VALUE"""),"")</f>
        <v/>
      </c>
    </row>
    <row r="1341" spans="1:31" ht="12.75" x14ac:dyDescent="0.2">
      <c r="A1341" t="str">
        <f ca="1">IFERROR(__xludf.DUMMYFUNCTION("""COMPUTED_VALUE"""),"")</f>
        <v/>
      </c>
      <c r="B1341" t="str">
        <f ca="1">IFERROR(__xludf.DUMMYFUNCTION("""COMPUTED_VALUE"""),"")</f>
        <v/>
      </c>
      <c r="C1341" t="str">
        <f ca="1">IFERROR(__xludf.DUMMYFUNCTION("""COMPUTED_VALUE"""),"")</f>
        <v/>
      </c>
      <c r="D1341" t="str">
        <f ca="1">IFERROR(__xludf.DUMMYFUNCTION("""COMPUTED_VALUE"""),"")</f>
        <v/>
      </c>
      <c r="E1341" t="str">
        <f ca="1">IFERROR(__xludf.DUMMYFUNCTION("""COMPUTED_VALUE"""),"")</f>
        <v/>
      </c>
      <c r="F1341" t="str">
        <f ca="1">IFERROR(__xludf.DUMMYFUNCTION("""COMPUTED_VALUE"""),"")</f>
        <v/>
      </c>
      <c r="G1341" t="str">
        <f ca="1">IFERROR(__xludf.DUMMYFUNCTION("""COMPUTED_VALUE"""),"")</f>
        <v/>
      </c>
      <c r="H1341" t="str">
        <f ca="1">IFERROR(__xludf.DUMMYFUNCTION("""COMPUTED_VALUE"""),"")</f>
        <v/>
      </c>
      <c r="I1341" t="str">
        <f ca="1">IFERROR(__xludf.DUMMYFUNCTION("""COMPUTED_VALUE"""),"")</f>
        <v/>
      </c>
      <c r="J1341" t="str">
        <f ca="1">IFERROR(__xludf.DUMMYFUNCTION("""COMPUTED_VALUE"""),"")</f>
        <v/>
      </c>
      <c r="K1341" t="str">
        <f ca="1">IFERROR(__xludf.DUMMYFUNCTION("""COMPUTED_VALUE"""),"")</f>
        <v/>
      </c>
      <c r="L1341" t="str">
        <f ca="1">IFERROR(__xludf.DUMMYFUNCTION("""COMPUTED_VALUE"""),"")</f>
        <v/>
      </c>
      <c r="M1341" t="str">
        <f ca="1">IFERROR(__xludf.DUMMYFUNCTION("""COMPUTED_VALUE"""),"")</f>
        <v/>
      </c>
      <c r="N1341" t="str">
        <f ca="1">IFERROR(__xludf.DUMMYFUNCTION("""COMPUTED_VALUE"""),"")</f>
        <v/>
      </c>
      <c r="O1341" t="str">
        <f ca="1">IFERROR(__xludf.DUMMYFUNCTION("""COMPUTED_VALUE"""),"")</f>
        <v/>
      </c>
      <c r="P1341" t="str">
        <f ca="1">IFERROR(__xludf.DUMMYFUNCTION("""COMPUTED_VALUE"""),"")</f>
        <v/>
      </c>
      <c r="Q1341" s="5" t="str">
        <f ca="1">IFERROR(__xludf.DUMMYFUNCTION("""COMPUTED_VALUE"""),"")</f>
        <v/>
      </c>
      <c r="R1341" s="6" t="str">
        <f ca="1">IFERROR(__xludf.DUMMYFUNCTION("""COMPUTED_VALUE"""),"")</f>
        <v/>
      </c>
      <c r="S1341" t="str">
        <f ca="1">IFERROR(__xludf.DUMMYFUNCTION("""COMPUTED_VALUE"""),"")</f>
        <v/>
      </c>
      <c r="T1341" t="str">
        <f ca="1">IFERROR(__xludf.DUMMYFUNCTION("""COMPUTED_VALUE"""),"")</f>
        <v/>
      </c>
      <c r="U1341" t="str">
        <f ca="1">IFERROR(__xludf.DUMMYFUNCTION("""COMPUTED_VALUE"""),"")</f>
        <v/>
      </c>
      <c r="V1341" t="str">
        <f ca="1">IFERROR(__xludf.DUMMYFUNCTION("""COMPUTED_VALUE"""),"")</f>
        <v/>
      </c>
      <c r="W1341" t="str">
        <f ca="1">IFERROR(__xludf.DUMMYFUNCTION("""COMPUTED_VALUE"""),"")</f>
        <v/>
      </c>
      <c r="X1341" t="str">
        <f ca="1">IFERROR(__xludf.DUMMYFUNCTION("""COMPUTED_VALUE"""),"")</f>
        <v/>
      </c>
      <c r="Y1341" t="str">
        <f ca="1">IFERROR(__xludf.DUMMYFUNCTION("""COMPUTED_VALUE"""),"")</f>
        <v/>
      </c>
      <c r="Z1341" t="str">
        <f ca="1">IFERROR(__xludf.DUMMYFUNCTION("""COMPUTED_VALUE"""),"")</f>
        <v/>
      </c>
      <c r="AA1341" t="str">
        <f ca="1">IFERROR(__xludf.DUMMYFUNCTION("""COMPUTED_VALUE"""),"")</f>
        <v/>
      </c>
      <c r="AB1341" s="8" t="str">
        <f ca="1">IFERROR(__xludf.DUMMYFUNCTION("""COMPUTED_VALUE"""),"")</f>
        <v/>
      </c>
      <c r="AC1341" s="8" t="str">
        <f ca="1">IFERROR(__xludf.DUMMYFUNCTION("""COMPUTED_VALUE"""),"")</f>
        <v/>
      </c>
      <c r="AD1341" s="11" t="str">
        <f ca="1">IFERROR(__xludf.DUMMYFUNCTION("""COMPUTED_VALUE"""),"")</f>
        <v/>
      </c>
      <c r="AE1341" t="str">
        <f ca="1">IFERROR(__xludf.DUMMYFUNCTION("""COMPUTED_VALUE"""),"")</f>
        <v/>
      </c>
    </row>
    <row r="1342" spans="1:31" ht="12.75" x14ac:dyDescent="0.2">
      <c r="A1342" t="str">
        <f ca="1">IFERROR(__xludf.DUMMYFUNCTION("""COMPUTED_VALUE"""),"")</f>
        <v/>
      </c>
      <c r="B1342" t="str">
        <f ca="1">IFERROR(__xludf.DUMMYFUNCTION("""COMPUTED_VALUE"""),"")</f>
        <v/>
      </c>
      <c r="C1342" t="str">
        <f ca="1">IFERROR(__xludf.DUMMYFUNCTION("""COMPUTED_VALUE"""),"")</f>
        <v/>
      </c>
      <c r="D1342" t="str">
        <f ca="1">IFERROR(__xludf.DUMMYFUNCTION("""COMPUTED_VALUE"""),"")</f>
        <v/>
      </c>
      <c r="E1342" t="str">
        <f ca="1">IFERROR(__xludf.DUMMYFUNCTION("""COMPUTED_VALUE"""),"")</f>
        <v/>
      </c>
      <c r="F1342" t="str">
        <f ca="1">IFERROR(__xludf.DUMMYFUNCTION("""COMPUTED_VALUE"""),"")</f>
        <v/>
      </c>
      <c r="G1342" t="str">
        <f ca="1">IFERROR(__xludf.DUMMYFUNCTION("""COMPUTED_VALUE"""),"")</f>
        <v/>
      </c>
      <c r="H1342" t="str">
        <f ca="1">IFERROR(__xludf.DUMMYFUNCTION("""COMPUTED_VALUE"""),"")</f>
        <v/>
      </c>
      <c r="I1342" t="str">
        <f ca="1">IFERROR(__xludf.DUMMYFUNCTION("""COMPUTED_VALUE"""),"")</f>
        <v/>
      </c>
      <c r="J1342" t="str">
        <f ca="1">IFERROR(__xludf.DUMMYFUNCTION("""COMPUTED_VALUE"""),"")</f>
        <v/>
      </c>
      <c r="K1342" t="str">
        <f ca="1">IFERROR(__xludf.DUMMYFUNCTION("""COMPUTED_VALUE"""),"")</f>
        <v/>
      </c>
      <c r="L1342" t="str">
        <f ca="1">IFERROR(__xludf.DUMMYFUNCTION("""COMPUTED_VALUE"""),"")</f>
        <v/>
      </c>
      <c r="M1342" t="str">
        <f ca="1">IFERROR(__xludf.DUMMYFUNCTION("""COMPUTED_VALUE"""),"")</f>
        <v/>
      </c>
      <c r="N1342" t="str">
        <f ca="1">IFERROR(__xludf.DUMMYFUNCTION("""COMPUTED_VALUE"""),"")</f>
        <v/>
      </c>
      <c r="O1342" t="str">
        <f ca="1">IFERROR(__xludf.DUMMYFUNCTION("""COMPUTED_VALUE"""),"")</f>
        <v/>
      </c>
      <c r="P1342" t="str">
        <f ca="1">IFERROR(__xludf.DUMMYFUNCTION("""COMPUTED_VALUE"""),"")</f>
        <v/>
      </c>
      <c r="Q1342" s="5" t="str">
        <f ca="1">IFERROR(__xludf.DUMMYFUNCTION("""COMPUTED_VALUE"""),"")</f>
        <v/>
      </c>
      <c r="R1342" s="6" t="str">
        <f ca="1">IFERROR(__xludf.DUMMYFUNCTION("""COMPUTED_VALUE"""),"")</f>
        <v/>
      </c>
      <c r="S1342" t="str">
        <f ca="1">IFERROR(__xludf.DUMMYFUNCTION("""COMPUTED_VALUE"""),"")</f>
        <v/>
      </c>
      <c r="T1342" t="str">
        <f ca="1">IFERROR(__xludf.DUMMYFUNCTION("""COMPUTED_VALUE"""),"")</f>
        <v/>
      </c>
      <c r="U1342" t="str">
        <f ca="1">IFERROR(__xludf.DUMMYFUNCTION("""COMPUTED_VALUE"""),"")</f>
        <v/>
      </c>
      <c r="V1342" t="str">
        <f ca="1">IFERROR(__xludf.DUMMYFUNCTION("""COMPUTED_VALUE"""),"")</f>
        <v/>
      </c>
      <c r="W1342" t="str">
        <f ca="1">IFERROR(__xludf.DUMMYFUNCTION("""COMPUTED_VALUE"""),"")</f>
        <v/>
      </c>
      <c r="X1342" t="str">
        <f ca="1">IFERROR(__xludf.DUMMYFUNCTION("""COMPUTED_VALUE"""),"")</f>
        <v/>
      </c>
      <c r="Y1342" t="str">
        <f ca="1">IFERROR(__xludf.DUMMYFUNCTION("""COMPUTED_VALUE"""),"")</f>
        <v/>
      </c>
      <c r="Z1342" t="str">
        <f ca="1">IFERROR(__xludf.DUMMYFUNCTION("""COMPUTED_VALUE"""),"")</f>
        <v/>
      </c>
      <c r="AA1342" t="str">
        <f ca="1">IFERROR(__xludf.DUMMYFUNCTION("""COMPUTED_VALUE"""),"")</f>
        <v/>
      </c>
      <c r="AB1342" s="8" t="str">
        <f ca="1">IFERROR(__xludf.DUMMYFUNCTION("""COMPUTED_VALUE"""),"")</f>
        <v/>
      </c>
      <c r="AC1342" s="8" t="str">
        <f ca="1">IFERROR(__xludf.DUMMYFUNCTION("""COMPUTED_VALUE"""),"")</f>
        <v/>
      </c>
      <c r="AD1342" s="11" t="str">
        <f ca="1">IFERROR(__xludf.DUMMYFUNCTION("""COMPUTED_VALUE"""),"")</f>
        <v/>
      </c>
      <c r="AE1342" t="str">
        <f ca="1">IFERROR(__xludf.DUMMYFUNCTION("""COMPUTED_VALUE"""),"")</f>
        <v/>
      </c>
    </row>
    <row r="1343" spans="1:31" ht="12.75" x14ac:dyDescent="0.2">
      <c r="A1343" t="str">
        <f ca="1">IFERROR(__xludf.DUMMYFUNCTION("""COMPUTED_VALUE"""),"")</f>
        <v/>
      </c>
      <c r="B1343" t="str">
        <f ca="1">IFERROR(__xludf.DUMMYFUNCTION("""COMPUTED_VALUE"""),"")</f>
        <v/>
      </c>
      <c r="C1343" t="str">
        <f ca="1">IFERROR(__xludf.DUMMYFUNCTION("""COMPUTED_VALUE"""),"")</f>
        <v/>
      </c>
      <c r="D1343" t="str">
        <f ca="1">IFERROR(__xludf.DUMMYFUNCTION("""COMPUTED_VALUE"""),"")</f>
        <v/>
      </c>
      <c r="E1343" t="str">
        <f ca="1">IFERROR(__xludf.DUMMYFUNCTION("""COMPUTED_VALUE"""),"")</f>
        <v/>
      </c>
      <c r="F1343" t="str">
        <f ca="1">IFERROR(__xludf.DUMMYFUNCTION("""COMPUTED_VALUE"""),"")</f>
        <v/>
      </c>
      <c r="G1343" t="str">
        <f ca="1">IFERROR(__xludf.DUMMYFUNCTION("""COMPUTED_VALUE"""),"")</f>
        <v/>
      </c>
      <c r="H1343" t="str">
        <f ca="1">IFERROR(__xludf.DUMMYFUNCTION("""COMPUTED_VALUE"""),"")</f>
        <v/>
      </c>
      <c r="I1343" t="str">
        <f ca="1">IFERROR(__xludf.DUMMYFUNCTION("""COMPUTED_VALUE"""),"")</f>
        <v/>
      </c>
      <c r="J1343" t="str">
        <f ca="1">IFERROR(__xludf.DUMMYFUNCTION("""COMPUTED_VALUE"""),"")</f>
        <v/>
      </c>
      <c r="K1343" t="str">
        <f ca="1">IFERROR(__xludf.DUMMYFUNCTION("""COMPUTED_VALUE"""),"")</f>
        <v/>
      </c>
      <c r="L1343" t="str">
        <f ca="1">IFERROR(__xludf.DUMMYFUNCTION("""COMPUTED_VALUE"""),"")</f>
        <v/>
      </c>
      <c r="M1343" t="str">
        <f ca="1">IFERROR(__xludf.DUMMYFUNCTION("""COMPUTED_VALUE"""),"")</f>
        <v/>
      </c>
      <c r="N1343" t="str">
        <f ca="1">IFERROR(__xludf.DUMMYFUNCTION("""COMPUTED_VALUE"""),"")</f>
        <v/>
      </c>
      <c r="O1343" t="str">
        <f ca="1">IFERROR(__xludf.DUMMYFUNCTION("""COMPUTED_VALUE"""),"")</f>
        <v/>
      </c>
      <c r="P1343" t="str">
        <f ca="1">IFERROR(__xludf.DUMMYFUNCTION("""COMPUTED_VALUE"""),"")</f>
        <v/>
      </c>
      <c r="Q1343" s="5" t="str">
        <f ca="1">IFERROR(__xludf.DUMMYFUNCTION("""COMPUTED_VALUE"""),"")</f>
        <v/>
      </c>
      <c r="R1343" s="6" t="str">
        <f ca="1">IFERROR(__xludf.DUMMYFUNCTION("""COMPUTED_VALUE"""),"")</f>
        <v/>
      </c>
      <c r="S1343" t="str">
        <f ca="1">IFERROR(__xludf.DUMMYFUNCTION("""COMPUTED_VALUE"""),"")</f>
        <v/>
      </c>
      <c r="T1343" t="str">
        <f ca="1">IFERROR(__xludf.DUMMYFUNCTION("""COMPUTED_VALUE"""),"")</f>
        <v/>
      </c>
      <c r="U1343" t="str">
        <f ca="1">IFERROR(__xludf.DUMMYFUNCTION("""COMPUTED_VALUE"""),"")</f>
        <v/>
      </c>
      <c r="V1343" t="str">
        <f ca="1">IFERROR(__xludf.DUMMYFUNCTION("""COMPUTED_VALUE"""),"")</f>
        <v/>
      </c>
      <c r="W1343" t="str">
        <f ca="1">IFERROR(__xludf.DUMMYFUNCTION("""COMPUTED_VALUE"""),"")</f>
        <v/>
      </c>
      <c r="X1343" t="str">
        <f ca="1">IFERROR(__xludf.DUMMYFUNCTION("""COMPUTED_VALUE"""),"")</f>
        <v/>
      </c>
      <c r="Y1343" t="str">
        <f ca="1">IFERROR(__xludf.DUMMYFUNCTION("""COMPUTED_VALUE"""),"")</f>
        <v/>
      </c>
      <c r="Z1343" t="str">
        <f ca="1">IFERROR(__xludf.DUMMYFUNCTION("""COMPUTED_VALUE"""),"")</f>
        <v/>
      </c>
      <c r="AA1343" t="str">
        <f ca="1">IFERROR(__xludf.DUMMYFUNCTION("""COMPUTED_VALUE"""),"")</f>
        <v/>
      </c>
      <c r="AB1343" s="8" t="str">
        <f ca="1">IFERROR(__xludf.DUMMYFUNCTION("""COMPUTED_VALUE"""),"")</f>
        <v/>
      </c>
      <c r="AC1343" s="8" t="str">
        <f ca="1">IFERROR(__xludf.DUMMYFUNCTION("""COMPUTED_VALUE"""),"")</f>
        <v/>
      </c>
      <c r="AD1343" s="11" t="str">
        <f ca="1">IFERROR(__xludf.DUMMYFUNCTION("""COMPUTED_VALUE"""),"")</f>
        <v/>
      </c>
      <c r="AE1343" t="str">
        <f ca="1">IFERROR(__xludf.DUMMYFUNCTION("""COMPUTED_VALUE"""),"")</f>
        <v/>
      </c>
    </row>
    <row r="1344" spans="1:31" ht="12.75" x14ac:dyDescent="0.2">
      <c r="A1344" t="str">
        <f ca="1">IFERROR(__xludf.DUMMYFUNCTION("""COMPUTED_VALUE"""),"")</f>
        <v/>
      </c>
      <c r="B1344" t="str">
        <f ca="1">IFERROR(__xludf.DUMMYFUNCTION("""COMPUTED_VALUE"""),"")</f>
        <v/>
      </c>
      <c r="C1344" t="str">
        <f ca="1">IFERROR(__xludf.DUMMYFUNCTION("""COMPUTED_VALUE"""),"")</f>
        <v/>
      </c>
      <c r="D1344" t="str">
        <f ca="1">IFERROR(__xludf.DUMMYFUNCTION("""COMPUTED_VALUE"""),"")</f>
        <v/>
      </c>
      <c r="E1344" t="str">
        <f ca="1">IFERROR(__xludf.DUMMYFUNCTION("""COMPUTED_VALUE"""),"")</f>
        <v/>
      </c>
      <c r="F1344" t="str">
        <f ca="1">IFERROR(__xludf.DUMMYFUNCTION("""COMPUTED_VALUE"""),"")</f>
        <v/>
      </c>
      <c r="G1344" t="str">
        <f ca="1">IFERROR(__xludf.DUMMYFUNCTION("""COMPUTED_VALUE"""),"")</f>
        <v/>
      </c>
      <c r="H1344" t="str">
        <f ca="1">IFERROR(__xludf.DUMMYFUNCTION("""COMPUTED_VALUE"""),"")</f>
        <v/>
      </c>
      <c r="I1344" t="str">
        <f ca="1">IFERROR(__xludf.DUMMYFUNCTION("""COMPUTED_VALUE"""),"")</f>
        <v/>
      </c>
      <c r="J1344" t="str">
        <f ca="1">IFERROR(__xludf.DUMMYFUNCTION("""COMPUTED_VALUE"""),"")</f>
        <v/>
      </c>
      <c r="K1344" t="str">
        <f ca="1">IFERROR(__xludf.DUMMYFUNCTION("""COMPUTED_VALUE"""),"")</f>
        <v/>
      </c>
      <c r="L1344" t="str">
        <f ca="1">IFERROR(__xludf.DUMMYFUNCTION("""COMPUTED_VALUE"""),"")</f>
        <v/>
      </c>
      <c r="M1344" t="str">
        <f ca="1">IFERROR(__xludf.DUMMYFUNCTION("""COMPUTED_VALUE"""),"")</f>
        <v/>
      </c>
      <c r="N1344" t="str">
        <f ca="1">IFERROR(__xludf.DUMMYFUNCTION("""COMPUTED_VALUE"""),"")</f>
        <v/>
      </c>
      <c r="O1344" t="str">
        <f ca="1">IFERROR(__xludf.DUMMYFUNCTION("""COMPUTED_VALUE"""),"")</f>
        <v/>
      </c>
      <c r="P1344" t="str">
        <f ca="1">IFERROR(__xludf.DUMMYFUNCTION("""COMPUTED_VALUE"""),"")</f>
        <v/>
      </c>
      <c r="Q1344" s="5" t="str">
        <f ca="1">IFERROR(__xludf.DUMMYFUNCTION("""COMPUTED_VALUE"""),"")</f>
        <v/>
      </c>
      <c r="R1344" s="6" t="str">
        <f ca="1">IFERROR(__xludf.DUMMYFUNCTION("""COMPUTED_VALUE"""),"")</f>
        <v/>
      </c>
      <c r="S1344" t="str">
        <f ca="1">IFERROR(__xludf.DUMMYFUNCTION("""COMPUTED_VALUE"""),"")</f>
        <v/>
      </c>
      <c r="T1344" t="str">
        <f ca="1">IFERROR(__xludf.DUMMYFUNCTION("""COMPUTED_VALUE"""),"")</f>
        <v/>
      </c>
      <c r="U1344" t="str">
        <f ca="1">IFERROR(__xludf.DUMMYFUNCTION("""COMPUTED_VALUE"""),"")</f>
        <v/>
      </c>
      <c r="V1344" t="str">
        <f ca="1">IFERROR(__xludf.DUMMYFUNCTION("""COMPUTED_VALUE"""),"")</f>
        <v/>
      </c>
      <c r="W1344" t="str">
        <f ca="1">IFERROR(__xludf.DUMMYFUNCTION("""COMPUTED_VALUE"""),"")</f>
        <v/>
      </c>
      <c r="X1344" t="str">
        <f ca="1">IFERROR(__xludf.DUMMYFUNCTION("""COMPUTED_VALUE"""),"")</f>
        <v/>
      </c>
      <c r="Y1344" t="str">
        <f ca="1">IFERROR(__xludf.DUMMYFUNCTION("""COMPUTED_VALUE"""),"")</f>
        <v/>
      </c>
      <c r="Z1344" t="str">
        <f ca="1">IFERROR(__xludf.DUMMYFUNCTION("""COMPUTED_VALUE"""),"")</f>
        <v/>
      </c>
      <c r="AA1344" t="str">
        <f ca="1">IFERROR(__xludf.DUMMYFUNCTION("""COMPUTED_VALUE"""),"")</f>
        <v/>
      </c>
      <c r="AB1344" s="8" t="str">
        <f ca="1">IFERROR(__xludf.DUMMYFUNCTION("""COMPUTED_VALUE"""),"")</f>
        <v/>
      </c>
      <c r="AC1344" s="8" t="str">
        <f ca="1">IFERROR(__xludf.DUMMYFUNCTION("""COMPUTED_VALUE"""),"")</f>
        <v/>
      </c>
      <c r="AD1344" s="11" t="str">
        <f ca="1">IFERROR(__xludf.DUMMYFUNCTION("""COMPUTED_VALUE"""),"")</f>
        <v/>
      </c>
      <c r="AE1344" t="str">
        <f ca="1">IFERROR(__xludf.DUMMYFUNCTION("""COMPUTED_VALUE"""),"")</f>
        <v/>
      </c>
    </row>
    <row r="1345" spans="1:31" ht="12.75" x14ac:dyDescent="0.2">
      <c r="A1345" t="str">
        <f ca="1">IFERROR(__xludf.DUMMYFUNCTION("""COMPUTED_VALUE"""),"")</f>
        <v/>
      </c>
      <c r="B1345" t="str">
        <f ca="1">IFERROR(__xludf.DUMMYFUNCTION("""COMPUTED_VALUE"""),"")</f>
        <v/>
      </c>
      <c r="C1345" t="str">
        <f ca="1">IFERROR(__xludf.DUMMYFUNCTION("""COMPUTED_VALUE"""),"")</f>
        <v/>
      </c>
      <c r="D1345" t="str">
        <f ca="1">IFERROR(__xludf.DUMMYFUNCTION("""COMPUTED_VALUE"""),"")</f>
        <v/>
      </c>
      <c r="E1345" t="str">
        <f ca="1">IFERROR(__xludf.DUMMYFUNCTION("""COMPUTED_VALUE"""),"")</f>
        <v/>
      </c>
      <c r="F1345" t="str">
        <f ca="1">IFERROR(__xludf.DUMMYFUNCTION("""COMPUTED_VALUE"""),"")</f>
        <v/>
      </c>
      <c r="G1345" t="str">
        <f ca="1">IFERROR(__xludf.DUMMYFUNCTION("""COMPUTED_VALUE"""),"")</f>
        <v/>
      </c>
      <c r="H1345" t="str">
        <f ca="1">IFERROR(__xludf.DUMMYFUNCTION("""COMPUTED_VALUE"""),"")</f>
        <v/>
      </c>
      <c r="I1345" t="str">
        <f ca="1">IFERROR(__xludf.DUMMYFUNCTION("""COMPUTED_VALUE"""),"")</f>
        <v/>
      </c>
      <c r="J1345" t="str">
        <f ca="1">IFERROR(__xludf.DUMMYFUNCTION("""COMPUTED_VALUE"""),"")</f>
        <v/>
      </c>
      <c r="K1345" t="str">
        <f ca="1">IFERROR(__xludf.DUMMYFUNCTION("""COMPUTED_VALUE"""),"")</f>
        <v/>
      </c>
      <c r="L1345" t="str">
        <f ca="1">IFERROR(__xludf.DUMMYFUNCTION("""COMPUTED_VALUE"""),"")</f>
        <v/>
      </c>
      <c r="M1345" t="str">
        <f ca="1">IFERROR(__xludf.DUMMYFUNCTION("""COMPUTED_VALUE"""),"")</f>
        <v/>
      </c>
      <c r="N1345" t="str">
        <f ca="1">IFERROR(__xludf.DUMMYFUNCTION("""COMPUTED_VALUE"""),"")</f>
        <v/>
      </c>
      <c r="O1345" t="str">
        <f ca="1">IFERROR(__xludf.DUMMYFUNCTION("""COMPUTED_VALUE"""),"")</f>
        <v/>
      </c>
      <c r="P1345" t="str">
        <f ca="1">IFERROR(__xludf.DUMMYFUNCTION("""COMPUTED_VALUE"""),"")</f>
        <v/>
      </c>
      <c r="Q1345" s="5" t="str">
        <f ca="1">IFERROR(__xludf.DUMMYFUNCTION("""COMPUTED_VALUE"""),"")</f>
        <v/>
      </c>
      <c r="R1345" s="6" t="str">
        <f ca="1">IFERROR(__xludf.DUMMYFUNCTION("""COMPUTED_VALUE"""),"")</f>
        <v/>
      </c>
      <c r="S1345" t="str">
        <f ca="1">IFERROR(__xludf.DUMMYFUNCTION("""COMPUTED_VALUE"""),"")</f>
        <v/>
      </c>
      <c r="T1345" t="str">
        <f ca="1">IFERROR(__xludf.DUMMYFUNCTION("""COMPUTED_VALUE"""),"")</f>
        <v/>
      </c>
      <c r="U1345" t="str">
        <f ca="1">IFERROR(__xludf.DUMMYFUNCTION("""COMPUTED_VALUE"""),"")</f>
        <v/>
      </c>
      <c r="V1345" t="str">
        <f ca="1">IFERROR(__xludf.DUMMYFUNCTION("""COMPUTED_VALUE"""),"")</f>
        <v/>
      </c>
      <c r="W1345" t="str">
        <f ca="1">IFERROR(__xludf.DUMMYFUNCTION("""COMPUTED_VALUE"""),"")</f>
        <v/>
      </c>
      <c r="X1345" t="str">
        <f ca="1">IFERROR(__xludf.DUMMYFUNCTION("""COMPUTED_VALUE"""),"")</f>
        <v/>
      </c>
      <c r="Y1345" t="str">
        <f ca="1">IFERROR(__xludf.DUMMYFUNCTION("""COMPUTED_VALUE"""),"")</f>
        <v/>
      </c>
      <c r="Z1345" t="str">
        <f ca="1">IFERROR(__xludf.DUMMYFUNCTION("""COMPUTED_VALUE"""),"")</f>
        <v/>
      </c>
      <c r="AA1345" t="str">
        <f ca="1">IFERROR(__xludf.DUMMYFUNCTION("""COMPUTED_VALUE"""),"")</f>
        <v/>
      </c>
      <c r="AB1345" s="8" t="str">
        <f ca="1">IFERROR(__xludf.DUMMYFUNCTION("""COMPUTED_VALUE"""),"")</f>
        <v/>
      </c>
      <c r="AC1345" s="8" t="str">
        <f ca="1">IFERROR(__xludf.DUMMYFUNCTION("""COMPUTED_VALUE"""),"")</f>
        <v/>
      </c>
      <c r="AD1345" s="11" t="str">
        <f ca="1">IFERROR(__xludf.DUMMYFUNCTION("""COMPUTED_VALUE"""),"")</f>
        <v/>
      </c>
      <c r="AE1345" t="str">
        <f ca="1">IFERROR(__xludf.DUMMYFUNCTION("""COMPUTED_VALUE"""),"")</f>
        <v/>
      </c>
    </row>
    <row r="1346" spans="1:31" ht="12.75" x14ac:dyDescent="0.2">
      <c r="A1346" t="str">
        <f ca="1">IFERROR(__xludf.DUMMYFUNCTION("""COMPUTED_VALUE"""),"")</f>
        <v/>
      </c>
      <c r="B1346" t="str">
        <f ca="1">IFERROR(__xludf.DUMMYFUNCTION("""COMPUTED_VALUE"""),"")</f>
        <v/>
      </c>
      <c r="C1346" t="str">
        <f ca="1">IFERROR(__xludf.DUMMYFUNCTION("""COMPUTED_VALUE"""),"")</f>
        <v/>
      </c>
      <c r="D1346" t="str">
        <f ca="1">IFERROR(__xludf.DUMMYFUNCTION("""COMPUTED_VALUE"""),"")</f>
        <v/>
      </c>
      <c r="E1346" t="str">
        <f ca="1">IFERROR(__xludf.DUMMYFUNCTION("""COMPUTED_VALUE"""),"")</f>
        <v/>
      </c>
      <c r="F1346" t="str">
        <f ca="1">IFERROR(__xludf.DUMMYFUNCTION("""COMPUTED_VALUE"""),"")</f>
        <v/>
      </c>
      <c r="G1346" t="str">
        <f ca="1">IFERROR(__xludf.DUMMYFUNCTION("""COMPUTED_VALUE"""),"")</f>
        <v/>
      </c>
      <c r="H1346" t="str">
        <f ca="1">IFERROR(__xludf.DUMMYFUNCTION("""COMPUTED_VALUE"""),"")</f>
        <v/>
      </c>
      <c r="I1346" t="str">
        <f ca="1">IFERROR(__xludf.DUMMYFUNCTION("""COMPUTED_VALUE"""),"")</f>
        <v/>
      </c>
      <c r="J1346" t="str">
        <f ca="1">IFERROR(__xludf.DUMMYFUNCTION("""COMPUTED_VALUE"""),"")</f>
        <v/>
      </c>
      <c r="K1346" t="str">
        <f ca="1">IFERROR(__xludf.DUMMYFUNCTION("""COMPUTED_VALUE"""),"")</f>
        <v/>
      </c>
      <c r="L1346" t="str">
        <f ca="1">IFERROR(__xludf.DUMMYFUNCTION("""COMPUTED_VALUE"""),"")</f>
        <v/>
      </c>
      <c r="M1346" t="str">
        <f ca="1">IFERROR(__xludf.DUMMYFUNCTION("""COMPUTED_VALUE"""),"")</f>
        <v/>
      </c>
      <c r="N1346" t="str">
        <f ca="1">IFERROR(__xludf.DUMMYFUNCTION("""COMPUTED_VALUE"""),"")</f>
        <v/>
      </c>
      <c r="O1346" t="str">
        <f ca="1">IFERROR(__xludf.DUMMYFUNCTION("""COMPUTED_VALUE"""),"")</f>
        <v/>
      </c>
      <c r="P1346" t="str">
        <f ca="1">IFERROR(__xludf.DUMMYFUNCTION("""COMPUTED_VALUE"""),"")</f>
        <v/>
      </c>
      <c r="Q1346" s="5" t="str">
        <f ca="1">IFERROR(__xludf.DUMMYFUNCTION("""COMPUTED_VALUE"""),"")</f>
        <v/>
      </c>
      <c r="R1346" s="6" t="str">
        <f ca="1">IFERROR(__xludf.DUMMYFUNCTION("""COMPUTED_VALUE"""),"")</f>
        <v/>
      </c>
      <c r="S1346" t="str">
        <f ca="1">IFERROR(__xludf.DUMMYFUNCTION("""COMPUTED_VALUE"""),"")</f>
        <v/>
      </c>
      <c r="T1346" t="str">
        <f ca="1">IFERROR(__xludf.DUMMYFUNCTION("""COMPUTED_VALUE"""),"")</f>
        <v/>
      </c>
      <c r="U1346" t="str">
        <f ca="1">IFERROR(__xludf.DUMMYFUNCTION("""COMPUTED_VALUE"""),"")</f>
        <v/>
      </c>
      <c r="V1346" t="str">
        <f ca="1">IFERROR(__xludf.DUMMYFUNCTION("""COMPUTED_VALUE"""),"")</f>
        <v/>
      </c>
      <c r="W1346" t="str">
        <f ca="1">IFERROR(__xludf.DUMMYFUNCTION("""COMPUTED_VALUE"""),"")</f>
        <v/>
      </c>
      <c r="X1346" t="str">
        <f ca="1">IFERROR(__xludf.DUMMYFUNCTION("""COMPUTED_VALUE"""),"")</f>
        <v/>
      </c>
      <c r="Y1346" t="str">
        <f ca="1">IFERROR(__xludf.DUMMYFUNCTION("""COMPUTED_VALUE"""),"")</f>
        <v/>
      </c>
      <c r="Z1346" t="str">
        <f ca="1">IFERROR(__xludf.DUMMYFUNCTION("""COMPUTED_VALUE"""),"")</f>
        <v/>
      </c>
      <c r="AA1346" t="str">
        <f ca="1">IFERROR(__xludf.DUMMYFUNCTION("""COMPUTED_VALUE"""),"")</f>
        <v/>
      </c>
      <c r="AB1346" s="8" t="str">
        <f ca="1">IFERROR(__xludf.DUMMYFUNCTION("""COMPUTED_VALUE"""),"")</f>
        <v/>
      </c>
      <c r="AC1346" s="8" t="str">
        <f ca="1">IFERROR(__xludf.DUMMYFUNCTION("""COMPUTED_VALUE"""),"")</f>
        <v/>
      </c>
      <c r="AD1346" s="11" t="str">
        <f ca="1">IFERROR(__xludf.DUMMYFUNCTION("""COMPUTED_VALUE"""),"")</f>
        <v/>
      </c>
      <c r="AE1346" t="str">
        <f ca="1">IFERROR(__xludf.DUMMYFUNCTION("""COMPUTED_VALUE"""),"")</f>
        <v/>
      </c>
    </row>
    <row r="1347" spans="1:31" ht="12.75" x14ac:dyDescent="0.2">
      <c r="A1347" t="str">
        <f ca="1">IFERROR(__xludf.DUMMYFUNCTION("""COMPUTED_VALUE"""),"")</f>
        <v/>
      </c>
      <c r="B1347" t="str">
        <f ca="1">IFERROR(__xludf.DUMMYFUNCTION("""COMPUTED_VALUE"""),"")</f>
        <v/>
      </c>
      <c r="C1347" t="str">
        <f ca="1">IFERROR(__xludf.DUMMYFUNCTION("""COMPUTED_VALUE"""),"")</f>
        <v/>
      </c>
      <c r="D1347" t="str">
        <f ca="1">IFERROR(__xludf.DUMMYFUNCTION("""COMPUTED_VALUE"""),"")</f>
        <v/>
      </c>
      <c r="E1347" t="str">
        <f ca="1">IFERROR(__xludf.DUMMYFUNCTION("""COMPUTED_VALUE"""),"")</f>
        <v/>
      </c>
      <c r="F1347" t="str">
        <f ca="1">IFERROR(__xludf.DUMMYFUNCTION("""COMPUTED_VALUE"""),"")</f>
        <v/>
      </c>
      <c r="G1347" t="str">
        <f ca="1">IFERROR(__xludf.DUMMYFUNCTION("""COMPUTED_VALUE"""),"")</f>
        <v/>
      </c>
      <c r="H1347" t="str">
        <f ca="1">IFERROR(__xludf.DUMMYFUNCTION("""COMPUTED_VALUE"""),"")</f>
        <v/>
      </c>
      <c r="I1347" t="str">
        <f ca="1">IFERROR(__xludf.DUMMYFUNCTION("""COMPUTED_VALUE"""),"")</f>
        <v/>
      </c>
      <c r="J1347" t="str">
        <f ca="1">IFERROR(__xludf.DUMMYFUNCTION("""COMPUTED_VALUE"""),"")</f>
        <v/>
      </c>
      <c r="K1347" t="str">
        <f ca="1">IFERROR(__xludf.DUMMYFUNCTION("""COMPUTED_VALUE"""),"")</f>
        <v/>
      </c>
      <c r="L1347" t="str">
        <f ca="1">IFERROR(__xludf.DUMMYFUNCTION("""COMPUTED_VALUE"""),"")</f>
        <v/>
      </c>
      <c r="M1347" t="str">
        <f ca="1">IFERROR(__xludf.DUMMYFUNCTION("""COMPUTED_VALUE"""),"")</f>
        <v/>
      </c>
      <c r="N1347" t="str">
        <f ca="1">IFERROR(__xludf.DUMMYFUNCTION("""COMPUTED_VALUE"""),"")</f>
        <v/>
      </c>
      <c r="O1347" t="str">
        <f ca="1">IFERROR(__xludf.DUMMYFUNCTION("""COMPUTED_VALUE"""),"")</f>
        <v/>
      </c>
      <c r="P1347" t="str">
        <f ca="1">IFERROR(__xludf.DUMMYFUNCTION("""COMPUTED_VALUE"""),"")</f>
        <v/>
      </c>
      <c r="Q1347" s="5" t="str">
        <f ca="1">IFERROR(__xludf.DUMMYFUNCTION("""COMPUTED_VALUE"""),"")</f>
        <v/>
      </c>
      <c r="R1347" s="6" t="str">
        <f ca="1">IFERROR(__xludf.DUMMYFUNCTION("""COMPUTED_VALUE"""),"")</f>
        <v/>
      </c>
      <c r="S1347" t="str">
        <f ca="1">IFERROR(__xludf.DUMMYFUNCTION("""COMPUTED_VALUE"""),"")</f>
        <v/>
      </c>
      <c r="T1347" t="str">
        <f ca="1">IFERROR(__xludf.DUMMYFUNCTION("""COMPUTED_VALUE"""),"")</f>
        <v/>
      </c>
      <c r="U1347" t="str">
        <f ca="1">IFERROR(__xludf.DUMMYFUNCTION("""COMPUTED_VALUE"""),"")</f>
        <v/>
      </c>
      <c r="V1347" t="str">
        <f ca="1">IFERROR(__xludf.DUMMYFUNCTION("""COMPUTED_VALUE"""),"")</f>
        <v/>
      </c>
      <c r="W1347" t="str">
        <f ca="1">IFERROR(__xludf.DUMMYFUNCTION("""COMPUTED_VALUE"""),"")</f>
        <v/>
      </c>
      <c r="X1347" t="str">
        <f ca="1">IFERROR(__xludf.DUMMYFUNCTION("""COMPUTED_VALUE"""),"")</f>
        <v/>
      </c>
      <c r="Y1347" t="str">
        <f ca="1">IFERROR(__xludf.DUMMYFUNCTION("""COMPUTED_VALUE"""),"")</f>
        <v/>
      </c>
      <c r="Z1347" t="str">
        <f ca="1">IFERROR(__xludf.DUMMYFUNCTION("""COMPUTED_VALUE"""),"")</f>
        <v/>
      </c>
      <c r="AA1347" t="str">
        <f ca="1">IFERROR(__xludf.DUMMYFUNCTION("""COMPUTED_VALUE"""),"")</f>
        <v/>
      </c>
      <c r="AB1347" s="8" t="str">
        <f ca="1">IFERROR(__xludf.DUMMYFUNCTION("""COMPUTED_VALUE"""),"")</f>
        <v/>
      </c>
      <c r="AC1347" s="8" t="str">
        <f ca="1">IFERROR(__xludf.DUMMYFUNCTION("""COMPUTED_VALUE"""),"")</f>
        <v/>
      </c>
      <c r="AD1347" s="11" t="str">
        <f ca="1">IFERROR(__xludf.DUMMYFUNCTION("""COMPUTED_VALUE"""),"")</f>
        <v/>
      </c>
      <c r="AE1347" t="str">
        <f ca="1">IFERROR(__xludf.DUMMYFUNCTION("""COMPUTED_VALUE"""),"")</f>
        <v/>
      </c>
    </row>
    <row r="1348" spans="1:31" ht="12.75" x14ac:dyDescent="0.2">
      <c r="A1348" t="str">
        <f ca="1">IFERROR(__xludf.DUMMYFUNCTION("""COMPUTED_VALUE"""),"")</f>
        <v/>
      </c>
      <c r="B1348" t="str">
        <f ca="1">IFERROR(__xludf.DUMMYFUNCTION("""COMPUTED_VALUE"""),"")</f>
        <v/>
      </c>
      <c r="C1348" t="str">
        <f ca="1">IFERROR(__xludf.DUMMYFUNCTION("""COMPUTED_VALUE"""),"")</f>
        <v/>
      </c>
      <c r="D1348" t="str">
        <f ca="1">IFERROR(__xludf.DUMMYFUNCTION("""COMPUTED_VALUE"""),"")</f>
        <v/>
      </c>
      <c r="E1348" t="str">
        <f ca="1">IFERROR(__xludf.DUMMYFUNCTION("""COMPUTED_VALUE"""),"")</f>
        <v/>
      </c>
      <c r="F1348" t="str">
        <f ca="1">IFERROR(__xludf.DUMMYFUNCTION("""COMPUTED_VALUE"""),"")</f>
        <v/>
      </c>
      <c r="G1348" t="str">
        <f ca="1">IFERROR(__xludf.DUMMYFUNCTION("""COMPUTED_VALUE"""),"")</f>
        <v/>
      </c>
      <c r="H1348" t="str">
        <f ca="1">IFERROR(__xludf.DUMMYFUNCTION("""COMPUTED_VALUE"""),"")</f>
        <v/>
      </c>
      <c r="I1348" t="str">
        <f ca="1">IFERROR(__xludf.DUMMYFUNCTION("""COMPUTED_VALUE"""),"")</f>
        <v/>
      </c>
      <c r="J1348" t="str">
        <f ca="1">IFERROR(__xludf.DUMMYFUNCTION("""COMPUTED_VALUE"""),"")</f>
        <v/>
      </c>
      <c r="K1348" t="str">
        <f ca="1">IFERROR(__xludf.DUMMYFUNCTION("""COMPUTED_VALUE"""),"")</f>
        <v/>
      </c>
      <c r="L1348" t="str">
        <f ca="1">IFERROR(__xludf.DUMMYFUNCTION("""COMPUTED_VALUE"""),"")</f>
        <v/>
      </c>
      <c r="M1348" t="str">
        <f ca="1">IFERROR(__xludf.DUMMYFUNCTION("""COMPUTED_VALUE"""),"")</f>
        <v/>
      </c>
      <c r="N1348" t="str">
        <f ca="1">IFERROR(__xludf.DUMMYFUNCTION("""COMPUTED_VALUE"""),"")</f>
        <v/>
      </c>
      <c r="O1348" t="str">
        <f ca="1">IFERROR(__xludf.DUMMYFUNCTION("""COMPUTED_VALUE"""),"")</f>
        <v/>
      </c>
      <c r="P1348" t="str">
        <f ca="1">IFERROR(__xludf.DUMMYFUNCTION("""COMPUTED_VALUE"""),"")</f>
        <v/>
      </c>
      <c r="Q1348" s="5" t="str">
        <f ca="1">IFERROR(__xludf.DUMMYFUNCTION("""COMPUTED_VALUE"""),"")</f>
        <v/>
      </c>
      <c r="R1348" s="6" t="str">
        <f ca="1">IFERROR(__xludf.DUMMYFUNCTION("""COMPUTED_VALUE"""),"")</f>
        <v/>
      </c>
      <c r="S1348" t="str">
        <f ca="1">IFERROR(__xludf.DUMMYFUNCTION("""COMPUTED_VALUE"""),"")</f>
        <v/>
      </c>
      <c r="T1348" t="str">
        <f ca="1">IFERROR(__xludf.DUMMYFUNCTION("""COMPUTED_VALUE"""),"")</f>
        <v/>
      </c>
      <c r="U1348" t="str">
        <f ca="1">IFERROR(__xludf.DUMMYFUNCTION("""COMPUTED_VALUE"""),"")</f>
        <v/>
      </c>
      <c r="V1348" t="str">
        <f ca="1">IFERROR(__xludf.DUMMYFUNCTION("""COMPUTED_VALUE"""),"")</f>
        <v/>
      </c>
      <c r="W1348" t="str">
        <f ca="1">IFERROR(__xludf.DUMMYFUNCTION("""COMPUTED_VALUE"""),"")</f>
        <v/>
      </c>
      <c r="X1348" t="str">
        <f ca="1">IFERROR(__xludf.DUMMYFUNCTION("""COMPUTED_VALUE"""),"")</f>
        <v/>
      </c>
      <c r="Y1348" t="str">
        <f ca="1">IFERROR(__xludf.DUMMYFUNCTION("""COMPUTED_VALUE"""),"")</f>
        <v/>
      </c>
      <c r="Z1348" t="str">
        <f ca="1">IFERROR(__xludf.DUMMYFUNCTION("""COMPUTED_VALUE"""),"")</f>
        <v/>
      </c>
      <c r="AA1348" t="str">
        <f ca="1">IFERROR(__xludf.DUMMYFUNCTION("""COMPUTED_VALUE"""),"")</f>
        <v/>
      </c>
      <c r="AB1348" s="8" t="str">
        <f ca="1">IFERROR(__xludf.DUMMYFUNCTION("""COMPUTED_VALUE"""),"")</f>
        <v/>
      </c>
      <c r="AC1348" s="8" t="str">
        <f ca="1">IFERROR(__xludf.DUMMYFUNCTION("""COMPUTED_VALUE"""),"")</f>
        <v/>
      </c>
      <c r="AD1348" s="11" t="str">
        <f ca="1">IFERROR(__xludf.DUMMYFUNCTION("""COMPUTED_VALUE"""),"")</f>
        <v/>
      </c>
      <c r="AE1348" t="str">
        <f ca="1">IFERROR(__xludf.DUMMYFUNCTION("""COMPUTED_VALUE"""),"")</f>
        <v/>
      </c>
    </row>
    <row r="1349" spans="1:31" ht="12.75" x14ac:dyDescent="0.2">
      <c r="A1349" t="str">
        <f ca="1">IFERROR(__xludf.DUMMYFUNCTION("""COMPUTED_VALUE"""),"")</f>
        <v/>
      </c>
      <c r="B1349" t="str">
        <f ca="1">IFERROR(__xludf.DUMMYFUNCTION("""COMPUTED_VALUE"""),"")</f>
        <v/>
      </c>
      <c r="C1349" t="str">
        <f ca="1">IFERROR(__xludf.DUMMYFUNCTION("""COMPUTED_VALUE"""),"")</f>
        <v/>
      </c>
      <c r="D1349" t="str">
        <f ca="1">IFERROR(__xludf.DUMMYFUNCTION("""COMPUTED_VALUE"""),"")</f>
        <v/>
      </c>
      <c r="E1349" t="str">
        <f ca="1">IFERROR(__xludf.DUMMYFUNCTION("""COMPUTED_VALUE"""),"")</f>
        <v/>
      </c>
      <c r="F1349" t="str">
        <f ca="1">IFERROR(__xludf.DUMMYFUNCTION("""COMPUTED_VALUE"""),"")</f>
        <v/>
      </c>
      <c r="G1349" t="str">
        <f ca="1">IFERROR(__xludf.DUMMYFUNCTION("""COMPUTED_VALUE"""),"")</f>
        <v/>
      </c>
      <c r="H1349" t="str">
        <f ca="1">IFERROR(__xludf.DUMMYFUNCTION("""COMPUTED_VALUE"""),"")</f>
        <v/>
      </c>
      <c r="I1349" t="str">
        <f ca="1">IFERROR(__xludf.DUMMYFUNCTION("""COMPUTED_VALUE"""),"")</f>
        <v/>
      </c>
      <c r="J1349" t="str">
        <f ca="1">IFERROR(__xludf.DUMMYFUNCTION("""COMPUTED_VALUE"""),"")</f>
        <v/>
      </c>
      <c r="K1349" t="str">
        <f ca="1">IFERROR(__xludf.DUMMYFUNCTION("""COMPUTED_VALUE"""),"")</f>
        <v/>
      </c>
      <c r="L1349" t="str">
        <f ca="1">IFERROR(__xludf.DUMMYFUNCTION("""COMPUTED_VALUE"""),"")</f>
        <v/>
      </c>
      <c r="M1349" t="str">
        <f ca="1">IFERROR(__xludf.DUMMYFUNCTION("""COMPUTED_VALUE"""),"")</f>
        <v/>
      </c>
      <c r="N1349" t="str">
        <f ca="1">IFERROR(__xludf.DUMMYFUNCTION("""COMPUTED_VALUE"""),"")</f>
        <v/>
      </c>
      <c r="O1349" t="str">
        <f ca="1">IFERROR(__xludf.DUMMYFUNCTION("""COMPUTED_VALUE"""),"")</f>
        <v/>
      </c>
      <c r="P1349" t="str">
        <f ca="1">IFERROR(__xludf.DUMMYFUNCTION("""COMPUTED_VALUE"""),"")</f>
        <v/>
      </c>
      <c r="Q1349" s="5" t="str">
        <f ca="1">IFERROR(__xludf.DUMMYFUNCTION("""COMPUTED_VALUE"""),"")</f>
        <v/>
      </c>
      <c r="R1349" s="6" t="str">
        <f ca="1">IFERROR(__xludf.DUMMYFUNCTION("""COMPUTED_VALUE"""),"")</f>
        <v/>
      </c>
      <c r="S1349" t="str">
        <f ca="1">IFERROR(__xludf.DUMMYFUNCTION("""COMPUTED_VALUE"""),"")</f>
        <v/>
      </c>
      <c r="T1349" t="str">
        <f ca="1">IFERROR(__xludf.DUMMYFUNCTION("""COMPUTED_VALUE"""),"")</f>
        <v/>
      </c>
      <c r="U1349" t="str">
        <f ca="1">IFERROR(__xludf.DUMMYFUNCTION("""COMPUTED_VALUE"""),"")</f>
        <v/>
      </c>
      <c r="V1349" t="str">
        <f ca="1">IFERROR(__xludf.DUMMYFUNCTION("""COMPUTED_VALUE"""),"")</f>
        <v/>
      </c>
      <c r="W1349" t="str">
        <f ca="1">IFERROR(__xludf.DUMMYFUNCTION("""COMPUTED_VALUE"""),"")</f>
        <v/>
      </c>
      <c r="X1349" t="str">
        <f ca="1">IFERROR(__xludf.DUMMYFUNCTION("""COMPUTED_VALUE"""),"")</f>
        <v/>
      </c>
      <c r="Y1349" t="str">
        <f ca="1">IFERROR(__xludf.DUMMYFUNCTION("""COMPUTED_VALUE"""),"")</f>
        <v/>
      </c>
      <c r="Z1349" t="str">
        <f ca="1">IFERROR(__xludf.DUMMYFUNCTION("""COMPUTED_VALUE"""),"")</f>
        <v/>
      </c>
      <c r="AA1349" t="str">
        <f ca="1">IFERROR(__xludf.DUMMYFUNCTION("""COMPUTED_VALUE"""),"")</f>
        <v/>
      </c>
      <c r="AB1349" s="8" t="str">
        <f ca="1">IFERROR(__xludf.DUMMYFUNCTION("""COMPUTED_VALUE"""),"")</f>
        <v/>
      </c>
      <c r="AC1349" s="8" t="str">
        <f ca="1">IFERROR(__xludf.DUMMYFUNCTION("""COMPUTED_VALUE"""),"")</f>
        <v/>
      </c>
      <c r="AD1349" s="11" t="str">
        <f ca="1">IFERROR(__xludf.DUMMYFUNCTION("""COMPUTED_VALUE"""),"")</f>
        <v/>
      </c>
      <c r="AE1349" t="str">
        <f ca="1">IFERROR(__xludf.DUMMYFUNCTION("""COMPUTED_VALUE"""),"")</f>
        <v/>
      </c>
    </row>
    <row r="1350" spans="1:31" ht="12.75" x14ac:dyDescent="0.2">
      <c r="A1350" t="str">
        <f ca="1">IFERROR(__xludf.DUMMYFUNCTION("""COMPUTED_VALUE"""),"")</f>
        <v/>
      </c>
      <c r="B1350" t="str">
        <f ca="1">IFERROR(__xludf.DUMMYFUNCTION("""COMPUTED_VALUE"""),"")</f>
        <v/>
      </c>
      <c r="C1350" t="str">
        <f ca="1">IFERROR(__xludf.DUMMYFUNCTION("""COMPUTED_VALUE"""),"")</f>
        <v/>
      </c>
      <c r="D1350" t="str">
        <f ca="1">IFERROR(__xludf.DUMMYFUNCTION("""COMPUTED_VALUE"""),"")</f>
        <v/>
      </c>
      <c r="E1350" t="str">
        <f ca="1">IFERROR(__xludf.DUMMYFUNCTION("""COMPUTED_VALUE"""),"")</f>
        <v/>
      </c>
      <c r="F1350" t="str">
        <f ca="1">IFERROR(__xludf.DUMMYFUNCTION("""COMPUTED_VALUE"""),"")</f>
        <v/>
      </c>
      <c r="G1350" t="str">
        <f ca="1">IFERROR(__xludf.DUMMYFUNCTION("""COMPUTED_VALUE"""),"")</f>
        <v/>
      </c>
      <c r="H1350" t="str">
        <f ca="1">IFERROR(__xludf.DUMMYFUNCTION("""COMPUTED_VALUE"""),"")</f>
        <v/>
      </c>
      <c r="I1350" t="str">
        <f ca="1">IFERROR(__xludf.DUMMYFUNCTION("""COMPUTED_VALUE"""),"")</f>
        <v/>
      </c>
      <c r="J1350" t="str">
        <f ca="1">IFERROR(__xludf.DUMMYFUNCTION("""COMPUTED_VALUE"""),"")</f>
        <v/>
      </c>
      <c r="K1350" t="str">
        <f ca="1">IFERROR(__xludf.DUMMYFUNCTION("""COMPUTED_VALUE"""),"")</f>
        <v/>
      </c>
      <c r="L1350" t="str">
        <f ca="1">IFERROR(__xludf.DUMMYFUNCTION("""COMPUTED_VALUE"""),"")</f>
        <v/>
      </c>
      <c r="M1350" t="str">
        <f ca="1">IFERROR(__xludf.DUMMYFUNCTION("""COMPUTED_VALUE"""),"")</f>
        <v/>
      </c>
      <c r="N1350" t="str">
        <f ca="1">IFERROR(__xludf.DUMMYFUNCTION("""COMPUTED_VALUE"""),"")</f>
        <v/>
      </c>
      <c r="O1350" t="str">
        <f ca="1">IFERROR(__xludf.DUMMYFUNCTION("""COMPUTED_VALUE"""),"")</f>
        <v/>
      </c>
      <c r="P1350" t="str">
        <f ca="1">IFERROR(__xludf.DUMMYFUNCTION("""COMPUTED_VALUE"""),"")</f>
        <v/>
      </c>
      <c r="Q1350" s="5" t="str">
        <f ca="1">IFERROR(__xludf.DUMMYFUNCTION("""COMPUTED_VALUE"""),"")</f>
        <v/>
      </c>
      <c r="R1350" s="6" t="str">
        <f ca="1">IFERROR(__xludf.DUMMYFUNCTION("""COMPUTED_VALUE"""),"")</f>
        <v/>
      </c>
      <c r="S1350" t="str">
        <f ca="1">IFERROR(__xludf.DUMMYFUNCTION("""COMPUTED_VALUE"""),"")</f>
        <v/>
      </c>
      <c r="T1350" t="str">
        <f ca="1">IFERROR(__xludf.DUMMYFUNCTION("""COMPUTED_VALUE"""),"")</f>
        <v/>
      </c>
      <c r="U1350" t="str">
        <f ca="1">IFERROR(__xludf.DUMMYFUNCTION("""COMPUTED_VALUE"""),"")</f>
        <v/>
      </c>
      <c r="V1350" t="str">
        <f ca="1">IFERROR(__xludf.DUMMYFUNCTION("""COMPUTED_VALUE"""),"")</f>
        <v/>
      </c>
      <c r="W1350" t="str">
        <f ca="1">IFERROR(__xludf.DUMMYFUNCTION("""COMPUTED_VALUE"""),"")</f>
        <v/>
      </c>
      <c r="X1350" t="str">
        <f ca="1">IFERROR(__xludf.DUMMYFUNCTION("""COMPUTED_VALUE"""),"")</f>
        <v/>
      </c>
      <c r="Y1350" t="str">
        <f ca="1">IFERROR(__xludf.DUMMYFUNCTION("""COMPUTED_VALUE"""),"")</f>
        <v/>
      </c>
      <c r="Z1350" t="str">
        <f ca="1">IFERROR(__xludf.DUMMYFUNCTION("""COMPUTED_VALUE"""),"")</f>
        <v/>
      </c>
      <c r="AA1350" t="str">
        <f ca="1">IFERROR(__xludf.DUMMYFUNCTION("""COMPUTED_VALUE"""),"")</f>
        <v/>
      </c>
      <c r="AB1350" s="8" t="str">
        <f ca="1">IFERROR(__xludf.DUMMYFUNCTION("""COMPUTED_VALUE"""),"")</f>
        <v/>
      </c>
      <c r="AC1350" s="8" t="str">
        <f ca="1">IFERROR(__xludf.DUMMYFUNCTION("""COMPUTED_VALUE"""),"")</f>
        <v/>
      </c>
      <c r="AD1350" s="11" t="str">
        <f ca="1">IFERROR(__xludf.DUMMYFUNCTION("""COMPUTED_VALUE"""),"")</f>
        <v/>
      </c>
      <c r="AE1350" t="str">
        <f ca="1">IFERROR(__xludf.DUMMYFUNCTION("""COMPUTED_VALUE"""),"")</f>
        <v/>
      </c>
    </row>
    <row r="1351" spans="1:31" ht="12.75" x14ac:dyDescent="0.2">
      <c r="A1351" t="str">
        <f ca="1">IFERROR(__xludf.DUMMYFUNCTION("""COMPUTED_VALUE"""),"")</f>
        <v/>
      </c>
      <c r="B1351" t="str">
        <f ca="1">IFERROR(__xludf.DUMMYFUNCTION("""COMPUTED_VALUE"""),"")</f>
        <v/>
      </c>
      <c r="C1351" t="str">
        <f ca="1">IFERROR(__xludf.DUMMYFUNCTION("""COMPUTED_VALUE"""),"")</f>
        <v/>
      </c>
      <c r="D1351" t="str">
        <f ca="1">IFERROR(__xludf.DUMMYFUNCTION("""COMPUTED_VALUE"""),"")</f>
        <v/>
      </c>
      <c r="E1351" t="str">
        <f ca="1">IFERROR(__xludf.DUMMYFUNCTION("""COMPUTED_VALUE"""),"")</f>
        <v/>
      </c>
      <c r="F1351" t="str">
        <f ca="1">IFERROR(__xludf.DUMMYFUNCTION("""COMPUTED_VALUE"""),"")</f>
        <v/>
      </c>
      <c r="G1351" t="str">
        <f ca="1">IFERROR(__xludf.DUMMYFUNCTION("""COMPUTED_VALUE"""),"")</f>
        <v/>
      </c>
      <c r="H1351" t="str">
        <f ca="1">IFERROR(__xludf.DUMMYFUNCTION("""COMPUTED_VALUE"""),"")</f>
        <v/>
      </c>
      <c r="I1351" t="str">
        <f ca="1">IFERROR(__xludf.DUMMYFUNCTION("""COMPUTED_VALUE"""),"")</f>
        <v/>
      </c>
      <c r="J1351" t="str">
        <f ca="1">IFERROR(__xludf.DUMMYFUNCTION("""COMPUTED_VALUE"""),"")</f>
        <v/>
      </c>
      <c r="K1351" t="str">
        <f ca="1">IFERROR(__xludf.DUMMYFUNCTION("""COMPUTED_VALUE"""),"")</f>
        <v/>
      </c>
      <c r="L1351" t="str">
        <f ca="1">IFERROR(__xludf.DUMMYFUNCTION("""COMPUTED_VALUE"""),"")</f>
        <v/>
      </c>
      <c r="M1351" t="str">
        <f ca="1">IFERROR(__xludf.DUMMYFUNCTION("""COMPUTED_VALUE"""),"")</f>
        <v/>
      </c>
      <c r="N1351" t="str">
        <f ca="1">IFERROR(__xludf.DUMMYFUNCTION("""COMPUTED_VALUE"""),"")</f>
        <v/>
      </c>
      <c r="O1351" t="str">
        <f ca="1">IFERROR(__xludf.DUMMYFUNCTION("""COMPUTED_VALUE"""),"")</f>
        <v/>
      </c>
      <c r="P1351" t="str">
        <f ca="1">IFERROR(__xludf.DUMMYFUNCTION("""COMPUTED_VALUE"""),"")</f>
        <v/>
      </c>
      <c r="Q1351" s="5" t="str">
        <f ca="1">IFERROR(__xludf.DUMMYFUNCTION("""COMPUTED_VALUE"""),"")</f>
        <v/>
      </c>
      <c r="R1351" s="6" t="str">
        <f ca="1">IFERROR(__xludf.DUMMYFUNCTION("""COMPUTED_VALUE"""),"")</f>
        <v/>
      </c>
      <c r="S1351" t="str">
        <f ca="1">IFERROR(__xludf.DUMMYFUNCTION("""COMPUTED_VALUE"""),"")</f>
        <v/>
      </c>
      <c r="T1351" t="str">
        <f ca="1">IFERROR(__xludf.DUMMYFUNCTION("""COMPUTED_VALUE"""),"")</f>
        <v/>
      </c>
      <c r="U1351" t="str">
        <f ca="1">IFERROR(__xludf.DUMMYFUNCTION("""COMPUTED_VALUE"""),"")</f>
        <v/>
      </c>
      <c r="V1351" t="str">
        <f ca="1">IFERROR(__xludf.DUMMYFUNCTION("""COMPUTED_VALUE"""),"")</f>
        <v/>
      </c>
      <c r="W1351" t="str">
        <f ca="1">IFERROR(__xludf.DUMMYFUNCTION("""COMPUTED_VALUE"""),"")</f>
        <v/>
      </c>
      <c r="X1351" t="str">
        <f ca="1">IFERROR(__xludf.DUMMYFUNCTION("""COMPUTED_VALUE"""),"")</f>
        <v/>
      </c>
      <c r="Y1351" t="str">
        <f ca="1">IFERROR(__xludf.DUMMYFUNCTION("""COMPUTED_VALUE"""),"")</f>
        <v/>
      </c>
      <c r="Z1351" t="str">
        <f ca="1">IFERROR(__xludf.DUMMYFUNCTION("""COMPUTED_VALUE"""),"")</f>
        <v/>
      </c>
      <c r="AA1351" t="str">
        <f ca="1">IFERROR(__xludf.DUMMYFUNCTION("""COMPUTED_VALUE"""),"")</f>
        <v/>
      </c>
      <c r="AB1351" s="8" t="str">
        <f ca="1">IFERROR(__xludf.DUMMYFUNCTION("""COMPUTED_VALUE"""),"")</f>
        <v/>
      </c>
      <c r="AC1351" s="8" t="str">
        <f ca="1">IFERROR(__xludf.DUMMYFUNCTION("""COMPUTED_VALUE"""),"")</f>
        <v/>
      </c>
      <c r="AD1351" s="11" t="str">
        <f ca="1">IFERROR(__xludf.DUMMYFUNCTION("""COMPUTED_VALUE"""),"")</f>
        <v/>
      </c>
      <c r="AE1351" t="str">
        <f ca="1">IFERROR(__xludf.DUMMYFUNCTION("""COMPUTED_VALUE"""),"")</f>
        <v/>
      </c>
    </row>
    <row r="1352" spans="1:31" ht="12.75" x14ac:dyDescent="0.2">
      <c r="A1352" t="str">
        <f ca="1">IFERROR(__xludf.DUMMYFUNCTION("""COMPUTED_VALUE"""),"")</f>
        <v/>
      </c>
      <c r="B1352" t="str">
        <f ca="1">IFERROR(__xludf.DUMMYFUNCTION("""COMPUTED_VALUE"""),"")</f>
        <v/>
      </c>
      <c r="C1352" t="str">
        <f ca="1">IFERROR(__xludf.DUMMYFUNCTION("""COMPUTED_VALUE"""),"")</f>
        <v/>
      </c>
      <c r="D1352" t="str">
        <f ca="1">IFERROR(__xludf.DUMMYFUNCTION("""COMPUTED_VALUE"""),"")</f>
        <v/>
      </c>
      <c r="E1352" t="str">
        <f ca="1">IFERROR(__xludf.DUMMYFUNCTION("""COMPUTED_VALUE"""),"")</f>
        <v/>
      </c>
      <c r="F1352" t="str">
        <f ca="1">IFERROR(__xludf.DUMMYFUNCTION("""COMPUTED_VALUE"""),"")</f>
        <v/>
      </c>
      <c r="G1352" t="str">
        <f ca="1">IFERROR(__xludf.DUMMYFUNCTION("""COMPUTED_VALUE"""),"")</f>
        <v/>
      </c>
      <c r="H1352" t="str">
        <f ca="1">IFERROR(__xludf.DUMMYFUNCTION("""COMPUTED_VALUE"""),"")</f>
        <v/>
      </c>
      <c r="I1352" t="str">
        <f ca="1">IFERROR(__xludf.DUMMYFUNCTION("""COMPUTED_VALUE"""),"")</f>
        <v/>
      </c>
      <c r="J1352" t="str">
        <f ca="1">IFERROR(__xludf.DUMMYFUNCTION("""COMPUTED_VALUE"""),"")</f>
        <v/>
      </c>
      <c r="K1352" t="str">
        <f ca="1">IFERROR(__xludf.DUMMYFUNCTION("""COMPUTED_VALUE"""),"")</f>
        <v/>
      </c>
      <c r="L1352" t="str">
        <f ca="1">IFERROR(__xludf.DUMMYFUNCTION("""COMPUTED_VALUE"""),"")</f>
        <v/>
      </c>
      <c r="M1352" t="str">
        <f ca="1">IFERROR(__xludf.DUMMYFUNCTION("""COMPUTED_VALUE"""),"")</f>
        <v/>
      </c>
      <c r="N1352" t="str">
        <f ca="1">IFERROR(__xludf.DUMMYFUNCTION("""COMPUTED_VALUE"""),"")</f>
        <v/>
      </c>
      <c r="O1352" t="str">
        <f ca="1">IFERROR(__xludf.DUMMYFUNCTION("""COMPUTED_VALUE"""),"")</f>
        <v/>
      </c>
      <c r="P1352" t="str">
        <f ca="1">IFERROR(__xludf.DUMMYFUNCTION("""COMPUTED_VALUE"""),"")</f>
        <v/>
      </c>
      <c r="Q1352" s="5" t="str">
        <f ca="1">IFERROR(__xludf.DUMMYFUNCTION("""COMPUTED_VALUE"""),"")</f>
        <v/>
      </c>
      <c r="R1352" s="6" t="str">
        <f ca="1">IFERROR(__xludf.DUMMYFUNCTION("""COMPUTED_VALUE"""),"")</f>
        <v/>
      </c>
      <c r="S1352" t="str">
        <f ca="1">IFERROR(__xludf.DUMMYFUNCTION("""COMPUTED_VALUE"""),"")</f>
        <v/>
      </c>
      <c r="T1352" t="str">
        <f ca="1">IFERROR(__xludf.DUMMYFUNCTION("""COMPUTED_VALUE"""),"")</f>
        <v/>
      </c>
      <c r="U1352" t="str">
        <f ca="1">IFERROR(__xludf.DUMMYFUNCTION("""COMPUTED_VALUE"""),"")</f>
        <v/>
      </c>
      <c r="V1352" t="str">
        <f ca="1">IFERROR(__xludf.DUMMYFUNCTION("""COMPUTED_VALUE"""),"")</f>
        <v/>
      </c>
      <c r="W1352" t="str">
        <f ca="1">IFERROR(__xludf.DUMMYFUNCTION("""COMPUTED_VALUE"""),"")</f>
        <v/>
      </c>
      <c r="X1352" t="str">
        <f ca="1">IFERROR(__xludf.DUMMYFUNCTION("""COMPUTED_VALUE"""),"")</f>
        <v/>
      </c>
      <c r="Y1352" t="str">
        <f ca="1">IFERROR(__xludf.DUMMYFUNCTION("""COMPUTED_VALUE"""),"")</f>
        <v/>
      </c>
      <c r="Z1352" t="str">
        <f ca="1">IFERROR(__xludf.DUMMYFUNCTION("""COMPUTED_VALUE"""),"")</f>
        <v/>
      </c>
      <c r="AA1352" t="str">
        <f ca="1">IFERROR(__xludf.DUMMYFUNCTION("""COMPUTED_VALUE"""),"")</f>
        <v/>
      </c>
      <c r="AB1352" s="8" t="str">
        <f ca="1">IFERROR(__xludf.DUMMYFUNCTION("""COMPUTED_VALUE"""),"")</f>
        <v/>
      </c>
      <c r="AC1352" s="8" t="str">
        <f ca="1">IFERROR(__xludf.DUMMYFUNCTION("""COMPUTED_VALUE"""),"")</f>
        <v/>
      </c>
      <c r="AD1352" s="11" t="str">
        <f ca="1">IFERROR(__xludf.DUMMYFUNCTION("""COMPUTED_VALUE"""),"")</f>
        <v/>
      </c>
      <c r="AE1352" t="str">
        <f ca="1">IFERROR(__xludf.DUMMYFUNCTION("""COMPUTED_VALUE"""),"")</f>
        <v/>
      </c>
    </row>
    <row r="1353" spans="1:31" ht="12.75" x14ac:dyDescent="0.2">
      <c r="A1353" t="str">
        <f ca="1">IFERROR(__xludf.DUMMYFUNCTION("""COMPUTED_VALUE"""),"")</f>
        <v/>
      </c>
      <c r="B1353" t="str">
        <f ca="1">IFERROR(__xludf.DUMMYFUNCTION("""COMPUTED_VALUE"""),"")</f>
        <v/>
      </c>
      <c r="C1353" t="str">
        <f ca="1">IFERROR(__xludf.DUMMYFUNCTION("""COMPUTED_VALUE"""),"")</f>
        <v/>
      </c>
      <c r="D1353" t="str">
        <f ca="1">IFERROR(__xludf.DUMMYFUNCTION("""COMPUTED_VALUE"""),"")</f>
        <v/>
      </c>
      <c r="E1353" t="str">
        <f ca="1">IFERROR(__xludf.DUMMYFUNCTION("""COMPUTED_VALUE"""),"")</f>
        <v/>
      </c>
      <c r="F1353" t="str">
        <f ca="1">IFERROR(__xludf.DUMMYFUNCTION("""COMPUTED_VALUE"""),"")</f>
        <v/>
      </c>
      <c r="G1353" t="str">
        <f ca="1">IFERROR(__xludf.DUMMYFUNCTION("""COMPUTED_VALUE"""),"")</f>
        <v/>
      </c>
      <c r="H1353" t="str">
        <f ca="1">IFERROR(__xludf.DUMMYFUNCTION("""COMPUTED_VALUE"""),"")</f>
        <v/>
      </c>
      <c r="I1353" t="str">
        <f ca="1">IFERROR(__xludf.DUMMYFUNCTION("""COMPUTED_VALUE"""),"")</f>
        <v/>
      </c>
      <c r="J1353" t="str">
        <f ca="1">IFERROR(__xludf.DUMMYFUNCTION("""COMPUTED_VALUE"""),"")</f>
        <v/>
      </c>
      <c r="K1353" t="str">
        <f ca="1">IFERROR(__xludf.DUMMYFUNCTION("""COMPUTED_VALUE"""),"")</f>
        <v/>
      </c>
      <c r="L1353" t="str">
        <f ca="1">IFERROR(__xludf.DUMMYFUNCTION("""COMPUTED_VALUE"""),"")</f>
        <v/>
      </c>
      <c r="M1353" t="str">
        <f ca="1">IFERROR(__xludf.DUMMYFUNCTION("""COMPUTED_VALUE"""),"")</f>
        <v/>
      </c>
      <c r="N1353" t="str">
        <f ca="1">IFERROR(__xludf.DUMMYFUNCTION("""COMPUTED_VALUE"""),"")</f>
        <v/>
      </c>
      <c r="O1353" t="str">
        <f ca="1">IFERROR(__xludf.DUMMYFUNCTION("""COMPUTED_VALUE"""),"")</f>
        <v/>
      </c>
      <c r="P1353" t="str">
        <f ca="1">IFERROR(__xludf.DUMMYFUNCTION("""COMPUTED_VALUE"""),"")</f>
        <v/>
      </c>
      <c r="Q1353" s="5" t="str">
        <f ca="1">IFERROR(__xludf.DUMMYFUNCTION("""COMPUTED_VALUE"""),"")</f>
        <v/>
      </c>
      <c r="R1353" s="6" t="str">
        <f ca="1">IFERROR(__xludf.DUMMYFUNCTION("""COMPUTED_VALUE"""),"")</f>
        <v/>
      </c>
      <c r="S1353" t="str">
        <f ca="1">IFERROR(__xludf.DUMMYFUNCTION("""COMPUTED_VALUE"""),"")</f>
        <v/>
      </c>
      <c r="T1353" t="str">
        <f ca="1">IFERROR(__xludf.DUMMYFUNCTION("""COMPUTED_VALUE"""),"")</f>
        <v/>
      </c>
      <c r="U1353" t="str">
        <f ca="1">IFERROR(__xludf.DUMMYFUNCTION("""COMPUTED_VALUE"""),"")</f>
        <v/>
      </c>
      <c r="V1353" t="str">
        <f ca="1">IFERROR(__xludf.DUMMYFUNCTION("""COMPUTED_VALUE"""),"")</f>
        <v/>
      </c>
      <c r="W1353" t="str">
        <f ca="1">IFERROR(__xludf.DUMMYFUNCTION("""COMPUTED_VALUE"""),"")</f>
        <v/>
      </c>
      <c r="X1353" t="str">
        <f ca="1">IFERROR(__xludf.DUMMYFUNCTION("""COMPUTED_VALUE"""),"")</f>
        <v/>
      </c>
      <c r="Y1353" t="str">
        <f ca="1">IFERROR(__xludf.DUMMYFUNCTION("""COMPUTED_VALUE"""),"")</f>
        <v/>
      </c>
      <c r="Z1353" t="str">
        <f ca="1">IFERROR(__xludf.DUMMYFUNCTION("""COMPUTED_VALUE"""),"")</f>
        <v/>
      </c>
      <c r="AA1353" t="str">
        <f ca="1">IFERROR(__xludf.DUMMYFUNCTION("""COMPUTED_VALUE"""),"")</f>
        <v/>
      </c>
      <c r="AB1353" s="8" t="str">
        <f ca="1">IFERROR(__xludf.DUMMYFUNCTION("""COMPUTED_VALUE"""),"")</f>
        <v/>
      </c>
      <c r="AC1353" s="8" t="str">
        <f ca="1">IFERROR(__xludf.DUMMYFUNCTION("""COMPUTED_VALUE"""),"")</f>
        <v/>
      </c>
      <c r="AD1353" s="11" t="str">
        <f ca="1">IFERROR(__xludf.DUMMYFUNCTION("""COMPUTED_VALUE"""),"")</f>
        <v/>
      </c>
      <c r="AE1353" t="str">
        <f ca="1">IFERROR(__xludf.DUMMYFUNCTION("""COMPUTED_VALUE"""),"")</f>
        <v/>
      </c>
    </row>
    <row r="1354" spans="1:31" ht="12.75" x14ac:dyDescent="0.2">
      <c r="A1354" t="str">
        <f ca="1">IFERROR(__xludf.DUMMYFUNCTION("""COMPUTED_VALUE"""),"")</f>
        <v/>
      </c>
      <c r="B1354" t="str">
        <f ca="1">IFERROR(__xludf.DUMMYFUNCTION("""COMPUTED_VALUE"""),"")</f>
        <v/>
      </c>
      <c r="C1354" t="str">
        <f ca="1">IFERROR(__xludf.DUMMYFUNCTION("""COMPUTED_VALUE"""),"")</f>
        <v/>
      </c>
      <c r="D1354" t="str">
        <f ca="1">IFERROR(__xludf.DUMMYFUNCTION("""COMPUTED_VALUE"""),"")</f>
        <v/>
      </c>
      <c r="E1354" t="str">
        <f ca="1">IFERROR(__xludf.DUMMYFUNCTION("""COMPUTED_VALUE"""),"")</f>
        <v/>
      </c>
      <c r="F1354" t="str">
        <f ca="1">IFERROR(__xludf.DUMMYFUNCTION("""COMPUTED_VALUE"""),"")</f>
        <v/>
      </c>
      <c r="G1354" t="str">
        <f ca="1">IFERROR(__xludf.DUMMYFUNCTION("""COMPUTED_VALUE"""),"")</f>
        <v/>
      </c>
      <c r="H1354" t="str">
        <f ca="1">IFERROR(__xludf.DUMMYFUNCTION("""COMPUTED_VALUE"""),"")</f>
        <v/>
      </c>
      <c r="I1354" t="str">
        <f ca="1">IFERROR(__xludf.DUMMYFUNCTION("""COMPUTED_VALUE"""),"")</f>
        <v/>
      </c>
      <c r="J1354" t="str">
        <f ca="1">IFERROR(__xludf.DUMMYFUNCTION("""COMPUTED_VALUE"""),"")</f>
        <v/>
      </c>
      <c r="K1354" t="str">
        <f ca="1">IFERROR(__xludf.DUMMYFUNCTION("""COMPUTED_VALUE"""),"")</f>
        <v/>
      </c>
      <c r="L1354" t="str">
        <f ca="1">IFERROR(__xludf.DUMMYFUNCTION("""COMPUTED_VALUE"""),"")</f>
        <v/>
      </c>
      <c r="M1354" t="str">
        <f ca="1">IFERROR(__xludf.DUMMYFUNCTION("""COMPUTED_VALUE"""),"")</f>
        <v/>
      </c>
      <c r="N1354" t="str">
        <f ca="1">IFERROR(__xludf.DUMMYFUNCTION("""COMPUTED_VALUE"""),"")</f>
        <v/>
      </c>
      <c r="O1354" t="str">
        <f ca="1">IFERROR(__xludf.DUMMYFUNCTION("""COMPUTED_VALUE"""),"")</f>
        <v/>
      </c>
      <c r="P1354" t="str">
        <f ca="1">IFERROR(__xludf.DUMMYFUNCTION("""COMPUTED_VALUE"""),"")</f>
        <v/>
      </c>
      <c r="Q1354" s="5" t="str">
        <f ca="1">IFERROR(__xludf.DUMMYFUNCTION("""COMPUTED_VALUE"""),"")</f>
        <v/>
      </c>
      <c r="R1354" s="6" t="str">
        <f ca="1">IFERROR(__xludf.DUMMYFUNCTION("""COMPUTED_VALUE"""),"")</f>
        <v/>
      </c>
      <c r="S1354" t="str">
        <f ca="1">IFERROR(__xludf.DUMMYFUNCTION("""COMPUTED_VALUE"""),"")</f>
        <v/>
      </c>
      <c r="T1354" t="str">
        <f ca="1">IFERROR(__xludf.DUMMYFUNCTION("""COMPUTED_VALUE"""),"")</f>
        <v/>
      </c>
      <c r="U1354" t="str">
        <f ca="1">IFERROR(__xludf.DUMMYFUNCTION("""COMPUTED_VALUE"""),"")</f>
        <v/>
      </c>
      <c r="V1354" t="str">
        <f ca="1">IFERROR(__xludf.DUMMYFUNCTION("""COMPUTED_VALUE"""),"")</f>
        <v/>
      </c>
      <c r="W1354" t="str">
        <f ca="1">IFERROR(__xludf.DUMMYFUNCTION("""COMPUTED_VALUE"""),"")</f>
        <v/>
      </c>
      <c r="X1354" t="str">
        <f ca="1">IFERROR(__xludf.DUMMYFUNCTION("""COMPUTED_VALUE"""),"")</f>
        <v/>
      </c>
      <c r="Y1354" t="str">
        <f ca="1">IFERROR(__xludf.DUMMYFUNCTION("""COMPUTED_VALUE"""),"")</f>
        <v/>
      </c>
      <c r="Z1354" t="str">
        <f ca="1">IFERROR(__xludf.DUMMYFUNCTION("""COMPUTED_VALUE"""),"")</f>
        <v/>
      </c>
      <c r="AA1354" t="str">
        <f ca="1">IFERROR(__xludf.DUMMYFUNCTION("""COMPUTED_VALUE"""),"")</f>
        <v/>
      </c>
      <c r="AB1354" s="8" t="str">
        <f ca="1">IFERROR(__xludf.DUMMYFUNCTION("""COMPUTED_VALUE"""),"")</f>
        <v/>
      </c>
      <c r="AC1354" s="8" t="str">
        <f ca="1">IFERROR(__xludf.DUMMYFUNCTION("""COMPUTED_VALUE"""),"")</f>
        <v/>
      </c>
      <c r="AD1354" s="11" t="str">
        <f ca="1">IFERROR(__xludf.DUMMYFUNCTION("""COMPUTED_VALUE"""),"")</f>
        <v/>
      </c>
      <c r="AE1354" t="str">
        <f ca="1">IFERROR(__xludf.DUMMYFUNCTION("""COMPUTED_VALUE"""),"")</f>
        <v/>
      </c>
    </row>
    <row r="1355" spans="1:31" ht="12.75" x14ac:dyDescent="0.2">
      <c r="A1355" t="str">
        <f ca="1">IFERROR(__xludf.DUMMYFUNCTION("""COMPUTED_VALUE"""),"")</f>
        <v/>
      </c>
      <c r="B1355" t="str">
        <f ca="1">IFERROR(__xludf.DUMMYFUNCTION("""COMPUTED_VALUE"""),"")</f>
        <v/>
      </c>
      <c r="C1355" t="str">
        <f ca="1">IFERROR(__xludf.DUMMYFUNCTION("""COMPUTED_VALUE"""),"")</f>
        <v/>
      </c>
      <c r="D1355" t="str">
        <f ca="1">IFERROR(__xludf.DUMMYFUNCTION("""COMPUTED_VALUE"""),"")</f>
        <v/>
      </c>
      <c r="E1355" t="str">
        <f ca="1">IFERROR(__xludf.DUMMYFUNCTION("""COMPUTED_VALUE"""),"")</f>
        <v/>
      </c>
      <c r="F1355" t="str">
        <f ca="1">IFERROR(__xludf.DUMMYFUNCTION("""COMPUTED_VALUE"""),"")</f>
        <v/>
      </c>
      <c r="G1355" t="str">
        <f ca="1">IFERROR(__xludf.DUMMYFUNCTION("""COMPUTED_VALUE"""),"")</f>
        <v/>
      </c>
      <c r="H1355" t="str">
        <f ca="1">IFERROR(__xludf.DUMMYFUNCTION("""COMPUTED_VALUE"""),"")</f>
        <v/>
      </c>
      <c r="I1355" t="str">
        <f ca="1">IFERROR(__xludf.DUMMYFUNCTION("""COMPUTED_VALUE"""),"")</f>
        <v/>
      </c>
      <c r="J1355" t="str">
        <f ca="1">IFERROR(__xludf.DUMMYFUNCTION("""COMPUTED_VALUE"""),"")</f>
        <v/>
      </c>
      <c r="K1355" t="str">
        <f ca="1">IFERROR(__xludf.DUMMYFUNCTION("""COMPUTED_VALUE"""),"")</f>
        <v/>
      </c>
      <c r="L1355" t="str">
        <f ca="1">IFERROR(__xludf.DUMMYFUNCTION("""COMPUTED_VALUE"""),"")</f>
        <v/>
      </c>
      <c r="M1355" t="str">
        <f ca="1">IFERROR(__xludf.DUMMYFUNCTION("""COMPUTED_VALUE"""),"")</f>
        <v/>
      </c>
      <c r="N1355" t="str">
        <f ca="1">IFERROR(__xludf.DUMMYFUNCTION("""COMPUTED_VALUE"""),"")</f>
        <v/>
      </c>
      <c r="O1355" t="str">
        <f ca="1">IFERROR(__xludf.DUMMYFUNCTION("""COMPUTED_VALUE"""),"")</f>
        <v/>
      </c>
      <c r="P1355" t="str">
        <f ca="1">IFERROR(__xludf.DUMMYFUNCTION("""COMPUTED_VALUE"""),"")</f>
        <v/>
      </c>
      <c r="Q1355" s="5" t="str">
        <f ca="1">IFERROR(__xludf.DUMMYFUNCTION("""COMPUTED_VALUE"""),"")</f>
        <v/>
      </c>
      <c r="R1355" s="6" t="str">
        <f ca="1">IFERROR(__xludf.DUMMYFUNCTION("""COMPUTED_VALUE"""),"")</f>
        <v/>
      </c>
      <c r="S1355" t="str">
        <f ca="1">IFERROR(__xludf.DUMMYFUNCTION("""COMPUTED_VALUE"""),"")</f>
        <v/>
      </c>
      <c r="T1355" t="str">
        <f ca="1">IFERROR(__xludf.DUMMYFUNCTION("""COMPUTED_VALUE"""),"")</f>
        <v/>
      </c>
      <c r="U1355" t="str">
        <f ca="1">IFERROR(__xludf.DUMMYFUNCTION("""COMPUTED_VALUE"""),"")</f>
        <v/>
      </c>
      <c r="V1355" t="str">
        <f ca="1">IFERROR(__xludf.DUMMYFUNCTION("""COMPUTED_VALUE"""),"")</f>
        <v/>
      </c>
      <c r="W1355" t="str">
        <f ca="1">IFERROR(__xludf.DUMMYFUNCTION("""COMPUTED_VALUE"""),"")</f>
        <v/>
      </c>
      <c r="X1355" t="str">
        <f ca="1">IFERROR(__xludf.DUMMYFUNCTION("""COMPUTED_VALUE"""),"")</f>
        <v/>
      </c>
      <c r="Y1355" t="str">
        <f ca="1">IFERROR(__xludf.DUMMYFUNCTION("""COMPUTED_VALUE"""),"")</f>
        <v/>
      </c>
      <c r="Z1355" t="str">
        <f ca="1">IFERROR(__xludf.DUMMYFUNCTION("""COMPUTED_VALUE"""),"")</f>
        <v/>
      </c>
      <c r="AA1355" t="str">
        <f ca="1">IFERROR(__xludf.DUMMYFUNCTION("""COMPUTED_VALUE"""),"")</f>
        <v/>
      </c>
      <c r="AB1355" s="8" t="str">
        <f ca="1">IFERROR(__xludf.DUMMYFUNCTION("""COMPUTED_VALUE"""),"")</f>
        <v/>
      </c>
      <c r="AC1355" s="8" t="str">
        <f ca="1">IFERROR(__xludf.DUMMYFUNCTION("""COMPUTED_VALUE"""),"")</f>
        <v/>
      </c>
      <c r="AD1355" s="11" t="str">
        <f ca="1">IFERROR(__xludf.DUMMYFUNCTION("""COMPUTED_VALUE"""),"")</f>
        <v/>
      </c>
      <c r="AE1355" t="str">
        <f ca="1">IFERROR(__xludf.DUMMYFUNCTION("""COMPUTED_VALUE"""),"")</f>
        <v/>
      </c>
    </row>
    <row r="1356" spans="1:31" ht="12.75" x14ac:dyDescent="0.2">
      <c r="A1356" t="str">
        <f ca="1">IFERROR(__xludf.DUMMYFUNCTION("""COMPUTED_VALUE"""),"")</f>
        <v/>
      </c>
      <c r="B1356" t="str">
        <f ca="1">IFERROR(__xludf.DUMMYFUNCTION("""COMPUTED_VALUE"""),"")</f>
        <v/>
      </c>
      <c r="C1356" t="str">
        <f ca="1">IFERROR(__xludf.DUMMYFUNCTION("""COMPUTED_VALUE"""),"")</f>
        <v/>
      </c>
      <c r="D1356" t="str">
        <f ca="1">IFERROR(__xludf.DUMMYFUNCTION("""COMPUTED_VALUE"""),"")</f>
        <v/>
      </c>
      <c r="E1356" t="str">
        <f ca="1">IFERROR(__xludf.DUMMYFUNCTION("""COMPUTED_VALUE"""),"")</f>
        <v/>
      </c>
      <c r="F1356" t="str">
        <f ca="1">IFERROR(__xludf.DUMMYFUNCTION("""COMPUTED_VALUE"""),"")</f>
        <v/>
      </c>
      <c r="G1356" t="str">
        <f ca="1">IFERROR(__xludf.DUMMYFUNCTION("""COMPUTED_VALUE"""),"")</f>
        <v/>
      </c>
      <c r="H1356" t="str">
        <f ca="1">IFERROR(__xludf.DUMMYFUNCTION("""COMPUTED_VALUE"""),"")</f>
        <v/>
      </c>
      <c r="I1356" t="str">
        <f ca="1">IFERROR(__xludf.DUMMYFUNCTION("""COMPUTED_VALUE"""),"")</f>
        <v/>
      </c>
      <c r="J1356" t="str">
        <f ca="1">IFERROR(__xludf.DUMMYFUNCTION("""COMPUTED_VALUE"""),"")</f>
        <v/>
      </c>
      <c r="K1356" t="str">
        <f ca="1">IFERROR(__xludf.DUMMYFUNCTION("""COMPUTED_VALUE"""),"")</f>
        <v/>
      </c>
      <c r="L1356" t="str">
        <f ca="1">IFERROR(__xludf.DUMMYFUNCTION("""COMPUTED_VALUE"""),"")</f>
        <v/>
      </c>
      <c r="M1356" t="str">
        <f ca="1">IFERROR(__xludf.DUMMYFUNCTION("""COMPUTED_VALUE"""),"")</f>
        <v/>
      </c>
      <c r="N1356" t="str">
        <f ca="1">IFERROR(__xludf.DUMMYFUNCTION("""COMPUTED_VALUE"""),"")</f>
        <v/>
      </c>
      <c r="O1356" t="str">
        <f ca="1">IFERROR(__xludf.DUMMYFUNCTION("""COMPUTED_VALUE"""),"")</f>
        <v/>
      </c>
      <c r="P1356" t="str">
        <f ca="1">IFERROR(__xludf.DUMMYFUNCTION("""COMPUTED_VALUE"""),"")</f>
        <v/>
      </c>
      <c r="Q1356" s="5" t="str">
        <f ca="1">IFERROR(__xludf.DUMMYFUNCTION("""COMPUTED_VALUE"""),"")</f>
        <v/>
      </c>
      <c r="R1356" s="6" t="str">
        <f ca="1">IFERROR(__xludf.DUMMYFUNCTION("""COMPUTED_VALUE"""),"")</f>
        <v/>
      </c>
      <c r="S1356" t="str">
        <f ca="1">IFERROR(__xludf.DUMMYFUNCTION("""COMPUTED_VALUE"""),"")</f>
        <v/>
      </c>
      <c r="T1356" t="str">
        <f ca="1">IFERROR(__xludf.DUMMYFUNCTION("""COMPUTED_VALUE"""),"")</f>
        <v/>
      </c>
      <c r="U1356" t="str">
        <f ca="1">IFERROR(__xludf.DUMMYFUNCTION("""COMPUTED_VALUE"""),"")</f>
        <v/>
      </c>
      <c r="V1356" t="str">
        <f ca="1">IFERROR(__xludf.DUMMYFUNCTION("""COMPUTED_VALUE"""),"")</f>
        <v/>
      </c>
      <c r="W1356" t="str">
        <f ca="1">IFERROR(__xludf.DUMMYFUNCTION("""COMPUTED_VALUE"""),"")</f>
        <v/>
      </c>
      <c r="X1356" t="str">
        <f ca="1">IFERROR(__xludf.DUMMYFUNCTION("""COMPUTED_VALUE"""),"")</f>
        <v/>
      </c>
      <c r="Y1356" t="str">
        <f ca="1">IFERROR(__xludf.DUMMYFUNCTION("""COMPUTED_VALUE"""),"")</f>
        <v/>
      </c>
      <c r="Z1356" t="str">
        <f ca="1">IFERROR(__xludf.DUMMYFUNCTION("""COMPUTED_VALUE"""),"")</f>
        <v/>
      </c>
      <c r="AA1356" t="str">
        <f ca="1">IFERROR(__xludf.DUMMYFUNCTION("""COMPUTED_VALUE"""),"")</f>
        <v/>
      </c>
      <c r="AB1356" s="8" t="str">
        <f ca="1">IFERROR(__xludf.DUMMYFUNCTION("""COMPUTED_VALUE"""),"")</f>
        <v/>
      </c>
      <c r="AC1356" s="8" t="str">
        <f ca="1">IFERROR(__xludf.DUMMYFUNCTION("""COMPUTED_VALUE"""),"")</f>
        <v/>
      </c>
      <c r="AD1356" s="11" t="str">
        <f ca="1">IFERROR(__xludf.DUMMYFUNCTION("""COMPUTED_VALUE"""),"")</f>
        <v/>
      </c>
      <c r="AE1356" t="str">
        <f ca="1">IFERROR(__xludf.DUMMYFUNCTION("""COMPUTED_VALUE"""),"")</f>
        <v/>
      </c>
    </row>
    <row r="1357" spans="1:31" ht="12.75" x14ac:dyDescent="0.2">
      <c r="A1357" t="str">
        <f ca="1">IFERROR(__xludf.DUMMYFUNCTION("""COMPUTED_VALUE"""),"")</f>
        <v/>
      </c>
      <c r="B1357" t="str">
        <f ca="1">IFERROR(__xludf.DUMMYFUNCTION("""COMPUTED_VALUE"""),"")</f>
        <v/>
      </c>
      <c r="C1357" t="str">
        <f ca="1">IFERROR(__xludf.DUMMYFUNCTION("""COMPUTED_VALUE"""),"")</f>
        <v/>
      </c>
      <c r="D1357" t="str">
        <f ca="1">IFERROR(__xludf.DUMMYFUNCTION("""COMPUTED_VALUE"""),"")</f>
        <v/>
      </c>
      <c r="E1357" t="str">
        <f ca="1">IFERROR(__xludf.DUMMYFUNCTION("""COMPUTED_VALUE"""),"")</f>
        <v/>
      </c>
      <c r="F1357" t="str">
        <f ca="1">IFERROR(__xludf.DUMMYFUNCTION("""COMPUTED_VALUE"""),"")</f>
        <v/>
      </c>
      <c r="G1357" t="str">
        <f ca="1">IFERROR(__xludf.DUMMYFUNCTION("""COMPUTED_VALUE"""),"")</f>
        <v/>
      </c>
      <c r="H1357" t="str">
        <f ca="1">IFERROR(__xludf.DUMMYFUNCTION("""COMPUTED_VALUE"""),"")</f>
        <v/>
      </c>
      <c r="I1357" t="str">
        <f ca="1">IFERROR(__xludf.DUMMYFUNCTION("""COMPUTED_VALUE"""),"")</f>
        <v/>
      </c>
      <c r="J1357" t="str">
        <f ca="1">IFERROR(__xludf.DUMMYFUNCTION("""COMPUTED_VALUE"""),"")</f>
        <v/>
      </c>
      <c r="K1357" t="str">
        <f ca="1">IFERROR(__xludf.DUMMYFUNCTION("""COMPUTED_VALUE"""),"")</f>
        <v/>
      </c>
      <c r="L1357" t="str">
        <f ca="1">IFERROR(__xludf.DUMMYFUNCTION("""COMPUTED_VALUE"""),"")</f>
        <v/>
      </c>
      <c r="M1357" t="str">
        <f ca="1">IFERROR(__xludf.DUMMYFUNCTION("""COMPUTED_VALUE"""),"")</f>
        <v/>
      </c>
      <c r="N1357" t="str">
        <f ca="1">IFERROR(__xludf.DUMMYFUNCTION("""COMPUTED_VALUE"""),"")</f>
        <v/>
      </c>
      <c r="O1357" t="str">
        <f ca="1">IFERROR(__xludf.DUMMYFUNCTION("""COMPUTED_VALUE"""),"")</f>
        <v/>
      </c>
      <c r="P1357" t="str">
        <f ca="1">IFERROR(__xludf.DUMMYFUNCTION("""COMPUTED_VALUE"""),"")</f>
        <v/>
      </c>
      <c r="Q1357" s="5" t="str">
        <f ca="1">IFERROR(__xludf.DUMMYFUNCTION("""COMPUTED_VALUE"""),"")</f>
        <v/>
      </c>
      <c r="R1357" s="6" t="str">
        <f ca="1">IFERROR(__xludf.DUMMYFUNCTION("""COMPUTED_VALUE"""),"")</f>
        <v/>
      </c>
      <c r="S1357" t="str">
        <f ca="1">IFERROR(__xludf.DUMMYFUNCTION("""COMPUTED_VALUE"""),"")</f>
        <v/>
      </c>
      <c r="T1357" t="str">
        <f ca="1">IFERROR(__xludf.DUMMYFUNCTION("""COMPUTED_VALUE"""),"")</f>
        <v/>
      </c>
      <c r="U1357" t="str">
        <f ca="1">IFERROR(__xludf.DUMMYFUNCTION("""COMPUTED_VALUE"""),"")</f>
        <v/>
      </c>
      <c r="V1357" t="str">
        <f ca="1">IFERROR(__xludf.DUMMYFUNCTION("""COMPUTED_VALUE"""),"")</f>
        <v/>
      </c>
      <c r="W1357" t="str">
        <f ca="1">IFERROR(__xludf.DUMMYFUNCTION("""COMPUTED_VALUE"""),"")</f>
        <v/>
      </c>
      <c r="X1357" t="str">
        <f ca="1">IFERROR(__xludf.DUMMYFUNCTION("""COMPUTED_VALUE"""),"")</f>
        <v/>
      </c>
      <c r="Y1357" t="str">
        <f ca="1">IFERROR(__xludf.DUMMYFUNCTION("""COMPUTED_VALUE"""),"")</f>
        <v/>
      </c>
      <c r="Z1357" t="str">
        <f ca="1">IFERROR(__xludf.DUMMYFUNCTION("""COMPUTED_VALUE"""),"")</f>
        <v/>
      </c>
      <c r="AA1357" t="str">
        <f ca="1">IFERROR(__xludf.DUMMYFUNCTION("""COMPUTED_VALUE"""),"")</f>
        <v/>
      </c>
      <c r="AB1357" s="8" t="str">
        <f ca="1">IFERROR(__xludf.DUMMYFUNCTION("""COMPUTED_VALUE"""),"")</f>
        <v/>
      </c>
      <c r="AC1357" s="8" t="str">
        <f ca="1">IFERROR(__xludf.DUMMYFUNCTION("""COMPUTED_VALUE"""),"")</f>
        <v/>
      </c>
      <c r="AD1357" s="11" t="str">
        <f ca="1">IFERROR(__xludf.DUMMYFUNCTION("""COMPUTED_VALUE"""),"")</f>
        <v/>
      </c>
      <c r="AE1357" t="str">
        <f ca="1">IFERROR(__xludf.DUMMYFUNCTION("""COMPUTED_VALUE"""),"")</f>
        <v/>
      </c>
    </row>
    <row r="1358" spans="1:31" ht="12.75" x14ac:dyDescent="0.2">
      <c r="A1358" t="str">
        <f ca="1">IFERROR(__xludf.DUMMYFUNCTION("""COMPUTED_VALUE"""),"")</f>
        <v/>
      </c>
      <c r="B1358" t="str">
        <f ca="1">IFERROR(__xludf.DUMMYFUNCTION("""COMPUTED_VALUE"""),"")</f>
        <v/>
      </c>
      <c r="C1358" t="str">
        <f ca="1">IFERROR(__xludf.DUMMYFUNCTION("""COMPUTED_VALUE"""),"")</f>
        <v/>
      </c>
      <c r="D1358" t="str">
        <f ca="1">IFERROR(__xludf.DUMMYFUNCTION("""COMPUTED_VALUE"""),"")</f>
        <v/>
      </c>
      <c r="E1358" t="str">
        <f ca="1">IFERROR(__xludf.DUMMYFUNCTION("""COMPUTED_VALUE"""),"")</f>
        <v/>
      </c>
      <c r="F1358" t="str">
        <f ca="1">IFERROR(__xludf.DUMMYFUNCTION("""COMPUTED_VALUE"""),"")</f>
        <v/>
      </c>
      <c r="G1358" t="str">
        <f ca="1">IFERROR(__xludf.DUMMYFUNCTION("""COMPUTED_VALUE"""),"")</f>
        <v/>
      </c>
      <c r="H1358" t="str">
        <f ca="1">IFERROR(__xludf.DUMMYFUNCTION("""COMPUTED_VALUE"""),"")</f>
        <v/>
      </c>
      <c r="I1358" t="str">
        <f ca="1">IFERROR(__xludf.DUMMYFUNCTION("""COMPUTED_VALUE"""),"")</f>
        <v/>
      </c>
      <c r="J1358" t="str">
        <f ca="1">IFERROR(__xludf.DUMMYFUNCTION("""COMPUTED_VALUE"""),"")</f>
        <v/>
      </c>
      <c r="K1358" t="str">
        <f ca="1">IFERROR(__xludf.DUMMYFUNCTION("""COMPUTED_VALUE"""),"")</f>
        <v/>
      </c>
      <c r="L1358" t="str">
        <f ca="1">IFERROR(__xludf.DUMMYFUNCTION("""COMPUTED_VALUE"""),"")</f>
        <v/>
      </c>
      <c r="M1358" t="str">
        <f ca="1">IFERROR(__xludf.DUMMYFUNCTION("""COMPUTED_VALUE"""),"")</f>
        <v/>
      </c>
      <c r="N1358" t="str">
        <f ca="1">IFERROR(__xludf.DUMMYFUNCTION("""COMPUTED_VALUE"""),"")</f>
        <v/>
      </c>
      <c r="O1358" t="str">
        <f ca="1">IFERROR(__xludf.DUMMYFUNCTION("""COMPUTED_VALUE"""),"")</f>
        <v/>
      </c>
      <c r="P1358" t="str">
        <f ca="1">IFERROR(__xludf.DUMMYFUNCTION("""COMPUTED_VALUE"""),"")</f>
        <v/>
      </c>
      <c r="Q1358" s="5" t="str">
        <f ca="1">IFERROR(__xludf.DUMMYFUNCTION("""COMPUTED_VALUE"""),"")</f>
        <v/>
      </c>
      <c r="R1358" s="6" t="str">
        <f ca="1">IFERROR(__xludf.DUMMYFUNCTION("""COMPUTED_VALUE"""),"")</f>
        <v/>
      </c>
      <c r="S1358" t="str">
        <f ca="1">IFERROR(__xludf.DUMMYFUNCTION("""COMPUTED_VALUE"""),"")</f>
        <v/>
      </c>
      <c r="T1358" t="str">
        <f ca="1">IFERROR(__xludf.DUMMYFUNCTION("""COMPUTED_VALUE"""),"")</f>
        <v/>
      </c>
      <c r="U1358" t="str">
        <f ca="1">IFERROR(__xludf.DUMMYFUNCTION("""COMPUTED_VALUE"""),"")</f>
        <v/>
      </c>
      <c r="V1358" t="str">
        <f ca="1">IFERROR(__xludf.DUMMYFUNCTION("""COMPUTED_VALUE"""),"")</f>
        <v/>
      </c>
      <c r="W1358" t="str">
        <f ca="1">IFERROR(__xludf.DUMMYFUNCTION("""COMPUTED_VALUE"""),"")</f>
        <v/>
      </c>
      <c r="X1358" t="str">
        <f ca="1">IFERROR(__xludf.DUMMYFUNCTION("""COMPUTED_VALUE"""),"")</f>
        <v/>
      </c>
      <c r="Y1358" t="str">
        <f ca="1">IFERROR(__xludf.DUMMYFUNCTION("""COMPUTED_VALUE"""),"")</f>
        <v/>
      </c>
      <c r="Z1358" t="str">
        <f ca="1">IFERROR(__xludf.DUMMYFUNCTION("""COMPUTED_VALUE"""),"")</f>
        <v/>
      </c>
      <c r="AA1358" t="str">
        <f ca="1">IFERROR(__xludf.DUMMYFUNCTION("""COMPUTED_VALUE"""),"")</f>
        <v/>
      </c>
      <c r="AB1358" s="8" t="str">
        <f ca="1">IFERROR(__xludf.DUMMYFUNCTION("""COMPUTED_VALUE"""),"")</f>
        <v/>
      </c>
      <c r="AC1358" s="8" t="str">
        <f ca="1">IFERROR(__xludf.DUMMYFUNCTION("""COMPUTED_VALUE"""),"")</f>
        <v/>
      </c>
      <c r="AD1358" s="11" t="str">
        <f ca="1">IFERROR(__xludf.DUMMYFUNCTION("""COMPUTED_VALUE"""),"")</f>
        <v/>
      </c>
      <c r="AE1358" t="str">
        <f ca="1">IFERROR(__xludf.DUMMYFUNCTION("""COMPUTED_VALUE"""),"")</f>
        <v/>
      </c>
    </row>
    <row r="1359" spans="1:31" ht="12.75" x14ac:dyDescent="0.2">
      <c r="A1359" t="str">
        <f ca="1">IFERROR(__xludf.DUMMYFUNCTION("""COMPUTED_VALUE"""),"")</f>
        <v/>
      </c>
      <c r="B1359" t="str">
        <f ca="1">IFERROR(__xludf.DUMMYFUNCTION("""COMPUTED_VALUE"""),"")</f>
        <v/>
      </c>
      <c r="C1359" t="str">
        <f ca="1">IFERROR(__xludf.DUMMYFUNCTION("""COMPUTED_VALUE"""),"")</f>
        <v/>
      </c>
      <c r="D1359" t="str">
        <f ca="1">IFERROR(__xludf.DUMMYFUNCTION("""COMPUTED_VALUE"""),"")</f>
        <v/>
      </c>
      <c r="E1359" t="str">
        <f ca="1">IFERROR(__xludf.DUMMYFUNCTION("""COMPUTED_VALUE"""),"")</f>
        <v/>
      </c>
      <c r="F1359" t="str">
        <f ca="1">IFERROR(__xludf.DUMMYFUNCTION("""COMPUTED_VALUE"""),"")</f>
        <v/>
      </c>
      <c r="G1359" t="str">
        <f ca="1">IFERROR(__xludf.DUMMYFUNCTION("""COMPUTED_VALUE"""),"")</f>
        <v/>
      </c>
      <c r="H1359" t="str">
        <f ca="1">IFERROR(__xludf.DUMMYFUNCTION("""COMPUTED_VALUE"""),"")</f>
        <v/>
      </c>
      <c r="I1359" t="str">
        <f ca="1">IFERROR(__xludf.DUMMYFUNCTION("""COMPUTED_VALUE"""),"")</f>
        <v/>
      </c>
      <c r="J1359" t="str">
        <f ca="1">IFERROR(__xludf.DUMMYFUNCTION("""COMPUTED_VALUE"""),"")</f>
        <v/>
      </c>
      <c r="K1359" t="str">
        <f ca="1">IFERROR(__xludf.DUMMYFUNCTION("""COMPUTED_VALUE"""),"")</f>
        <v/>
      </c>
      <c r="L1359" t="str">
        <f ca="1">IFERROR(__xludf.DUMMYFUNCTION("""COMPUTED_VALUE"""),"")</f>
        <v/>
      </c>
      <c r="M1359" t="str">
        <f ca="1">IFERROR(__xludf.DUMMYFUNCTION("""COMPUTED_VALUE"""),"")</f>
        <v/>
      </c>
      <c r="N1359" t="str">
        <f ca="1">IFERROR(__xludf.DUMMYFUNCTION("""COMPUTED_VALUE"""),"")</f>
        <v/>
      </c>
      <c r="O1359" t="str">
        <f ca="1">IFERROR(__xludf.DUMMYFUNCTION("""COMPUTED_VALUE"""),"")</f>
        <v/>
      </c>
      <c r="P1359" t="str">
        <f ca="1">IFERROR(__xludf.DUMMYFUNCTION("""COMPUTED_VALUE"""),"")</f>
        <v/>
      </c>
      <c r="Q1359" s="5" t="str">
        <f ca="1">IFERROR(__xludf.DUMMYFUNCTION("""COMPUTED_VALUE"""),"")</f>
        <v/>
      </c>
      <c r="R1359" s="6" t="str">
        <f ca="1">IFERROR(__xludf.DUMMYFUNCTION("""COMPUTED_VALUE"""),"")</f>
        <v/>
      </c>
      <c r="S1359" t="str">
        <f ca="1">IFERROR(__xludf.DUMMYFUNCTION("""COMPUTED_VALUE"""),"")</f>
        <v/>
      </c>
      <c r="T1359" t="str">
        <f ca="1">IFERROR(__xludf.DUMMYFUNCTION("""COMPUTED_VALUE"""),"")</f>
        <v/>
      </c>
      <c r="U1359" t="str">
        <f ca="1">IFERROR(__xludf.DUMMYFUNCTION("""COMPUTED_VALUE"""),"")</f>
        <v/>
      </c>
      <c r="V1359" t="str">
        <f ca="1">IFERROR(__xludf.DUMMYFUNCTION("""COMPUTED_VALUE"""),"")</f>
        <v/>
      </c>
      <c r="W1359" t="str">
        <f ca="1">IFERROR(__xludf.DUMMYFUNCTION("""COMPUTED_VALUE"""),"")</f>
        <v/>
      </c>
      <c r="X1359" t="str">
        <f ca="1">IFERROR(__xludf.DUMMYFUNCTION("""COMPUTED_VALUE"""),"")</f>
        <v/>
      </c>
      <c r="Y1359" t="str">
        <f ca="1">IFERROR(__xludf.DUMMYFUNCTION("""COMPUTED_VALUE"""),"")</f>
        <v/>
      </c>
      <c r="Z1359" t="str">
        <f ca="1">IFERROR(__xludf.DUMMYFUNCTION("""COMPUTED_VALUE"""),"")</f>
        <v/>
      </c>
      <c r="AA1359" t="str">
        <f ca="1">IFERROR(__xludf.DUMMYFUNCTION("""COMPUTED_VALUE"""),"")</f>
        <v/>
      </c>
      <c r="AB1359" s="8" t="str">
        <f ca="1">IFERROR(__xludf.DUMMYFUNCTION("""COMPUTED_VALUE"""),"")</f>
        <v/>
      </c>
      <c r="AC1359" s="8" t="str">
        <f ca="1">IFERROR(__xludf.DUMMYFUNCTION("""COMPUTED_VALUE"""),"")</f>
        <v/>
      </c>
      <c r="AD1359" s="11" t="str">
        <f ca="1">IFERROR(__xludf.DUMMYFUNCTION("""COMPUTED_VALUE"""),"")</f>
        <v/>
      </c>
      <c r="AE1359" t="str">
        <f ca="1">IFERROR(__xludf.DUMMYFUNCTION("""COMPUTED_VALUE"""),"")</f>
        <v/>
      </c>
    </row>
    <row r="1360" spans="1:31" ht="12.75" x14ac:dyDescent="0.2">
      <c r="A1360" t="str">
        <f ca="1">IFERROR(__xludf.DUMMYFUNCTION("""COMPUTED_VALUE"""),"")</f>
        <v/>
      </c>
      <c r="B1360" t="str">
        <f ca="1">IFERROR(__xludf.DUMMYFUNCTION("""COMPUTED_VALUE"""),"")</f>
        <v/>
      </c>
      <c r="C1360" t="str">
        <f ca="1">IFERROR(__xludf.DUMMYFUNCTION("""COMPUTED_VALUE"""),"")</f>
        <v/>
      </c>
      <c r="D1360" t="str">
        <f ca="1">IFERROR(__xludf.DUMMYFUNCTION("""COMPUTED_VALUE"""),"")</f>
        <v/>
      </c>
      <c r="E1360" t="str">
        <f ca="1">IFERROR(__xludf.DUMMYFUNCTION("""COMPUTED_VALUE"""),"")</f>
        <v/>
      </c>
      <c r="F1360" t="str">
        <f ca="1">IFERROR(__xludf.DUMMYFUNCTION("""COMPUTED_VALUE"""),"")</f>
        <v/>
      </c>
      <c r="G1360" t="str">
        <f ca="1">IFERROR(__xludf.DUMMYFUNCTION("""COMPUTED_VALUE"""),"")</f>
        <v/>
      </c>
      <c r="H1360" t="str">
        <f ca="1">IFERROR(__xludf.DUMMYFUNCTION("""COMPUTED_VALUE"""),"")</f>
        <v/>
      </c>
      <c r="I1360" t="str">
        <f ca="1">IFERROR(__xludf.DUMMYFUNCTION("""COMPUTED_VALUE"""),"")</f>
        <v/>
      </c>
      <c r="J1360" t="str">
        <f ca="1">IFERROR(__xludf.DUMMYFUNCTION("""COMPUTED_VALUE"""),"")</f>
        <v/>
      </c>
      <c r="K1360" t="str">
        <f ca="1">IFERROR(__xludf.DUMMYFUNCTION("""COMPUTED_VALUE"""),"")</f>
        <v/>
      </c>
      <c r="L1360" t="str">
        <f ca="1">IFERROR(__xludf.DUMMYFUNCTION("""COMPUTED_VALUE"""),"")</f>
        <v/>
      </c>
      <c r="M1360" t="str">
        <f ca="1">IFERROR(__xludf.DUMMYFUNCTION("""COMPUTED_VALUE"""),"")</f>
        <v/>
      </c>
      <c r="N1360" t="str">
        <f ca="1">IFERROR(__xludf.DUMMYFUNCTION("""COMPUTED_VALUE"""),"")</f>
        <v/>
      </c>
      <c r="O1360" t="str">
        <f ca="1">IFERROR(__xludf.DUMMYFUNCTION("""COMPUTED_VALUE"""),"")</f>
        <v/>
      </c>
      <c r="P1360" t="str">
        <f ca="1">IFERROR(__xludf.DUMMYFUNCTION("""COMPUTED_VALUE"""),"")</f>
        <v/>
      </c>
      <c r="Q1360" s="5" t="str">
        <f ca="1">IFERROR(__xludf.DUMMYFUNCTION("""COMPUTED_VALUE"""),"")</f>
        <v/>
      </c>
      <c r="R1360" s="6" t="str">
        <f ca="1">IFERROR(__xludf.DUMMYFUNCTION("""COMPUTED_VALUE"""),"")</f>
        <v/>
      </c>
      <c r="S1360" t="str">
        <f ca="1">IFERROR(__xludf.DUMMYFUNCTION("""COMPUTED_VALUE"""),"")</f>
        <v/>
      </c>
      <c r="T1360" t="str">
        <f ca="1">IFERROR(__xludf.DUMMYFUNCTION("""COMPUTED_VALUE"""),"")</f>
        <v/>
      </c>
      <c r="U1360" t="str">
        <f ca="1">IFERROR(__xludf.DUMMYFUNCTION("""COMPUTED_VALUE"""),"")</f>
        <v/>
      </c>
      <c r="V1360" t="str">
        <f ca="1">IFERROR(__xludf.DUMMYFUNCTION("""COMPUTED_VALUE"""),"")</f>
        <v/>
      </c>
      <c r="W1360" t="str">
        <f ca="1">IFERROR(__xludf.DUMMYFUNCTION("""COMPUTED_VALUE"""),"")</f>
        <v/>
      </c>
      <c r="X1360" t="str">
        <f ca="1">IFERROR(__xludf.DUMMYFUNCTION("""COMPUTED_VALUE"""),"")</f>
        <v/>
      </c>
      <c r="Y1360" t="str">
        <f ca="1">IFERROR(__xludf.DUMMYFUNCTION("""COMPUTED_VALUE"""),"")</f>
        <v/>
      </c>
      <c r="Z1360" t="str">
        <f ca="1">IFERROR(__xludf.DUMMYFUNCTION("""COMPUTED_VALUE"""),"")</f>
        <v/>
      </c>
      <c r="AA1360" t="str">
        <f ca="1">IFERROR(__xludf.DUMMYFUNCTION("""COMPUTED_VALUE"""),"")</f>
        <v/>
      </c>
      <c r="AB1360" s="8" t="str">
        <f ca="1">IFERROR(__xludf.DUMMYFUNCTION("""COMPUTED_VALUE"""),"")</f>
        <v/>
      </c>
      <c r="AC1360" s="8" t="str">
        <f ca="1">IFERROR(__xludf.DUMMYFUNCTION("""COMPUTED_VALUE"""),"")</f>
        <v/>
      </c>
      <c r="AD1360" s="11" t="str">
        <f ca="1">IFERROR(__xludf.DUMMYFUNCTION("""COMPUTED_VALUE"""),"")</f>
        <v/>
      </c>
      <c r="AE1360" t="str">
        <f ca="1">IFERROR(__xludf.DUMMYFUNCTION("""COMPUTED_VALUE"""),"")</f>
        <v/>
      </c>
    </row>
    <row r="1361" spans="1:31" ht="12.75" x14ac:dyDescent="0.2">
      <c r="A1361" t="str">
        <f ca="1">IFERROR(__xludf.DUMMYFUNCTION("""COMPUTED_VALUE"""),"")</f>
        <v/>
      </c>
      <c r="B1361" t="str">
        <f ca="1">IFERROR(__xludf.DUMMYFUNCTION("""COMPUTED_VALUE"""),"")</f>
        <v/>
      </c>
      <c r="C1361" t="str">
        <f ca="1">IFERROR(__xludf.DUMMYFUNCTION("""COMPUTED_VALUE"""),"")</f>
        <v/>
      </c>
      <c r="D1361" t="str">
        <f ca="1">IFERROR(__xludf.DUMMYFUNCTION("""COMPUTED_VALUE"""),"")</f>
        <v/>
      </c>
      <c r="E1361" t="str">
        <f ca="1">IFERROR(__xludf.DUMMYFUNCTION("""COMPUTED_VALUE"""),"")</f>
        <v/>
      </c>
      <c r="F1361" t="str">
        <f ca="1">IFERROR(__xludf.DUMMYFUNCTION("""COMPUTED_VALUE"""),"")</f>
        <v/>
      </c>
      <c r="G1361" t="str">
        <f ca="1">IFERROR(__xludf.DUMMYFUNCTION("""COMPUTED_VALUE"""),"")</f>
        <v/>
      </c>
      <c r="H1361" t="str">
        <f ca="1">IFERROR(__xludf.DUMMYFUNCTION("""COMPUTED_VALUE"""),"")</f>
        <v/>
      </c>
      <c r="I1361" t="str">
        <f ca="1">IFERROR(__xludf.DUMMYFUNCTION("""COMPUTED_VALUE"""),"")</f>
        <v/>
      </c>
      <c r="J1361" t="str">
        <f ca="1">IFERROR(__xludf.DUMMYFUNCTION("""COMPUTED_VALUE"""),"")</f>
        <v/>
      </c>
      <c r="K1361" t="str">
        <f ca="1">IFERROR(__xludf.DUMMYFUNCTION("""COMPUTED_VALUE"""),"")</f>
        <v/>
      </c>
      <c r="L1361" t="str">
        <f ca="1">IFERROR(__xludf.DUMMYFUNCTION("""COMPUTED_VALUE"""),"")</f>
        <v/>
      </c>
      <c r="M1361" t="str">
        <f ca="1">IFERROR(__xludf.DUMMYFUNCTION("""COMPUTED_VALUE"""),"")</f>
        <v/>
      </c>
      <c r="N1361" t="str">
        <f ca="1">IFERROR(__xludf.DUMMYFUNCTION("""COMPUTED_VALUE"""),"")</f>
        <v/>
      </c>
      <c r="O1361" t="str">
        <f ca="1">IFERROR(__xludf.DUMMYFUNCTION("""COMPUTED_VALUE"""),"")</f>
        <v/>
      </c>
      <c r="P1361" t="str">
        <f ca="1">IFERROR(__xludf.DUMMYFUNCTION("""COMPUTED_VALUE"""),"")</f>
        <v/>
      </c>
      <c r="Q1361" s="5" t="str">
        <f ca="1">IFERROR(__xludf.DUMMYFUNCTION("""COMPUTED_VALUE"""),"")</f>
        <v/>
      </c>
      <c r="R1361" s="6" t="str">
        <f ca="1">IFERROR(__xludf.DUMMYFUNCTION("""COMPUTED_VALUE"""),"")</f>
        <v/>
      </c>
      <c r="S1361" t="str">
        <f ca="1">IFERROR(__xludf.DUMMYFUNCTION("""COMPUTED_VALUE"""),"")</f>
        <v/>
      </c>
      <c r="T1361" t="str">
        <f ca="1">IFERROR(__xludf.DUMMYFUNCTION("""COMPUTED_VALUE"""),"")</f>
        <v/>
      </c>
      <c r="U1361" t="str">
        <f ca="1">IFERROR(__xludf.DUMMYFUNCTION("""COMPUTED_VALUE"""),"")</f>
        <v/>
      </c>
      <c r="V1361" t="str">
        <f ca="1">IFERROR(__xludf.DUMMYFUNCTION("""COMPUTED_VALUE"""),"")</f>
        <v/>
      </c>
      <c r="W1361" t="str">
        <f ca="1">IFERROR(__xludf.DUMMYFUNCTION("""COMPUTED_VALUE"""),"")</f>
        <v/>
      </c>
      <c r="X1361" t="str">
        <f ca="1">IFERROR(__xludf.DUMMYFUNCTION("""COMPUTED_VALUE"""),"")</f>
        <v/>
      </c>
      <c r="Y1361" t="str">
        <f ca="1">IFERROR(__xludf.DUMMYFUNCTION("""COMPUTED_VALUE"""),"")</f>
        <v/>
      </c>
      <c r="Z1361" t="str">
        <f ca="1">IFERROR(__xludf.DUMMYFUNCTION("""COMPUTED_VALUE"""),"")</f>
        <v/>
      </c>
      <c r="AA1361" t="str">
        <f ca="1">IFERROR(__xludf.DUMMYFUNCTION("""COMPUTED_VALUE"""),"")</f>
        <v/>
      </c>
      <c r="AB1361" s="8" t="str">
        <f ca="1">IFERROR(__xludf.DUMMYFUNCTION("""COMPUTED_VALUE"""),"")</f>
        <v/>
      </c>
      <c r="AC1361" s="8" t="str">
        <f ca="1">IFERROR(__xludf.DUMMYFUNCTION("""COMPUTED_VALUE"""),"")</f>
        <v/>
      </c>
      <c r="AD1361" s="11" t="str">
        <f ca="1">IFERROR(__xludf.DUMMYFUNCTION("""COMPUTED_VALUE"""),"")</f>
        <v/>
      </c>
      <c r="AE1361" t="str">
        <f ca="1">IFERROR(__xludf.DUMMYFUNCTION("""COMPUTED_VALUE"""),"")</f>
        <v/>
      </c>
    </row>
    <row r="1362" spans="1:31" ht="12.75" x14ac:dyDescent="0.2">
      <c r="A1362" t="str">
        <f ca="1">IFERROR(__xludf.DUMMYFUNCTION("""COMPUTED_VALUE"""),"")</f>
        <v/>
      </c>
      <c r="B1362" t="str">
        <f ca="1">IFERROR(__xludf.DUMMYFUNCTION("""COMPUTED_VALUE"""),"")</f>
        <v/>
      </c>
      <c r="C1362" t="str">
        <f ca="1">IFERROR(__xludf.DUMMYFUNCTION("""COMPUTED_VALUE"""),"")</f>
        <v/>
      </c>
      <c r="D1362" t="str">
        <f ca="1">IFERROR(__xludf.DUMMYFUNCTION("""COMPUTED_VALUE"""),"")</f>
        <v/>
      </c>
      <c r="E1362" t="str">
        <f ca="1">IFERROR(__xludf.DUMMYFUNCTION("""COMPUTED_VALUE"""),"")</f>
        <v/>
      </c>
      <c r="F1362" t="str">
        <f ca="1">IFERROR(__xludf.DUMMYFUNCTION("""COMPUTED_VALUE"""),"")</f>
        <v/>
      </c>
      <c r="G1362" t="str">
        <f ca="1">IFERROR(__xludf.DUMMYFUNCTION("""COMPUTED_VALUE"""),"")</f>
        <v/>
      </c>
      <c r="H1362" t="str">
        <f ca="1">IFERROR(__xludf.DUMMYFUNCTION("""COMPUTED_VALUE"""),"")</f>
        <v/>
      </c>
      <c r="I1362" t="str">
        <f ca="1">IFERROR(__xludf.DUMMYFUNCTION("""COMPUTED_VALUE"""),"")</f>
        <v/>
      </c>
      <c r="J1362" t="str">
        <f ca="1">IFERROR(__xludf.DUMMYFUNCTION("""COMPUTED_VALUE"""),"")</f>
        <v/>
      </c>
      <c r="K1362" t="str">
        <f ca="1">IFERROR(__xludf.DUMMYFUNCTION("""COMPUTED_VALUE"""),"")</f>
        <v/>
      </c>
      <c r="L1362" t="str">
        <f ca="1">IFERROR(__xludf.DUMMYFUNCTION("""COMPUTED_VALUE"""),"")</f>
        <v/>
      </c>
      <c r="M1362" t="str">
        <f ca="1">IFERROR(__xludf.DUMMYFUNCTION("""COMPUTED_VALUE"""),"")</f>
        <v/>
      </c>
      <c r="N1362" t="str">
        <f ca="1">IFERROR(__xludf.DUMMYFUNCTION("""COMPUTED_VALUE"""),"")</f>
        <v/>
      </c>
      <c r="O1362" t="str">
        <f ca="1">IFERROR(__xludf.DUMMYFUNCTION("""COMPUTED_VALUE"""),"")</f>
        <v/>
      </c>
      <c r="P1362" t="str">
        <f ca="1">IFERROR(__xludf.DUMMYFUNCTION("""COMPUTED_VALUE"""),"")</f>
        <v/>
      </c>
      <c r="Q1362" s="5" t="str">
        <f ca="1">IFERROR(__xludf.DUMMYFUNCTION("""COMPUTED_VALUE"""),"")</f>
        <v/>
      </c>
      <c r="R1362" s="6" t="str">
        <f ca="1">IFERROR(__xludf.DUMMYFUNCTION("""COMPUTED_VALUE"""),"")</f>
        <v/>
      </c>
      <c r="S1362" t="str">
        <f ca="1">IFERROR(__xludf.DUMMYFUNCTION("""COMPUTED_VALUE"""),"")</f>
        <v/>
      </c>
      <c r="T1362" t="str">
        <f ca="1">IFERROR(__xludf.DUMMYFUNCTION("""COMPUTED_VALUE"""),"")</f>
        <v/>
      </c>
      <c r="U1362" t="str">
        <f ca="1">IFERROR(__xludf.DUMMYFUNCTION("""COMPUTED_VALUE"""),"")</f>
        <v/>
      </c>
      <c r="V1362" t="str">
        <f ca="1">IFERROR(__xludf.DUMMYFUNCTION("""COMPUTED_VALUE"""),"")</f>
        <v/>
      </c>
      <c r="W1362" t="str">
        <f ca="1">IFERROR(__xludf.DUMMYFUNCTION("""COMPUTED_VALUE"""),"")</f>
        <v/>
      </c>
      <c r="X1362" t="str">
        <f ca="1">IFERROR(__xludf.DUMMYFUNCTION("""COMPUTED_VALUE"""),"")</f>
        <v/>
      </c>
      <c r="Y1362" t="str">
        <f ca="1">IFERROR(__xludf.DUMMYFUNCTION("""COMPUTED_VALUE"""),"")</f>
        <v/>
      </c>
      <c r="Z1362" t="str">
        <f ca="1">IFERROR(__xludf.DUMMYFUNCTION("""COMPUTED_VALUE"""),"")</f>
        <v/>
      </c>
      <c r="AA1362" t="str">
        <f ca="1">IFERROR(__xludf.DUMMYFUNCTION("""COMPUTED_VALUE"""),"")</f>
        <v/>
      </c>
      <c r="AB1362" s="8" t="str">
        <f ca="1">IFERROR(__xludf.DUMMYFUNCTION("""COMPUTED_VALUE"""),"")</f>
        <v/>
      </c>
      <c r="AC1362" s="8" t="str">
        <f ca="1">IFERROR(__xludf.DUMMYFUNCTION("""COMPUTED_VALUE"""),"")</f>
        <v/>
      </c>
      <c r="AD1362" s="11" t="str">
        <f ca="1">IFERROR(__xludf.DUMMYFUNCTION("""COMPUTED_VALUE"""),"")</f>
        <v/>
      </c>
      <c r="AE1362" t="str">
        <f ca="1">IFERROR(__xludf.DUMMYFUNCTION("""COMPUTED_VALUE"""),"")</f>
        <v/>
      </c>
    </row>
    <row r="1363" spans="1:31" ht="12.75" x14ac:dyDescent="0.2">
      <c r="A1363" t="str">
        <f ca="1">IFERROR(__xludf.DUMMYFUNCTION("""COMPUTED_VALUE"""),"")</f>
        <v/>
      </c>
      <c r="B1363" t="str">
        <f ca="1">IFERROR(__xludf.DUMMYFUNCTION("""COMPUTED_VALUE"""),"")</f>
        <v/>
      </c>
      <c r="C1363" t="str">
        <f ca="1">IFERROR(__xludf.DUMMYFUNCTION("""COMPUTED_VALUE"""),"")</f>
        <v/>
      </c>
      <c r="D1363" t="str">
        <f ca="1">IFERROR(__xludf.DUMMYFUNCTION("""COMPUTED_VALUE"""),"")</f>
        <v/>
      </c>
      <c r="E1363" t="str">
        <f ca="1">IFERROR(__xludf.DUMMYFUNCTION("""COMPUTED_VALUE"""),"")</f>
        <v/>
      </c>
      <c r="F1363" t="str">
        <f ca="1">IFERROR(__xludf.DUMMYFUNCTION("""COMPUTED_VALUE"""),"")</f>
        <v/>
      </c>
      <c r="G1363" t="str">
        <f ca="1">IFERROR(__xludf.DUMMYFUNCTION("""COMPUTED_VALUE"""),"")</f>
        <v/>
      </c>
      <c r="H1363" t="str">
        <f ca="1">IFERROR(__xludf.DUMMYFUNCTION("""COMPUTED_VALUE"""),"")</f>
        <v/>
      </c>
      <c r="I1363" t="str">
        <f ca="1">IFERROR(__xludf.DUMMYFUNCTION("""COMPUTED_VALUE"""),"")</f>
        <v/>
      </c>
      <c r="J1363" t="str">
        <f ca="1">IFERROR(__xludf.DUMMYFUNCTION("""COMPUTED_VALUE"""),"")</f>
        <v/>
      </c>
      <c r="K1363" t="str">
        <f ca="1">IFERROR(__xludf.DUMMYFUNCTION("""COMPUTED_VALUE"""),"")</f>
        <v/>
      </c>
      <c r="L1363" t="str">
        <f ca="1">IFERROR(__xludf.DUMMYFUNCTION("""COMPUTED_VALUE"""),"")</f>
        <v/>
      </c>
      <c r="M1363" t="str">
        <f ca="1">IFERROR(__xludf.DUMMYFUNCTION("""COMPUTED_VALUE"""),"")</f>
        <v/>
      </c>
      <c r="N1363" t="str">
        <f ca="1">IFERROR(__xludf.DUMMYFUNCTION("""COMPUTED_VALUE"""),"")</f>
        <v/>
      </c>
      <c r="O1363" t="str">
        <f ca="1">IFERROR(__xludf.DUMMYFUNCTION("""COMPUTED_VALUE"""),"")</f>
        <v/>
      </c>
      <c r="P1363" t="str">
        <f ca="1">IFERROR(__xludf.DUMMYFUNCTION("""COMPUTED_VALUE"""),"")</f>
        <v/>
      </c>
      <c r="Q1363" s="5" t="str">
        <f ca="1">IFERROR(__xludf.DUMMYFUNCTION("""COMPUTED_VALUE"""),"")</f>
        <v/>
      </c>
      <c r="R1363" s="6" t="str">
        <f ca="1">IFERROR(__xludf.DUMMYFUNCTION("""COMPUTED_VALUE"""),"")</f>
        <v/>
      </c>
      <c r="S1363" t="str">
        <f ca="1">IFERROR(__xludf.DUMMYFUNCTION("""COMPUTED_VALUE"""),"")</f>
        <v/>
      </c>
      <c r="T1363" t="str">
        <f ca="1">IFERROR(__xludf.DUMMYFUNCTION("""COMPUTED_VALUE"""),"")</f>
        <v/>
      </c>
      <c r="U1363" t="str">
        <f ca="1">IFERROR(__xludf.DUMMYFUNCTION("""COMPUTED_VALUE"""),"")</f>
        <v/>
      </c>
      <c r="V1363" t="str">
        <f ca="1">IFERROR(__xludf.DUMMYFUNCTION("""COMPUTED_VALUE"""),"")</f>
        <v/>
      </c>
      <c r="W1363" t="str">
        <f ca="1">IFERROR(__xludf.DUMMYFUNCTION("""COMPUTED_VALUE"""),"")</f>
        <v/>
      </c>
      <c r="X1363" t="str">
        <f ca="1">IFERROR(__xludf.DUMMYFUNCTION("""COMPUTED_VALUE"""),"")</f>
        <v/>
      </c>
      <c r="Y1363" t="str">
        <f ca="1">IFERROR(__xludf.DUMMYFUNCTION("""COMPUTED_VALUE"""),"")</f>
        <v/>
      </c>
      <c r="Z1363" t="str">
        <f ca="1">IFERROR(__xludf.DUMMYFUNCTION("""COMPUTED_VALUE"""),"")</f>
        <v/>
      </c>
      <c r="AA1363" t="str">
        <f ca="1">IFERROR(__xludf.DUMMYFUNCTION("""COMPUTED_VALUE"""),"")</f>
        <v/>
      </c>
      <c r="AB1363" s="8" t="str">
        <f ca="1">IFERROR(__xludf.DUMMYFUNCTION("""COMPUTED_VALUE"""),"")</f>
        <v/>
      </c>
      <c r="AC1363" s="8" t="str">
        <f ca="1">IFERROR(__xludf.DUMMYFUNCTION("""COMPUTED_VALUE"""),"")</f>
        <v/>
      </c>
      <c r="AD1363" s="11" t="str">
        <f ca="1">IFERROR(__xludf.DUMMYFUNCTION("""COMPUTED_VALUE"""),"")</f>
        <v/>
      </c>
      <c r="AE1363" t="str">
        <f ca="1">IFERROR(__xludf.DUMMYFUNCTION("""COMPUTED_VALUE"""),"")</f>
        <v/>
      </c>
    </row>
    <row r="1364" spans="1:31" ht="12.75" x14ac:dyDescent="0.2">
      <c r="A1364" t="str">
        <f ca="1">IFERROR(__xludf.DUMMYFUNCTION("""COMPUTED_VALUE"""),"")</f>
        <v/>
      </c>
      <c r="B1364" t="str">
        <f ca="1">IFERROR(__xludf.DUMMYFUNCTION("""COMPUTED_VALUE"""),"")</f>
        <v/>
      </c>
      <c r="C1364" t="str">
        <f ca="1">IFERROR(__xludf.DUMMYFUNCTION("""COMPUTED_VALUE"""),"")</f>
        <v/>
      </c>
      <c r="D1364" t="str">
        <f ca="1">IFERROR(__xludf.DUMMYFUNCTION("""COMPUTED_VALUE"""),"")</f>
        <v/>
      </c>
      <c r="E1364" t="str">
        <f ca="1">IFERROR(__xludf.DUMMYFUNCTION("""COMPUTED_VALUE"""),"")</f>
        <v/>
      </c>
      <c r="F1364" t="str">
        <f ca="1">IFERROR(__xludf.DUMMYFUNCTION("""COMPUTED_VALUE"""),"")</f>
        <v/>
      </c>
      <c r="G1364" t="str">
        <f ca="1">IFERROR(__xludf.DUMMYFUNCTION("""COMPUTED_VALUE"""),"")</f>
        <v/>
      </c>
      <c r="H1364" t="str">
        <f ca="1">IFERROR(__xludf.DUMMYFUNCTION("""COMPUTED_VALUE"""),"")</f>
        <v/>
      </c>
      <c r="I1364" t="str">
        <f ca="1">IFERROR(__xludf.DUMMYFUNCTION("""COMPUTED_VALUE"""),"")</f>
        <v/>
      </c>
      <c r="J1364" t="str">
        <f ca="1">IFERROR(__xludf.DUMMYFUNCTION("""COMPUTED_VALUE"""),"")</f>
        <v/>
      </c>
      <c r="K1364" t="str">
        <f ca="1">IFERROR(__xludf.DUMMYFUNCTION("""COMPUTED_VALUE"""),"")</f>
        <v/>
      </c>
      <c r="L1364" t="str">
        <f ca="1">IFERROR(__xludf.DUMMYFUNCTION("""COMPUTED_VALUE"""),"")</f>
        <v/>
      </c>
      <c r="M1364" t="str">
        <f ca="1">IFERROR(__xludf.DUMMYFUNCTION("""COMPUTED_VALUE"""),"")</f>
        <v/>
      </c>
      <c r="N1364" t="str">
        <f ca="1">IFERROR(__xludf.DUMMYFUNCTION("""COMPUTED_VALUE"""),"")</f>
        <v/>
      </c>
      <c r="O1364" t="str">
        <f ca="1">IFERROR(__xludf.DUMMYFUNCTION("""COMPUTED_VALUE"""),"")</f>
        <v/>
      </c>
      <c r="P1364" t="str">
        <f ca="1">IFERROR(__xludf.DUMMYFUNCTION("""COMPUTED_VALUE"""),"")</f>
        <v/>
      </c>
      <c r="Q1364" s="5" t="str">
        <f ca="1">IFERROR(__xludf.DUMMYFUNCTION("""COMPUTED_VALUE"""),"")</f>
        <v/>
      </c>
      <c r="R1364" s="6" t="str">
        <f ca="1">IFERROR(__xludf.DUMMYFUNCTION("""COMPUTED_VALUE"""),"")</f>
        <v/>
      </c>
      <c r="S1364" t="str">
        <f ca="1">IFERROR(__xludf.DUMMYFUNCTION("""COMPUTED_VALUE"""),"")</f>
        <v/>
      </c>
      <c r="T1364" t="str">
        <f ca="1">IFERROR(__xludf.DUMMYFUNCTION("""COMPUTED_VALUE"""),"")</f>
        <v/>
      </c>
      <c r="U1364" t="str">
        <f ca="1">IFERROR(__xludf.DUMMYFUNCTION("""COMPUTED_VALUE"""),"")</f>
        <v/>
      </c>
      <c r="V1364" t="str">
        <f ca="1">IFERROR(__xludf.DUMMYFUNCTION("""COMPUTED_VALUE"""),"")</f>
        <v/>
      </c>
      <c r="W1364" t="str">
        <f ca="1">IFERROR(__xludf.DUMMYFUNCTION("""COMPUTED_VALUE"""),"")</f>
        <v/>
      </c>
      <c r="X1364" t="str">
        <f ca="1">IFERROR(__xludf.DUMMYFUNCTION("""COMPUTED_VALUE"""),"")</f>
        <v/>
      </c>
      <c r="Y1364" t="str">
        <f ca="1">IFERROR(__xludf.DUMMYFUNCTION("""COMPUTED_VALUE"""),"")</f>
        <v/>
      </c>
      <c r="Z1364" t="str">
        <f ca="1">IFERROR(__xludf.DUMMYFUNCTION("""COMPUTED_VALUE"""),"")</f>
        <v/>
      </c>
      <c r="AA1364" t="str">
        <f ca="1">IFERROR(__xludf.DUMMYFUNCTION("""COMPUTED_VALUE"""),"")</f>
        <v/>
      </c>
      <c r="AB1364" s="8" t="str">
        <f ca="1">IFERROR(__xludf.DUMMYFUNCTION("""COMPUTED_VALUE"""),"")</f>
        <v/>
      </c>
      <c r="AC1364" s="8" t="str">
        <f ca="1">IFERROR(__xludf.DUMMYFUNCTION("""COMPUTED_VALUE"""),"")</f>
        <v/>
      </c>
      <c r="AD1364" s="11" t="str">
        <f ca="1">IFERROR(__xludf.DUMMYFUNCTION("""COMPUTED_VALUE"""),"")</f>
        <v/>
      </c>
      <c r="AE1364" t="str">
        <f ca="1">IFERROR(__xludf.DUMMYFUNCTION("""COMPUTED_VALUE"""),"")</f>
        <v/>
      </c>
    </row>
    <row r="1365" spans="1:31" ht="12.75" x14ac:dyDescent="0.2">
      <c r="A1365" t="str">
        <f ca="1">IFERROR(__xludf.DUMMYFUNCTION("""COMPUTED_VALUE"""),"")</f>
        <v/>
      </c>
      <c r="B1365" t="str">
        <f ca="1">IFERROR(__xludf.DUMMYFUNCTION("""COMPUTED_VALUE"""),"")</f>
        <v/>
      </c>
      <c r="C1365" t="str">
        <f ca="1">IFERROR(__xludf.DUMMYFUNCTION("""COMPUTED_VALUE"""),"")</f>
        <v/>
      </c>
      <c r="D1365" t="str">
        <f ca="1">IFERROR(__xludf.DUMMYFUNCTION("""COMPUTED_VALUE"""),"")</f>
        <v/>
      </c>
      <c r="E1365" t="str">
        <f ca="1">IFERROR(__xludf.DUMMYFUNCTION("""COMPUTED_VALUE"""),"")</f>
        <v/>
      </c>
      <c r="F1365" t="str">
        <f ca="1">IFERROR(__xludf.DUMMYFUNCTION("""COMPUTED_VALUE"""),"")</f>
        <v/>
      </c>
      <c r="G1365" t="str">
        <f ca="1">IFERROR(__xludf.DUMMYFUNCTION("""COMPUTED_VALUE"""),"")</f>
        <v/>
      </c>
      <c r="H1365" t="str">
        <f ca="1">IFERROR(__xludf.DUMMYFUNCTION("""COMPUTED_VALUE"""),"")</f>
        <v/>
      </c>
      <c r="I1365" t="str">
        <f ca="1">IFERROR(__xludf.DUMMYFUNCTION("""COMPUTED_VALUE"""),"")</f>
        <v/>
      </c>
      <c r="J1365" t="str">
        <f ca="1">IFERROR(__xludf.DUMMYFUNCTION("""COMPUTED_VALUE"""),"")</f>
        <v/>
      </c>
      <c r="K1365" t="str">
        <f ca="1">IFERROR(__xludf.DUMMYFUNCTION("""COMPUTED_VALUE"""),"")</f>
        <v/>
      </c>
      <c r="L1365" t="str">
        <f ca="1">IFERROR(__xludf.DUMMYFUNCTION("""COMPUTED_VALUE"""),"")</f>
        <v/>
      </c>
      <c r="M1365" t="str">
        <f ca="1">IFERROR(__xludf.DUMMYFUNCTION("""COMPUTED_VALUE"""),"")</f>
        <v/>
      </c>
      <c r="N1365" t="str">
        <f ca="1">IFERROR(__xludf.DUMMYFUNCTION("""COMPUTED_VALUE"""),"")</f>
        <v/>
      </c>
      <c r="O1365" t="str">
        <f ca="1">IFERROR(__xludf.DUMMYFUNCTION("""COMPUTED_VALUE"""),"")</f>
        <v/>
      </c>
      <c r="P1365" t="str">
        <f ca="1">IFERROR(__xludf.DUMMYFUNCTION("""COMPUTED_VALUE"""),"")</f>
        <v/>
      </c>
      <c r="Q1365" s="5" t="str">
        <f ca="1">IFERROR(__xludf.DUMMYFUNCTION("""COMPUTED_VALUE"""),"")</f>
        <v/>
      </c>
      <c r="R1365" s="6" t="str">
        <f ca="1">IFERROR(__xludf.DUMMYFUNCTION("""COMPUTED_VALUE"""),"")</f>
        <v/>
      </c>
      <c r="S1365" t="str">
        <f ca="1">IFERROR(__xludf.DUMMYFUNCTION("""COMPUTED_VALUE"""),"")</f>
        <v/>
      </c>
      <c r="T1365" t="str">
        <f ca="1">IFERROR(__xludf.DUMMYFUNCTION("""COMPUTED_VALUE"""),"")</f>
        <v/>
      </c>
      <c r="U1365" t="str">
        <f ca="1">IFERROR(__xludf.DUMMYFUNCTION("""COMPUTED_VALUE"""),"")</f>
        <v/>
      </c>
      <c r="V1365" t="str">
        <f ca="1">IFERROR(__xludf.DUMMYFUNCTION("""COMPUTED_VALUE"""),"")</f>
        <v/>
      </c>
      <c r="W1365" t="str">
        <f ca="1">IFERROR(__xludf.DUMMYFUNCTION("""COMPUTED_VALUE"""),"")</f>
        <v/>
      </c>
      <c r="X1365" t="str">
        <f ca="1">IFERROR(__xludf.DUMMYFUNCTION("""COMPUTED_VALUE"""),"")</f>
        <v/>
      </c>
      <c r="Y1365" t="str">
        <f ca="1">IFERROR(__xludf.DUMMYFUNCTION("""COMPUTED_VALUE"""),"")</f>
        <v/>
      </c>
      <c r="Z1365" t="str">
        <f ca="1">IFERROR(__xludf.DUMMYFUNCTION("""COMPUTED_VALUE"""),"")</f>
        <v/>
      </c>
      <c r="AA1365" t="str">
        <f ca="1">IFERROR(__xludf.DUMMYFUNCTION("""COMPUTED_VALUE"""),"")</f>
        <v/>
      </c>
      <c r="AB1365" s="8" t="str">
        <f ca="1">IFERROR(__xludf.DUMMYFUNCTION("""COMPUTED_VALUE"""),"")</f>
        <v/>
      </c>
      <c r="AC1365" s="8" t="str">
        <f ca="1">IFERROR(__xludf.DUMMYFUNCTION("""COMPUTED_VALUE"""),"")</f>
        <v/>
      </c>
      <c r="AD1365" s="11" t="str">
        <f ca="1">IFERROR(__xludf.DUMMYFUNCTION("""COMPUTED_VALUE"""),"")</f>
        <v/>
      </c>
      <c r="AE1365" t="str">
        <f ca="1">IFERROR(__xludf.DUMMYFUNCTION("""COMPUTED_VALUE"""),"")</f>
        <v/>
      </c>
    </row>
    <row r="1366" spans="1:31" ht="12.75" x14ac:dyDescent="0.2">
      <c r="A1366" t="str">
        <f ca="1">IFERROR(__xludf.DUMMYFUNCTION("""COMPUTED_VALUE"""),"")</f>
        <v/>
      </c>
      <c r="B1366" t="str">
        <f ca="1">IFERROR(__xludf.DUMMYFUNCTION("""COMPUTED_VALUE"""),"")</f>
        <v/>
      </c>
      <c r="C1366" t="str">
        <f ca="1">IFERROR(__xludf.DUMMYFUNCTION("""COMPUTED_VALUE"""),"")</f>
        <v/>
      </c>
      <c r="D1366" t="str">
        <f ca="1">IFERROR(__xludf.DUMMYFUNCTION("""COMPUTED_VALUE"""),"")</f>
        <v/>
      </c>
      <c r="E1366" t="str">
        <f ca="1">IFERROR(__xludf.DUMMYFUNCTION("""COMPUTED_VALUE"""),"")</f>
        <v/>
      </c>
      <c r="F1366" t="str">
        <f ca="1">IFERROR(__xludf.DUMMYFUNCTION("""COMPUTED_VALUE"""),"")</f>
        <v/>
      </c>
      <c r="G1366" t="str">
        <f ca="1">IFERROR(__xludf.DUMMYFUNCTION("""COMPUTED_VALUE"""),"")</f>
        <v/>
      </c>
      <c r="H1366" t="str">
        <f ca="1">IFERROR(__xludf.DUMMYFUNCTION("""COMPUTED_VALUE"""),"")</f>
        <v/>
      </c>
      <c r="I1366" t="str">
        <f ca="1">IFERROR(__xludf.DUMMYFUNCTION("""COMPUTED_VALUE"""),"")</f>
        <v/>
      </c>
      <c r="J1366" t="str">
        <f ca="1">IFERROR(__xludf.DUMMYFUNCTION("""COMPUTED_VALUE"""),"")</f>
        <v/>
      </c>
      <c r="K1366" t="str">
        <f ca="1">IFERROR(__xludf.DUMMYFUNCTION("""COMPUTED_VALUE"""),"")</f>
        <v/>
      </c>
      <c r="L1366" t="str">
        <f ca="1">IFERROR(__xludf.DUMMYFUNCTION("""COMPUTED_VALUE"""),"")</f>
        <v/>
      </c>
      <c r="M1366" t="str">
        <f ca="1">IFERROR(__xludf.DUMMYFUNCTION("""COMPUTED_VALUE"""),"")</f>
        <v/>
      </c>
      <c r="N1366" t="str">
        <f ca="1">IFERROR(__xludf.DUMMYFUNCTION("""COMPUTED_VALUE"""),"")</f>
        <v/>
      </c>
      <c r="O1366" t="str">
        <f ca="1">IFERROR(__xludf.DUMMYFUNCTION("""COMPUTED_VALUE"""),"")</f>
        <v/>
      </c>
      <c r="P1366" t="str">
        <f ca="1">IFERROR(__xludf.DUMMYFUNCTION("""COMPUTED_VALUE"""),"")</f>
        <v/>
      </c>
      <c r="Q1366" s="5" t="str">
        <f ca="1">IFERROR(__xludf.DUMMYFUNCTION("""COMPUTED_VALUE"""),"")</f>
        <v/>
      </c>
      <c r="R1366" s="6" t="str">
        <f ca="1">IFERROR(__xludf.DUMMYFUNCTION("""COMPUTED_VALUE"""),"")</f>
        <v/>
      </c>
      <c r="S1366" t="str">
        <f ca="1">IFERROR(__xludf.DUMMYFUNCTION("""COMPUTED_VALUE"""),"")</f>
        <v/>
      </c>
      <c r="T1366" t="str">
        <f ca="1">IFERROR(__xludf.DUMMYFUNCTION("""COMPUTED_VALUE"""),"")</f>
        <v/>
      </c>
      <c r="U1366" t="str">
        <f ca="1">IFERROR(__xludf.DUMMYFUNCTION("""COMPUTED_VALUE"""),"")</f>
        <v/>
      </c>
      <c r="V1366" t="str">
        <f ca="1">IFERROR(__xludf.DUMMYFUNCTION("""COMPUTED_VALUE"""),"")</f>
        <v/>
      </c>
      <c r="W1366" t="str">
        <f ca="1">IFERROR(__xludf.DUMMYFUNCTION("""COMPUTED_VALUE"""),"")</f>
        <v/>
      </c>
      <c r="X1366" t="str">
        <f ca="1">IFERROR(__xludf.DUMMYFUNCTION("""COMPUTED_VALUE"""),"")</f>
        <v/>
      </c>
      <c r="Y1366" t="str">
        <f ca="1">IFERROR(__xludf.DUMMYFUNCTION("""COMPUTED_VALUE"""),"")</f>
        <v/>
      </c>
      <c r="Z1366" t="str">
        <f ca="1">IFERROR(__xludf.DUMMYFUNCTION("""COMPUTED_VALUE"""),"")</f>
        <v/>
      </c>
      <c r="AA1366" t="str">
        <f ca="1">IFERROR(__xludf.DUMMYFUNCTION("""COMPUTED_VALUE"""),"")</f>
        <v/>
      </c>
      <c r="AB1366" s="8" t="str">
        <f ca="1">IFERROR(__xludf.DUMMYFUNCTION("""COMPUTED_VALUE"""),"")</f>
        <v/>
      </c>
      <c r="AC1366" s="8" t="str">
        <f ca="1">IFERROR(__xludf.DUMMYFUNCTION("""COMPUTED_VALUE"""),"")</f>
        <v/>
      </c>
      <c r="AD1366" s="11" t="str">
        <f ca="1">IFERROR(__xludf.DUMMYFUNCTION("""COMPUTED_VALUE"""),"")</f>
        <v/>
      </c>
      <c r="AE1366" t="str">
        <f ca="1">IFERROR(__xludf.DUMMYFUNCTION("""COMPUTED_VALUE"""),"")</f>
        <v/>
      </c>
    </row>
    <row r="1367" spans="1:31" ht="12.75" x14ac:dyDescent="0.2">
      <c r="A1367" t="str">
        <f ca="1">IFERROR(__xludf.DUMMYFUNCTION("""COMPUTED_VALUE"""),"")</f>
        <v/>
      </c>
      <c r="B1367" t="str">
        <f ca="1">IFERROR(__xludf.DUMMYFUNCTION("""COMPUTED_VALUE"""),"")</f>
        <v/>
      </c>
      <c r="C1367" t="str">
        <f ca="1">IFERROR(__xludf.DUMMYFUNCTION("""COMPUTED_VALUE"""),"")</f>
        <v/>
      </c>
      <c r="D1367" t="str">
        <f ca="1">IFERROR(__xludf.DUMMYFUNCTION("""COMPUTED_VALUE"""),"")</f>
        <v/>
      </c>
      <c r="E1367" t="str">
        <f ca="1">IFERROR(__xludf.DUMMYFUNCTION("""COMPUTED_VALUE"""),"")</f>
        <v/>
      </c>
      <c r="F1367" t="str">
        <f ca="1">IFERROR(__xludf.DUMMYFUNCTION("""COMPUTED_VALUE"""),"")</f>
        <v/>
      </c>
      <c r="G1367" t="str">
        <f ca="1">IFERROR(__xludf.DUMMYFUNCTION("""COMPUTED_VALUE"""),"")</f>
        <v/>
      </c>
      <c r="H1367" t="str">
        <f ca="1">IFERROR(__xludf.DUMMYFUNCTION("""COMPUTED_VALUE"""),"")</f>
        <v/>
      </c>
      <c r="I1367" t="str">
        <f ca="1">IFERROR(__xludf.DUMMYFUNCTION("""COMPUTED_VALUE"""),"")</f>
        <v/>
      </c>
      <c r="J1367" t="str">
        <f ca="1">IFERROR(__xludf.DUMMYFUNCTION("""COMPUTED_VALUE"""),"")</f>
        <v/>
      </c>
      <c r="K1367" t="str">
        <f ca="1">IFERROR(__xludf.DUMMYFUNCTION("""COMPUTED_VALUE"""),"")</f>
        <v/>
      </c>
      <c r="L1367" t="str">
        <f ca="1">IFERROR(__xludf.DUMMYFUNCTION("""COMPUTED_VALUE"""),"")</f>
        <v/>
      </c>
      <c r="M1367" t="str">
        <f ca="1">IFERROR(__xludf.DUMMYFUNCTION("""COMPUTED_VALUE"""),"")</f>
        <v/>
      </c>
      <c r="N1367" t="str">
        <f ca="1">IFERROR(__xludf.DUMMYFUNCTION("""COMPUTED_VALUE"""),"")</f>
        <v/>
      </c>
      <c r="O1367" t="str">
        <f ca="1">IFERROR(__xludf.DUMMYFUNCTION("""COMPUTED_VALUE"""),"")</f>
        <v/>
      </c>
      <c r="P1367" t="str">
        <f ca="1">IFERROR(__xludf.DUMMYFUNCTION("""COMPUTED_VALUE"""),"")</f>
        <v/>
      </c>
      <c r="Q1367" s="5" t="str">
        <f ca="1">IFERROR(__xludf.DUMMYFUNCTION("""COMPUTED_VALUE"""),"")</f>
        <v/>
      </c>
      <c r="R1367" s="6" t="str">
        <f ca="1">IFERROR(__xludf.DUMMYFUNCTION("""COMPUTED_VALUE"""),"")</f>
        <v/>
      </c>
      <c r="S1367" t="str">
        <f ca="1">IFERROR(__xludf.DUMMYFUNCTION("""COMPUTED_VALUE"""),"")</f>
        <v/>
      </c>
      <c r="T1367" t="str">
        <f ca="1">IFERROR(__xludf.DUMMYFUNCTION("""COMPUTED_VALUE"""),"")</f>
        <v/>
      </c>
      <c r="U1367" t="str">
        <f ca="1">IFERROR(__xludf.DUMMYFUNCTION("""COMPUTED_VALUE"""),"")</f>
        <v/>
      </c>
      <c r="V1367" t="str">
        <f ca="1">IFERROR(__xludf.DUMMYFUNCTION("""COMPUTED_VALUE"""),"")</f>
        <v/>
      </c>
      <c r="W1367" t="str">
        <f ca="1">IFERROR(__xludf.DUMMYFUNCTION("""COMPUTED_VALUE"""),"")</f>
        <v/>
      </c>
      <c r="X1367" t="str">
        <f ca="1">IFERROR(__xludf.DUMMYFUNCTION("""COMPUTED_VALUE"""),"")</f>
        <v/>
      </c>
      <c r="Y1367" t="str">
        <f ca="1">IFERROR(__xludf.DUMMYFUNCTION("""COMPUTED_VALUE"""),"")</f>
        <v/>
      </c>
      <c r="Z1367" t="str">
        <f ca="1">IFERROR(__xludf.DUMMYFUNCTION("""COMPUTED_VALUE"""),"")</f>
        <v/>
      </c>
      <c r="AA1367" t="str">
        <f ca="1">IFERROR(__xludf.DUMMYFUNCTION("""COMPUTED_VALUE"""),"")</f>
        <v/>
      </c>
      <c r="AB1367" s="8" t="str">
        <f ca="1">IFERROR(__xludf.DUMMYFUNCTION("""COMPUTED_VALUE"""),"")</f>
        <v/>
      </c>
      <c r="AC1367" s="8" t="str">
        <f ca="1">IFERROR(__xludf.DUMMYFUNCTION("""COMPUTED_VALUE"""),"")</f>
        <v/>
      </c>
      <c r="AD1367" s="11" t="str">
        <f ca="1">IFERROR(__xludf.DUMMYFUNCTION("""COMPUTED_VALUE"""),"")</f>
        <v/>
      </c>
      <c r="AE1367" t="str">
        <f ca="1">IFERROR(__xludf.DUMMYFUNCTION("""COMPUTED_VALUE"""),"")</f>
        <v/>
      </c>
    </row>
    <row r="1368" spans="1:31" ht="12.75" x14ac:dyDescent="0.2">
      <c r="A1368" t="str">
        <f ca="1">IFERROR(__xludf.DUMMYFUNCTION("""COMPUTED_VALUE"""),"")</f>
        <v/>
      </c>
      <c r="B1368" t="str">
        <f ca="1">IFERROR(__xludf.DUMMYFUNCTION("""COMPUTED_VALUE"""),"")</f>
        <v/>
      </c>
      <c r="C1368" t="str">
        <f ca="1">IFERROR(__xludf.DUMMYFUNCTION("""COMPUTED_VALUE"""),"")</f>
        <v/>
      </c>
      <c r="D1368" t="str">
        <f ca="1">IFERROR(__xludf.DUMMYFUNCTION("""COMPUTED_VALUE"""),"")</f>
        <v/>
      </c>
      <c r="E1368" t="str">
        <f ca="1">IFERROR(__xludf.DUMMYFUNCTION("""COMPUTED_VALUE"""),"")</f>
        <v/>
      </c>
      <c r="F1368" t="str">
        <f ca="1">IFERROR(__xludf.DUMMYFUNCTION("""COMPUTED_VALUE"""),"")</f>
        <v/>
      </c>
      <c r="G1368" t="str">
        <f ca="1">IFERROR(__xludf.DUMMYFUNCTION("""COMPUTED_VALUE"""),"")</f>
        <v/>
      </c>
      <c r="H1368" t="str">
        <f ca="1">IFERROR(__xludf.DUMMYFUNCTION("""COMPUTED_VALUE"""),"")</f>
        <v/>
      </c>
      <c r="I1368" t="str">
        <f ca="1">IFERROR(__xludf.DUMMYFUNCTION("""COMPUTED_VALUE"""),"")</f>
        <v/>
      </c>
      <c r="J1368" t="str">
        <f ca="1">IFERROR(__xludf.DUMMYFUNCTION("""COMPUTED_VALUE"""),"")</f>
        <v/>
      </c>
      <c r="K1368" t="str">
        <f ca="1">IFERROR(__xludf.DUMMYFUNCTION("""COMPUTED_VALUE"""),"")</f>
        <v/>
      </c>
      <c r="L1368" t="str">
        <f ca="1">IFERROR(__xludf.DUMMYFUNCTION("""COMPUTED_VALUE"""),"")</f>
        <v/>
      </c>
      <c r="M1368" t="str">
        <f ca="1">IFERROR(__xludf.DUMMYFUNCTION("""COMPUTED_VALUE"""),"")</f>
        <v/>
      </c>
      <c r="N1368" t="str">
        <f ca="1">IFERROR(__xludf.DUMMYFUNCTION("""COMPUTED_VALUE"""),"")</f>
        <v/>
      </c>
      <c r="O1368" t="str">
        <f ca="1">IFERROR(__xludf.DUMMYFUNCTION("""COMPUTED_VALUE"""),"")</f>
        <v/>
      </c>
      <c r="P1368" t="str">
        <f ca="1">IFERROR(__xludf.DUMMYFUNCTION("""COMPUTED_VALUE"""),"")</f>
        <v/>
      </c>
      <c r="Q1368" s="5" t="str">
        <f ca="1">IFERROR(__xludf.DUMMYFUNCTION("""COMPUTED_VALUE"""),"")</f>
        <v/>
      </c>
      <c r="R1368" s="6" t="str">
        <f ca="1">IFERROR(__xludf.DUMMYFUNCTION("""COMPUTED_VALUE"""),"")</f>
        <v/>
      </c>
      <c r="S1368" t="str">
        <f ca="1">IFERROR(__xludf.DUMMYFUNCTION("""COMPUTED_VALUE"""),"")</f>
        <v/>
      </c>
      <c r="T1368" t="str">
        <f ca="1">IFERROR(__xludf.DUMMYFUNCTION("""COMPUTED_VALUE"""),"")</f>
        <v/>
      </c>
      <c r="U1368" t="str">
        <f ca="1">IFERROR(__xludf.DUMMYFUNCTION("""COMPUTED_VALUE"""),"")</f>
        <v/>
      </c>
      <c r="V1368" t="str">
        <f ca="1">IFERROR(__xludf.DUMMYFUNCTION("""COMPUTED_VALUE"""),"")</f>
        <v/>
      </c>
      <c r="W1368" t="str">
        <f ca="1">IFERROR(__xludf.DUMMYFUNCTION("""COMPUTED_VALUE"""),"")</f>
        <v/>
      </c>
      <c r="X1368" t="str">
        <f ca="1">IFERROR(__xludf.DUMMYFUNCTION("""COMPUTED_VALUE"""),"")</f>
        <v/>
      </c>
      <c r="Y1368" t="str">
        <f ca="1">IFERROR(__xludf.DUMMYFUNCTION("""COMPUTED_VALUE"""),"")</f>
        <v/>
      </c>
      <c r="Z1368" t="str">
        <f ca="1">IFERROR(__xludf.DUMMYFUNCTION("""COMPUTED_VALUE"""),"")</f>
        <v/>
      </c>
      <c r="AA1368" t="str">
        <f ca="1">IFERROR(__xludf.DUMMYFUNCTION("""COMPUTED_VALUE"""),"")</f>
        <v/>
      </c>
      <c r="AB1368" s="8" t="str">
        <f ca="1">IFERROR(__xludf.DUMMYFUNCTION("""COMPUTED_VALUE"""),"")</f>
        <v/>
      </c>
      <c r="AC1368" s="8" t="str">
        <f ca="1">IFERROR(__xludf.DUMMYFUNCTION("""COMPUTED_VALUE"""),"")</f>
        <v/>
      </c>
      <c r="AD1368" s="11" t="str">
        <f ca="1">IFERROR(__xludf.DUMMYFUNCTION("""COMPUTED_VALUE"""),"")</f>
        <v/>
      </c>
      <c r="AE1368" t="str">
        <f ca="1">IFERROR(__xludf.DUMMYFUNCTION("""COMPUTED_VALUE"""),"")</f>
        <v/>
      </c>
    </row>
    <row r="1369" spans="1:31" ht="12.75" x14ac:dyDescent="0.2">
      <c r="A1369" t="str">
        <f ca="1">IFERROR(__xludf.DUMMYFUNCTION("""COMPUTED_VALUE"""),"")</f>
        <v/>
      </c>
      <c r="B1369" t="str">
        <f ca="1">IFERROR(__xludf.DUMMYFUNCTION("""COMPUTED_VALUE"""),"")</f>
        <v/>
      </c>
      <c r="C1369" t="str">
        <f ca="1">IFERROR(__xludf.DUMMYFUNCTION("""COMPUTED_VALUE"""),"")</f>
        <v/>
      </c>
      <c r="D1369" t="str">
        <f ca="1">IFERROR(__xludf.DUMMYFUNCTION("""COMPUTED_VALUE"""),"")</f>
        <v/>
      </c>
      <c r="E1369" t="str">
        <f ca="1">IFERROR(__xludf.DUMMYFUNCTION("""COMPUTED_VALUE"""),"")</f>
        <v/>
      </c>
      <c r="F1369" t="str">
        <f ca="1">IFERROR(__xludf.DUMMYFUNCTION("""COMPUTED_VALUE"""),"")</f>
        <v/>
      </c>
      <c r="G1369" t="str">
        <f ca="1">IFERROR(__xludf.DUMMYFUNCTION("""COMPUTED_VALUE"""),"")</f>
        <v/>
      </c>
      <c r="H1369" t="str">
        <f ca="1">IFERROR(__xludf.DUMMYFUNCTION("""COMPUTED_VALUE"""),"")</f>
        <v/>
      </c>
      <c r="I1369" t="str">
        <f ca="1">IFERROR(__xludf.DUMMYFUNCTION("""COMPUTED_VALUE"""),"")</f>
        <v/>
      </c>
      <c r="J1369" t="str">
        <f ca="1">IFERROR(__xludf.DUMMYFUNCTION("""COMPUTED_VALUE"""),"")</f>
        <v/>
      </c>
      <c r="K1369" t="str">
        <f ca="1">IFERROR(__xludf.DUMMYFUNCTION("""COMPUTED_VALUE"""),"")</f>
        <v/>
      </c>
      <c r="L1369" t="str">
        <f ca="1">IFERROR(__xludf.DUMMYFUNCTION("""COMPUTED_VALUE"""),"")</f>
        <v/>
      </c>
      <c r="M1369" t="str">
        <f ca="1">IFERROR(__xludf.DUMMYFUNCTION("""COMPUTED_VALUE"""),"")</f>
        <v/>
      </c>
      <c r="N1369" t="str">
        <f ca="1">IFERROR(__xludf.DUMMYFUNCTION("""COMPUTED_VALUE"""),"")</f>
        <v/>
      </c>
      <c r="O1369" t="str">
        <f ca="1">IFERROR(__xludf.DUMMYFUNCTION("""COMPUTED_VALUE"""),"")</f>
        <v/>
      </c>
      <c r="P1369" t="str">
        <f ca="1">IFERROR(__xludf.DUMMYFUNCTION("""COMPUTED_VALUE"""),"")</f>
        <v/>
      </c>
      <c r="Q1369" s="5" t="str">
        <f ca="1">IFERROR(__xludf.DUMMYFUNCTION("""COMPUTED_VALUE"""),"")</f>
        <v/>
      </c>
      <c r="R1369" s="6" t="str">
        <f ca="1">IFERROR(__xludf.DUMMYFUNCTION("""COMPUTED_VALUE"""),"")</f>
        <v/>
      </c>
      <c r="S1369" t="str">
        <f ca="1">IFERROR(__xludf.DUMMYFUNCTION("""COMPUTED_VALUE"""),"")</f>
        <v/>
      </c>
      <c r="T1369" t="str">
        <f ca="1">IFERROR(__xludf.DUMMYFUNCTION("""COMPUTED_VALUE"""),"")</f>
        <v/>
      </c>
      <c r="U1369" t="str">
        <f ca="1">IFERROR(__xludf.DUMMYFUNCTION("""COMPUTED_VALUE"""),"")</f>
        <v/>
      </c>
      <c r="V1369" t="str">
        <f ca="1">IFERROR(__xludf.DUMMYFUNCTION("""COMPUTED_VALUE"""),"")</f>
        <v/>
      </c>
      <c r="W1369" t="str">
        <f ca="1">IFERROR(__xludf.DUMMYFUNCTION("""COMPUTED_VALUE"""),"")</f>
        <v/>
      </c>
      <c r="X1369" t="str">
        <f ca="1">IFERROR(__xludf.DUMMYFUNCTION("""COMPUTED_VALUE"""),"")</f>
        <v/>
      </c>
      <c r="Y1369" t="str">
        <f ca="1">IFERROR(__xludf.DUMMYFUNCTION("""COMPUTED_VALUE"""),"")</f>
        <v/>
      </c>
      <c r="Z1369" t="str">
        <f ca="1">IFERROR(__xludf.DUMMYFUNCTION("""COMPUTED_VALUE"""),"")</f>
        <v/>
      </c>
      <c r="AA1369" t="str">
        <f ca="1">IFERROR(__xludf.DUMMYFUNCTION("""COMPUTED_VALUE"""),"")</f>
        <v/>
      </c>
      <c r="AB1369" s="8" t="str">
        <f ca="1">IFERROR(__xludf.DUMMYFUNCTION("""COMPUTED_VALUE"""),"")</f>
        <v/>
      </c>
      <c r="AC1369" s="8" t="str">
        <f ca="1">IFERROR(__xludf.DUMMYFUNCTION("""COMPUTED_VALUE"""),"")</f>
        <v/>
      </c>
      <c r="AD1369" s="11" t="str">
        <f ca="1">IFERROR(__xludf.DUMMYFUNCTION("""COMPUTED_VALUE"""),"")</f>
        <v/>
      </c>
      <c r="AE1369" t="str">
        <f ca="1">IFERROR(__xludf.DUMMYFUNCTION("""COMPUTED_VALUE"""),"")</f>
        <v/>
      </c>
    </row>
    <row r="1370" spans="1:31" ht="12.75" x14ac:dyDescent="0.2">
      <c r="A1370" t="str">
        <f ca="1">IFERROR(__xludf.DUMMYFUNCTION("""COMPUTED_VALUE"""),"")</f>
        <v/>
      </c>
      <c r="B1370" t="str">
        <f ca="1">IFERROR(__xludf.DUMMYFUNCTION("""COMPUTED_VALUE"""),"")</f>
        <v/>
      </c>
      <c r="C1370" t="str">
        <f ca="1">IFERROR(__xludf.DUMMYFUNCTION("""COMPUTED_VALUE"""),"")</f>
        <v/>
      </c>
      <c r="D1370" t="str">
        <f ca="1">IFERROR(__xludf.DUMMYFUNCTION("""COMPUTED_VALUE"""),"")</f>
        <v/>
      </c>
      <c r="E1370" t="str">
        <f ca="1">IFERROR(__xludf.DUMMYFUNCTION("""COMPUTED_VALUE"""),"")</f>
        <v/>
      </c>
      <c r="F1370" t="str">
        <f ca="1">IFERROR(__xludf.DUMMYFUNCTION("""COMPUTED_VALUE"""),"")</f>
        <v/>
      </c>
      <c r="G1370" t="str">
        <f ca="1">IFERROR(__xludf.DUMMYFUNCTION("""COMPUTED_VALUE"""),"")</f>
        <v/>
      </c>
      <c r="H1370" t="str">
        <f ca="1">IFERROR(__xludf.DUMMYFUNCTION("""COMPUTED_VALUE"""),"")</f>
        <v/>
      </c>
      <c r="I1370" t="str">
        <f ca="1">IFERROR(__xludf.DUMMYFUNCTION("""COMPUTED_VALUE"""),"")</f>
        <v/>
      </c>
      <c r="J1370" t="str">
        <f ca="1">IFERROR(__xludf.DUMMYFUNCTION("""COMPUTED_VALUE"""),"")</f>
        <v/>
      </c>
      <c r="K1370" t="str">
        <f ca="1">IFERROR(__xludf.DUMMYFUNCTION("""COMPUTED_VALUE"""),"")</f>
        <v/>
      </c>
      <c r="L1370" t="str">
        <f ca="1">IFERROR(__xludf.DUMMYFUNCTION("""COMPUTED_VALUE"""),"")</f>
        <v/>
      </c>
      <c r="M1370" t="str">
        <f ca="1">IFERROR(__xludf.DUMMYFUNCTION("""COMPUTED_VALUE"""),"")</f>
        <v/>
      </c>
      <c r="N1370" t="str">
        <f ca="1">IFERROR(__xludf.DUMMYFUNCTION("""COMPUTED_VALUE"""),"")</f>
        <v/>
      </c>
      <c r="O1370" t="str">
        <f ca="1">IFERROR(__xludf.DUMMYFUNCTION("""COMPUTED_VALUE"""),"")</f>
        <v/>
      </c>
      <c r="P1370" t="str">
        <f ca="1">IFERROR(__xludf.DUMMYFUNCTION("""COMPUTED_VALUE"""),"")</f>
        <v/>
      </c>
      <c r="Q1370" s="5" t="str">
        <f ca="1">IFERROR(__xludf.DUMMYFUNCTION("""COMPUTED_VALUE"""),"")</f>
        <v/>
      </c>
      <c r="R1370" s="6" t="str">
        <f ca="1">IFERROR(__xludf.DUMMYFUNCTION("""COMPUTED_VALUE"""),"")</f>
        <v/>
      </c>
      <c r="S1370" t="str">
        <f ca="1">IFERROR(__xludf.DUMMYFUNCTION("""COMPUTED_VALUE"""),"")</f>
        <v/>
      </c>
      <c r="T1370" t="str">
        <f ca="1">IFERROR(__xludf.DUMMYFUNCTION("""COMPUTED_VALUE"""),"")</f>
        <v/>
      </c>
      <c r="U1370" t="str">
        <f ca="1">IFERROR(__xludf.DUMMYFUNCTION("""COMPUTED_VALUE"""),"")</f>
        <v/>
      </c>
      <c r="V1370" t="str">
        <f ca="1">IFERROR(__xludf.DUMMYFUNCTION("""COMPUTED_VALUE"""),"")</f>
        <v/>
      </c>
      <c r="W1370" t="str">
        <f ca="1">IFERROR(__xludf.DUMMYFUNCTION("""COMPUTED_VALUE"""),"")</f>
        <v/>
      </c>
      <c r="X1370" t="str">
        <f ca="1">IFERROR(__xludf.DUMMYFUNCTION("""COMPUTED_VALUE"""),"")</f>
        <v/>
      </c>
      <c r="Y1370" t="str">
        <f ca="1">IFERROR(__xludf.DUMMYFUNCTION("""COMPUTED_VALUE"""),"")</f>
        <v/>
      </c>
      <c r="Z1370" t="str">
        <f ca="1">IFERROR(__xludf.DUMMYFUNCTION("""COMPUTED_VALUE"""),"")</f>
        <v/>
      </c>
      <c r="AA1370" t="str">
        <f ca="1">IFERROR(__xludf.DUMMYFUNCTION("""COMPUTED_VALUE"""),"")</f>
        <v/>
      </c>
      <c r="AB1370" s="8" t="str">
        <f ca="1">IFERROR(__xludf.DUMMYFUNCTION("""COMPUTED_VALUE"""),"")</f>
        <v/>
      </c>
      <c r="AC1370" s="8" t="str">
        <f ca="1">IFERROR(__xludf.DUMMYFUNCTION("""COMPUTED_VALUE"""),"")</f>
        <v/>
      </c>
      <c r="AD1370" s="11" t="str">
        <f ca="1">IFERROR(__xludf.DUMMYFUNCTION("""COMPUTED_VALUE"""),"")</f>
        <v/>
      </c>
      <c r="AE1370" t="str">
        <f ca="1">IFERROR(__xludf.DUMMYFUNCTION("""COMPUTED_VALUE"""),"")</f>
        <v/>
      </c>
    </row>
    <row r="1371" spans="1:31" ht="12.75" x14ac:dyDescent="0.2">
      <c r="A1371" t="str">
        <f ca="1">IFERROR(__xludf.DUMMYFUNCTION("""COMPUTED_VALUE"""),"")</f>
        <v/>
      </c>
      <c r="B1371" t="str">
        <f ca="1">IFERROR(__xludf.DUMMYFUNCTION("""COMPUTED_VALUE"""),"")</f>
        <v/>
      </c>
      <c r="C1371" t="str">
        <f ca="1">IFERROR(__xludf.DUMMYFUNCTION("""COMPUTED_VALUE"""),"")</f>
        <v/>
      </c>
      <c r="D1371" t="str">
        <f ca="1">IFERROR(__xludf.DUMMYFUNCTION("""COMPUTED_VALUE"""),"")</f>
        <v/>
      </c>
      <c r="E1371" t="str">
        <f ca="1">IFERROR(__xludf.DUMMYFUNCTION("""COMPUTED_VALUE"""),"")</f>
        <v/>
      </c>
      <c r="F1371" t="str">
        <f ca="1">IFERROR(__xludf.DUMMYFUNCTION("""COMPUTED_VALUE"""),"")</f>
        <v/>
      </c>
      <c r="G1371" t="str">
        <f ca="1">IFERROR(__xludf.DUMMYFUNCTION("""COMPUTED_VALUE"""),"")</f>
        <v/>
      </c>
      <c r="H1371" t="str">
        <f ca="1">IFERROR(__xludf.DUMMYFUNCTION("""COMPUTED_VALUE"""),"")</f>
        <v/>
      </c>
      <c r="I1371" t="str">
        <f ca="1">IFERROR(__xludf.DUMMYFUNCTION("""COMPUTED_VALUE"""),"")</f>
        <v/>
      </c>
      <c r="J1371" t="str">
        <f ca="1">IFERROR(__xludf.DUMMYFUNCTION("""COMPUTED_VALUE"""),"")</f>
        <v/>
      </c>
      <c r="K1371" t="str">
        <f ca="1">IFERROR(__xludf.DUMMYFUNCTION("""COMPUTED_VALUE"""),"")</f>
        <v/>
      </c>
      <c r="L1371" t="str">
        <f ca="1">IFERROR(__xludf.DUMMYFUNCTION("""COMPUTED_VALUE"""),"")</f>
        <v/>
      </c>
      <c r="M1371" t="str">
        <f ca="1">IFERROR(__xludf.DUMMYFUNCTION("""COMPUTED_VALUE"""),"")</f>
        <v/>
      </c>
      <c r="N1371" t="str">
        <f ca="1">IFERROR(__xludf.DUMMYFUNCTION("""COMPUTED_VALUE"""),"")</f>
        <v/>
      </c>
      <c r="O1371" t="str">
        <f ca="1">IFERROR(__xludf.DUMMYFUNCTION("""COMPUTED_VALUE"""),"")</f>
        <v/>
      </c>
      <c r="P1371" t="str">
        <f ca="1">IFERROR(__xludf.DUMMYFUNCTION("""COMPUTED_VALUE"""),"")</f>
        <v/>
      </c>
      <c r="Q1371" s="5" t="str">
        <f ca="1">IFERROR(__xludf.DUMMYFUNCTION("""COMPUTED_VALUE"""),"")</f>
        <v/>
      </c>
      <c r="R1371" s="6" t="str">
        <f ca="1">IFERROR(__xludf.DUMMYFUNCTION("""COMPUTED_VALUE"""),"")</f>
        <v/>
      </c>
      <c r="S1371" t="str">
        <f ca="1">IFERROR(__xludf.DUMMYFUNCTION("""COMPUTED_VALUE"""),"")</f>
        <v/>
      </c>
      <c r="T1371" t="str">
        <f ca="1">IFERROR(__xludf.DUMMYFUNCTION("""COMPUTED_VALUE"""),"")</f>
        <v/>
      </c>
      <c r="U1371" t="str">
        <f ca="1">IFERROR(__xludf.DUMMYFUNCTION("""COMPUTED_VALUE"""),"")</f>
        <v/>
      </c>
      <c r="V1371" t="str">
        <f ca="1">IFERROR(__xludf.DUMMYFUNCTION("""COMPUTED_VALUE"""),"")</f>
        <v/>
      </c>
      <c r="W1371" t="str">
        <f ca="1">IFERROR(__xludf.DUMMYFUNCTION("""COMPUTED_VALUE"""),"")</f>
        <v/>
      </c>
      <c r="X1371" t="str">
        <f ca="1">IFERROR(__xludf.DUMMYFUNCTION("""COMPUTED_VALUE"""),"")</f>
        <v/>
      </c>
      <c r="Y1371" t="str">
        <f ca="1">IFERROR(__xludf.DUMMYFUNCTION("""COMPUTED_VALUE"""),"")</f>
        <v/>
      </c>
      <c r="Z1371" t="str">
        <f ca="1">IFERROR(__xludf.DUMMYFUNCTION("""COMPUTED_VALUE"""),"")</f>
        <v/>
      </c>
      <c r="AA1371" t="str">
        <f ca="1">IFERROR(__xludf.DUMMYFUNCTION("""COMPUTED_VALUE"""),"")</f>
        <v/>
      </c>
      <c r="AB1371" s="8" t="str">
        <f ca="1">IFERROR(__xludf.DUMMYFUNCTION("""COMPUTED_VALUE"""),"")</f>
        <v/>
      </c>
      <c r="AC1371" s="8" t="str">
        <f ca="1">IFERROR(__xludf.DUMMYFUNCTION("""COMPUTED_VALUE"""),"")</f>
        <v/>
      </c>
      <c r="AD1371" s="11" t="str">
        <f ca="1">IFERROR(__xludf.DUMMYFUNCTION("""COMPUTED_VALUE"""),"")</f>
        <v/>
      </c>
      <c r="AE1371" t="str">
        <f ca="1">IFERROR(__xludf.DUMMYFUNCTION("""COMPUTED_VALUE"""),"")</f>
        <v/>
      </c>
    </row>
    <row r="1372" spans="1:31" ht="12.75" x14ac:dyDescent="0.2">
      <c r="A1372" t="str">
        <f ca="1">IFERROR(__xludf.DUMMYFUNCTION("""COMPUTED_VALUE"""),"")</f>
        <v/>
      </c>
      <c r="B1372" t="str">
        <f ca="1">IFERROR(__xludf.DUMMYFUNCTION("""COMPUTED_VALUE"""),"")</f>
        <v/>
      </c>
      <c r="C1372" t="str">
        <f ca="1">IFERROR(__xludf.DUMMYFUNCTION("""COMPUTED_VALUE"""),"")</f>
        <v/>
      </c>
      <c r="D1372" t="str">
        <f ca="1">IFERROR(__xludf.DUMMYFUNCTION("""COMPUTED_VALUE"""),"")</f>
        <v/>
      </c>
      <c r="E1372" t="str">
        <f ca="1">IFERROR(__xludf.DUMMYFUNCTION("""COMPUTED_VALUE"""),"")</f>
        <v/>
      </c>
      <c r="F1372" t="str">
        <f ca="1">IFERROR(__xludf.DUMMYFUNCTION("""COMPUTED_VALUE"""),"")</f>
        <v/>
      </c>
      <c r="G1372" t="str">
        <f ca="1">IFERROR(__xludf.DUMMYFUNCTION("""COMPUTED_VALUE"""),"")</f>
        <v/>
      </c>
      <c r="H1372" t="str">
        <f ca="1">IFERROR(__xludf.DUMMYFUNCTION("""COMPUTED_VALUE"""),"")</f>
        <v/>
      </c>
      <c r="I1372" t="str">
        <f ca="1">IFERROR(__xludf.DUMMYFUNCTION("""COMPUTED_VALUE"""),"")</f>
        <v/>
      </c>
      <c r="J1372" t="str">
        <f ca="1">IFERROR(__xludf.DUMMYFUNCTION("""COMPUTED_VALUE"""),"")</f>
        <v/>
      </c>
      <c r="K1372" t="str">
        <f ca="1">IFERROR(__xludf.DUMMYFUNCTION("""COMPUTED_VALUE"""),"")</f>
        <v/>
      </c>
      <c r="L1372" t="str">
        <f ca="1">IFERROR(__xludf.DUMMYFUNCTION("""COMPUTED_VALUE"""),"")</f>
        <v/>
      </c>
      <c r="M1372" t="str">
        <f ca="1">IFERROR(__xludf.DUMMYFUNCTION("""COMPUTED_VALUE"""),"")</f>
        <v/>
      </c>
      <c r="N1372" t="str">
        <f ca="1">IFERROR(__xludf.DUMMYFUNCTION("""COMPUTED_VALUE"""),"")</f>
        <v/>
      </c>
      <c r="O1372" t="str">
        <f ca="1">IFERROR(__xludf.DUMMYFUNCTION("""COMPUTED_VALUE"""),"")</f>
        <v/>
      </c>
      <c r="P1372" t="str">
        <f ca="1">IFERROR(__xludf.DUMMYFUNCTION("""COMPUTED_VALUE"""),"")</f>
        <v/>
      </c>
      <c r="Q1372" s="5" t="str">
        <f ca="1">IFERROR(__xludf.DUMMYFUNCTION("""COMPUTED_VALUE"""),"")</f>
        <v/>
      </c>
      <c r="R1372" s="6" t="str">
        <f ca="1">IFERROR(__xludf.DUMMYFUNCTION("""COMPUTED_VALUE"""),"")</f>
        <v/>
      </c>
      <c r="S1372" t="str">
        <f ca="1">IFERROR(__xludf.DUMMYFUNCTION("""COMPUTED_VALUE"""),"")</f>
        <v/>
      </c>
      <c r="T1372" t="str">
        <f ca="1">IFERROR(__xludf.DUMMYFUNCTION("""COMPUTED_VALUE"""),"")</f>
        <v/>
      </c>
      <c r="U1372" t="str">
        <f ca="1">IFERROR(__xludf.DUMMYFUNCTION("""COMPUTED_VALUE"""),"")</f>
        <v/>
      </c>
      <c r="V1372" t="str">
        <f ca="1">IFERROR(__xludf.DUMMYFUNCTION("""COMPUTED_VALUE"""),"")</f>
        <v/>
      </c>
      <c r="W1372" t="str">
        <f ca="1">IFERROR(__xludf.DUMMYFUNCTION("""COMPUTED_VALUE"""),"")</f>
        <v/>
      </c>
      <c r="X1372" t="str">
        <f ca="1">IFERROR(__xludf.DUMMYFUNCTION("""COMPUTED_VALUE"""),"")</f>
        <v/>
      </c>
      <c r="Y1372" t="str">
        <f ca="1">IFERROR(__xludf.DUMMYFUNCTION("""COMPUTED_VALUE"""),"")</f>
        <v/>
      </c>
      <c r="Z1372" t="str">
        <f ca="1">IFERROR(__xludf.DUMMYFUNCTION("""COMPUTED_VALUE"""),"")</f>
        <v/>
      </c>
      <c r="AA1372" t="str">
        <f ca="1">IFERROR(__xludf.DUMMYFUNCTION("""COMPUTED_VALUE"""),"")</f>
        <v/>
      </c>
      <c r="AB1372" s="8" t="str">
        <f ca="1">IFERROR(__xludf.DUMMYFUNCTION("""COMPUTED_VALUE"""),"")</f>
        <v/>
      </c>
      <c r="AC1372" s="8" t="str">
        <f ca="1">IFERROR(__xludf.DUMMYFUNCTION("""COMPUTED_VALUE"""),"")</f>
        <v/>
      </c>
      <c r="AD1372" s="11" t="str">
        <f ca="1">IFERROR(__xludf.DUMMYFUNCTION("""COMPUTED_VALUE"""),"")</f>
        <v/>
      </c>
      <c r="AE1372" t="str">
        <f ca="1">IFERROR(__xludf.DUMMYFUNCTION("""COMPUTED_VALUE"""),"")</f>
        <v/>
      </c>
    </row>
    <row r="1373" spans="1:31" ht="12.75" x14ac:dyDescent="0.2">
      <c r="A1373" t="str">
        <f ca="1">IFERROR(__xludf.DUMMYFUNCTION("""COMPUTED_VALUE"""),"")</f>
        <v/>
      </c>
      <c r="B1373" t="str">
        <f ca="1">IFERROR(__xludf.DUMMYFUNCTION("""COMPUTED_VALUE"""),"")</f>
        <v/>
      </c>
      <c r="C1373" t="str">
        <f ca="1">IFERROR(__xludf.DUMMYFUNCTION("""COMPUTED_VALUE"""),"")</f>
        <v/>
      </c>
      <c r="D1373" t="str">
        <f ca="1">IFERROR(__xludf.DUMMYFUNCTION("""COMPUTED_VALUE"""),"")</f>
        <v/>
      </c>
      <c r="E1373" t="str">
        <f ca="1">IFERROR(__xludf.DUMMYFUNCTION("""COMPUTED_VALUE"""),"")</f>
        <v/>
      </c>
      <c r="F1373" t="str">
        <f ca="1">IFERROR(__xludf.DUMMYFUNCTION("""COMPUTED_VALUE"""),"")</f>
        <v/>
      </c>
      <c r="G1373" t="str">
        <f ca="1">IFERROR(__xludf.DUMMYFUNCTION("""COMPUTED_VALUE"""),"")</f>
        <v/>
      </c>
      <c r="H1373" t="str">
        <f ca="1">IFERROR(__xludf.DUMMYFUNCTION("""COMPUTED_VALUE"""),"")</f>
        <v/>
      </c>
      <c r="I1373" t="str">
        <f ca="1">IFERROR(__xludf.DUMMYFUNCTION("""COMPUTED_VALUE"""),"")</f>
        <v/>
      </c>
      <c r="J1373" t="str">
        <f ca="1">IFERROR(__xludf.DUMMYFUNCTION("""COMPUTED_VALUE"""),"")</f>
        <v/>
      </c>
      <c r="K1373" t="str">
        <f ca="1">IFERROR(__xludf.DUMMYFUNCTION("""COMPUTED_VALUE"""),"")</f>
        <v/>
      </c>
      <c r="L1373" t="str">
        <f ca="1">IFERROR(__xludf.DUMMYFUNCTION("""COMPUTED_VALUE"""),"")</f>
        <v/>
      </c>
      <c r="M1373" t="str">
        <f ca="1">IFERROR(__xludf.DUMMYFUNCTION("""COMPUTED_VALUE"""),"")</f>
        <v/>
      </c>
      <c r="N1373" t="str">
        <f ca="1">IFERROR(__xludf.DUMMYFUNCTION("""COMPUTED_VALUE"""),"")</f>
        <v/>
      </c>
      <c r="O1373" t="str">
        <f ca="1">IFERROR(__xludf.DUMMYFUNCTION("""COMPUTED_VALUE"""),"")</f>
        <v/>
      </c>
      <c r="P1373" t="str">
        <f ca="1">IFERROR(__xludf.DUMMYFUNCTION("""COMPUTED_VALUE"""),"")</f>
        <v/>
      </c>
      <c r="Q1373" s="5" t="str">
        <f ca="1">IFERROR(__xludf.DUMMYFUNCTION("""COMPUTED_VALUE"""),"")</f>
        <v/>
      </c>
      <c r="R1373" s="6" t="str">
        <f ca="1">IFERROR(__xludf.DUMMYFUNCTION("""COMPUTED_VALUE"""),"")</f>
        <v/>
      </c>
      <c r="S1373" t="str">
        <f ca="1">IFERROR(__xludf.DUMMYFUNCTION("""COMPUTED_VALUE"""),"")</f>
        <v/>
      </c>
      <c r="T1373" t="str">
        <f ca="1">IFERROR(__xludf.DUMMYFUNCTION("""COMPUTED_VALUE"""),"")</f>
        <v/>
      </c>
      <c r="U1373" t="str">
        <f ca="1">IFERROR(__xludf.DUMMYFUNCTION("""COMPUTED_VALUE"""),"")</f>
        <v/>
      </c>
      <c r="V1373" t="str">
        <f ca="1">IFERROR(__xludf.DUMMYFUNCTION("""COMPUTED_VALUE"""),"")</f>
        <v/>
      </c>
      <c r="W1373" t="str">
        <f ca="1">IFERROR(__xludf.DUMMYFUNCTION("""COMPUTED_VALUE"""),"")</f>
        <v/>
      </c>
      <c r="X1373" t="str">
        <f ca="1">IFERROR(__xludf.DUMMYFUNCTION("""COMPUTED_VALUE"""),"")</f>
        <v/>
      </c>
      <c r="Y1373" t="str">
        <f ca="1">IFERROR(__xludf.DUMMYFUNCTION("""COMPUTED_VALUE"""),"")</f>
        <v/>
      </c>
      <c r="Z1373" t="str">
        <f ca="1">IFERROR(__xludf.DUMMYFUNCTION("""COMPUTED_VALUE"""),"")</f>
        <v/>
      </c>
      <c r="AA1373" t="str">
        <f ca="1">IFERROR(__xludf.DUMMYFUNCTION("""COMPUTED_VALUE"""),"")</f>
        <v/>
      </c>
      <c r="AB1373" s="8" t="str">
        <f ca="1">IFERROR(__xludf.DUMMYFUNCTION("""COMPUTED_VALUE"""),"")</f>
        <v/>
      </c>
      <c r="AC1373" s="8" t="str">
        <f ca="1">IFERROR(__xludf.DUMMYFUNCTION("""COMPUTED_VALUE"""),"")</f>
        <v/>
      </c>
      <c r="AD1373" s="11" t="str">
        <f ca="1">IFERROR(__xludf.DUMMYFUNCTION("""COMPUTED_VALUE"""),"")</f>
        <v/>
      </c>
      <c r="AE1373" t="str">
        <f ca="1">IFERROR(__xludf.DUMMYFUNCTION("""COMPUTED_VALUE"""),"")</f>
        <v/>
      </c>
    </row>
    <row r="1374" spans="1:31" ht="12.75" x14ac:dyDescent="0.2">
      <c r="A1374" t="str">
        <f ca="1">IFERROR(__xludf.DUMMYFUNCTION("""COMPUTED_VALUE"""),"")</f>
        <v/>
      </c>
      <c r="B1374" t="str">
        <f ca="1">IFERROR(__xludf.DUMMYFUNCTION("""COMPUTED_VALUE"""),"")</f>
        <v/>
      </c>
      <c r="C1374" t="str">
        <f ca="1">IFERROR(__xludf.DUMMYFUNCTION("""COMPUTED_VALUE"""),"")</f>
        <v/>
      </c>
      <c r="D1374" t="str">
        <f ca="1">IFERROR(__xludf.DUMMYFUNCTION("""COMPUTED_VALUE"""),"")</f>
        <v/>
      </c>
      <c r="E1374" t="str">
        <f ca="1">IFERROR(__xludf.DUMMYFUNCTION("""COMPUTED_VALUE"""),"")</f>
        <v/>
      </c>
      <c r="F1374" t="str">
        <f ca="1">IFERROR(__xludf.DUMMYFUNCTION("""COMPUTED_VALUE"""),"")</f>
        <v/>
      </c>
      <c r="G1374" t="str">
        <f ca="1">IFERROR(__xludf.DUMMYFUNCTION("""COMPUTED_VALUE"""),"")</f>
        <v/>
      </c>
      <c r="H1374" t="str">
        <f ca="1">IFERROR(__xludf.DUMMYFUNCTION("""COMPUTED_VALUE"""),"")</f>
        <v/>
      </c>
      <c r="I1374" t="str">
        <f ca="1">IFERROR(__xludf.DUMMYFUNCTION("""COMPUTED_VALUE"""),"")</f>
        <v/>
      </c>
      <c r="J1374" t="str">
        <f ca="1">IFERROR(__xludf.DUMMYFUNCTION("""COMPUTED_VALUE"""),"")</f>
        <v/>
      </c>
      <c r="K1374" t="str">
        <f ca="1">IFERROR(__xludf.DUMMYFUNCTION("""COMPUTED_VALUE"""),"")</f>
        <v/>
      </c>
      <c r="L1374" t="str">
        <f ca="1">IFERROR(__xludf.DUMMYFUNCTION("""COMPUTED_VALUE"""),"")</f>
        <v/>
      </c>
      <c r="M1374" t="str">
        <f ca="1">IFERROR(__xludf.DUMMYFUNCTION("""COMPUTED_VALUE"""),"")</f>
        <v/>
      </c>
      <c r="N1374" t="str">
        <f ca="1">IFERROR(__xludf.DUMMYFUNCTION("""COMPUTED_VALUE"""),"")</f>
        <v/>
      </c>
      <c r="O1374" t="str">
        <f ca="1">IFERROR(__xludf.DUMMYFUNCTION("""COMPUTED_VALUE"""),"")</f>
        <v/>
      </c>
      <c r="P1374" t="str">
        <f ca="1">IFERROR(__xludf.DUMMYFUNCTION("""COMPUTED_VALUE"""),"")</f>
        <v/>
      </c>
      <c r="Q1374" s="5" t="str">
        <f ca="1">IFERROR(__xludf.DUMMYFUNCTION("""COMPUTED_VALUE"""),"")</f>
        <v/>
      </c>
      <c r="R1374" s="6" t="str">
        <f ca="1">IFERROR(__xludf.DUMMYFUNCTION("""COMPUTED_VALUE"""),"")</f>
        <v/>
      </c>
      <c r="S1374" t="str">
        <f ca="1">IFERROR(__xludf.DUMMYFUNCTION("""COMPUTED_VALUE"""),"")</f>
        <v/>
      </c>
      <c r="T1374" t="str">
        <f ca="1">IFERROR(__xludf.DUMMYFUNCTION("""COMPUTED_VALUE"""),"")</f>
        <v/>
      </c>
      <c r="U1374" t="str">
        <f ca="1">IFERROR(__xludf.DUMMYFUNCTION("""COMPUTED_VALUE"""),"")</f>
        <v/>
      </c>
      <c r="V1374" t="str">
        <f ca="1">IFERROR(__xludf.DUMMYFUNCTION("""COMPUTED_VALUE"""),"")</f>
        <v/>
      </c>
      <c r="W1374" t="str">
        <f ca="1">IFERROR(__xludf.DUMMYFUNCTION("""COMPUTED_VALUE"""),"")</f>
        <v/>
      </c>
      <c r="X1374" t="str">
        <f ca="1">IFERROR(__xludf.DUMMYFUNCTION("""COMPUTED_VALUE"""),"")</f>
        <v/>
      </c>
      <c r="Y1374" t="str">
        <f ca="1">IFERROR(__xludf.DUMMYFUNCTION("""COMPUTED_VALUE"""),"")</f>
        <v/>
      </c>
      <c r="Z1374" t="str">
        <f ca="1">IFERROR(__xludf.DUMMYFUNCTION("""COMPUTED_VALUE"""),"")</f>
        <v/>
      </c>
      <c r="AA1374" t="str">
        <f ca="1">IFERROR(__xludf.DUMMYFUNCTION("""COMPUTED_VALUE"""),"")</f>
        <v/>
      </c>
      <c r="AB1374" s="8" t="str">
        <f ca="1">IFERROR(__xludf.DUMMYFUNCTION("""COMPUTED_VALUE"""),"")</f>
        <v/>
      </c>
      <c r="AC1374" s="8" t="str">
        <f ca="1">IFERROR(__xludf.DUMMYFUNCTION("""COMPUTED_VALUE"""),"")</f>
        <v/>
      </c>
      <c r="AD1374" s="11" t="str">
        <f ca="1">IFERROR(__xludf.DUMMYFUNCTION("""COMPUTED_VALUE"""),"")</f>
        <v/>
      </c>
      <c r="AE1374" t="str">
        <f ca="1">IFERROR(__xludf.DUMMYFUNCTION("""COMPUTED_VALUE"""),"")</f>
        <v/>
      </c>
    </row>
    <row r="1375" spans="1:31" ht="12.75" x14ac:dyDescent="0.2">
      <c r="A1375" t="str">
        <f ca="1">IFERROR(__xludf.DUMMYFUNCTION("""COMPUTED_VALUE"""),"")</f>
        <v/>
      </c>
      <c r="B1375" t="str">
        <f ca="1">IFERROR(__xludf.DUMMYFUNCTION("""COMPUTED_VALUE"""),"")</f>
        <v/>
      </c>
      <c r="C1375" t="str">
        <f ca="1">IFERROR(__xludf.DUMMYFUNCTION("""COMPUTED_VALUE"""),"")</f>
        <v/>
      </c>
      <c r="D1375" t="str">
        <f ca="1">IFERROR(__xludf.DUMMYFUNCTION("""COMPUTED_VALUE"""),"")</f>
        <v/>
      </c>
      <c r="E1375" t="str">
        <f ca="1">IFERROR(__xludf.DUMMYFUNCTION("""COMPUTED_VALUE"""),"")</f>
        <v/>
      </c>
      <c r="F1375" t="str">
        <f ca="1">IFERROR(__xludf.DUMMYFUNCTION("""COMPUTED_VALUE"""),"")</f>
        <v/>
      </c>
      <c r="G1375" t="str">
        <f ca="1">IFERROR(__xludf.DUMMYFUNCTION("""COMPUTED_VALUE"""),"")</f>
        <v/>
      </c>
      <c r="H1375" t="str">
        <f ca="1">IFERROR(__xludf.DUMMYFUNCTION("""COMPUTED_VALUE"""),"")</f>
        <v/>
      </c>
      <c r="I1375" t="str">
        <f ca="1">IFERROR(__xludf.DUMMYFUNCTION("""COMPUTED_VALUE"""),"")</f>
        <v/>
      </c>
      <c r="J1375" t="str">
        <f ca="1">IFERROR(__xludf.DUMMYFUNCTION("""COMPUTED_VALUE"""),"")</f>
        <v/>
      </c>
      <c r="K1375" t="str">
        <f ca="1">IFERROR(__xludf.DUMMYFUNCTION("""COMPUTED_VALUE"""),"")</f>
        <v/>
      </c>
      <c r="L1375" t="str">
        <f ca="1">IFERROR(__xludf.DUMMYFUNCTION("""COMPUTED_VALUE"""),"")</f>
        <v/>
      </c>
      <c r="M1375" t="str">
        <f ca="1">IFERROR(__xludf.DUMMYFUNCTION("""COMPUTED_VALUE"""),"")</f>
        <v/>
      </c>
      <c r="N1375" t="str">
        <f ca="1">IFERROR(__xludf.DUMMYFUNCTION("""COMPUTED_VALUE"""),"")</f>
        <v/>
      </c>
      <c r="O1375" t="str">
        <f ca="1">IFERROR(__xludf.DUMMYFUNCTION("""COMPUTED_VALUE"""),"")</f>
        <v/>
      </c>
      <c r="P1375" t="str">
        <f ca="1">IFERROR(__xludf.DUMMYFUNCTION("""COMPUTED_VALUE"""),"")</f>
        <v/>
      </c>
      <c r="Q1375" s="5" t="str">
        <f ca="1">IFERROR(__xludf.DUMMYFUNCTION("""COMPUTED_VALUE"""),"")</f>
        <v/>
      </c>
      <c r="R1375" s="6" t="str">
        <f ca="1">IFERROR(__xludf.DUMMYFUNCTION("""COMPUTED_VALUE"""),"")</f>
        <v/>
      </c>
      <c r="S1375" t="str">
        <f ca="1">IFERROR(__xludf.DUMMYFUNCTION("""COMPUTED_VALUE"""),"")</f>
        <v/>
      </c>
      <c r="T1375" t="str">
        <f ca="1">IFERROR(__xludf.DUMMYFUNCTION("""COMPUTED_VALUE"""),"")</f>
        <v/>
      </c>
      <c r="U1375" t="str">
        <f ca="1">IFERROR(__xludf.DUMMYFUNCTION("""COMPUTED_VALUE"""),"")</f>
        <v/>
      </c>
      <c r="V1375" t="str">
        <f ca="1">IFERROR(__xludf.DUMMYFUNCTION("""COMPUTED_VALUE"""),"")</f>
        <v/>
      </c>
      <c r="W1375" t="str">
        <f ca="1">IFERROR(__xludf.DUMMYFUNCTION("""COMPUTED_VALUE"""),"")</f>
        <v/>
      </c>
      <c r="X1375" t="str">
        <f ca="1">IFERROR(__xludf.DUMMYFUNCTION("""COMPUTED_VALUE"""),"")</f>
        <v/>
      </c>
      <c r="Y1375" t="str">
        <f ca="1">IFERROR(__xludf.DUMMYFUNCTION("""COMPUTED_VALUE"""),"")</f>
        <v/>
      </c>
      <c r="Z1375" t="str">
        <f ca="1">IFERROR(__xludf.DUMMYFUNCTION("""COMPUTED_VALUE"""),"")</f>
        <v/>
      </c>
      <c r="AA1375" t="str">
        <f ca="1">IFERROR(__xludf.DUMMYFUNCTION("""COMPUTED_VALUE"""),"")</f>
        <v/>
      </c>
      <c r="AB1375" s="8" t="str">
        <f ca="1">IFERROR(__xludf.DUMMYFUNCTION("""COMPUTED_VALUE"""),"")</f>
        <v/>
      </c>
      <c r="AC1375" s="8" t="str">
        <f ca="1">IFERROR(__xludf.DUMMYFUNCTION("""COMPUTED_VALUE"""),"")</f>
        <v/>
      </c>
      <c r="AD1375" s="11" t="str">
        <f ca="1">IFERROR(__xludf.DUMMYFUNCTION("""COMPUTED_VALUE"""),"")</f>
        <v/>
      </c>
      <c r="AE1375" t="str">
        <f ca="1">IFERROR(__xludf.DUMMYFUNCTION("""COMPUTED_VALUE"""),"")</f>
        <v/>
      </c>
    </row>
    <row r="1376" spans="1:31" ht="12.75" x14ac:dyDescent="0.2">
      <c r="A1376" t="str">
        <f ca="1">IFERROR(__xludf.DUMMYFUNCTION("""COMPUTED_VALUE"""),"")</f>
        <v/>
      </c>
      <c r="B1376" t="str">
        <f ca="1">IFERROR(__xludf.DUMMYFUNCTION("""COMPUTED_VALUE"""),"")</f>
        <v/>
      </c>
      <c r="C1376" t="str">
        <f ca="1">IFERROR(__xludf.DUMMYFUNCTION("""COMPUTED_VALUE"""),"")</f>
        <v/>
      </c>
      <c r="D1376" t="str">
        <f ca="1">IFERROR(__xludf.DUMMYFUNCTION("""COMPUTED_VALUE"""),"")</f>
        <v/>
      </c>
      <c r="E1376" t="str">
        <f ca="1">IFERROR(__xludf.DUMMYFUNCTION("""COMPUTED_VALUE"""),"")</f>
        <v/>
      </c>
      <c r="F1376" t="str">
        <f ca="1">IFERROR(__xludf.DUMMYFUNCTION("""COMPUTED_VALUE"""),"")</f>
        <v/>
      </c>
      <c r="G1376" t="str">
        <f ca="1">IFERROR(__xludf.DUMMYFUNCTION("""COMPUTED_VALUE"""),"")</f>
        <v/>
      </c>
      <c r="H1376" t="str">
        <f ca="1">IFERROR(__xludf.DUMMYFUNCTION("""COMPUTED_VALUE"""),"")</f>
        <v/>
      </c>
      <c r="I1376" t="str">
        <f ca="1">IFERROR(__xludf.DUMMYFUNCTION("""COMPUTED_VALUE"""),"")</f>
        <v/>
      </c>
      <c r="J1376" t="str">
        <f ca="1">IFERROR(__xludf.DUMMYFUNCTION("""COMPUTED_VALUE"""),"")</f>
        <v/>
      </c>
      <c r="K1376" t="str">
        <f ca="1">IFERROR(__xludf.DUMMYFUNCTION("""COMPUTED_VALUE"""),"")</f>
        <v/>
      </c>
      <c r="L1376" t="str">
        <f ca="1">IFERROR(__xludf.DUMMYFUNCTION("""COMPUTED_VALUE"""),"")</f>
        <v/>
      </c>
      <c r="M1376" t="str">
        <f ca="1">IFERROR(__xludf.DUMMYFUNCTION("""COMPUTED_VALUE"""),"")</f>
        <v/>
      </c>
      <c r="N1376" t="str">
        <f ca="1">IFERROR(__xludf.DUMMYFUNCTION("""COMPUTED_VALUE"""),"")</f>
        <v/>
      </c>
      <c r="O1376" t="str">
        <f ca="1">IFERROR(__xludf.DUMMYFUNCTION("""COMPUTED_VALUE"""),"")</f>
        <v/>
      </c>
      <c r="P1376" t="str">
        <f ca="1">IFERROR(__xludf.DUMMYFUNCTION("""COMPUTED_VALUE"""),"")</f>
        <v/>
      </c>
      <c r="Q1376" s="5" t="str">
        <f ca="1">IFERROR(__xludf.DUMMYFUNCTION("""COMPUTED_VALUE"""),"")</f>
        <v/>
      </c>
      <c r="R1376" s="6" t="str">
        <f ca="1">IFERROR(__xludf.DUMMYFUNCTION("""COMPUTED_VALUE"""),"")</f>
        <v/>
      </c>
      <c r="S1376" t="str">
        <f ca="1">IFERROR(__xludf.DUMMYFUNCTION("""COMPUTED_VALUE"""),"")</f>
        <v/>
      </c>
      <c r="T1376" t="str">
        <f ca="1">IFERROR(__xludf.DUMMYFUNCTION("""COMPUTED_VALUE"""),"")</f>
        <v/>
      </c>
      <c r="U1376" t="str">
        <f ca="1">IFERROR(__xludf.DUMMYFUNCTION("""COMPUTED_VALUE"""),"")</f>
        <v/>
      </c>
      <c r="V1376" t="str">
        <f ca="1">IFERROR(__xludf.DUMMYFUNCTION("""COMPUTED_VALUE"""),"")</f>
        <v/>
      </c>
      <c r="W1376" t="str">
        <f ca="1">IFERROR(__xludf.DUMMYFUNCTION("""COMPUTED_VALUE"""),"")</f>
        <v/>
      </c>
      <c r="X1376" t="str">
        <f ca="1">IFERROR(__xludf.DUMMYFUNCTION("""COMPUTED_VALUE"""),"")</f>
        <v/>
      </c>
      <c r="Y1376" t="str">
        <f ca="1">IFERROR(__xludf.DUMMYFUNCTION("""COMPUTED_VALUE"""),"")</f>
        <v/>
      </c>
      <c r="Z1376" t="str">
        <f ca="1">IFERROR(__xludf.DUMMYFUNCTION("""COMPUTED_VALUE"""),"")</f>
        <v/>
      </c>
      <c r="AA1376" t="str">
        <f ca="1">IFERROR(__xludf.DUMMYFUNCTION("""COMPUTED_VALUE"""),"")</f>
        <v/>
      </c>
      <c r="AB1376" s="8" t="str">
        <f ca="1">IFERROR(__xludf.DUMMYFUNCTION("""COMPUTED_VALUE"""),"")</f>
        <v/>
      </c>
      <c r="AC1376" s="8" t="str">
        <f ca="1">IFERROR(__xludf.DUMMYFUNCTION("""COMPUTED_VALUE"""),"")</f>
        <v/>
      </c>
      <c r="AD1376" s="11" t="str">
        <f ca="1">IFERROR(__xludf.DUMMYFUNCTION("""COMPUTED_VALUE"""),"")</f>
        <v/>
      </c>
      <c r="AE1376" t="str">
        <f ca="1">IFERROR(__xludf.DUMMYFUNCTION("""COMPUTED_VALUE"""),"")</f>
        <v/>
      </c>
    </row>
    <row r="1377" spans="1:31" ht="12.75" x14ac:dyDescent="0.2">
      <c r="A1377" t="str">
        <f ca="1">IFERROR(__xludf.DUMMYFUNCTION("""COMPUTED_VALUE"""),"")</f>
        <v/>
      </c>
      <c r="B1377" t="str">
        <f ca="1">IFERROR(__xludf.DUMMYFUNCTION("""COMPUTED_VALUE"""),"")</f>
        <v/>
      </c>
      <c r="C1377" t="str">
        <f ca="1">IFERROR(__xludf.DUMMYFUNCTION("""COMPUTED_VALUE"""),"")</f>
        <v/>
      </c>
      <c r="D1377" t="str">
        <f ca="1">IFERROR(__xludf.DUMMYFUNCTION("""COMPUTED_VALUE"""),"")</f>
        <v/>
      </c>
      <c r="E1377" t="str">
        <f ca="1">IFERROR(__xludf.DUMMYFUNCTION("""COMPUTED_VALUE"""),"")</f>
        <v/>
      </c>
      <c r="F1377" t="str">
        <f ca="1">IFERROR(__xludf.DUMMYFUNCTION("""COMPUTED_VALUE"""),"")</f>
        <v/>
      </c>
      <c r="G1377" t="str">
        <f ca="1">IFERROR(__xludf.DUMMYFUNCTION("""COMPUTED_VALUE"""),"")</f>
        <v/>
      </c>
      <c r="H1377" t="str">
        <f ca="1">IFERROR(__xludf.DUMMYFUNCTION("""COMPUTED_VALUE"""),"")</f>
        <v/>
      </c>
      <c r="I1377" t="str">
        <f ca="1">IFERROR(__xludf.DUMMYFUNCTION("""COMPUTED_VALUE"""),"")</f>
        <v/>
      </c>
      <c r="J1377" t="str">
        <f ca="1">IFERROR(__xludf.DUMMYFUNCTION("""COMPUTED_VALUE"""),"")</f>
        <v/>
      </c>
      <c r="K1377" t="str">
        <f ca="1">IFERROR(__xludf.DUMMYFUNCTION("""COMPUTED_VALUE"""),"")</f>
        <v/>
      </c>
      <c r="L1377" t="str">
        <f ca="1">IFERROR(__xludf.DUMMYFUNCTION("""COMPUTED_VALUE"""),"")</f>
        <v/>
      </c>
      <c r="M1377" t="str">
        <f ca="1">IFERROR(__xludf.DUMMYFUNCTION("""COMPUTED_VALUE"""),"")</f>
        <v/>
      </c>
      <c r="N1377" t="str">
        <f ca="1">IFERROR(__xludf.DUMMYFUNCTION("""COMPUTED_VALUE"""),"")</f>
        <v/>
      </c>
      <c r="O1377" t="str">
        <f ca="1">IFERROR(__xludf.DUMMYFUNCTION("""COMPUTED_VALUE"""),"")</f>
        <v/>
      </c>
      <c r="P1377" t="str">
        <f ca="1">IFERROR(__xludf.DUMMYFUNCTION("""COMPUTED_VALUE"""),"")</f>
        <v/>
      </c>
      <c r="Q1377" s="5" t="str">
        <f ca="1">IFERROR(__xludf.DUMMYFUNCTION("""COMPUTED_VALUE"""),"")</f>
        <v/>
      </c>
      <c r="R1377" s="6" t="str">
        <f ca="1">IFERROR(__xludf.DUMMYFUNCTION("""COMPUTED_VALUE"""),"")</f>
        <v/>
      </c>
      <c r="S1377" t="str">
        <f ca="1">IFERROR(__xludf.DUMMYFUNCTION("""COMPUTED_VALUE"""),"")</f>
        <v/>
      </c>
      <c r="T1377" t="str">
        <f ca="1">IFERROR(__xludf.DUMMYFUNCTION("""COMPUTED_VALUE"""),"")</f>
        <v/>
      </c>
      <c r="U1377" t="str">
        <f ca="1">IFERROR(__xludf.DUMMYFUNCTION("""COMPUTED_VALUE"""),"")</f>
        <v/>
      </c>
      <c r="V1377" t="str">
        <f ca="1">IFERROR(__xludf.DUMMYFUNCTION("""COMPUTED_VALUE"""),"")</f>
        <v/>
      </c>
      <c r="W1377" t="str">
        <f ca="1">IFERROR(__xludf.DUMMYFUNCTION("""COMPUTED_VALUE"""),"")</f>
        <v/>
      </c>
      <c r="X1377" t="str">
        <f ca="1">IFERROR(__xludf.DUMMYFUNCTION("""COMPUTED_VALUE"""),"")</f>
        <v/>
      </c>
      <c r="Y1377" t="str">
        <f ca="1">IFERROR(__xludf.DUMMYFUNCTION("""COMPUTED_VALUE"""),"")</f>
        <v/>
      </c>
      <c r="Z1377" t="str">
        <f ca="1">IFERROR(__xludf.DUMMYFUNCTION("""COMPUTED_VALUE"""),"")</f>
        <v/>
      </c>
      <c r="AA1377" t="str">
        <f ca="1">IFERROR(__xludf.DUMMYFUNCTION("""COMPUTED_VALUE"""),"")</f>
        <v/>
      </c>
      <c r="AB1377" s="8" t="str">
        <f ca="1">IFERROR(__xludf.DUMMYFUNCTION("""COMPUTED_VALUE"""),"")</f>
        <v/>
      </c>
      <c r="AC1377" s="8" t="str">
        <f ca="1">IFERROR(__xludf.DUMMYFUNCTION("""COMPUTED_VALUE"""),"")</f>
        <v/>
      </c>
      <c r="AD1377" s="11" t="str">
        <f ca="1">IFERROR(__xludf.DUMMYFUNCTION("""COMPUTED_VALUE"""),"")</f>
        <v/>
      </c>
      <c r="AE1377" t="str">
        <f ca="1">IFERROR(__xludf.DUMMYFUNCTION("""COMPUTED_VALUE"""),"")</f>
        <v/>
      </c>
    </row>
    <row r="1378" spans="1:31" ht="12.75" x14ac:dyDescent="0.2">
      <c r="A1378" t="str">
        <f ca="1">IFERROR(__xludf.DUMMYFUNCTION("""COMPUTED_VALUE"""),"")</f>
        <v/>
      </c>
      <c r="B1378" t="str">
        <f ca="1">IFERROR(__xludf.DUMMYFUNCTION("""COMPUTED_VALUE"""),"")</f>
        <v/>
      </c>
      <c r="C1378" t="str">
        <f ca="1">IFERROR(__xludf.DUMMYFUNCTION("""COMPUTED_VALUE"""),"")</f>
        <v/>
      </c>
      <c r="D1378" t="str">
        <f ca="1">IFERROR(__xludf.DUMMYFUNCTION("""COMPUTED_VALUE"""),"")</f>
        <v/>
      </c>
      <c r="E1378" t="str">
        <f ca="1">IFERROR(__xludf.DUMMYFUNCTION("""COMPUTED_VALUE"""),"")</f>
        <v/>
      </c>
      <c r="F1378" t="str">
        <f ca="1">IFERROR(__xludf.DUMMYFUNCTION("""COMPUTED_VALUE"""),"")</f>
        <v/>
      </c>
      <c r="G1378" t="str">
        <f ca="1">IFERROR(__xludf.DUMMYFUNCTION("""COMPUTED_VALUE"""),"")</f>
        <v/>
      </c>
      <c r="H1378" t="str">
        <f ca="1">IFERROR(__xludf.DUMMYFUNCTION("""COMPUTED_VALUE"""),"")</f>
        <v/>
      </c>
      <c r="I1378" t="str">
        <f ca="1">IFERROR(__xludf.DUMMYFUNCTION("""COMPUTED_VALUE"""),"")</f>
        <v/>
      </c>
      <c r="J1378" t="str">
        <f ca="1">IFERROR(__xludf.DUMMYFUNCTION("""COMPUTED_VALUE"""),"")</f>
        <v/>
      </c>
      <c r="K1378" t="str">
        <f ca="1">IFERROR(__xludf.DUMMYFUNCTION("""COMPUTED_VALUE"""),"")</f>
        <v/>
      </c>
      <c r="L1378" t="str">
        <f ca="1">IFERROR(__xludf.DUMMYFUNCTION("""COMPUTED_VALUE"""),"")</f>
        <v/>
      </c>
      <c r="M1378" t="str">
        <f ca="1">IFERROR(__xludf.DUMMYFUNCTION("""COMPUTED_VALUE"""),"")</f>
        <v/>
      </c>
      <c r="N1378" t="str">
        <f ca="1">IFERROR(__xludf.DUMMYFUNCTION("""COMPUTED_VALUE"""),"")</f>
        <v/>
      </c>
      <c r="O1378" t="str">
        <f ca="1">IFERROR(__xludf.DUMMYFUNCTION("""COMPUTED_VALUE"""),"")</f>
        <v/>
      </c>
      <c r="P1378" t="str">
        <f ca="1">IFERROR(__xludf.DUMMYFUNCTION("""COMPUTED_VALUE"""),"")</f>
        <v/>
      </c>
      <c r="Q1378" s="5" t="str">
        <f ca="1">IFERROR(__xludf.DUMMYFUNCTION("""COMPUTED_VALUE"""),"")</f>
        <v/>
      </c>
      <c r="R1378" s="6" t="str">
        <f ca="1">IFERROR(__xludf.DUMMYFUNCTION("""COMPUTED_VALUE"""),"")</f>
        <v/>
      </c>
      <c r="S1378" t="str">
        <f ca="1">IFERROR(__xludf.DUMMYFUNCTION("""COMPUTED_VALUE"""),"")</f>
        <v/>
      </c>
      <c r="T1378" t="str">
        <f ca="1">IFERROR(__xludf.DUMMYFUNCTION("""COMPUTED_VALUE"""),"")</f>
        <v/>
      </c>
      <c r="U1378" t="str">
        <f ca="1">IFERROR(__xludf.DUMMYFUNCTION("""COMPUTED_VALUE"""),"")</f>
        <v/>
      </c>
      <c r="V1378" t="str">
        <f ca="1">IFERROR(__xludf.DUMMYFUNCTION("""COMPUTED_VALUE"""),"")</f>
        <v/>
      </c>
      <c r="W1378" t="str">
        <f ca="1">IFERROR(__xludf.DUMMYFUNCTION("""COMPUTED_VALUE"""),"")</f>
        <v/>
      </c>
      <c r="X1378" t="str">
        <f ca="1">IFERROR(__xludf.DUMMYFUNCTION("""COMPUTED_VALUE"""),"")</f>
        <v/>
      </c>
      <c r="Y1378" t="str">
        <f ca="1">IFERROR(__xludf.DUMMYFUNCTION("""COMPUTED_VALUE"""),"")</f>
        <v/>
      </c>
      <c r="Z1378" t="str">
        <f ca="1">IFERROR(__xludf.DUMMYFUNCTION("""COMPUTED_VALUE"""),"")</f>
        <v/>
      </c>
      <c r="AA1378" t="str">
        <f ca="1">IFERROR(__xludf.DUMMYFUNCTION("""COMPUTED_VALUE"""),"")</f>
        <v/>
      </c>
      <c r="AB1378" s="8" t="str">
        <f ca="1">IFERROR(__xludf.DUMMYFUNCTION("""COMPUTED_VALUE"""),"")</f>
        <v/>
      </c>
      <c r="AC1378" s="8" t="str">
        <f ca="1">IFERROR(__xludf.DUMMYFUNCTION("""COMPUTED_VALUE"""),"")</f>
        <v/>
      </c>
      <c r="AD1378" s="11" t="str">
        <f ca="1">IFERROR(__xludf.DUMMYFUNCTION("""COMPUTED_VALUE"""),"")</f>
        <v/>
      </c>
      <c r="AE1378" t="str">
        <f ca="1">IFERROR(__xludf.DUMMYFUNCTION("""COMPUTED_VALUE"""),"")</f>
        <v/>
      </c>
    </row>
    <row r="1379" spans="1:31" ht="12.75" x14ac:dyDescent="0.2">
      <c r="A1379" t="str">
        <f ca="1">IFERROR(__xludf.DUMMYFUNCTION("""COMPUTED_VALUE"""),"")</f>
        <v/>
      </c>
      <c r="B1379" t="str">
        <f ca="1">IFERROR(__xludf.DUMMYFUNCTION("""COMPUTED_VALUE"""),"")</f>
        <v/>
      </c>
      <c r="C1379" t="str">
        <f ca="1">IFERROR(__xludf.DUMMYFUNCTION("""COMPUTED_VALUE"""),"")</f>
        <v/>
      </c>
      <c r="D1379" t="str">
        <f ca="1">IFERROR(__xludf.DUMMYFUNCTION("""COMPUTED_VALUE"""),"")</f>
        <v/>
      </c>
      <c r="E1379" t="str">
        <f ca="1">IFERROR(__xludf.DUMMYFUNCTION("""COMPUTED_VALUE"""),"")</f>
        <v/>
      </c>
      <c r="F1379" t="str">
        <f ca="1">IFERROR(__xludf.DUMMYFUNCTION("""COMPUTED_VALUE"""),"")</f>
        <v/>
      </c>
      <c r="G1379" t="str">
        <f ca="1">IFERROR(__xludf.DUMMYFUNCTION("""COMPUTED_VALUE"""),"")</f>
        <v/>
      </c>
      <c r="H1379" t="str">
        <f ca="1">IFERROR(__xludf.DUMMYFUNCTION("""COMPUTED_VALUE"""),"")</f>
        <v/>
      </c>
      <c r="I1379" t="str">
        <f ca="1">IFERROR(__xludf.DUMMYFUNCTION("""COMPUTED_VALUE"""),"")</f>
        <v/>
      </c>
      <c r="J1379" t="str">
        <f ca="1">IFERROR(__xludf.DUMMYFUNCTION("""COMPUTED_VALUE"""),"")</f>
        <v/>
      </c>
      <c r="K1379" t="str">
        <f ca="1">IFERROR(__xludf.DUMMYFUNCTION("""COMPUTED_VALUE"""),"")</f>
        <v/>
      </c>
      <c r="L1379" t="str">
        <f ca="1">IFERROR(__xludf.DUMMYFUNCTION("""COMPUTED_VALUE"""),"")</f>
        <v/>
      </c>
      <c r="M1379" t="str">
        <f ca="1">IFERROR(__xludf.DUMMYFUNCTION("""COMPUTED_VALUE"""),"")</f>
        <v/>
      </c>
      <c r="N1379" t="str">
        <f ca="1">IFERROR(__xludf.DUMMYFUNCTION("""COMPUTED_VALUE"""),"")</f>
        <v/>
      </c>
      <c r="O1379" t="str">
        <f ca="1">IFERROR(__xludf.DUMMYFUNCTION("""COMPUTED_VALUE"""),"")</f>
        <v/>
      </c>
      <c r="P1379" t="str">
        <f ca="1">IFERROR(__xludf.DUMMYFUNCTION("""COMPUTED_VALUE"""),"")</f>
        <v/>
      </c>
      <c r="Q1379" s="5" t="str">
        <f ca="1">IFERROR(__xludf.DUMMYFUNCTION("""COMPUTED_VALUE"""),"")</f>
        <v/>
      </c>
      <c r="R1379" s="6" t="str">
        <f ca="1">IFERROR(__xludf.DUMMYFUNCTION("""COMPUTED_VALUE"""),"")</f>
        <v/>
      </c>
      <c r="S1379" t="str">
        <f ca="1">IFERROR(__xludf.DUMMYFUNCTION("""COMPUTED_VALUE"""),"")</f>
        <v/>
      </c>
      <c r="T1379" t="str">
        <f ca="1">IFERROR(__xludf.DUMMYFUNCTION("""COMPUTED_VALUE"""),"")</f>
        <v/>
      </c>
      <c r="U1379" t="str">
        <f ca="1">IFERROR(__xludf.DUMMYFUNCTION("""COMPUTED_VALUE"""),"")</f>
        <v/>
      </c>
      <c r="V1379" t="str">
        <f ca="1">IFERROR(__xludf.DUMMYFUNCTION("""COMPUTED_VALUE"""),"")</f>
        <v/>
      </c>
      <c r="W1379" t="str">
        <f ca="1">IFERROR(__xludf.DUMMYFUNCTION("""COMPUTED_VALUE"""),"")</f>
        <v/>
      </c>
      <c r="X1379" t="str">
        <f ca="1">IFERROR(__xludf.DUMMYFUNCTION("""COMPUTED_VALUE"""),"")</f>
        <v/>
      </c>
      <c r="Y1379" t="str">
        <f ca="1">IFERROR(__xludf.DUMMYFUNCTION("""COMPUTED_VALUE"""),"")</f>
        <v/>
      </c>
      <c r="Z1379" t="str">
        <f ca="1">IFERROR(__xludf.DUMMYFUNCTION("""COMPUTED_VALUE"""),"")</f>
        <v/>
      </c>
      <c r="AA1379" t="str">
        <f ca="1">IFERROR(__xludf.DUMMYFUNCTION("""COMPUTED_VALUE"""),"")</f>
        <v/>
      </c>
      <c r="AB1379" s="8" t="str">
        <f ca="1">IFERROR(__xludf.DUMMYFUNCTION("""COMPUTED_VALUE"""),"")</f>
        <v/>
      </c>
      <c r="AC1379" s="8" t="str">
        <f ca="1">IFERROR(__xludf.DUMMYFUNCTION("""COMPUTED_VALUE"""),"")</f>
        <v/>
      </c>
      <c r="AD1379" s="11" t="str">
        <f ca="1">IFERROR(__xludf.DUMMYFUNCTION("""COMPUTED_VALUE"""),"")</f>
        <v/>
      </c>
      <c r="AE1379" t="str">
        <f ca="1">IFERROR(__xludf.DUMMYFUNCTION("""COMPUTED_VALUE"""),"")</f>
        <v/>
      </c>
    </row>
    <row r="1380" spans="1:31" ht="12.75" x14ac:dyDescent="0.2">
      <c r="A1380" t="str">
        <f ca="1">IFERROR(__xludf.DUMMYFUNCTION("""COMPUTED_VALUE"""),"")</f>
        <v/>
      </c>
      <c r="B1380" t="str">
        <f ca="1">IFERROR(__xludf.DUMMYFUNCTION("""COMPUTED_VALUE"""),"")</f>
        <v/>
      </c>
      <c r="C1380" t="str">
        <f ca="1">IFERROR(__xludf.DUMMYFUNCTION("""COMPUTED_VALUE"""),"")</f>
        <v/>
      </c>
      <c r="D1380" t="str">
        <f ca="1">IFERROR(__xludf.DUMMYFUNCTION("""COMPUTED_VALUE"""),"")</f>
        <v/>
      </c>
      <c r="E1380" t="str">
        <f ca="1">IFERROR(__xludf.DUMMYFUNCTION("""COMPUTED_VALUE"""),"")</f>
        <v/>
      </c>
      <c r="F1380" t="str">
        <f ca="1">IFERROR(__xludf.DUMMYFUNCTION("""COMPUTED_VALUE"""),"")</f>
        <v/>
      </c>
      <c r="G1380" t="str">
        <f ca="1">IFERROR(__xludf.DUMMYFUNCTION("""COMPUTED_VALUE"""),"")</f>
        <v/>
      </c>
      <c r="H1380" t="str">
        <f ca="1">IFERROR(__xludf.DUMMYFUNCTION("""COMPUTED_VALUE"""),"")</f>
        <v/>
      </c>
      <c r="I1380" t="str">
        <f ca="1">IFERROR(__xludf.DUMMYFUNCTION("""COMPUTED_VALUE"""),"")</f>
        <v/>
      </c>
      <c r="J1380" t="str">
        <f ca="1">IFERROR(__xludf.DUMMYFUNCTION("""COMPUTED_VALUE"""),"")</f>
        <v/>
      </c>
      <c r="K1380" t="str">
        <f ca="1">IFERROR(__xludf.DUMMYFUNCTION("""COMPUTED_VALUE"""),"")</f>
        <v/>
      </c>
      <c r="L1380" t="str">
        <f ca="1">IFERROR(__xludf.DUMMYFUNCTION("""COMPUTED_VALUE"""),"")</f>
        <v/>
      </c>
      <c r="M1380" t="str">
        <f ca="1">IFERROR(__xludf.DUMMYFUNCTION("""COMPUTED_VALUE"""),"")</f>
        <v/>
      </c>
      <c r="N1380" t="str">
        <f ca="1">IFERROR(__xludf.DUMMYFUNCTION("""COMPUTED_VALUE"""),"")</f>
        <v/>
      </c>
      <c r="O1380" t="str">
        <f ca="1">IFERROR(__xludf.DUMMYFUNCTION("""COMPUTED_VALUE"""),"")</f>
        <v/>
      </c>
      <c r="P1380" t="str">
        <f ca="1">IFERROR(__xludf.DUMMYFUNCTION("""COMPUTED_VALUE"""),"")</f>
        <v/>
      </c>
      <c r="Q1380" s="5" t="str">
        <f ca="1">IFERROR(__xludf.DUMMYFUNCTION("""COMPUTED_VALUE"""),"")</f>
        <v/>
      </c>
      <c r="R1380" s="6" t="str">
        <f ca="1">IFERROR(__xludf.DUMMYFUNCTION("""COMPUTED_VALUE"""),"")</f>
        <v/>
      </c>
      <c r="S1380" t="str">
        <f ca="1">IFERROR(__xludf.DUMMYFUNCTION("""COMPUTED_VALUE"""),"")</f>
        <v/>
      </c>
      <c r="T1380" t="str">
        <f ca="1">IFERROR(__xludf.DUMMYFUNCTION("""COMPUTED_VALUE"""),"")</f>
        <v/>
      </c>
      <c r="U1380" t="str">
        <f ca="1">IFERROR(__xludf.DUMMYFUNCTION("""COMPUTED_VALUE"""),"")</f>
        <v/>
      </c>
      <c r="V1380" t="str">
        <f ca="1">IFERROR(__xludf.DUMMYFUNCTION("""COMPUTED_VALUE"""),"")</f>
        <v/>
      </c>
      <c r="W1380" t="str">
        <f ca="1">IFERROR(__xludf.DUMMYFUNCTION("""COMPUTED_VALUE"""),"")</f>
        <v/>
      </c>
      <c r="X1380" t="str">
        <f ca="1">IFERROR(__xludf.DUMMYFUNCTION("""COMPUTED_VALUE"""),"")</f>
        <v/>
      </c>
      <c r="Y1380" t="str">
        <f ca="1">IFERROR(__xludf.DUMMYFUNCTION("""COMPUTED_VALUE"""),"")</f>
        <v/>
      </c>
      <c r="Z1380" t="str">
        <f ca="1">IFERROR(__xludf.DUMMYFUNCTION("""COMPUTED_VALUE"""),"")</f>
        <v/>
      </c>
      <c r="AA1380" t="str">
        <f ca="1">IFERROR(__xludf.DUMMYFUNCTION("""COMPUTED_VALUE"""),"")</f>
        <v/>
      </c>
      <c r="AB1380" s="8" t="str">
        <f ca="1">IFERROR(__xludf.DUMMYFUNCTION("""COMPUTED_VALUE"""),"")</f>
        <v/>
      </c>
      <c r="AC1380" s="8" t="str">
        <f ca="1">IFERROR(__xludf.DUMMYFUNCTION("""COMPUTED_VALUE"""),"")</f>
        <v/>
      </c>
      <c r="AD1380" s="11" t="str">
        <f ca="1">IFERROR(__xludf.DUMMYFUNCTION("""COMPUTED_VALUE"""),"")</f>
        <v/>
      </c>
      <c r="AE1380" t="str">
        <f ca="1">IFERROR(__xludf.DUMMYFUNCTION("""COMPUTED_VALUE"""),"")</f>
        <v/>
      </c>
    </row>
    <row r="1381" spans="1:31" ht="12.75" x14ac:dyDescent="0.2">
      <c r="A1381" t="str">
        <f ca="1">IFERROR(__xludf.DUMMYFUNCTION("""COMPUTED_VALUE"""),"")</f>
        <v/>
      </c>
      <c r="B1381" t="str">
        <f ca="1">IFERROR(__xludf.DUMMYFUNCTION("""COMPUTED_VALUE"""),"")</f>
        <v/>
      </c>
      <c r="C1381" t="str">
        <f ca="1">IFERROR(__xludf.DUMMYFUNCTION("""COMPUTED_VALUE"""),"")</f>
        <v/>
      </c>
      <c r="D1381" t="str">
        <f ca="1">IFERROR(__xludf.DUMMYFUNCTION("""COMPUTED_VALUE"""),"")</f>
        <v/>
      </c>
      <c r="E1381" t="str">
        <f ca="1">IFERROR(__xludf.DUMMYFUNCTION("""COMPUTED_VALUE"""),"")</f>
        <v/>
      </c>
      <c r="F1381" t="str">
        <f ca="1">IFERROR(__xludf.DUMMYFUNCTION("""COMPUTED_VALUE"""),"")</f>
        <v/>
      </c>
      <c r="G1381" t="str">
        <f ca="1">IFERROR(__xludf.DUMMYFUNCTION("""COMPUTED_VALUE"""),"")</f>
        <v/>
      </c>
      <c r="H1381" t="str">
        <f ca="1">IFERROR(__xludf.DUMMYFUNCTION("""COMPUTED_VALUE"""),"")</f>
        <v/>
      </c>
      <c r="I1381" t="str">
        <f ca="1">IFERROR(__xludf.DUMMYFUNCTION("""COMPUTED_VALUE"""),"")</f>
        <v/>
      </c>
      <c r="J1381" t="str">
        <f ca="1">IFERROR(__xludf.DUMMYFUNCTION("""COMPUTED_VALUE"""),"")</f>
        <v/>
      </c>
      <c r="K1381" t="str">
        <f ca="1">IFERROR(__xludf.DUMMYFUNCTION("""COMPUTED_VALUE"""),"")</f>
        <v/>
      </c>
      <c r="L1381" t="str">
        <f ca="1">IFERROR(__xludf.DUMMYFUNCTION("""COMPUTED_VALUE"""),"")</f>
        <v/>
      </c>
      <c r="M1381" t="str">
        <f ca="1">IFERROR(__xludf.DUMMYFUNCTION("""COMPUTED_VALUE"""),"")</f>
        <v/>
      </c>
      <c r="N1381" t="str">
        <f ca="1">IFERROR(__xludf.DUMMYFUNCTION("""COMPUTED_VALUE"""),"")</f>
        <v/>
      </c>
      <c r="O1381" t="str">
        <f ca="1">IFERROR(__xludf.DUMMYFUNCTION("""COMPUTED_VALUE"""),"")</f>
        <v/>
      </c>
      <c r="P1381" t="str">
        <f ca="1">IFERROR(__xludf.DUMMYFUNCTION("""COMPUTED_VALUE"""),"")</f>
        <v/>
      </c>
      <c r="Q1381" s="5" t="str">
        <f ca="1">IFERROR(__xludf.DUMMYFUNCTION("""COMPUTED_VALUE"""),"")</f>
        <v/>
      </c>
      <c r="R1381" s="6" t="str">
        <f ca="1">IFERROR(__xludf.DUMMYFUNCTION("""COMPUTED_VALUE"""),"")</f>
        <v/>
      </c>
      <c r="S1381" t="str">
        <f ca="1">IFERROR(__xludf.DUMMYFUNCTION("""COMPUTED_VALUE"""),"")</f>
        <v/>
      </c>
      <c r="T1381" t="str">
        <f ca="1">IFERROR(__xludf.DUMMYFUNCTION("""COMPUTED_VALUE"""),"")</f>
        <v/>
      </c>
      <c r="U1381" t="str">
        <f ca="1">IFERROR(__xludf.DUMMYFUNCTION("""COMPUTED_VALUE"""),"")</f>
        <v/>
      </c>
      <c r="V1381" t="str">
        <f ca="1">IFERROR(__xludf.DUMMYFUNCTION("""COMPUTED_VALUE"""),"")</f>
        <v/>
      </c>
      <c r="W1381" t="str">
        <f ca="1">IFERROR(__xludf.DUMMYFUNCTION("""COMPUTED_VALUE"""),"")</f>
        <v/>
      </c>
      <c r="X1381" t="str">
        <f ca="1">IFERROR(__xludf.DUMMYFUNCTION("""COMPUTED_VALUE"""),"")</f>
        <v/>
      </c>
      <c r="Y1381" t="str">
        <f ca="1">IFERROR(__xludf.DUMMYFUNCTION("""COMPUTED_VALUE"""),"")</f>
        <v/>
      </c>
      <c r="Z1381" t="str">
        <f ca="1">IFERROR(__xludf.DUMMYFUNCTION("""COMPUTED_VALUE"""),"")</f>
        <v/>
      </c>
      <c r="AA1381" t="str">
        <f ca="1">IFERROR(__xludf.DUMMYFUNCTION("""COMPUTED_VALUE"""),"")</f>
        <v/>
      </c>
      <c r="AB1381" s="8" t="str">
        <f ca="1">IFERROR(__xludf.DUMMYFUNCTION("""COMPUTED_VALUE"""),"")</f>
        <v/>
      </c>
      <c r="AC1381" s="8" t="str">
        <f ca="1">IFERROR(__xludf.DUMMYFUNCTION("""COMPUTED_VALUE"""),"")</f>
        <v/>
      </c>
      <c r="AD1381" s="11" t="str">
        <f ca="1">IFERROR(__xludf.DUMMYFUNCTION("""COMPUTED_VALUE"""),"")</f>
        <v/>
      </c>
      <c r="AE1381" t="str">
        <f ca="1">IFERROR(__xludf.DUMMYFUNCTION("""COMPUTED_VALUE"""),"")</f>
        <v/>
      </c>
    </row>
    <row r="1382" spans="1:31" ht="12.75" x14ac:dyDescent="0.2">
      <c r="A1382" t="str">
        <f ca="1">IFERROR(__xludf.DUMMYFUNCTION("""COMPUTED_VALUE"""),"")</f>
        <v/>
      </c>
      <c r="B1382" t="str">
        <f ca="1">IFERROR(__xludf.DUMMYFUNCTION("""COMPUTED_VALUE"""),"")</f>
        <v/>
      </c>
      <c r="C1382" t="str">
        <f ca="1">IFERROR(__xludf.DUMMYFUNCTION("""COMPUTED_VALUE"""),"")</f>
        <v/>
      </c>
      <c r="D1382" t="str">
        <f ca="1">IFERROR(__xludf.DUMMYFUNCTION("""COMPUTED_VALUE"""),"")</f>
        <v/>
      </c>
      <c r="E1382" t="str">
        <f ca="1">IFERROR(__xludf.DUMMYFUNCTION("""COMPUTED_VALUE"""),"")</f>
        <v/>
      </c>
      <c r="F1382" t="str">
        <f ca="1">IFERROR(__xludf.DUMMYFUNCTION("""COMPUTED_VALUE"""),"")</f>
        <v/>
      </c>
      <c r="G1382" t="str">
        <f ca="1">IFERROR(__xludf.DUMMYFUNCTION("""COMPUTED_VALUE"""),"")</f>
        <v/>
      </c>
      <c r="H1382" t="str">
        <f ca="1">IFERROR(__xludf.DUMMYFUNCTION("""COMPUTED_VALUE"""),"")</f>
        <v/>
      </c>
      <c r="I1382" t="str">
        <f ca="1">IFERROR(__xludf.DUMMYFUNCTION("""COMPUTED_VALUE"""),"")</f>
        <v/>
      </c>
      <c r="J1382" t="str">
        <f ca="1">IFERROR(__xludf.DUMMYFUNCTION("""COMPUTED_VALUE"""),"")</f>
        <v/>
      </c>
      <c r="K1382" t="str">
        <f ca="1">IFERROR(__xludf.DUMMYFUNCTION("""COMPUTED_VALUE"""),"")</f>
        <v/>
      </c>
      <c r="L1382" t="str">
        <f ca="1">IFERROR(__xludf.DUMMYFUNCTION("""COMPUTED_VALUE"""),"")</f>
        <v/>
      </c>
      <c r="M1382" t="str">
        <f ca="1">IFERROR(__xludf.DUMMYFUNCTION("""COMPUTED_VALUE"""),"")</f>
        <v/>
      </c>
      <c r="N1382" t="str">
        <f ca="1">IFERROR(__xludf.DUMMYFUNCTION("""COMPUTED_VALUE"""),"")</f>
        <v/>
      </c>
      <c r="O1382" t="str">
        <f ca="1">IFERROR(__xludf.DUMMYFUNCTION("""COMPUTED_VALUE"""),"")</f>
        <v/>
      </c>
      <c r="P1382" t="str">
        <f ca="1">IFERROR(__xludf.DUMMYFUNCTION("""COMPUTED_VALUE"""),"")</f>
        <v/>
      </c>
      <c r="Q1382" s="5" t="str">
        <f ca="1">IFERROR(__xludf.DUMMYFUNCTION("""COMPUTED_VALUE"""),"")</f>
        <v/>
      </c>
      <c r="R1382" s="6" t="str">
        <f ca="1">IFERROR(__xludf.DUMMYFUNCTION("""COMPUTED_VALUE"""),"")</f>
        <v/>
      </c>
      <c r="S1382" t="str">
        <f ca="1">IFERROR(__xludf.DUMMYFUNCTION("""COMPUTED_VALUE"""),"")</f>
        <v/>
      </c>
      <c r="T1382" t="str">
        <f ca="1">IFERROR(__xludf.DUMMYFUNCTION("""COMPUTED_VALUE"""),"")</f>
        <v/>
      </c>
      <c r="U1382" t="str">
        <f ca="1">IFERROR(__xludf.DUMMYFUNCTION("""COMPUTED_VALUE"""),"")</f>
        <v/>
      </c>
      <c r="V1382" t="str">
        <f ca="1">IFERROR(__xludf.DUMMYFUNCTION("""COMPUTED_VALUE"""),"")</f>
        <v/>
      </c>
      <c r="W1382" t="str">
        <f ca="1">IFERROR(__xludf.DUMMYFUNCTION("""COMPUTED_VALUE"""),"")</f>
        <v/>
      </c>
      <c r="X1382" t="str">
        <f ca="1">IFERROR(__xludf.DUMMYFUNCTION("""COMPUTED_VALUE"""),"")</f>
        <v/>
      </c>
      <c r="Y1382" t="str">
        <f ca="1">IFERROR(__xludf.DUMMYFUNCTION("""COMPUTED_VALUE"""),"")</f>
        <v/>
      </c>
      <c r="Z1382" t="str">
        <f ca="1">IFERROR(__xludf.DUMMYFUNCTION("""COMPUTED_VALUE"""),"")</f>
        <v/>
      </c>
      <c r="AA1382" t="str">
        <f ca="1">IFERROR(__xludf.DUMMYFUNCTION("""COMPUTED_VALUE"""),"")</f>
        <v/>
      </c>
      <c r="AB1382" s="8" t="str">
        <f ca="1">IFERROR(__xludf.DUMMYFUNCTION("""COMPUTED_VALUE"""),"")</f>
        <v/>
      </c>
      <c r="AC1382" s="8" t="str">
        <f ca="1">IFERROR(__xludf.DUMMYFUNCTION("""COMPUTED_VALUE"""),"")</f>
        <v/>
      </c>
      <c r="AD1382" s="11" t="str">
        <f ca="1">IFERROR(__xludf.DUMMYFUNCTION("""COMPUTED_VALUE"""),"")</f>
        <v/>
      </c>
      <c r="AE1382" t="str">
        <f ca="1">IFERROR(__xludf.DUMMYFUNCTION("""COMPUTED_VALUE"""),"")</f>
        <v/>
      </c>
    </row>
    <row r="1383" spans="1:31" ht="12.75" x14ac:dyDescent="0.2">
      <c r="A1383" t="str">
        <f ca="1">IFERROR(__xludf.DUMMYFUNCTION("""COMPUTED_VALUE"""),"")</f>
        <v/>
      </c>
      <c r="B1383" t="str">
        <f ca="1">IFERROR(__xludf.DUMMYFUNCTION("""COMPUTED_VALUE"""),"")</f>
        <v/>
      </c>
      <c r="C1383" t="str">
        <f ca="1">IFERROR(__xludf.DUMMYFUNCTION("""COMPUTED_VALUE"""),"")</f>
        <v/>
      </c>
      <c r="D1383" t="str">
        <f ca="1">IFERROR(__xludf.DUMMYFUNCTION("""COMPUTED_VALUE"""),"")</f>
        <v/>
      </c>
      <c r="E1383" t="str">
        <f ca="1">IFERROR(__xludf.DUMMYFUNCTION("""COMPUTED_VALUE"""),"")</f>
        <v/>
      </c>
      <c r="F1383" t="str">
        <f ca="1">IFERROR(__xludf.DUMMYFUNCTION("""COMPUTED_VALUE"""),"")</f>
        <v/>
      </c>
      <c r="G1383" t="str">
        <f ca="1">IFERROR(__xludf.DUMMYFUNCTION("""COMPUTED_VALUE"""),"")</f>
        <v/>
      </c>
      <c r="H1383" t="str">
        <f ca="1">IFERROR(__xludf.DUMMYFUNCTION("""COMPUTED_VALUE"""),"")</f>
        <v/>
      </c>
      <c r="I1383" t="str">
        <f ca="1">IFERROR(__xludf.DUMMYFUNCTION("""COMPUTED_VALUE"""),"")</f>
        <v/>
      </c>
      <c r="J1383" t="str">
        <f ca="1">IFERROR(__xludf.DUMMYFUNCTION("""COMPUTED_VALUE"""),"")</f>
        <v/>
      </c>
      <c r="K1383" t="str">
        <f ca="1">IFERROR(__xludf.DUMMYFUNCTION("""COMPUTED_VALUE"""),"")</f>
        <v/>
      </c>
      <c r="L1383" t="str">
        <f ca="1">IFERROR(__xludf.DUMMYFUNCTION("""COMPUTED_VALUE"""),"")</f>
        <v/>
      </c>
      <c r="M1383" t="str">
        <f ca="1">IFERROR(__xludf.DUMMYFUNCTION("""COMPUTED_VALUE"""),"")</f>
        <v/>
      </c>
      <c r="N1383" t="str">
        <f ca="1">IFERROR(__xludf.DUMMYFUNCTION("""COMPUTED_VALUE"""),"")</f>
        <v/>
      </c>
      <c r="O1383" t="str">
        <f ca="1">IFERROR(__xludf.DUMMYFUNCTION("""COMPUTED_VALUE"""),"")</f>
        <v/>
      </c>
      <c r="P1383" t="str">
        <f ca="1">IFERROR(__xludf.DUMMYFUNCTION("""COMPUTED_VALUE"""),"")</f>
        <v/>
      </c>
      <c r="Q1383" s="5" t="str">
        <f ca="1">IFERROR(__xludf.DUMMYFUNCTION("""COMPUTED_VALUE"""),"")</f>
        <v/>
      </c>
      <c r="R1383" s="6" t="str">
        <f ca="1">IFERROR(__xludf.DUMMYFUNCTION("""COMPUTED_VALUE"""),"")</f>
        <v/>
      </c>
      <c r="S1383" t="str">
        <f ca="1">IFERROR(__xludf.DUMMYFUNCTION("""COMPUTED_VALUE"""),"")</f>
        <v/>
      </c>
      <c r="T1383" t="str">
        <f ca="1">IFERROR(__xludf.DUMMYFUNCTION("""COMPUTED_VALUE"""),"")</f>
        <v/>
      </c>
      <c r="U1383" t="str">
        <f ca="1">IFERROR(__xludf.DUMMYFUNCTION("""COMPUTED_VALUE"""),"")</f>
        <v/>
      </c>
      <c r="V1383" t="str">
        <f ca="1">IFERROR(__xludf.DUMMYFUNCTION("""COMPUTED_VALUE"""),"")</f>
        <v/>
      </c>
      <c r="W1383" t="str">
        <f ca="1">IFERROR(__xludf.DUMMYFUNCTION("""COMPUTED_VALUE"""),"")</f>
        <v/>
      </c>
      <c r="X1383" t="str">
        <f ca="1">IFERROR(__xludf.DUMMYFUNCTION("""COMPUTED_VALUE"""),"")</f>
        <v/>
      </c>
      <c r="Y1383" t="str">
        <f ca="1">IFERROR(__xludf.DUMMYFUNCTION("""COMPUTED_VALUE"""),"")</f>
        <v/>
      </c>
      <c r="Z1383" t="str">
        <f ca="1">IFERROR(__xludf.DUMMYFUNCTION("""COMPUTED_VALUE"""),"")</f>
        <v/>
      </c>
      <c r="AA1383" t="str">
        <f ca="1">IFERROR(__xludf.DUMMYFUNCTION("""COMPUTED_VALUE"""),"")</f>
        <v/>
      </c>
      <c r="AB1383" s="8" t="str">
        <f ca="1">IFERROR(__xludf.DUMMYFUNCTION("""COMPUTED_VALUE"""),"")</f>
        <v/>
      </c>
      <c r="AC1383" s="8" t="str">
        <f ca="1">IFERROR(__xludf.DUMMYFUNCTION("""COMPUTED_VALUE"""),"")</f>
        <v/>
      </c>
      <c r="AD1383" s="11" t="str">
        <f ca="1">IFERROR(__xludf.DUMMYFUNCTION("""COMPUTED_VALUE"""),"")</f>
        <v/>
      </c>
      <c r="AE1383" t="str">
        <f ca="1">IFERROR(__xludf.DUMMYFUNCTION("""COMPUTED_VALUE"""),"")</f>
        <v/>
      </c>
    </row>
    <row r="1384" spans="1:31" ht="12.75" x14ac:dyDescent="0.2">
      <c r="A1384" t="str">
        <f ca="1">IFERROR(__xludf.DUMMYFUNCTION("""COMPUTED_VALUE"""),"")</f>
        <v/>
      </c>
      <c r="B1384" t="str">
        <f ca="1">IFERROR(__xludf.DUMMYFUNCTION("""COMPUTED_VALUE"""),"")</f>
        <v/>
      </c>
      <c r="C1384" t="str">
        <f ca="1">IFERROR(__xludf.DUMMYFUNCTION("""COMPUTED_VALUE"""),"")</f>
        <v/>
      </c>
      <c r="D1384" t="str">
        <f ca="1">IFERROR(__xludf.DUMMYFUNCTION("""COMPUTED_VALUE"""),"")</f>
        <v/>
      </c>
      <c r="E1384" t="str">
        <f ca="1">IFERROR(__xludf.DUMMYFUNCTION("""COMPUTED_VALUE"""),"")</f>
        <v/>
      </c>
      <c r="F1384" t="str">
        <f ca="1">IFERROR(__xludf.DUMMYFUNCTION("""COMPUTED_VALUE"""),"")</f>
        <v/>
      </c>
      <c r="G1384" t="str">
        <f ca="1">IFERROR(__xludf.DUMMYFUNCTION("""COMPUTED_VALUE"""),"")</f>
        <v/>
      </c>
      <c r="H1384" t="str">
        <f ca="1">IFERROR(__xludf.DUMMYFUNCTION("""COMPUTED_VALUE"""),"")</f>
        <v/>
      </c>
      <c r="I1384" t="str">
        <f ca="1">IFERROR(__xludf.DUMMYFUNCTION("""COMPUTED_VALUE"""),"")</f>
        <v/>
      </c>
      <c r="J1384" t="str">
        <f ca="1">IFERROR(__xludf.DUMMYFUNCTION("""COMPUTED_VALUE"""),"")</f>
        <v/>
      </c>
      <c r="K1384" t="str">
        <f ca="1">IFERROR(__xludf.DUMMYFUNCTION("""COMPUTED_VALUE"""),"")</f>
        <v/>
      </c>
      <c r="L1384" t="str">
        <f ca="1">IFERROR(__xludf.DUMMYFUNCTION("""COMPUTED_VALUE"""),"")</f>
        <v/>
      </c>
      <c r="M1384" t="str">
        <f ca="1">IFERROR(__xludf.DUMMYFUNCTION("""COMPUTED_VALUE"""),"")</f>
        <v/>
      </c>
      <c r="N1384" t="str">
        <f ca="1">IFERROR(__xludf.DUMMYFUNCTION("""COMPUTED_VALUE"""),"")</f>
        <v/>
      </c>
      <c r="O1384" t="str">
        <f ca="1">IFERROR(__xludf.DUMMYFUNCTION("""COMPUTED_VALUE"""),"")</f>
        <v/>
      </c>
      <c r="P1384" t="str">
        <f ca="1">IFERROR(__xludf.DUMMYFUNCTION("""COMPUTED_VALUE"""),"")</f>
        <v/>
      </c>
      <c r="Q1384" s="5" t="str">
        <f ca="1">IFERROR(__xludf.DUMMYFUNCTION("""COMPUTED_VALUE"""),"")</f>
        <v/>
      </c>
      <c r="R1384" s="6" t="str">
        <f ca="1">IFERROR(__xludf.DUMMYFUNCTION("""COMPUTED_VALUE"""),"")</f>
        <v/>
      </c>
      <c r="S1384" t="str">
        <f ca="1">IFERROR(__xludf.DUMMYFUNCTION("""COMPUTED_VALUE"""),"")</f>
        <v/>
      </c>
      <c r="T1384" t="str">
        <f ca="1">IFERROR(__xludf.DUMMYFUNCTION("""COMPUTED_VALUE"""),"")</f>
        <v/>
      </c>
      <c r="U1384" t="str">
        <f ca="1">IFERROR(__xludf.DUMMYFUNCTION("""COMPUTED_VALUE"""),"")</f>
        <v/>
      </c>
      <c r="V1384" t="str">
        <f ca="1">IFERROR(__xludf.DUMMYFUNCTION("""COMPUTED_VALUE"""),"")</f>
        <v/>
      </c>
      <c r="W1384" t="str">
        <f ca="1">IFERROR(__xludf.DUMMYFUNCTION("""COMPUTED_VALUE"""),"")</f>
        <v/>
      </c>
      <c r="X1384" t="str">
        <f ca="1">IFERROR(__xludf.DUMMYFUNCTION("""COMPUTED_VALUE"""),"")</f>
        <v/>
      </c>
      <c r="Y1384" t="str">
        <f ca="1">IFERROR(__xludf.DUMMYFUNCTION("""COMPUTED_VALUE"""),"")</f>
        <v/>
      </c>
      <c r="Z1384" t="str">
        <f ca="1">IFERROR(__xludf.DUMMYFUNCTION("""COMPUTED_VALUE"""),"")</f>
        <v/>
      </c>
      <c r="AA1384" t="str">
        <f ca="1">IFERROR(__xludf.DUMMYFUNCTION("""COMPUTED_VALUE"""),"")</f>
        <v/>
      </c>
      <c r="AB1384" s="8" t="str">
        <f ca="1">IFERROR(__xludf.DUMMYFUNCTION("""COMPUTED_VALUE"""),"")</f>
        <v/>
      </c>
      <c r="AC1384" s="8" t="str">
        <f ca="1">IFERROR(__xludf.DUMMYFUNCTION("""COMPUTED_VALUE"""),"")</f>
        <v/>
      </c>
      <c r="AD1384" s="11" t="str">
        <f ca="1">IFERROR(__xludf.DUMMYFUNCTION("""COMPUTED_VALUE"""),"")</f>
        <v/>
      </c>
      <c r="AE1384" t="str">
        <f ca="1">IFERROR(__xludf.DUMMYFUNCTION("""COMPUTED_VALUE"""),"")</f>
        <v/>
      </c>
    </row>
    <row r="1385" spans="1:31" ht="12.75" x14ac:dyDescent="0.2">
      <c r="A1385" t="str">
        <f ca="1">IFERROR(__xludf.DUMMYFUNCTION("""COMPUTED_VALUE"""),"")</f>
        <v/>
      </c>
      <c r="B1385" t="str">
        <f ca="1">IFERROR(__xludf.DUMMYFUNCTION("""COMPUTED_VALUE"""),"")</f>
        <v/>
      </c>
      <c r="C1385" t="str">
        <f ca="1">IFERROR(__xludf.DUMMYFUNCTION("""COMPUTED_VALUE"""),"")</f>
        <v/>
      </c>
      <c r="D1385" t="str">
        <f ca="1">IFERROR(__xludf.DUMMYFUNCTION("""COMPUTED_VALUE"""),"")</f>
        <v/>
      </c>
      <c r="E1385" t="str">
        <f ca="1">IFERROR(__xludf.DUMMYFUNCTION("""COMPUTED_VALUE"""),"")</f>
        <v/>
      </c>
      <c r="F1385" t="str">
        <f ca="1">IFERROR(__xludf.DUMMYFUNCTION("""COMPUTED_VALUE"""),"")</f>
        <v/>
      </c>
      <c r="G1385" t="str">
        <f ca="1">IFERROR(__xludf.DUMMYFUNCTION("""COMPUTED_VALUE"""),"")</f>
        <v/>
      </c>
      <c r="H1385" t="str">
        <f ca="1">IFERROR(__xludf.DUMMYFUNCTION("""COMPUTED_VALUE"""),"")</f>
        <v/>
      </c>
      <c r="I1385" t="str">
        <f ca="1">IFERROR(__xludf.DUMMYFUNCTION("""COMPUTED_VALUE"""),"")</f>
        <v/>
      </c>
      <c r="J1385" t="str">
        <f ca="1">IFERROR(__xludf.DUMMYFUNCTION("""COMPUTED_VALUE"""),"")</f>
        <v/>
      </c>
      <c r="K1385" t="str">
        <f ca="1">IFERROR(__xludf.DUMMYFUNCTION("""COMPUTED_VALUE"""),"")</f>
        <v/>
      </c>
      <c r="L1385" t="str">
        <f ca="1">IFERROR(__xludf.DUMMYFUNCTION("""COMPUTED_VALUE"""),"")</f>
        <v/>
      </c>
      <c r="M1385" t="str">
        <f ca="1">IFERROR(__xludf.DUMMYFUNCTION("""COMPUTED_VALUE"""),"")</f>
        <v/>
      </c>
      <c r="N1385" t="str">
        <f ca="1">IFERROR(__xludf.DUMMYFUNCTION("""COMPUTED_VALUE"""),"")</f>
        <v/>
      </c>
      <c r="O1385" t="str">
        <f ca="1">IFERROR(__xludf.DUMMYFUNCTION("""COMPUTED_VALUE"""),"")</f>
        <v/>
      </c>
      <c r="P1385" t="str">
        <f ca="1">IFERROR(__xludf.DUMMYFUNCTION("""COMPUTED_VALUE"""),"")</f>
        <v/>
      </c>
      <c r="Q1385" s="5" t="str">
        <f ca="1">IFERROR(__xludf.DUMMYFUNCTION("""COMPUTED_VALUE"""),"")</f>
        <v/>
      </c>
      <c r="R1385" s="6" t="str">
        <f ca="1">IFERROR(__xludf.DUMMYFUNCTION("""COMPUTED_VALUE"""),"")</f>
        <v/>
      </c>
      <c r="S1385" t="str">
        <f ca="1">IFERROR(__xludf.DUMMYFUNCTION("""COMPUTED_VALUE"""),"")</f>
        <v/>
      </c>
      <c r="T1385" t="str">
        <f ca="1">IFERROR(__xludf.DUMMYFUNCTION("""COMPUTED_VALUE"""),"")</f>
        <v/>
      </c>
      <c r="U1385" t="str">
        <f ca="1">IFERROR(__xludf.DUMMYFUNCTION("""COMPUTED_VALUE"""),"")</f>
        <v/>
      </c>
      <c r="V1385" t="str">
        <f ca="1">IFERROR(__xludf.DUMMYFUNCTION("""COMPUTED_VALUE"""),"")</f>
        <v/>
      </c>
      <c r="W1385" t="str">
        <f ca="1">IFERROR(__xludf.DUMMYFUNCTION("""COMPUTED_VALUE"""),"")</f>
        <v/>
      </c>
      <c r="X1385" t="str">
        <f ca="1">IFERROR(__xludf.DUMMYFUNCTION("""COMPUTED_VALUE"""),"")</f>
        <v/>
      </c>
      <c r="Y1385" t="str">
        <f ca="1">IFERROR(__xludf.DUMMYFUNCTION("""COMPUTED_VALUE"""),"")</f>
        <v/>
      </c>
      <c r="Z1385" t="str">
        <f ca="1">IFERROR(__xludf.DUMMYFUNCTION("""COMPUTED_VALUE"""),"")</f>
        <v/>
      </c>
      <c r="AA1385" t="str">
        <f ca="1">IFERROR(__xludf.DUMMYFUNCTION("""COMPUTED_VALUE"""),"")</f>
        <v/>
      </c>
      <c r="AB1385" s="8" t="str">
        <f ca="1">IFERROR(__xludf.DUMMYFUNCTION("""COMPUTED_VALUE"""),"")</f>
        <v/>
      </c>
      <c r="AC1385" s="8" t="str">
        <f ca="1">IFERROR(__xludf.DUMMYFUNCTION("""COMPUTED_VALUE"""),"")</f>
        <v/>
      </c>
      <c r="AD1385" s="11" t="str">
        <f ca="1">IFERROR(__xludf.DUMMYFUNCTION("""COMPUTED_VALUE"""),"")</f>
        <v/>
      </c>
      <c r="AE1385" t="str">
        <f ca="1">IFERROR(__xludf.DUMMYFUNCTION("""COMPUTED_VALUE"""),"")</f>
        <v/>
      </c>
    </row>
    <row r="1386" spans="1:31" ht="12.75" x14ac:dyDescent="0.2">
      <c r="A1386" t="str">
        <f ca="1">IFERROR(__xludf.DUMMYFUNCTION("""COMPUTED_VALUE"""),"")</f>
        <v/>
      </c>
      <c r="B1386" t="str">
        <f ca="1">IFERROR(__xludf.DUMMYFUNCTION("""COMPUTED_VALUE"""),"")</f>
        <v/>
      </c>
      <c r="C1386" t="str">
        <f ca="1">IFERROR(__xludf.DUMMYFUNCTION("""COMPUTED_VALUE"""),"")</f>
        <v/>
      </c>
      <c r="D1386" t="str">
        <f ca="1">IFERROR(__xludf.DUMMYFUNCTION("""COMPUTED_VALUE"""),"")</f>
        <v/>
      </c>
      <c r="E1386" t="str">
        <f ca="1">IFERROR(__xludf.DUMMYFUNCTION("""COMPUTED_VALUE"""),"")</f>
        <v/>
      </c>
      <c r="F1386" t="str">
        <f ca="1">IFERROR(__xludf.DUMMYFUNCTION("""COMPUTED_VALUE"""),"")</f>
        <v/>
      </c>
      <c r="G1386" t="str">
        <f ca="1">IFERROR(__xludf.DUMMYFUNCTION("""COMPUTED_VALUE"""),"")</f>
        <v/>
      </c>
      <c r="H1386" t="str">
        <f ca="1">IFERROR(__xludf.DUMMYFUNCTION("""COMPUTED_VALUE"""),"")</f>
        <v/>
      </c>
      <c r="I1386" t="str">
        <f ca="1">IFERROR(__xludf.DUMMYFUNCTION("""COMPUTED_VALUE"""),"")</f>
        <v/>
      </c>
      <c r="J1386" t="str">
        <f ca="1">IFERROR(__xludf.DUMMYFUNCTION("""COMPUTED_VALUE"""),"")</f>
        <v/>
      </c>
      <c r="K1386" t="str">
        <f ca="1">IFERROR(__xludf.DUMMYFUNCTION("""COMPUTED_VALUE"""),"")</f>
        <v/>
      </c>
      <c r="L1386" t="str">
        <f ca="1">IFERROR(__xludf.DUMMYFUNCTION("""COMPUTED_VALUE"""),"")</f>
        <v/>
      </c>
      <c r="M1386" t="str">
        <f ca="1">IFERROR(__xludf.DUMMYFUNCTION("""COMPUTED_VALUE"""),"")</f>
        <v/>
      </c>
      <c r="N1386" t="str">
        <f ca="1">IFERROR(__xludf.DUMMYFUNCTION("""COMPUTED_VALUE"""),"")</f>
        <v/>
      </c>
      <c r="O1386" t="str">
        <f ca="1">IFERROR(__xludf.DUMMYFUNCTION("""COMPUTED_VALUE"""),"")</f>
        <v/>
      </c>
      <c r="P1386" t="str">
        <f ca="1">IFERROR(__xludf.DUMMYFUNCTION("""COMPUTED_VALUE"""),"")</f>
        <v/>
      </c>
      <c r="Q1386" s="5" t="str">
        <f ca="1">IFERROR(__xludf.DUMMYFUNCTION("""COMPUTED_VALUE"""),"")</f>
        <v/>
      </c>
      <c r="R1386" s="6" t="str">
        <f ca="1">IFERROR(__xludf.DUMMYFUNCTION("""COMPUTED_VALUE"""),"")</f>
        <v/>
      </c>
      <c r="S1386" t="str">
        <f ca="1">IFERROR(__xludf.DUMMYFUNCTION("""COMPUTED_VALUE"""),"")</f>
        <v/>
      </c>
      <c r="T1386" t="str">
        <f ca="1">IFERROR(__xludf.DUMMYFUNCTION("""COMPUTED_VALUE"""),"")</f>
        <v/>
      </c>
      <c r="U1386" t="str">
        <f ca="1">IFERROR(__xludf.DUMMYFUNCTION("""COMPUTED_VALUE"""),"")</f>
        <v/>
      </c>
      <c r="V1386" t="str">
        <f ca="1">IFERROR(__xludf.DUMMYFUNCTION("""COMPUTED_VALUE"""),"")</f>
        <v/>
      </c>
      <c r="W1386" t="str">
        <f ca="1">IFERROR(__xludf.DUMMYFUNCTION("""COMPUTED_VALUE"""),"")</f>
        <v/>
      </c>
      <c r="X1386" t="str">
        <f ca="1">IFERROR(__xludf.DUMMYFUNCTION("""COMPUTED_VALUE"""),"")</f>
        <v/>
      </c>
      <c r="Y1386" t="str">
        <f ca="1">IFERROR(__xludf.DUMMYFUNCTION("""COMPUTED_VALUE"""),"")</f>
        <v/>
      </c>
      <c r="Z1386" t="str">
        <f ca="1">IFERROR(__xludf.DUMMYFUNCTION("""COMPUTED_VALUE"""),"")</f>
        <v/>
      </c>
      <c r="AA1386" t="str">
        <f ca="1">IFERROR(__xludf.DUMMYFUNCTION("""COMPUTED_VALUE"""),"")</f>
        <v/>
      </c>
      <c r="AB1386" s="8" t="str">
        <f ca="1">IFERROR(__xludf.DUMMYFUNCTION("""COMPUTED_VALUE"""),"")</f>
        <v/>
      </c>
      <c r="AC1386" s="8" t="str">
        <f ca="1">IFERROR(__xludf.DUMMYFUNCTION("""COMPUTED_VALUE"""),"")</f>
        <v/>
      </c>
      <c r="AD1386" s="11" t="str">
        <f ca="1">IFERROR(__xludf.DUMMYFUNCTION("""COMPUTED_VALUE"""),"")</f>
        <v/>
      </c>
      <c r="AE1386" t="str">
        <f ca="1">IFERROR(__xludf.DUMMYFUNCTION("""COMPUTED_VALUE"""),"")</f>
        <v/>
      </c>
    </row>
    <row r="1387" spans="1:31" ht="12.75" x14ac:dyDescent="0.2">
      <c r="A1387" t="str">
        <f ca="1">IFERROR(__xludf.DUMMYFUNCTION("""COMPUTED_VALUE"""),"")</f>
        <v/>
      </c>
      <c r="B1387" t="str">
        <f ca="1">IFERROR(__xludf.DUMMYFUNCTION("""COMPUTED_VALUE"""),"")</f>
        <v/>
      </c>
      <c r="C1387" t="str">
        <f ca="1">IFERROR(__xludf.DUMMYFUNCTION("""COMPUTED_VALUE"""),"")</f>
        <v/>
      </c>
      <c r="D1387" t="str">
        <f ca="1">IFERROR(__xludf.DUMMYFUNCTION("""COMPUTED_VALUE"""),"")</f>
        <v/>
      </c>
      <c r="E1387" t="str">
        <f ca="1">IFERROR(__xludf.DUMMYFUNCTION("""COMPUTED_VALUE"""),"")</f>
        <v/>
      </c>
      <c r="F1387" t="str">
        <f ca="1">IFERROR(__xludf.DUMMYFUNCTION("""COMPUTED_VALUE"""),"")</f>
        <v/>
      </c>
      <c r="G1387" t="str">
        <f ca="1">IFERROR(__xludf.DUMMYFUNCTION("""COMPUTED_VALUE"""),"")</f>
        <v/>
      </c>
      <c r="H1387" t="str">
        <f ca="1">IFERROR(__xludf.DUMMYFUNCTION("""COMPUTED_VALUE"""),"")</f>
        <v/>
      </c>
      <c r="I1387" t="str">
        <f ca="1">IFERROR(__xludf.DUMMYFUNCTION("""COMPUTED_VALUE"""),"")</f>
        <v/>
      </c>
      <c r="J1387" t="str">
        <f ca="1">IFERROR(__xludf.DUMMYFUNCTION("""COMPUTED_VALUE"""),"")</f>
        <v/>
      </c>
      <c r="K1387" t="str">
        <f ca="1">IFERROR(__xludf.DUMMYFUNCTION("""COMPUTED_VALUE"""),"")</f>
        <v/>
      </c>
      <c r="L1387" t="str">
        <f ca="1">IFERROR(__xludf.DUMMYFUNCTION("""COMPUTED_VALUE"""),"")</f>
        <v/>
      </c>
      <c r="M1387" t="str">
        <f ca="1">IFERROR(__xludf.DUMMYFUNCTION("""COMPUTED_VALUE"""),"")</f>
        <v/>
      </c>
      <c r="N1387" t="str">
        <f ca="1">IFERROR(__xludf.DUMMYFUNCTION("""COMPUTED_VALUE"""),"")</f>
        <v/>
      </c>
      <c r="O1387" t="str">
        <f ca="1">IFERROR(__xludf.DUMMYFUNCTION("""COMPUTED_VALUE"""),"")</f>
        <v/>
      </c>
      <c r="P1387" t="str">
        <f ca="1">IFERROR(__xludf.DUMMYFUNCTION("""COMPUTED_VALUE"""),"")</f>
        <v/>
      </c>
      <c r="Q1387" s="5" t="str">
        <f ca="1">IFERROR(__xludf.DUMMYFUNCTION("""COMPUTED_VALUE"""),"")</f>
        <v/>
      </c>
      <c r="R1387" s="6" t="str">
        <f ca="1">IFERROR(__xludf.DUMMYFUNCTION("""COMPUTED_VALUE"""),"")</f>
        <v/>
      </c>
      <c r="S1387" t="str">
        <f ca="1">IFERROR(__xludf.DUMMYFUNCTION("""COMPUTED_VALUE"""),"")</f>
        <v/>
      </c>
      <c r="T1387" t="str">
        <f ca="1">IFERROR(__xludf.DUMMYFUNCTION("""COMPUTED_VALUE"""),"")</f>
        <v/>
      </c>
      <c r="U1387" t="str">
        <f ca="1">IFERROR(__xludf.DUMMYFUNCTION("""COMPUTED_VALUE"""),"")</f>
        <v/>
      </c>
      <c r="V1387" t="str">
        <f ca="1">IFERROR(__xludf.DUMMYFUNCTION("""COMPUTED_VALUE"""),"")</f>
        <v/>
      </c>
      <c r="W1387" t="str">
        <f ca="1">IFERROR(__xludf.DUMMYFUNCTION("""COMPUTED_VALUE"""),"")</f>
        <v/>
      </c>
      <c r="X1387" t="str">
        <f ca="1">IFERROR(__xludf.DUMMYFUNCTION("""COMPUTED_VALUE"""),"")</f>
        <v/>
      </c>
      <c r="Y1387" t="str">
        <f ca="1">IFERROR(__xludf.DUMMYFUNCTION("""COMPUTED_VALUE"""),"")</f>
        <v/>
      </c>
      <c r="Z1387" t="str">
        <f ca="1">IFERROR(__xludf.DUMMYFUNCTION("""COMPUTED_VALUE"""),"")</f>
        <v/>
      </c>
      <c r="AA1387" t="str">
        <f ca="1">IFERROR(__xludf.DUMMYFUNCTION("""COMPUTED_VALUE"""),"")</f>
        <v/>
      </c>
      <c r="AB1387" s="8" t="str">
        <f ca="1">IFERROR(__xludf.DUMMYFUNCTION("""COMPUTED_VALUE"""),"")</f>
        <v/>
      </c>
      <c r="AC1387" s="8" t="str">
        <f ca="1">IFERROR(__xludf.DUMMYFUNCTION("""COMPUTED_VALUE"""),"")</f>
        <v/>
      </c>
      <c r="AD1387" s="11" t="str">
        <f ca="1">IFERROR(__xludf.DUMMYFUNCTION("""COMPUTED_VALUE"""),"")</f>
        <v/>
      </c>
      <c r="AE1387" t="str">
        <f ca="1">IFERROR(__xludf.DUMMYFUNCTION("""COMPUTED_VALUE"""),"")</f>
        <v/>
      </c>
    </row>
    <row r="1388" spans="1:31" ht="12.75" x14ac:dyDescent="0.2">
      <c r="A1388" t="str">
        <f ca="1">IFERROR(__xludf.DUMMYFUNCTION("""COMPUTED_VALUE"""),"")</f>
        <v/>
      </c>
      <c r="B1388" t="str">
        <f ca="1">IFERROR(__xludf.DUMMYFUNCTION("""COMPUTED_VALUE"""),"")</f>
        <v/>
      </c>
      <c r="C1388" t="str">
        <f ca="1">IFERROR(__xludf.DUMMYFUNCTION("""COMPUTED_VALUE"""),"")</f>
        <v/>
      </c>
      <c r="D1388" t="str">
        <f ca="1">IFERROR(__xludf.DUMMYFUNCTION("""COMPUTED_VALUE"""),"")</f>
        <v/>
      </c>
      <c r="E1388" t="str">
        <f ca="1">IFERROR(__xludf.DUMMYFUNCTION("""COMPUTED_VALUE"""),"")</f>
        <v/>
      </c>
      <c r="F1388" t="str">
        <f ca="1">IFERROR(__xludf.DUMMYFUNCTION("""COMPUTED_VALUE"""),"")</f>
        <v/>
      </c>
      <c r="G1388" t="str">
        <f ca="1">IFERROR(__xludf.DUMMYFUNCTION("""COMPUTED_VALUE"""),"")</f>
        <v/>
      </c>
      <c r="H1388" t="str">
        <f ca="1">IFERROR(__xludf.DUMMYFUNCTION("""COMPUTED_VALUE"""),"")</f>
        <v/>
      </c>
      <c r="I1388" t="str">
        <f ca="1">IFERROR(__xludf.DUMMYFUNCTION("""COMPUTED_VALUE"""),"")</f>
        <v/>
      </c>
      <c r="J1388" t="str">
        <f ca="1">IFERROR(__xludf.DUMMYFUNCTION("""COMPUTED_VALUE"""),"")</f>
        <v/>
      </c>
      <c r="K1388" t="str">
        <f ca="1">IFERROR(__xludf.DUMMYFUNCTION("""COMPUTED_VALUE"""),"")</f>
        <v/>
      </c>
      <c r="L1388" t="str">
        <f ca="1">IFERROR(__xludf.DUMMYFUNCTION("""COMPUTED_VALUE"""),"")</f>
        <v/>
      </c>
      <c r="M1388" t="str">
        <f ca="1">IFERROR(__xludf.DUMMYFUNCTION("""COMPUTED_VALUE"""),"")</f>
        <v/>
      </c>
      <c r="N1388" t="str">
        <f ca="1">IFERROR(__xludf.DUMMYFUNCTION("""COMPUTED_VALUE"""),"")</f>
        <v/>
      </c>
      <c r="O1388" t="str">
        <f ca="1">IFERROR(__xludf.DUMMYFUNCTION("""COMPUTED_VALUE"""),"")</f>
        <v/>
      </c>
      <c r="P1388" t="str">
        <f ca="1">IFERROR(__xludf.DUMMYFUNCTION("""COMPUTED_VALUE"""),"")</f>
        <v/>
      </c>
      <c r="Q1388" s="5" t="str">
        <f ca="1">IFERROR(__xludf.DUMMYFUNCTION("""COMPUTED_VALUE"""),"")</f>
        <v/>
      </c>
      <c r="R1388" s="6" t="str">
        <f ca="1">IFERROR(__xludf.DUMMYFUNCTION("""COMPUTED_VALUE"""),"")</f>
        <v/>
      </c>
      <c r="S1388" t="str">
        <f ca="1">IFERROR(__xludf.DUMMYFUNCTION("""COMPUTED_VALUE"""),"")</f>
        <v/>
      </c>
      <c r="T1388" t="str">
        <f ca="1">IFERROR(__xludf.DUMMYFUNCTION("""COMPUTED_VALUE"""),"")</f>
        <v/>
      </c>
      <c r="U1388" t="str">
        <f ca="1">IFERROR(__xludf.DUMMYFUNCTION("""COMPUTED_VALUE"""),"")</f>
        <v/>
      </c>
      <c r="V1388" t="str">
        <f ca="1">IFERROR(__xludf.DUMMYFUNCTION("""COMPUTED_VALUE"""),"")</f>
        <v/>
      </c>
      <c r="W1388" t="str">
        <f ca="1">IFERROR(__xludf.DUMMYFUNCTION("""COMPUTED_VALUE"""),"")</f>
        <v/>
      </c>
      <c r="X1388" t="str">
        <f ca="1">IFERROR(__xludf.DUMMYFUNCTION("""COMPUTED_VALUE"""),"")</f>
        <v/>
      </c>
      <c r="Y1388" t="str">
        <f ca="1">IFERROR(__xludf.DUMMYFUNCTION("""COMPUTED_VALUE"""),"")</f>
        <v/>
      </c>
      <c r="Z1388" t="str">
        <f ca="1">IFERROR(__xludf.DUMMYFUNCTION("""COMPUTED_VALUE"""),"")</f>
        <v/>
      </c>
      <c r="AA1388" t="str">
        <f ca="1">IFERROR(__xludf.DUMMYFUNCTION("""COMPUTED_VALUE"""),"")</f>
        <v/>
      </c>
      <c r="AB1388" s="8" t="str">
        <f ca="1">IFERROR(__xludf.DUMMYFUNCTION("""COMPUTED_VALUE"""),"")</f>
        <v/>
      </c>
      <c r="AC1388" s="8" t="str">
        <f ca="1">IFERROR(__xludf.DUMMYFUNCTION("""COMPUTED_VALUE"""),"")</f>
        <v/>
      </c>
      <c r="AD1388" s="11" t="str">
        <f ca="1">IFERROR(__xludf.DUMMYFUNCTION("""COMPUTED_VALUE"""),"")</f>
        <v/>
      </c>
      <c r="AE1388" t="str">
        <f ca="1">IFERROR(__xludf.DUMMYFUNCTION("""COMPUTED_VALUE"""),"")</f>
        <v/>
      </c>
    </row>
    <row r="1389" spans="1:31" ht="12.75" x14ac:dyDescent="0.2">
      <c r="A1389" t="str">
        <f ca="1">IFERROR(__xludf.DUMMYFUNCTION("""COMPUTED_VALUE"""),"")</f>
        <v/>
      </c>
      <c r="B1389" t="str">
        <f ca="1">IFERROR(__xludf.DUMMYFUNCTION("""COMPUTED_VALUE"""),"")</f>
        <v/>
      </c>
      <c r="C1389" t="str">
        <f ca="1">IFERROR(__xludf.DUMMYFUNCTION("""COMPUTED_VALUE"""),"")</f>
        <v/>
      </c>
      <c r="D1389" t="str">
        <f ca="1">IFERROR(__xludf.DUMMYFUNCTION("""COMPUTED_VALUE"""),"")</f>
        <v/>
      </c>
      <c r="E1389" t="str">
        <f ca="1">IFERROR(__xludf.DUMMYFUNCTION("""COMPUTED_VALUE"""),"")</f>
        <v/>
      </c>
      <c r="F1389" t="str">
        <f ca="1">IFERROR(__xludf.DUMMYFUNCTION("""COMPUTED_VALUE"""),"")</f>
        <v/>
      </c>
      <c r="G1389" t="str">
        <f ca="1">IFERROR(__xludf.DUMMYFUNCTION("""COMPUTED_VALUE"""),"")</f>
        <v/>
      </c>
      <c r="H1389" t="str">
        <f ca="1">IFERROR(__xludf.DUMMYFUNCTION("""COMPUTED_VALUE"""),"")</f>
        <v/>
      </c>
      <c r="I1389" t="str">
        <f ca="1">IFERROR(__xludf.DUMMYFUNCTION("""COMPUTED_VALUE"""),"")</f>
        <v/>
      </c>
      <c r="J1389" t="str">
        <f ca="1">IFERROR(__xludf.DUMMYFUNCTION("""COMPUTED_VALUE"""),"")</f>
        <v/>
      </c>
      <c r="K1389" t="str">
        <f ca="1">IFERROR(__xludf.DUMMYFUNCTION("""COMPUTED_VALUE"""),"")</f>
        <v/>
      </c>
      <c r="L1389" t="str">
        <f ca="1">IFERROR(__xludf.DUMMYFUNCTION("""COMPUTED_VALUE"""),"")</f>
        <v/>
      </c>
      <c r="M1389" t="str">
        <f ca="1">IFERROR(__xludf.DUMMYFUNCTION("""COMPUTED_VALUE"""),"")</f>
        <v/>
      </c>
      <c r="N1389" t="str">
        <f ca="1">IFERROR(__xludf.DUMMYFUNCTION("""COMPUTED_VALUE"""),"")</f>
        <v/>
      </c>
      <c r="O1389" t="str">
        <f ca="1">IFERROR(__xludf.DUMMYFUNCTION("""COMPUTED_VALUE"""),"")</f>
        <v/>
      </c>
      <c r="P1389" t="str">
        <f ca="1">IFERROR(__xludf.DUMMYFUNCTION("""COMPUTED_VALUE"""),"")</f>
        <v/>
      </c>
      <c r="Q1389" s="5" t="str">
        <f ca="1">IFERROR(__xludf.DUMMYFUNCTION("""COMPUTED_VALUE"""),"")</f>
        <v/>
      </c>
      <c r="R1389" s="6" t="str">
        <f ca="1">IFERROR(__xludf.DUMMYFUNCTION("""COMPUTED_VALUE"""),"")</f>
        <v/>
      </c>
      <c r="S1389" t="str">
        <f ca="1">IFERROR(__xludf.DUMMYFUNCTION("""COMPUTED_VALUE"""),"")</f>
        <v/>
      </c>
      <c r="T1389" t="str">
        <f ca="1">IFERROR(__xludf.DUMMYFUNCTION("""COMPUTED_VALUE"""),"")</f>
        <v/>
      </c>
      <c r="U1389" t="str">
        <f ca="1">IFERROR(__xludf.DUMMYFUNCTION("""COMPUTED_VALUE"""),"")</f>
        <v/>
      </c>
      <c r="V1389" t="str">
        <f ca="1">IFERROR(__xludf.DUMMYFUNCTION("""COMPUTED_VALUE"""),"")</f>
        <v/>
      </c>
      <c r="W1389" t="str">
        <f ca="1">IFERROR(__xludf.DUMMYFUNCTION("""COMPUTED_VALUE"""),"")</f>
        <v/>
      </c>
      <c r="X1389" t="str">
        <f ca="1">IFERROR(__xludf.DUMMYFUNCTION("""COMPUTED_VALUE"""),"")</f>
        <v/>
      </c>
      <c r="Y1389" t="str">
        <f ca="1">IFERROR(__xludf.DUMMYFUNCTION("""COMPUTED_VALUE"""),"")</f>
        <v/>
      </c>
      <c r="Z1389" t="str">
        <f ca="1">IFERROR(__xludf.DUMMYFUNCTION("""COMPUTED_VALUE"""),"")</f>
        <v/>
      </c>
      <c r="AA1389" t="str">
        <f ca="1">IFERROR(__xludf.DUMMYFUNCTION("""COMPUTED_VALUE"""),"")</f>
        <v/>
      </c>
      <c r="AB1389" s="8" t="str">
        <f ca="1">IFERROR(__xludf.DUMMYFUNCTION("""COMPUTED_VALUE"""),"")</f>
        <v/>
      </c>
      <c r="AC1389" s="8" t="str">
        <f ca="1">IFERROR(__xludf.DUMMYFUNCTION("""COMPUTED_VALUE"""),"")</f>
        <v/>
      </c>
      <c r="AD1389" s="11" t="str">
        <f ca="1">IFERROR(__xludf.DUMMYFUNCTION("""COMPUTED_VALUE"""),"")</f>
        <v/>
      </c>
      <c r="AE1389" t="str">
        <f ca="1">IFERROR(__xludf.DUMMYFUNCTION("""COMPUTED_VALUE"""),"")</f>
        <v/>
      </c>
    </row>
    <row r="1390" spans="1:31" ht="12.75" x14ac:dyDescent="0.2">
      <c r="A1390" t="str">
        <f ca="1">IFERROR(__xludf.DUMMYFUNCTION("""COMPUTED_VALUE"""),"")</f>
        <v/>
      </c>
      <c r="B1390" t="str">
        <f ca="1">IFERROR(__xludf.DUMMYFUNCTION("""COMPUTED_VALUE"""),"")</f>
        <v/>
      </c>
      <c r="C1390" t="str">
        <f ca="1">IFERROR(__xludf.DUMMYFUNCTION("""COMPUTED_VALUE"""),"")</f>
        <v/>
      </c>
      <c r="D1390" t="str">
        <f ca="1">IFERROR(__xludf.DUMMYFUNCTION("""COMPUTED_VALUE"""),"")</f>
        <v/>
      </c>
      <c r="E1390" t="str">
        <f ca="1">IFERROR(__xludf.DUMMYFUNCTION("""COMPUTED_VALUE"""),"")</f>
        <v/>
      </c>
      <c r="F1390" t="str">
        <f ca="1">IFERROR(__xludf.DUMMYFUNCTION("""COMPUTED_VALUE"""),"")</f>
        <v/>
      </c>
      <c r="G1390" t="str">
        <f ca="1">IFERROR(__xludf.DUMMYFUNCTION("""COMPUTED_VALUE"""),"")</f>
        <v/>
      </c>
      <c r="H1390" t="str">
        <f ca="1">IFERROR(__xludf.DUMMYFUNCTION("""COMPUTED_VALUE"""),"")</f>
        <v/>
      </c>
      <c r="I1390" t="str">
        <f ca="1">IFERROR(__xludf.DUMMYFUNCTION("""COMPUTED_VALUE"""),"")</f>
        <v/>
      </c>
      <c r="J1390" t="str">
        <f ca="1">IFERROR(__xludf.DUMMYFUNCTION("""COMPUTED_VALUE"""),"")</f>
        <v/>
      </c>
      <c r="K1390" t="str">
        <f ca="1">IFERROR(__xludf.DUMMYFUNCTION("""COMPUTED_VALUE"""),"")</f>
        <v/>
      </c>
      <c r="L1390" t="str">
        <f ca="1">IFERROR(__xludf.DUMMYFUNCTION("""COMPUTED_VALUE"""),"")</f>
        <v/>
      </c>
      <c r="M1390" t="str">
        <f ca="1">IFERROR(__xludf.DUMMYFUNCTION("""COMPUTED_VALUE"""),"")</f>
        <v/>
      </c>
      <c r="N1390" t="str">
        <f ca="1">IFERROR(__xludf.DUMMYFUNCTION("""COMPUTED_VALUE"""),"")</f>
        <v/>
      </c>
      <c r="O1390" t="str">
        <f ca="1">IFERROR(__xludf.DUMMYFUNCTION("""COMPUTED_VALUE"""),"")</f>
        <v/>
      </c>
      <c r="P1390" t="str">
        <f ca="1">IFERROR(__xludf.DUMMYFUNCTION("""COMPUTED_VALUE"""),"")</f>
        <v/>
      </c>
      <c r="Q1390" s="5" t="str">
        <f ca="1">IFERROR(__xludf.DUMMYFUNCTION("""COMPUTED_VALUE"""),"")</f>
        <v/>
      </c>
      <c r="R1390" s="6" t="str">
        <f ca="1">IFERROR(__xludf.DUMMYFUNCTION("""COMPUTED_VALUE"""),"")</f>
        <v/>
      </c>
      <c r="S1390" t="str">
        <f ca="1">IFERROR(__xludf.DUMMYFUNCTION("""COMPUTED_VALUE"""),"")</f>
        <v/>
      </c>
      <c r="T1390" t="str">
        <f ca="1">IFERROR(__xludf.DUMMYFUNCTION("""COMPUTED_VALUE"""),"")</f>
        <v/>
      </c>
      <c r="U1390" t="str">
        <f ca="1">IFERROR(__xludf.DUMMYFUNCTION("""COMPUTED_VALUE"""),"")</f>
        <v/>
      </c>
      <c r="V1390" t="str">
        <f ca="1">IFERROR(__xludf.DUMMYFUNCTION("""COMPUTED_VALUE"""),"")</f>
        <v/>
      </c>
      <c r="W1390" t="str">
        <f ca="1">IFERROR(__xludf.DUMMYFUNCTION("""COMPUTED_VALUE"""),"")</f>
        <v/>
      </c>
      <c r="X1390" t="str">
        <f ca="1">IFERROR(__xludf.DUMMYFUNCTION("""COMPUTED_VALUE"""),"")</f>
        <v/>
      </c>
      <c r="Y1390" t="str">
        <f ca="1">IFERROR(__xludf.DUMMYFUNCTION("""COMPUTED_VALUE"""),"")</f>
        <v/>
      </c>
      <c r="Z1390" t="str">
        <f ca="1">IFERROR(__xludf.DUMMYFUNCTION("""COMPUTED_VALUE"""),"")</f>
        <v/>
      </c>
      <c r="AA1390" t="str">
        <f ca="1">IFERROR(__xludf.DUMMYFUNCTION("""COMPUTED_VALUE"""),"")</f>
        <v/>
      </c>
      <c r="AB1390" s="8" t="str">
        <f ca="1">IFERROR(__xludf.DUMMYFUNCTION("""COMPUTED_VALUE"""),"")</f>
        <v/>
      </c>
      <c r="AC1390" s="8" t="str">
        <f ca="1">IFERROR(__xludf.DUMMYFUNCTION("""COMPUTED_VALUE"""),"")</f>
        <v/>
      </c>
      <c r="AD1390" s="11" t="str">
        <f ca="1">IFERROR(__xludf.DUMMYFUNCTION("""COMPUTED_VALUE"""),"")</f>
        <v/>
      </c>
      <c r="AE1390" t="str">
        <f ca="1">IFERROR(__xludf.DUMMYFUNCTION("""COMPUTED_VALUE"""),"")</f>
        <v/>
      </c>
    </row>
    <row r="1391" spans="1:31" ht="12.75" x14ac:dyDescent="0.2">
      <c r="A1391" t="str">
        <f ca="1">IFERROR(__xludf.DUMMYFUNCTION("""COMPUTED_VALUE"""),"")</f>
        <v/>
      </c>
      <c r="B1391" t="str">
        <f ca="1">IFERROR(__xludf.DUMMYFUNCTION("""COMPUTED_VALUE"""),"")</f>
        <v/>
      </c>
      <c r="C1391" t="str">
        <f ca="1">IFERROR(__xludf.DUMMYFUNCTION("""COMPUTED_VALUE"""),"")</f>
        <v/>
      </c>
      <c r="D1391" t="str">
        <f ca="1">IFERROR(__xludf.DUMMYFUNCTION("""COMPUTED_VALUE"""),"")</f>
        <v/>
      </c>
      <c r="E1391" t="str">
        <f ca="1">IFERROR(__xludf.DUMMYFUNCTION("""COMPUTED_VALUE"""),"")</f>
        <v/>
      </c>
      <c r="F1391" t="str">
        <f ca="1">IFERROR(__xludf.DUMMYFUNCTION("""COMPUTED_VALUE"""),"")</f>
        <v/>
      </c>
      <c r="G1391" t="str">
        <f ca="1">IFERROR(__xludf.DUMMYFUNCTION("""COMPUTED_VALUE"""),"")</f>
        <v/>
      </c>
      <c r="H1391" t="str">
        <f ca="1">IFERROR(__xludf.DUMMYFUNCTION("""COMPUTED_VALUE"""),"")</f>
        <v/>
      </c>
      <c r="I1391" t="str">
        <f ca="1">IFERROR(__xludf.DUMMYFUNCTION("""COMPUTED_VALUE"""),"")</f>
        <v/>
      </c>
      <c r="J1391" t="str">
        <f ca="1">IFERROR(__xludf.DUMMYFUNCTION("""COMPUTED_VALUE"""),"")</f>
        <v/>
      </c>
      <c r="K1391" t="str">
        <f ca="1">IFERROR(__xludf.DUMMYFUNCTION("""COMPUTED_VALUE"""),"")</f>
        <v/>
      </c>
      <c r="L1391" t="str">
        <f ca="1">IFERROR(__xludf.DUMMYFUNCTION("""COMPUTED_VALUE"""),"")</f>
        <v/>
      </c>
      <c r="M1391" t="str">
        <f ca="1">IFERROR(__xludf.DUMMYFUNCTION("""COMPUTED_VALUE"""),"")</f>
        <v/>
      </c>
      <c r="N1391" t="str">
        <f ca="1">IFERROR(__xludf.DUMMYFUNCTION("""COMPUTED_VALUE"""),"")</f>
        <v/>
      </c>
      <c r="O1391" t="str">
        <f ca="1">IFERROR(__xludf.DUMMYFUNCTION("""COMPUTED_VALUE"""),"")</f>
        <v/>
      </c>
      <c r="P1391" t="str">
        <f ca="1">IFERROR(__xludf.DUMMYFUNCTION("""COMPUTED_VALUE"""),"")</f>
        <v/>
      </c>
      <c r="Q1391" s="5" t="str">
        <f ca="1">IFERROR(__xludf.DUMMYFUNCTION("""COMPUTED_VALUE"""),"")</f>
        <v/>
      </c>
      <c r="R1391" s="6" t="str">
        <f ca="1">IFERROR(__xludf.DUMMYFUNCTION("""COMPUTED_VALUE"""),"")</f>
        <v/>
      </c>
      <c r="S1391" t="str">
        <f ca="1">IFERROR(__xludf.DUMMYFUNCTION("""COMPUTED_VALUE"""),"")</f>
        <v/>
      </c>
      <c r="T1391" t="str">
        <f ca="1">IFERROR(__xludf.DUMMYFUNCTION("""COMPUTED_VALUE"""),"")</f>
        <v/>
      </c>
      <c r="U1391" t="str">
        <f ca="1">IFERROR(__xludf.DUMMYFUNCTION("""COMPUTED_VALUE"""),"")</f>
        <v/>
      </c>
      <c r="V1391" t="str">
        <f ca="1">IFERROR(__xludf.DUMMYFUNCTION("""COMPUTED_VALUE"""),"")</f>
        <v/>
      </c>
      <c r="W1391" t="str">
        <f ca="1">IFERROR(__xludf.DUMMYFUNCTION("""COMPUTED_VALUE"""),"")</f>
        <v/>
      </c>
      <c r="X1391" t="str">
        <f ca="1">IFERROR(__xludf.DUMMYFUNCTION("""COMPUTED_VALUE"""),"")</f>
        <v/>
      </c>
      <c r="Y1391" t="str">
        <f ca="1">IFERROR(__xludf.DUMMYFUNCTION("""COMPUTED_VALUE"""),"")</f>
        <v/>
      </c>
      <c r="Z1391" t="str">
        <f ca="1">IFERROR(__xludf.DUMMYFUNCTION("""COMPUTED_VALUE"""),"")</f>
        <v/>
      </c>
      <c r="AA1391" t="str">
        <f ca="1">IFERROR(__xludf.DUMMYFUNCTION("""COMPUTED_VALUE"""),"")</f>
        <v/>
      </c>
      <c r="AB1391" s="8" t="str">
        <f ca="1">IFERROR(__xludf.DUMMYFUNCTION("""COMPUTED_VALUE"""),"")</f>
        <v/>
      </c>
      <c r="AC1391" s="8" t="str">
        <f ca="1">IFERROR(__xludf.DUMMYFUNCTION("""COMPUTED_VALUE"""),"")</f>
        <v/>
      </c>
      <c r="AD1391" s="11" t="str">
        <f ca="1">IFERROR(__xludf.DUMMYFUNCTION("""COMPUTED_VALUE"""),"")</f>
        <v/>
      </c>
      <c r="AE1391" t="str">
        <f ca="1">IFERROR(__xludf.DUMMYFUNCTION("""COMPUTED_VALUE"""),"")</f>
        <v/>
      </c>
    </row>
    <row r="1392" spans="1:31" ht="12.75" x14ac:dyDescent="0.2">
      <c r="A1392" t="str">
        <f ca="1">IFERROR(__xludf.DUMMYFUNCTION("""COMPUTED_VALUE"""),"")</f>
        <v/>
      </c>
      <c r="B1392" t="str">
        <f ca="1">IFERROR(__xludf.DUMMYFUNCTION("""COMPUTED_VALUE"""),"")</f>
        <v/>
      </c>
      <c r="C1392" t="str">
        <f ca="1">IFERROR(__xludf.DUMMYFUNCTION("""COMPUTED_VALUE"""),"")</f>
        <v/>
      </c>
      <c r="D1392" t="str">
        <f ca="1">IFERROR(__xludf.DUMMYFUNCTION("""COMPUTED_VALUE"""),"")</f>
        <v/>
      </c>
      <c r="E1392" t="str">
        <f ca="1">IFERROR(__xludf.DUMMYFUNCTION("""COMPUTED_VALUE"""),"")</f>
        <v/>
      </c>
      <c r="F1392" t="str">
        <f ca="1">IFERROR(__xludf.DUMMYFUNCTION("""COMPUTED_VALUE"""),"")</f>
        <v/>
      </c>
      <c r="G1392" t="str">
        <f ca="1">IFERROR(__xludf.DUMMYFUNCTION("""COMPUTED_VALUE"""),"")</f>
        <v/>
      </c>
      <c r="H1392" t="str">
        <f ca="1">IFERROR(__xludf.DUMMYFUNCTION("""COMPUTED_VALUE"""),"")</f>
        <v/>
      </c>
      <c r="I1392" t="str">
        <f ca="1">IFERROR(__xludf.DUMMYFUNCTION("""COMPUTED_VALUE"""),"")</f>
        <v/>
      </c>
      <c r="J1392" t="str">
        <f ca="1">IFERROR(__xludf.DUMMYFUNCTION("""COMPUTED_VALUE"""),"")</f>
        <v/>
      </c>
      <c r="K1392" t="str">
        <f ca="1">IFERROR(__xludf.DUMMYFUNCTION("""COMPUTED_VALUE"""),"")</f>
        <v/>
      </c>
      <c r="L1392" t="str">
        <f ca="1">IFERROR(__xludf.DUMMYFUNCTION("""COMPUTED_VALUE"""),"")</f>
        <v/>
      </c>
      <c r="M1392" t="str">
        <f ca="1">IFERROR(__xludf.DUMMYFUNCTION("""COMPUTED_VALUE"""),"")</f>
        <v/>
      </c>
      <c r="N1392" t="str">
        <f ca="1">IFERROR(__xludf.DUMMYFUNCTION("""COMPUTED_VALUE"""),"")</f>
        <v/>
      </c>
      <c r="O1392" t="str">
        <f ca="1">IFERROR(__xludf.DUMMYFUNCTION("""COMPUTED_VALUE"""),"")</f>
        <v/>
      </c>
      <c r="P1392" t="str">
        <f ca="1">IFERROR(__xludf.DUMMYFUNCTION("""COMPUTED_VALUE"""),"")</f>
        <v/>
      </c>
      <c r="Q1392" s="5" t="str">
        <f ca="1">IFERROR(__xludf.DUMMYFUNCTION("""COMPUTED_VALUE"""),"")</f>
        <v/>
      </c>
      <c r="R1392" s="6" t="str">
        <f ca="1">IFERROR(__xludf.DUMMYFUNCTION("""COMPUTED_VALUE"""),"")</f>
        <v/>
      </c>
      <c r="S1392" t="str">
        <f ca="1">IFERROR(__xludf.DUMMYFUNCTION("""COMPUTED_VALUE"""),"")</f>
        <v/>
      </c>
      <c r="T1392" t="str">
        <f ca="1">IFERROR(__xludf.DUMMYFUNCTION("""COMPUTED_VALUE"""),"")</f>
        <v/>
      </c>
      <c r="U1392" t="str">
        <f ca="1">IFERROR(__xludf.DUMMYFUNCTION("""COMPUTED_VALUE"""),"")</f>
        <v/>
      </c>
      <c r="V1392" t="str">
        <f ca="1">IFERROR(__xludf.DUMMYFUNCTION("""COMPUTED_VALUE"""),"")</f>
        <v/>
      </c>
      <c r="W1392" t="str">
        <f ca="1">IFERROR(__xludf.DUMMYFUNCTION("""COMPUTED_VALUE"""),"")</f>
        <v/>
      </c>
      <c r="X1392" t="str">
        <f ca="1">IFERROR(__xludf.DUMMYFUNCTION("""COMPUTED_VALUE"""),"")</f>
        <v/>
      </c>
      <c r="Y1392" t="str">
        <f ca="1">IFERROR(__xludf.DUMMYFUNCTION("""COMPUTED_VALUE"""),"")</f>
        <v/>
      </c>
      <c r="Z1392" t="str">
        <f ca="1">IFERROR(__xludf.DUMMYFUNCTION("""COMPUTED_VALUE"""),"")</f>
        <v/>
      </c>
      <c r="AA1392" t="str">
        <f ca="1">IFERROR(__xludf.DUMMYFUNCTION("""COMPUTED_VALUE"""),"")</f>
        <v/>
      </c>
      <c r="AB1392" s="8" t="str">
        <f ca="1">IFERROR(__xludf.DUMMYFUNCTION("""COMPUTED_VALUE"""),"")</f>
        <v/>
      </c>
      <c r="AC1392" s="8" t="str">
        <f ca="1">IFERROR(__xludf.DUMMYFUNCTION("""COMPUTED_VALUE"""),"")</f>
        <v/>
      </c>
      <c r="AD1392" s="11" t="str">
        <f ca="1">IFERROR(__xludf.DUMMYFUNCTION("""COMPUTED_VALUE"""),"")</f>
        <v/>
      </c>
      <c r="AE1392" t="str">
        <f ca="1">IFERROR(__xludf.DUMMYFUNCTION("""COMPUTED_VALUE"""),"")</f>
        <v/>
      </c>
    </row>
    <row r="1393" spans="1:31" ht="12.75" x14ac:dyDescent="0.2">
      <c r="A1393" t="str">
        <f ca="1">IFERROR(__xludf.DUMMYFUNCTION("""COMPUTED_VALUE"""),"")</f>
        <v/>
      </c>
      <c r="B1393" t="str">
        <f ca="1">IFERROR(__xludf.DUMMYFUNCTION("""COMPUTED_VALUE"""),"")</f>
        <v/>
      </c>
      <c r="C1393" t="str">
        <f ca="1">IFERROR(__xludf.DUMMYFUNCTION("""COMPUTED_VALUE"""),"")</f>
        <v/>
      </c>
      <c r="D1393" t="str">
        <f ca="1">IFERROR(__xludf.DUMMYFUNCTION("""COMPUTED_VALUE"""),"")</f>
        <v/>
      </c>
      <c r="E1393" t="str">
        <f ca="1">IFERROR(__xludf.DUMMYFUNCTION("""COMPUTED_VALUE"""),"")</f>
        <v/>
      </c>
      <c r="F1393" t="str">
        <f ca="1">IFERROR(__xludf.DUMMYFUNCTION("""COMPUTED_VALUE"""),"")</f>
        <v/>
      </c>
      <c r="G1393" t="str">
        <f ca="1">IFERROR(__xludf.DUMMYFUNCTION("""COMPUTED_VALUE"""),"")</f>
        <v/>
      </c>
      <c r="H1393" t="str">
        <f ca="1">IFERROR(__xludf.DUMMYFUNCTION("""COMPUTED_VALUE"""),"")</f>
        <v/>
      </c>
      <c r="I1393" t="str">
        <f ca="1">IFERROR(__xludf.DUMMYFUNCTION("""COMPUTED_VALUE"""),"")</f>
        <v/>
      </c>
      <c r="J1393" t="str">
        <f ca="1">IFERROR(__xludf.DUMMYFUNCTION("""COMPUTED_VALUE"""),"")</f>
        <v/>
      </c>
      <c r="K1393" t="str">
        <f ca="1">IFERROR(__xludf.DUMMYFUNCTION("""COMPUTED_VALUE"""),"")</f>
        <v/>
      </c>
      <c r="L1393" t="str">
        <f ca="1">IFERROR(__xludf.DUMMYFUNCTION("""COMPUTED_VALUE"""),"")</f>
        <v/>
      </c>
      <c r="M1393" t="str">
        <f ca="1">IFERROR(__xludf.DUMMYFUNCTION("""COMPUTED_VALUE"""),"")</f>
        <v/>
      </c>
      <c r="N1393" t="str">
        <f ca="1">IFERROR(__xludf.DUMMYFUNCTION("""COMPUTED_VALUE"""),"")</f>
        <v/>
      </c>
      <c r="O1393" t="str">
        <f ca="1">IFERROR(__xludf.DUMMYFUNCTION("""COMPUTED_VALUE"""),"")</f>
        <v/>
      </c>
      <c r="P1393" t="str">
        <f ca="1">IFERROR(__xludf.DUMMYFUNCTION("""COMPUTED_VALUE"""),"")</f>
        <v/>
      </c>
      <c r="Q1393" s="5" t="str">
        <f ca="1">IFERROR(__xludf.DUMMYFUNCTION("""COMPUTED_VALUE"""),"")</f>
        <v/>
      </c>
      <c r="R1393" s="6" t="str">
        <f ca="1">IFERROR(__xludf.DUMMYFUNCTION("""COMPUTED_VALUE"""),"")</f>
        <v/>
      </c>
      <c r="S1393" t="str">
        <f ca="1">IFERROR(__xludf.DUMMYFUNCTION("""COMPUTED_VALUE"""),"")</f>
        <v/>
      </c>
      <c r="T1393" t="str">
        <f ca="1">IFERROR(__xludf.DUMMYFUNCTION("""COMPUTED_VALUE"""),"")</f>
        <v/>
      </c>
      <c r="U1393" t="str">
        <f ca="1">IFERROR(__xludf.DUMMYFUNCTION("""COMPUTED_VALUE"""),"")</f>
        <v/>
      </c>
      <c r="V1393" t="str">
        <f ca="1">IFERROR(__xludf.DUMMYFUNCTION("""COMPUTED_VALUE"""),"")</f>
        <v/>
      </c>
      <c r="W1393" t="str">
        <f ca="1">IFERROR(__xludf.DUMMYFUNCTION("""COMPUTED_VALUE"""),"")</f>
        <v/>
      </c>
      <c r="X1393" t="str">
        <f ca="1">IFERROR(__xludf.DUMMYFUNCTION("""COMPUTED_VALUE"""),"")</f>
        <v/>
      </c>
      <c r="Y1393" t="str">
        <f ca="1">IFERROR(__xludf.DUMMYFUNCTION("""COMPUTED_VALUE"""),"")</f>
        <v/>
      </c>
      <c r="Z1393" t="str">
        <f ca="1">IFERROR(__xludf.DUMMYFUNCTION("""COMPUTED_VALUE"""),"")</f>
        <v/>
      </c>
      <c r="AA1393" t="str">
        <f ca="1">IFERROR(__xludf.DUMMYFUNCTION("""COMPUTED_VALUE"""),"")</f>
        <v/>
      </c>
      <c r="AB1393" s="8" t="str">
        <f ca="1">IFERROR(__xludf.DUMMYFUNCTION("""COMPUTED_VALUE"""),"")</f>
        <v/>
      </c>
      <c r="AC1393" s="8" t="str">
        <f ca="1">IFERROR(__xludf.DUMMYFUNCTION("""COMPUTED_VALUE"""),"")</f>
        <v/>
      </c>
      <c r="AD1393" s="11" t="str">
        <f ca="1">IFERROR(__xludf.DUMMYFUNCTION("""COMPUTED_VALUE"""),"")</f>
        <v/>
      </c>
      <c r="AE1393" t="str">
        <f ca="1">IFERROR(__xludf.DUMMYFUNCTION("""COMPUTED_VALUE"""),"")</f>
        <v/>
      </c>
    </row>
    <row r="1394" spans="1:31" ht="12.75" x14ac:dyDescent="0.2">
      <c r="A1394" t="str">
        <f ca="1">IFERROR(__xludf.DUMMYFUNCTION("""COMPUTED_VALUE"""),"")</f>
        <v/>
      </c>
      <c r="B1394" t="str">
        <f ca="1">IFERROR(__xludf.DUMMYFUNCTION("""COMPUTED_VALUE"""),"")</f>
        <v/>
      </c>
      <c r="C1394" t="str">
        <f ca="1">IFERROR(__xludf.DUMMYFUNCTION("""COMPUTED_VALUE"""),"")</f>
        <v/>
      </c>
      <c r="D1394" t="str">
        <f ca="1">IFERROR(__xludf.DUMMYFUNCTION("""COMPUTED_VALUE"""),"")</f>
        <v/>
      </c>
      <c r="E1394" t="str">
        <f ca="1">IFERROR(__xludf.DUMMYFUNCTION("""COMPUTED_VALUE"""),"")</f>
        <v/>
      </c>
      <c r="F1394" t="str">
        <f ca="1">IFERROR(__xludf.DUMMYFUNCTION("""COMPUTED_VALUE"""),"")</f>
        <v/>
      </c>
      <c r="G1394" t="str">
        <f ca="1">IFERROR(__xludf.DUMMYFUNCTION("""COMPUTED_VALUE"""),"")</f>
        <v/>
      </c>
      <c r="H1394" t="str">
        <f ca="1">IFERROR(__xludf.DUMMYFUNCTION("""COMPUTED_VALUE"""),"")</f>
        <v/>
      </c>
      <c r="I1394" t="str">
        <f ca="1">IFERROR(__xludf.DUMMYFUNCTION("""COMPUTED_VALUE"""),"")</f>
        <v/>
      </c>
      <c r="J1394" t="str">
        <f ca="1">IFERROR(__xludf.DUMMYFUNCTION("""COMPUTED_VALUE"""),"")</f>
        <v/>
      </c>
      <c r="K1394" t="str">
        <f ca="1">IFERROR(__xludf.DUMMYFUNCTION("""COMPUTED_VALUE"""),"")</f>
        <v/>
      </c>
      <c r="L1394" t="str">
        <f ca="1">IFERROR(__xludf.DUMMYFUNCTION("""COMPUTED_VALUE"""),"")</f>
        <v/>
      </c>
      <c r="M1394" t="str">
        <f ca="1">IFERROR(__xludf.DUMMYFUNCTION("""COMPUTED_VALUE"""),"")</f>
        <v/>
      </c>
      <c r="N1394" t="str">
        <f ca="1">IFERROR(__xludf.DUMMYFUNCTION("""COMPUTED_VALUE"""),"")</f>
        <v/>
      </c>
      <c r="O1394" t="str">
        <f ca="1">IFERROR(__xludf.DUMMYFUNCTION("""COMPUTED_VALUE"""),"")</f>
        <v/>
      </c>
      <c r="P1394" t="str">
        <f ca="1">IFERROR(__xludf.DUMMYFUNCTION("""COMPUTED_VALUE"""),"")</f>
        <v/>
      </c>
      <c r="Q1394" s="5" t="str">
        <f ca="1">IFERROR(__xludf.DUMMYFUNCTION("""COMPUTED_VALUE"""),"")</f>
        <v/>
      </c>
      <c r="R1394" s="6" t="str">
        <f ca="1">IFERROR(__xludf.DUMMYFUNCTION("""COMPUTED_VALUE"""),"")</f>
        <v/>
      </c>
      <c r="S1394" t="str">
        <f ca="1">IFERROR(__xludf.DUMMYFUNCTION("""COMPUTED_VALUE"""),"")</f>
        <v/>
      </c>
      <c r="T1394" t="str">
        <f ca="1">IFERROR(__xludf.DUMMYFUNCTION("""COMPUTED_VALUE"""),"")</f>
        <v/>
      </c>
      <c r="U1394" t="str">
        <f ca="1">IFERROR(__xludf.DUMMYFUNCTION("""COMPUTED_VALUE"""),"")</f>
        <v/>
      </c>
      <c r="V1394" t="str">
        <f ca="1">IFERROR(__xludf.DUMMYFUNCTION("""COMPUTED_VALUE"""),"")</f>
        <v/>
      </c>
      <c r="W1394" t="str">
        <f ca="1">IFERROR(__xludf.DUMMYFUNCTION("""COMPUTED_VALUE"""),"")</f>
        <v/>
      </c>
      <c r="X1394" t="str">
        <f ca="1">IFERROR(__xludf.DUMMYFUNCTION("""COMPUTED_VALUE"""),"")</f>
        <v/>
      </c>
      <c r="Y1394" t="str">
        <f ca="1">IFERROR(__xludf.DUMMYFUNCTION("""COMPUTED_VALUE"""),"")</f>
        <v/>
      </c>
      <c r="Z1394" t="str">
        <f ca="1">IFERROR(__xludf.DUMMYFUNCTION("""COMPUTED_VALUE"""),"")</f>
        <v/>
      </c>
      <c r="AA1394" t="str">
        <f ca="1">IFERROR(__xludf.DUMMYFUNCTION("""COMPUTED_VALUE"""),"")</f>
        <v/>
      </c>
      <c r="AB1394" s="8" t="str">
        <f ca="1">IFERROR(__xludf.DUMMYFUNCTION("""COMPUTED_VALUE"""),"")</f>
        <v/>
      </c>
      <c r="AC1394" s="8" t="str">
        <f ca="1">IFERROR(__xludf.DUMMYFUNCTION("""COMPUTED_VALUE"""),"")</f>
        <v/>
      </c>
      <c r="AD1394" s="11" t="str">
        <f ca="1">IFERROR(__xludf.DUMMYFUNCTION("""COMPUTED_VALUE"""),"")</f>
        <v/>
      </c>
      <c r="AE1394" t="str">
        <f ca="1">IFERROR(__xludf.DUMMYFUNCTION("""COMPUTED_VALUE"""),"")</f>
        <v/>
      </c>
    </row>
    <row r="1395" spans="1:31" ht="12.75" x14ac:dyDescent="0.2">
      <c r="A1395" t="str">
        <f ca="1">IFERROR(__xludf.DUMMYFUNCTION("""COMPUTED_VALUE"""),"")</f>
        <v/>
      </c>
      <c r="B1395" t="str">
        <f ca="1">IFERROR(__xludf.DUMMYFUNCTION("""COMPUTED_VALUE"""),"")</f>
        <v/>
      </c>
      <c r="C1395" t="str">
        <f ca="1">IFERROR(__xludf.DUMMYFUNCTION("""COMPUTED_VALUE"""),"")</f>
        <v/>
      </c>
      <c r="D1395" t="str">
        <f ca="1">IFERROR(__xludf.DUMMYFUNCTION("""COMPUTED_VALUE"""),"")</f>
        <v/>
      </c>
      <c r="E1395" t="str">
        <f ca="1">IFERROR(__xludf.DUMMYFUNCTION("""COMPUTED_VALUE"""),"")</f>
        <v/>
      </c>
      <c r="F1395" t="str">
        <f ca="1">IFERROR(__xludf.DUMMYFUNCTION("""COMPUTED_VALUE"""),"")</f>
        <v/>
      </c>
      <c r="G1395" t="str">
        <f ca="1">IFERROR(__xludf.DUMMYFUNCTION("""COMPUTED_VALUE"""),"")</f>
        <v/>
      </c>
      <c r="H1395" t="str">
        <f ca="1">IFERROR(__xludf.DUMMYFUNCTION("""COMPUTED_VALUE"""),"")</f>
        <v/>
      </c>
      <c r="I1395" t="str">
        <f ca="1">IFERROR(__xludf.DUMMYFUNCTION("""COMPUTED_VALUE"""),"")</f>
        <v/>
      </c>
      <c r="J1395" t="str">
        <f ca="1">IFERROR(__xludf.DUMMYFUNCTION("""COMPUTED_VALUE"""),"")</f>
        <v/>
      </c>
      <c r="K1395" t="str">
        <f ca="1">IFERROR(__xludf.DUMMYFUNCTION("""COMPUTED_VALUE"""),"")</f>
        <v/>
      </c>
      <c r="L1395" t="str">
        <f ca="1">IFERROR(__xludf.DUMMYFUNCTION("""COMPUTED_VALUE"""),"")</f>
        <v/>
      </c>
      <c r="M1395" t="str">
        <f ca="1">IFERROR(__xludf.DUMMYFUNCTION("""COMPUTED_VALUE"""),"")</f>
        <v/>
      </c>
      <c r="N1395" t="str">
        <f ca="1">IFERROR(__xludf.DUMMYFUNCTION("""COMPUTED_VALUE"""),"")</f>
        <v/>
      </c>
      <c r="O1395" t="str">
        <f ca="1">IFERROR(__xludf.DUMMYFUNCTION("""COMPUTED_VALUE"""),"")</f>
        <v/>
      </c>
      <c r="P1395" t="str">
        <f ca="1">IFERROR(__xludf.DUMMYFUNCTION("""COMPUTED_VALUE"""),"")</f>
        <v/>
      </c>
      <c r="Q1395" s="5" t="str">
        <f ca="1">IFERROR(__xludf.DUMMYFUNCTION("""COMPUTED_VALUE"""),"")</f>
        <v/>
      </c>
      <c r="R1395" s="6" t="str">
        <f ca="1">IFERROR(__xludf.DUMMYFUNCTION("""COMPUTED_VALUE"""),"")</f>
        <v/>
      </c>
      <c r="S1395" t="str">
        <f ca="1">IFERROR(__xludf.DUMMYFUNCTION("""COMPUTED_VALUE"""),"")</f>
        <v/>
      </c>
      <c r="T1395" t="str">
        <f ca="1">IFERROR(__xludf.DUMMYFUNCTION("""COMPUTED_VALUE"""),"")</f>
        <v/>
      </c>
      <c r="U1395" t="str">
        <f ca="1">IFERROR(__xludf.DUMMYFUNCTION("""COMPUTED_VALUE"""),"")</f>
        <v/>
      </c>
      <c r="V1395" t="str">
        <f ca="1">IFERROR(__xludf.DUMMYFUNCTION("""COMPUTED_VALUE"""),"")</f>
        <v/>
      </c>
      <c r="W1395" t="str">
        <f ca="1">IFERROR(__xludf.DUMMYFUNCTION("""COMPUTED_VALUE"""),"")</f>
        <v/>
      </c>
      <c r="X1395" t="str">
        <f ca="1">IFERROR(__xludf.DUMMYFUNCTION("""COMPUTED_VALUE"""),"")</f>
        <v/>
      </c>
      <c r="Y1395" t="str">
        <f ca="1">IFERROR(__xludf.DUMMYFUNCTION("""COMPUTED_VALUE"""),"")</f>
        <v/>
      </c>
      <c r="Z1395" t="str">
        <f ca="1">IFERROR(__xludf.DUMMYFUNCTION("""COMPUTED_VALUE"""),"")</f>
        <v/>
      </c>
      <c r="AA1395" t="str">
        <f ca="1">IFERROR(__xludf.DUMMYFUNCTION("""COMPUTED_VALUE"""),"")</f>
        <v/>
      </c>
      <c r="AB1395" s="8" t="str">
        <f ca="1">IFERROR(__xludf.DUMMYFUNCTION("""COMPUTED_VALUE"""),"")</f>
        <v/>
      </c>
      <c r="AC1395" s="8" t="str">
        <f ca="1">IFERROR(__xludf.DUMMYFUNCTION("""COMPUTED_VALUE"""),"")</f>
        <v/>
      </c>
      <c r="AD1395" s="11" t="str">
        <f ca="1">IFERROR(__xludf.DUMMYFUNCTION("""COMPUTED_VALUE"""),"")</f>
        <v/>
      </c>
      <c r="AE1395" t="str">
        <f ca="1">IFERROR(__xludf.DUMMYFUNCTION("""COMPUTED_VALUE"""),"")</f>
        <v/>
      </c>
    </row>
    <row r="1396" spans="1:31" ht="12.75" x14ac:dyDescent="0.2">
      <c r="A1396" t="str">
        <f ca="1">IFERROR(__xludf.DUMMYFUNCTION("""COMPUTED_VALUE"""),"")</f>
        <v/>
      </c>
      <c r="B1396" t="str">
        <f ca="1">IFERROR(__xludf.DUMMYFUNCTION("""COMPUTED_VALUE"""),"")</f>
        <v/>
      </c>
      <c r="C1396" t="str">
        <f ca="1">IFERROR(__xludf.DUMMYFUNCTION("""COMPUTED_VALUE"""),"")</f>
        <v/>
      </c>
      <c r="D1396" t="str">
        <f ca="1">IFERROR(__xludf.DUMMYFUNCTION("""COMPUTED_VALUE"""),"")</f>
        <v/>
      </c>
      <c r="E1396" t="str">
        <f ca="1">IFERROR(__xludf.DUMMYFUNCTION("""COMPUTED_VALUE"""),"")</f>
        <v/>
      </c>
      <c r="F1396" t="str">
        <f ca="1">IFERROR(__xludf.DUMMYFUNCTION("""COMPUTED_VALUE"""),"")</f>
        <v/>
      </c>
      <c r="G1396" t="str">
        <f ca="1">IFERROR(__xludf.DUMMYFUNCTION("""COMPUTED_VALUE"""),"")</f>
        <v/>
      </c>
      <c r="H1396" t="str">
        <f ca="1">IFERROR(__xludf.DUMMYFUNCTION("""COMPUTED_VALUE"""),"")</f>
        <v/>
      </c>
      <c r="I1396" t="str">
        <f ca="1">IFERROR(__xludf.DUMMYFUNCTION("""COMPUTED_VALUE"""),"")</f>
        <v/>
      </c>
      <c r="J1396" t="str">
        <f ca="1">IFERROR(__xludf.DUMMYFUNCTION("""COMPUTED_VALUE"""),"")</f>
        <v/>
      </c>
      <c r="K1396" t="str">
        <f ca="1">IFERROR(__xludf.DUMMYFUNCTION("""COMPUTED_VALUE"""),"")</f>
        <v/>
      </c>
      <c r="L1396" t="str">
        <f ca="1">IFERROR(__xludf.DUMMYFUNCTION("""COMPUTED_VALUE"""),"")</f>
        <v/>
      </c>
      <c r="M1396" t="str">
        <f ca="1">IFERROR(__xludf.DUMMYFUNCTION("""COMPUTED_VALUE"""),"")</f>
        <v/>
      </c>
      <c r="N1396" t="str">
        <f ca="1">IFERROR(__xludf.DUMMYFUNCTION("""COMPUTED_VALUE"""),"")</f>
        <v/>
      </c>
      <c r="O1396" t="str">
        <f ca="1">IFERROR(__xludf.DUMMYFUNCTION("""COMPUTED_VALUE"""),"")</f>
        <v/>
      </c>
      <c r="P1396" t="str">
        <f ca="1">IFERROR(__xludf.DUMMYFUNCTION("""COMPUTED_VALUE"""),"")</f>
        <v/>
      </c>
      <c r="Q1396" s="5" t="str">
        <f ca="1">IFERROR(__xludf.DUMMYFUNCTION("""COMPUTED_VALUE"""),"")</f>
        <v/>
      </c>
      <c r="R1396" s="6" t="str">
        <f ca="1">IFERROR(__xludf.DUMMYFUNCTION("""COMPUTED_VALUE"""),"")</f>
        <v/>
      </c>
      <c r="S1396" t="str">
        <f ca="1">IFERROR(__xludf.DUMMYFUNCTION("""COMPUTED_VALUE"""),"")</f>
        <v/>
      </c>
      <c r="T1396" t="str">
        <f ca="1">IFERROR(__xludf.DUMMYFUNCTION("""COMPUTED_VALUE"""),"")</f>
        <v/>
      </c>
      <c r="U1396" t="str">
        <f ca="1">IFERROR(__xludf.DUMMYFUNCTION("""COMPUTED_VALUE"""),"")</f>
        <v/>
      </c>
      <c r="V1396" t="str">
        <f ca="1">IFERROR(__xludf.DUMMYFUNCTION("""COMPUTED_VALUE"""),"")</f>
        <v/>
      </c>
      <c r="W1396" t="str">
        <f ca="1">IFERROR(__xludf.DUMMYFUNCTION("""COMPUTED_VALUE"""),"")</f>
        <v/>
      </c>
      <c r="X1396" t="str">
        <f ca="1">IFERROR(__xludf.DUMMYFUNCTION("""COMPUTED_VALUE"""),"")</f>
        <v/>
      </c>
      <c r="Y1396" t="str">
        <f ca="1">IFERROR(__xludf.DUMMYFUNCTION("""COMPUTED_VALUE"""),"")</f>
        <v/>
      </c>
      <c r="Z1396" t="str">
        <f ca="1">IFERROR(__xludf.DUMMYFUNCTION("""COMPUTED_VALUE"""),"")</f>
        <v/>
      </c>
      <c r="AA1396" t="str">
        <f ca="1">IFERROR(__xludf.DUMMYFUNCTION("""COMPUTED_VALUE"""),"")</f>
        <v/>
      </c>
      <c r="AB1396" s="8" t="str">
        <f ca="1">IFERROR(__xludf.DUMMYFUNCTION("""COMPUTED_VALUE"""),"")</f>
        <v/>
      </c>
      <c r="AC1396" s="8" t="str">
        <f ca="1">IFERROR(__xludf.DUMMYFUNCTION("""COMPUTED_VALUE"""),"")</f>
        <v/>
      </c>
      <c r="AD1396" s="11" t="str">
        <f ca="1">IFERROR(__xludf.DUMMYFUNCTION("""COMPUTED_VALUE"""),"")</f>
        <v/>
      </c>
      <c r="AE1396" t="str">
        <f ca="1">IFERROR(__xludf.DUMMYFUNCTION("""COMPUTED_VALUE"""),"")</f>
        <v/>
      </c>
    </row>
    <row r="1397" spans="1:31" ht="12.75" x14ac:dyDescent="0.2">
      <c r="A1397" t="str">
        <f ca="1">IFERROR(__xludf.DUMMYFUNCTION("""COMPUTED_VALUE"""),"")</f>
        <v/>
      </c>
      <c r="B1397" t="str">
        <f ca="1">IFERROR(__xludf.DUMMYFUNCTION("""COMPUTED_VALUE"""),"")</f>
        <v/>
      </c>
      <c r="C1397" t="str">
        <f ca="1">IFERROR(__xludf.DUMMYFUNCTION("""COMPUTED_VALUE"""),"")</f>
        <v/>
      </c>
      <c r="D1397" t="str">
        <f ca="1">IFERROR(__xludf.DUMMYFUNCTION("""COMPUTED_VALUE"""),"")</f>
        <v/>
      </c>
      <c r="E1397" t="str">
        <f ca="1">IFERROR(__xludf.DUMMYFUNCTION("""COMPUTED_VALUE"""),"")</f>
        <v/>
      </c>
      <c r="F1397" t="str">
        <f ca="1">IFERROR(__xludf.DUMMYFUNCTION("""COMPUTED_VALUE"""),"")</f>
        <v/>
      </c>
      <c r="G1397" t="str">
        <f ca="1">IFERROR(__xludf.DUMMYFUNCTION("""COMPUTED_VALUE"""),"")</f>
        <v/>
      </c>
      <c r="H1397" t="str">
        <f ca="1">IFERROR(__xludf.DUMMYFUNCTION("""COMPUTED_VALUE"""),"")</f>
        <v/>
      </c>
      <c r="I1397" t="str">
        <f ca="1">IFERROR(__xludf.DUMMYFUNCTION("""COMPUTED_VALUE"""),"")</f>
        <v/>
      </c>
      <c r="J1397" t="str">
        <f ca="1">IFERROR(__xludf.DUMMYFUNCTION("""COMPUTED_VALUE"""),"")</f>
        <v/>
      </c>
      <c r="K1397" t="str">
        <f ca="1">IFERROR(__xludf.DUMMYFUNCTION("""COMPUTED_VALUE"""),"")</f>
        <v/>
      </c>
      <c r="L1397" t="str">
        <f ca="1">IFERROR(__xludf.DUMMYFUNCTION("""COMPUTED_VALUE"""),"")</f>
        <v/>
      </c>
      <c r="M1397" t="str">
        <f ca="1">IFERROR(__xludf.DUMMYFUNCTION("""COMPUTED_VALUE"""),"")</f>
        <v/>
      </c>
      <c r="N1397" t="str">
        <f ca="1">IFERROR(__xludf.DUMMYFUNCTION("""COMPUTED_VALUE"""),"")</f>
        <v/>
      </c>
      <c r="O1397" t="str">
        <f ca="1">IFERROR(__xludf.DUMMYFUNCTION("""COMPUTED_VALUE"""),"")</f>
        <v/>
      </c>
      <c r="P1397" t="str">
        <f ca="1">IFERROR(__xludf.DUMMYFUNCTION("""COMPUTED_VALUE"""),"")</f>
        <v/>
      </c>
      <c r="Q1397" s="5" t="str">
        <f ca="1">IFERROR(__xludf.DUMMYFUNCTION("""COMPUTED_VALUE"""),"")</f>
        <v/>
      </c>
      <c r="R1397" s="6" t="str">
        <f ca="1">IFERROR(__xludf.DUMMYFUNCTION("""COMPUTED_VALUE"""),"")</f>
        <v/>
      </c>
      <c r="S1397" t="str">
        <f ca="1">IFERROR(__xludf.DUMMYFUNCTION("""COMPUTED_VALUE"""),"")</f>
        <v/>
      </c>
      <c r="T1397" t="str">
        <f ca="1">IFERROR(__xludf.DUMMYFUNCTION("""COMPUTED_VALUE"""),"")</f>
        <v/>
      </c>
      <c r="U1397" t="str">
        <f ca="1">IFERROR(__xludf.DUMMYFUNCTION("""COMPUTED_VALUE"""),"")</f>
        <v/>
      </c>
      <c r="V1397" t="str">
        <f ca="1">IFERROR(__xludf.DUMMYFUNCTION("""COMPUTED_VALUE"""),"")</f>
        <v/>
      </c>
      <c r="W1397" t="str">
        <f ca="1">IFERROR(__xludf.DUMMYFUNCTION("""COMPUTED_VALUE"""),"")</f>
        <v/>
      </c>
      <c r="X1397" t="str">
        <f ca="1">IFERROR(__xludf.DUMMYFUNCTION("""COMPUTED_VALUE"""),"")</f>
        <v/>
      </c>
      <c r="Y1397" t="str">
        <f ca="1">IFERROR(__xludf.DUMMYFUNCTION("""COMPUTED_VALUE"""),"")</f>
        <v/>
      </c>
      <c r="Z1397" t="str">
        <f ca="1">IFERROR(__xludf.DUMMYFUNCTION("""COMPUTED_VALUE"""),"")</f>
        <v/>
      </c>
      <c r="AA1397" t="str">
        <f ca="1">IFERROR(__xludf.DUMMYFUNCTION("""COMPUTED_VALUE"""),"")</f>
        <v/>
      </c>
      <c r="AB1397" s="8" t="str">
        <f ca="1">IFERROR(__xludf.DUMMYFUNCTION("""COMPUTED_VALUE"""),"")</f>
        <v/>
      </c>
      <c r="AC1397" s="8" t="str">
        <f ca="1">IFERROR(__xludf.DUMMYFUNCTION("""COMPUTED_VALUE"""),"")</f>
        <v/>
      </c>
      <c r="AD1397" s="11" t="str">
        <f ca="1">IFERROR(__xludf.DUMMYFUNCTION("""COMPUTED_VALUE"""),"")</f>
        <v/>
      </c>
      <c r="AE1397" t="str">
        <f ca="1">IFERROR(__xludf.DUMMYFUNCTION("""COMPUTED_VALUE"""),"")</f>
        <v/>
      </c>
    </row>
    <row r="1398" spans="1:31" ht="12.75" x14ac:dyDescent="0.2">
      <c r="A1398" t="str">
        <f ca="1">IFERROR(__xludf.DUMMYFUNCTION("""COMPUTED_VALUE"""),"")</f>
        <v/>
      </c>
      <c r="B1398" t="str">
        <f ca="1">IFERROR(__xludf.DUMMYFUNCTION("""COMPUTED_VALUE"""),"")</f>
        <v/>
      </c>
      <c r="C1398" t="str">
        <f ca="1">IFERROR(__xludf.DUMMYFUNCTION("""COMPUTED_VALUE"""),"")</f>
        <v/>
      </c>
      <c r="D1398" t="str">
        <f ca="1">IFERROR(__xludf.DUMMYFUNCTION("""COMPUTED_VALUE"""),"")</f>
        <v/>
      </c>
      <c r="E1398" t="str">
        <f ca="1">IFERROR(__xludf.DUMMYFUNCTION("""COMPUTED_VALUE"""),"")</f>
        <v/>
      </c>
      <c r="F1398" t="str">
        <f ca="1">IFERROR(__xludf.DUMMYFUNCTION("""COMPUTED_VALUE"""),"")</f>
        <v/>
      </c>
      <c r="G1398" t="str">
        <f ca="1">IFERROR(__xludf.DUMMYFUNCTION("""COMPUTED_VALUE"""),"")</f>
        <v/>
      </c>
      <c r="H1398" t="str">
        <f ca="1">IFERROR(__xludf.DUMMYFUNCTION("""COMPUTED_VALUE"""),"")</f>
        <v/>
      </c>
      <c r="I1398" t="str">
        <f ca="1">IFERROR(__xludf.DUMMYFUNCTION("""COMPUTED_VALUE"""),"")</f>
        <v/>
      </c>
      <c r="J1398" t="str">
        <f ca="1">IFERROR(__xludf.DUMMYFUNCTION("""COMPUTED_VALUE"""),"")</f>
        <v/>
      </c>
      <c r="K1398" t="str">
        <f ca="1">IFERROR(__xludf.DUMMYFUNCTION("""COMPUTED_VALUE"""),"")</f>
        <v/>
      </c>
      <c r="L1398" t="str">
        <f ca="1">IFERROR(__xludf.DUMMYFUNCTION("""COMPUTED_VALUE"""),"")</f>
        <v/>
      </c>
      <c r="M1398" t="str">
        <f ca="1">IFERROR(__xludf.DUMMYFUNCTION("""COMPUTED_VALUE"""),"")</f>
        <v/>
      </c>
      <c r="N1398" t="str">
        <f ca="1">IFERROR(__xludf.DUMMYFUNCTION("""COMPUTED_VALUE"""),"")</f>
        <v/>
      </c>
      <c r="O1398" t="str">
        <f ca="1">IFERROR(__xludf.DUMMYFUNCTION("""COMPUTED_VALUE"""),"")</f>
        <v/>
      </c>
      <c r="P1398" t="str">
        <f ca="1">IFERROR(__xludf.DUMMYFUNCTION("""COMPUTED_VALUE"""),"")</f>
        <v/>
      </c>
      <c r="Q1398" s="5" t="str">
        <f ca="1">IFERROR(__xludf.DUMMYFUNCTION("""COMPUTED_VALUE"""),"")</f>
        <v/>
      </c>
      <c r="R1398" s="6" t="str">
        <f ca="1">IFERROR(__xludf.DUMMYFUNCTION("""COMPUTED_VALUE"""),"")</f>
        <v/>
      </c>
      <c r="S1398" t="str">
        <f ca="1">IFERROR(__xludf.DUMMYFUNCTION("""COMPUTED_VALUE"""),"")</f>
        <v/>
      </c>
      <c r="T1398" t="str">
        <f ca="1">IFERROR(__xludf.DUMMYFUNCTION("""COMPUTED_VALUE"""),"")</f>
        <v/>
      </c>
      <c r="U1398" t="str">
        <f ca="1">IFERROR(__xludf.DUMMYFUNCTION("""COMPUTED_VALUE"""),"")</f>
        <v/>
      </c>
      <c r="V1398" t="str">
        <f ca="1">IFERROR(__xludf.DUMMYFUNCTION("""COMPUTED_VALUE"""),"")</f>
        <v/>
      </c>
      <c r="W1398" t="str">
        <f ca="1">IFERROR(__xludf.DUMMYFUNCTION("""COMPUTED_VALUE"""),"")</f>
        <v/>
      </c>
      <c r="X1398" t="str">
        <f ca="1">IFERROR(__xludf.DUMMYFUNCTION("""COMPUTED_VALUE"""),"")</f>
        <v/>
      </c>
      <c r="Y1398" t="str">
        <f ca="1">IFERROR(__xludf.DUMMYFUNCTION("""COMPUTED_VALUE"""),"")</f>
        <v/>
      </c>
      <c r="Z1398" t="str">
        <f ca="1">IFERROR(__xludf.DUMMYFUNCTION("""COMPUTED_VALUE"""),"")</f>
        <v/>
      </c>
      <c r="AA1398" t="str">
        <f ca="1">IFERROR(__xludf.DUMMYFUNCTION("""COMPUTED_VALUE"""),"")</f>
        <v/>
      </c>
      <c r="AB1398" s="8" t="str">
        <f ca="1">IFERROR(__xludf.DUMMYFUNCTION("""COMPUTED_VALUE"""),"")</f>
        <v/>
      </c>
      <c r="AC1398" s="8" t="str">
        <f ca="1">IFERROR(__xludf.DUMMYFUNCTION("""COMPUTED_VALUE"""),"")</f>
        <v/>
      </c>
      <c r="AD1398" s="11" t="str">
        <f ca="1">IFERROR(__xludf.DUMMYFUNCTION("""COMPUTED_VALUE"""),"")</f>
        <v/>
      </c>
      <c r="AE1398" t="str">
        <f ca="1">IFERROR(__xludf.DUMMYFUNCTION("""COMPUTED_VALUE"""),"")</f>
        <v/>
      </c>
    </row>
    <row r="1399" spans="1:31" ht="12.75" x14ac:dyDescent="0.2">
      <c r="A1399" t="str">
        <f ca="1">IFERROR(__xludf.DUMMYFUNCTION("""COMPUTED_VALUE"""),"")</f>
        <v/>
      </c>
      <c r="B1399" t="str">
        <f ca="1">IFERROR(__xludf.DUMMYFUNCTION("""COMPUTED_VALUE"""),"")</f>
        <v/>
      </c>
      <c r="C1399" t="str">
        <f ca="1">IFERROR(__xludf.DUMMYFUNCTION("""COMPUTED_VALUE"""),"")</f>
        <v/>
      </c>
      <c r="D1399" t="str">
        <f ca="1">IFERROR(__xludf.DUMMYFUNCTION("""COMPUTED_VALUE"""),"")</f>
        <v/>
      </c>
      <c r="E1399" t="str">
        <f ca="1">IFERROR(__xludf.DUMMYFUNCTION("""COMPUTED_VALUE"""),"")</f>
        <v/>
      </c>
      <c r="F1399" t="str">
        <f ca="1">IFERROR(__xludf.DUMMYFUNCTION("""COMPUTED_VALUE"""),"")</f>
        <v/>
      </c>
      <c r="G1399" t="str">
        <f ca="1">IFERROR(__xludf.DUMMYFUNCTION("""COMPUTED_VALUE"""),"")</f>
        <v/>
      </c>
      <c r="H1399" t="str">
        <f ca="1">IFERROR(__xludf.DUMMYFUNCTION("""COMPUTED_VALUE"""),"")</f>
        <v/>
      </c>
      <c r="I1399" t="str">
        <f ca="1">IFERROR(__xludf.DUMMYFUNCTION("""COMPUTED_VALUE"""),"")</f>
        <v/>
      </c>
      <c r="J1399" t="str">
        <f ca="1">IFERROR(__xludf.DUMMYFUNCTION("""COMPUTED_VALUE"""),"")</f>
        <v/>
      </c>
      <c r="K1399" t="str">
        <f ca="1">IFERROR(__xludf.DUMMYFUNCTION("""COMPUTED_VALUE"""),"")</f>
        <v/>
      </c>
      <c r="L1399" t="str">
        <f ca="1">IFERROR(__xludf.DUMMYFUNCTION("""COMPUTED_VALUE"""),"")</f>
        <v/>
      </c>
      <c r="M1399" t="str">
        <f ca="1">IFERROR(__xludf.DUMMYFUNCTION("""COMPUTED_VALUE"""),"")</f>
        <v/>
      </c>
      <c r="N1399" t="str">
        <f ca="1">IFERROR(__xludf.DUMMYFUNCTION("""COMPUTED_VALUE"""),"")</f>
        <v/>
      </c>
      <c r="O1399" t="str">
        <f ca="1">IFERROR(__xludf.DUMMYFUNCTION("""COMPUTED_VALUE"""),"")</f>
        <v/>
      </c>
      <c r="P1399" t="str">
        <f ca="1">IFERROR(__xludf.DUMMYFUNCTION("""COMPUTED_VALUE"""),"")</f>
        <v/>
      </c>
      <c r="Q1399" s="5" t="str">
        <f ca="1">IFERROR(__xludf.DUMMYFUNCTION("""COMPUTED_VALUE"""),"")</f>
        <v/>
      </c>
      <c r="R1399" s="6" t="str">
        <f ca="1">IFERROR(__xludf.DUMMYFUNCTION("""COMPUTED_VALUE"""),"")</f>
        <v/>
      </c>
      <c r="S1399" t="str">
        <f ca="1">IFERROR(__xludf.DUMMYFUNCTION("""COMPUTED_VALUE"""),"")</f>
        <v/>
      </c>
      <c r="T1399" t="str">
        <f ca="1">IFERROR(__xludf.DUMMYFUNCTION("""COMPUTED_VALUE"""),"")</f>
        <v/>
      </c>
      <c r="U1399" t="str">
        <f ca="1">IFERROR(__xludf.DUMMYFUNCTION("""COMPUTED_VALUE"""),"")</f>
        <v/>
      </c>
      <c r="V1399" t="str">
        <f ca="1">IFERROR(__xludf.DUMMYFUNCTION("""COMPUTED_VALUE"""),"")</f>
        <v/>
      </c>
      <c r="W1399" t="str">
        <f ca="1">IFERROR(__xludf.DUMMYFUNCTION("""COMPUTED_VALUE"""),"")</f>
        <v/>
      </c>
      <c r="X1399" t="str">
        <f ca="1">IFERROR(__xludf.DUMMYFUNCTION("""COMPUTED_VALUE"""),"")</f>
        <v/>
      </c>
      <c r="Y1399" t="str">
        <f ca="1">IFERROR(__xludf.DUMMYFUNCTION("""COMPUTED_VALUE"""),"")</f>
        <v/>
      </c>
      <c r="Z1399" t="str">
        <f ca="1">IFERROR(__xludf.DUMMYFUNCTION("""COMPUTED_VALUE"""),"")</f>
        <v/>
      </c>
      <c r="AA1399" t="str">
        <f ca="1">IFERROR(__xludf.DUMMYFUNCTION("""COMPUTED_VALUE"""),"")</f>
        <v/>
      </c>
      <c r="AB1399" s="8" t="str">
        <f ca="1">IFERROR(__xludf.DUMMYFUNCTION("""COMPUTED_VALUE"""),"")</f>
        <v/>
      </c>
      <c r="AC1399" s="8" t="str">
        <f ca="1">IFERROR(__xludf.DUMMYFUNCTION("""COMPUTED_VALUE"""),"")</f>
        <v/>
      </c>
      <c r="AD1399" s="11" t="str">
        <f ca="1">IFERROR(__xludf.DUMMYFUNCTION("""COMPUTED_VALUE"""),"")</f>
        <v/>
      </c>
      <c r="AE1399" t="str">
        <f ca="1">IFERROR(__xludf.DUMMYFUNCTION("""COMPUTED_VALUE"""),"")</f>
        <v/>
      </c>
    </row>
    <row r="1400" spans="1:31" ht="12.75" x14ac:dyDescent="0.2">
      <c r="A1400" t="str">
        <f ca="1">IFERROR(__xludf.DUMMYFUNCTION("""COMPUTED_VALUE"""),"")</f>
        <v/>
      </c>
      <c r="B1400" t="str">
        <f ca="1">IFERROR(__xludf.DUMMYFUNCTION("""COMPUTED_VALUE"""),"")</f>
        <v/>
      </c>
      <c r="C1400" t="str">
        <f ca="1">IFERROR(__xludf.DUMMYFUNCTION("""COMPUTED_VALUE"""),"")</f>
        <v/>
      </c>
      <c r="D1400" t="str">
        <f ca="1">IFERROR(__xludf.DUMMYFUNCTION("""COMPUTED_VALUE"""),"")</f>
        <v/>
      </c>
      <c r="E1400" t="str">
        <f ca="1">IFERROR(__xludf.DUMMYFUNCTION("""COMPUTED_VALUE"""),"")</f>
        <v/>
      </c>
      <c r="F1400" t="str">
        <f ca="1">IFERROR(__xludf.DUMMYFUNCTION("""COMPUTED_VALUE"""),"")</f>
        <v/>
      </c>
      <c r="G1400" t="str">
        <f ca="1">IFERROR(__xludf.DUMMYFUNCTION("""COMPUTED_VALUE"""),"")</f>
        <v/>
      </c>
      <c r="H1400" t="str">
        <f ca="1">IFERROR(__xludf.DUMMYFUNCTION("""COMPUTED_VALUE"""),"")</f>
        <v/>
      </c>
      <c r="I1400" t="str">
        <f ca="1">IFERROR(__xludf.DUMMYFUNCTION("""COMPUTED_VALUE"""),"")</f>
        <v/>
      </c>
      <c r="J1400" t="str">
        <f ca="1">IFERROR(__xludf.DUMMYFUNCTION("""COMPUTED_VALUE"""),"")</f>
        <v/>
      </c>
      <c r="K1400" t="str">
        <f ca="1">IFERROR(__xludf.DUMMYFUNCTION("""COMPUTED_VALUE"""),"")</f>
        <v/>
      </c>
      <c r="L1400" t="str">
        <f ca="1">IFERROR(__xludf.DUMMYFUNCTION("""COMPUTED_VALUE"""),"")</f>
        <v/>
      </c>
      <c r="M1400" t="str">
        <f ca="1">IFERROR(__xludf.DUMMYFUNCTION("""COMPUTED_VALUE"""),"")</f>
        <v/>
      </c>
      <c r="N1400" t="str">
        <f ca="1">IFERROR(__xludf.DUMMYFUNCTION("""COMPUTED_VALUE"""),"")</f>
        <v/>
      </c>
      <c r="O1400" t="str">
        <f ca="1">IFERROR(__xludf.DUMMYFUNCTION("""COMPUTED_VALUE"""),"")</f>
        <v/>
      </c>
      <c r="P1400" t="str">
        <f ca="1">IFERROR(__xludf.DUMMYFUNCTION("""COMPUTED_VALUE"""),"")</f>
        <v/>
      </c>
      <c r="Q1400" s="5" t="str">
        <f ca="1">IFERROR(__xludf.DUMMYFUNCTION("""COMPUTED_VALUE"""),"")</f>
        <v/>
      </c>
      <c r="R1400" s="6" t="str">
        <f ca="1">IFERROR(__xludf.DUMMYFUNCTION("""COMPUTED_VALUE"""),"")</f>
        <v/>
      </c>
      <c r="S1400" t="str">
        <f ca="1">IFERROR(__xludf.DUMMYFUNCTION("""COMPUTED_VALUE"""),"")</f>
        <v/>
      </c>
      <c r="T1400" t="str">
        <f ca="1">IFERROR(__xludf.DUMMYFUNCTION("""COMPUTED_VALUE"""),"")</f>
        <v/>
      </c>
      <c r="U1400" t="str">
        <f ca="1">IFERROR(__xludf.DUMMYFUNCTION("""COMPUTED_VALUE"""),"")</f>
        <v/>
      </c>
      <c r="V1400" t="str">
        <f ca="1">IFERROR(__xludf.DUMMYFUNCTION("""COMPUTED_VALUE"""),"")</f>
        <v/>
      </c>
      <c r="W1400" t="str">
        <f ca="1">IFERROR(__xludf.DUMMYFUNCTION("""COMPUTED_VALUE"""),"")</f>
        <v/>
      </c>
      <c r="X1400" t="str">
        <f ca="1">IFERROR(__xludf.DUMMYFUNCTION("""COMPUTED_VALUE"""),"")</f>
        <v/>
      </c>
      <c r="Y1400" t="str">
        <f ca="1">IFERROR(__xludf.DUMMYFUNCTION("""COMPUTED_VALUE"""),"")</f>
        <v/>
      </c>
      <c r="Z1400" t="str">
        <f ca="1">IFERROR(__xludf.DUMMYFUNCTION("""COMPUTED_VALUE"""),"")</f>
        <v/>
      </c>
      <c r="AA1400" t="str">
        <f ca="1">IFERROR(__xludf.DUMMYFUNCTION("""COMPUTED_VALUE"""),"")</f>
        <v/>
      </c>
      <c r="AB1400" s="8" t="str">
        <f ca="1">IFERROR(__xludf.DUMMYFUNCTION("""COMPUTED_VALUE"""),"")</f>
        <v/>
      </c>
      <c r="AC1400" s="8" t="str">
        <f ca="1">IFERROR(__xludf.DUMMYFUNCTION("""COMPUTED_VALUE"""),"")</f>
        <v/>
      </c>
      <c r="AD1400" s="11" t="str">
        <f ca="1">IFERROR(__xludf.DUMMYFUNCTION("""COMPUTED_VALUE"""),"")</f>
        <v/>
      </c>
      <c r="AE1400" t="str">
        <f ca="1">IFERROR(__xludf.DUMMYFUNCTION("""COMPUTED_VALUE"""),"")</f>
        <v/>
      </c>
    </row>
    <row r="1401" spans="1:31" ht="12.75" x14ac:dyDescent="0.2">
      <c r="A1401" t="str">
        <f ca="1">IFERROR(__xludf.DUMMYFUNCTION("""COMPUTED_VALUE"""),"")</f>
        <v/>
      </c>
      <c r="B1401" t="str">
        <f ca="1">IFERROR(__xludf.DUMMYFUNCTION("""COMPUTED_VALUE"""),"")</f>
        <v/>
      </c>
      <c r="C1401" t="str">
        <f ca="1">IFERROR(__xludf.DUMMYFUNCTION("""COMPUTED_VALUE"""),"")</f>
        <v/>
      </c>
      <c r="D1401" t="str">
        <f ca="1">IFERROR(__xludf.DUMMYFUNCTION("""COMPUTED_VALUE"""),"")</f>
        <v/>
      </c>
      <c r="E1401" t="str">
        <f ca="1">IFERROR(__xludf.DUMMYFUNCTION("""COMPUTED_VALUE"""),"")</f>
        <v/>
      </c>
      <c r="F1401" t="str">
        <f ca="1">IFERROR(__xludf.DUMMYFUNCTION("""COMPUTED_VALUE"""),"")</f>
        <v/>
      </c>
      <c r="G1401" t="str">
        <f ca="1">IFERROR(__xludf.DUMMYFUNCTION("""COMPUTED_VALUE"""),"")</f>
        <v/>
      </c>
      <c r="H1401" t="str">
        <f ca="1">IFERROR(__xludf.DUMMYFUNCTION("""COMPUTED_VALUE"""),"")</f>
        <v/>
      </c>
      <c r="I1401" t="str">
        <f ca="1">IFERROR(__xludf.DUMMYFUNCTION("""COMPUTED_VALUE"""),"")</f>
        <v/>
      </c>
      <c r="J1401" t="str">
        <f ca="1">IFERROR(__xludf.DUMMYFUNCTION("""COMPUTED_VALUE"""),"")</f>
        <v/>
      </c>
      <c r="K1401" t="str">
        <f ca="1">IFERROR(__xludf.DUMMYFUNCTION("""COMPUTED_VALUE"""),"")</f>
        <v/>
      </c>
      <c r="L1401" t="str">
        <f ca="1">IFERROR(__xludf.DUMMYFUNCTION("""COMPUTED_VALUE"""),"")</f>
        <v/>
      </c>
      <c r="M1401" t="str">
        <f ca="1">IFERROR(__xludf.DUMMYFUNCTION("""COMPUTED_VALUE"""),"")</f>
        <v/>
      </c>
      <c r="N1401" t="str">
        <f ca="1">IFERROR(__xludf.DUMMYFUNCTION("""COMPUTED_VALUE"""),"")</f>
        <v/>
      </c>
      <c r="O1401" t="str">
        <f ca="1">IFERROR(__xludf.DUMMYFUNCTION("""COMPUTED_VALUE"""),"")</f>
        <v/>
      </c>
      <c r="P1401" t="str">
        <f ca="1">IFERROR(__xludf.DUMMYFUNCTION("""COMPUTED_VALUE"""),"")</f>
        <v/>
      </c>
      <c r="Q1401" s="5" t="str">
        <f ca="1">IFERROR(__xludf.DUMMYFUNCTION("""COMPUTED_VALUE"""),"")</f>
        <v/>
      </c>
      <c r="R1401" s="6" t="str">
        <f ca="1">IFERROR(__xludf.DUMMYFUNCTION("""COMPUTED_VALUE"""),"")</f>
        <v/>
      </c>
      <c r="S1401" t="str">
        <f ca="1">IFERROR(__xludf.DUMMYFUNCTION("""COMPUTED_VALUE"""),"")</f>
        <v/>
      </c>
      <c r="T1401" t="str">
        <f ca="1">IFERROR(__xludf.DUMMYFUNCTION("""COMPUTED_VALUE"""),"")</f>
        <v/>
      </c>
      <c r="U1401" t="str">
        <f ca="1">IFERROR(__xludf.DUMMYFUNCTION("""COMPUTED_VALUE"""),"")</f>
        <v/>
      </c>
      <c r="V1401" t="str">
        <f ca="1">IFERROR(__xludf.DUMMYFUNCTION("""COMPUTED_VALUE"""),"")</f>
        <v/>
      </c>
      <c r="W1401" t="str">
        <f ca="1">IFERROR(__xludf.DUMMYFUNCTION("""COMPUTED_VALUE"""),"")</f>
        <v/>
      </c>
      <c r="X1401" t="str">
        <f ca="1">IFERROR(__xludf.DUMMYFUNCTION("""COMPUTED_VALUE"""),"")</f>
        <v/>
      </c>
      <c r="Y1401" t="str">
        <f ca="1">IFERROR(__xludf.DUMMYFUNCTION("""COMPUTED_VALUE"""),"")</f>
        <v/>
      </c>
      <c r="Z1401" t="str">
        <f ca="1">IFERROR(__xludf.DUMMYFUNCTION("""COMPUTED_VALUE"""),"")</f>
        <v/>
      </c>
      <c r="AA1401" t="str">
        <f ca="1">IFERROR(__xludf.DUMMYFUNCTION("""COMPUTED_VALUE"""),"")</f>
        <v/>
      </c>
      <c r="AB1401" s="8" t="str">
        <f ca="1">IFERROR(__xludf.DUMMYFUNCTION("""COMPUTED_VALUE"""),"")</f>
        <v/>
      </c>
      <c r="AC1401" s="8" t="str">
        <f ca="1">IFERROR(__xludf.DUMMYFUNCTION("""COMPUTED_VALUE"""),"")</f>
        <v/>
      </c>
      <c r="AD1401" s="11" t="str">
        <f ca="1">IFERROR(__xludf.DUMMYFUNCTION("""COMPUTED_VALUE"""),"")</f>
        <v/>
      </c>
      <c r="AE1401" t="str">
        <f ca="1">IFERROR(__xludf.DUMMYFUNCTION("""COMPUTED_VALUE"""),"")</f>
        <v/>
      </c>
    </row>
    <row r="1402" spans="1:31" ht="12.75" x14ac:dyDescent="0.2">
      <c r="A1402" t="str">
        <f ca="1">IFERROR(__xludf.DUMMYFUNCTION("""COMPUTED_VALUE"""),"")</f>
        <v/>
      </c>
      <c r="B1402" t="str">
        <f ca="1">IFERROR(__xludf.DUMMYFUNCTION("""COMPUTED_VALUE"""),"")</f>
        <v/>
      </c>
      <c r="C1402" t="str">
        <f ca="1">IFERROR(__xludf.DUMMYFUNCTION("""COMPUTED_VALUE"""),"")</f>
        <v/>
      </c>
      <c r="D1402" t="str">
        <f ca="1">IFERROR(__xludf.DUMMYFUNCTION("""COMPUTED_VALUE"""),"")</f>
        <v/>
      </c>
      <c r="E1402" t="str">
        <f ca="1">IFERROR(__xludf.DUMMYFUNCTION("""COMPUTED_VALUE"""),"")</f>
        <v/>
      </c>
      <c r="F1402" t="str">
        <f ca="1">IFERROR(__xludf.DUMMYFUNCTION("""COMPUTED_VALUE"""),"")</f>
        <v/>
      </c>
      <c r="G1402" t="str">
        <f ca="1">IFERROR(__xludf.DUMMYFUNCTION("""COMPUTED_VALUE"""),"")</f>
        <v/>
      </c>
      <c r="H1402" t="str">
        <f ca="1">IFERROR(__xludf.DUMMYFUNCTION("""COMPUTED_VALUE"""),"")</f>
        <v/>
      </c>
      <c r="I1402" t="str">
        <f ca="1">IFERROR(__xludf.DUMMYFUNCTION("""COMPUTED_VALUE"""),"")</f>
        <v/>
      </c>
      <c r="J1402" t="str">
        <f ca="1">IFERROR(__xludf.DUMMYFUNCTION("""COMPUTED_VALUE"""),"")</f>
        <v/>
      </c>
      <c r="K1402" t="str">
        <f ca="1">IFERROR(__xludf.DUMMYFUNCTION("""COMPUTED_VALUE"""),"")</f>
        <v/>
      </c>
      <c r="L1402" t="str">
        <f ca="1">IFERROR(__xludf.DUMMYFUNCTION("""COMPUTED_VALUE"""),"")</f>
        <v/>
      </c>
      <c r="M1402" t="str">
        <f ca="1">IFERROR(__xludf.DUMMYFUNCTION("""COMPUTED_VALUE"""),"")</f>
        <v/>
      </c>
      <c r="N1402" t="str">
        <f ca="1">IFERROR(__xludf.DUMMYFUNCTION("""COMPUTED_VALUE"""),"")</f>
        <v/>
      </c>
      <c r="O1402" t="str">
        <f ca="1">IFERROR(__xludf.DUMMYFUNCTION("""COMPUTED_VALUE"""),"")</f>
        <v/>
      </c>
      <c r="P1402" t="str">
        <f ca="1">IFERROR(__xludf.DUMMYFUNCTION("""COMPUTED_VALUE"""),"")</f>
        <v/>
      </c>
      <c r="Q1402" s="5" t="str">
        <f ca="1">IFERROR(__xludf.DUMMYFUNCTION("""COMPUTED_VALUE"""),"")</f>
        <v/>
      </c>
      <c r="R1402" s="6" t="str">
        <f ca="1">IFERROR(__xludf.DUMMYFUNCTION("""COMPUTED_VALUE"""),"")</f>
        <v/>
      </c>
      <c r="S1402" t="str">
        <f ca="1">IFERROR(__xludf.DUMMYFUNCTION("""COMPUTED_VALUE"""),"")</f>
        <v/>
      </c>
      <c r="T1402" t="str">
        <f ca="1">IFERROR(__xludf.DUMMYFUNCTION("""COMPUTED_VALUE"""),"")</f>
        <v/>
      </c>
      <c r="U1402" t="str">
        <f ca="1">IFERROR(__xludf.DUMMYFUNCTION("""COMPUTED_VALUE"""),"")</f>
        <v/>
      </c>
      <c r="V1402" t="str">
        <f ca="1">IFERROR(__xludf.DUMMYFUNCTION("""COMPUTED_VALUE"""),"")</f>
        <v/>
      </c>
      <c r="W1402" t="str">
        <f ca="1">IFERROR(__xludf.DUMMYFUNCTION("""COMPUTED_VALUE"""),"")</f>
        <v/>
      </c>
      <c r="X1402" t="str">
        <f ca="1">IFERROR(__xludf.DUMMYFUNCTION("""COMPUTED_VALUE"""),"")</f>
        <v/>
      </c>
      <c r="Y1402" t="str">
        <f ca="1">IFERROR(__xludf.DUMMYFUNCTION("""COMPUTED_VALUE"""),"")</f>
        <v/>
      </c>
      <c r="Z1402" t="str">
        <f ca="1">IFERROR(__xludf.DUMMYFUNCTION("""COMPUTED_VALUE"""),"")</f>
        <v/>
      </c>
      <c r="AA1402" t="str">
        <f ca="1">IFERROR(__xludf.DUMMYFUNCTION("""COMPUTED_VALUE"""),"")</f>
        <v/>
      </c>
      <c r="AB1402" s="8" t="str">
        <f ca="1">IFERROR(__xludf.DUMMYFUNCTION("""COMPUTED_VALUE"""),"")</f>
        <v/>
      </c>
      <c r="AC1402" s="8" t="str">
        <f ca="1">IFERROR(__xludf.DUMMYFUNCTION("""COMPUTED_VALUE"""),"")</f>
        <v/>
      </c>
      <c r="AD1402" s="11" t="str">
        <f ca="1">IFERROR(__xludf.DUMMYFUNCTION("""COMPUTED_VALUE"""),"")</f>
        <v/>
      </c>
      <c r="AE1402" t="str">
        <f ca="1">IFERROR(__xludf.DUMMYFUNCTION("""COMPUTED_VALUE"""),"")</f>
        <v/>
      </c>
    </row>
    <row r="1403" spans="1:31" ht="12.75" x14ac:dyDescent="0.2">
      <c r="A1403" t="str">
        <f ca="1">IFERROR(__xludf.DUMMYFUNCTION("""COMPUTED_VALUE"""),"")</f>
        <v/>
      </c>
      <c r="B1403" t="str">
        <f ca="1">IFERROR(__xludf.DUMMYFUNCTION("""COMPUTED_VALUE"""),"")</f>
        <v/>
      </c>
      <c r="C1403" t="str">
        <f ca="1">IFERROR(__xludf.DUMMYFUNCTION("""COMPUTED_VALUE"""),"")</f>
        <v/>
      </c>
      <c r="D1403" t="str">
        <f ca="1">IFERROR(__xludf.DUMMYFUNCTION("""COMPUTED_VALUE"""),"")</f>
        <v/>
      </c>
      <c r="E1403" t="str">
        <f ca="1">IFERROR(__xludf.DUMMYFUNCTION("""COMPUTED_VALUE"""),"")</f>
        <v/>
      </c>
      <c r="F1403" t="str">
        <f ca="1">IFERROR(__xludf.DUMMYFUNCTION("""COMPUTED_VALUE"""),"")</f>
        <v/>
      </c>
      <c r="G1403" t="str">
        <f ca="1">IFERROR(__xludf.DUMMYFUNCTION("""COMPUTED_VALUE"""),"")</f>
        <v/>
      </c>
      <c r="H1403" t="str">
        <f ca="1">IFERROR(__xludf.DUMMYFUNCTION("""COMPUTED_VALUE"""),"")</f>
        <v/>
      </c>
      <c r="I1403" t="str">
        <f ca="1">IFERROR(__xludf.DUMMYFUNCTION("""COMPUTED_VALUE"""),"")</f>
        <v/>
      </c>
      <c r="J1403" t="str">
        <f ca="1">IFERROR(__xludf.DUMMYFUNCTION("""COMPUTED_VALUE"""),"")</f>
        <v/>
      </c>
      <c r="K1403" t="str">
        <f ca="1">IFERROR(__xludf.DUMMYFUNCTION("""COMPUTED_VALUE"""),"")</f>
        <v/>
      </c>
      <c r="L1403" t="str">
        <f ca="1">IFERROR(__xludf.DUMMYFUNCTION("""COMPUTED_VALUE"""),"")</f>
        <v/>
      </c>
      <c r="M1403" t="str">
        <f ca="1">IFERROR(__xludf.DUMMYFUNCTION("""COMPUTED_VALUE"""),"")</f>
        <v/>
      </c>
      <c r="N1403" t="str">
        <f ca="1">IFERROR(__xludf.DUMMYFUNCTION("""COMPUTED_VALUE"""),"")</f>
        <v/>
      </c>
      <c r="O1403" t="str">
        <f ca="1">IFERROR(__xludf.DUMMYFUNCTION("""COMPUTED_VALUE"""),"")</f>
        <v/>
      </c>
      <c r="P1403" t="str">
        <f ca="1">IFERROR(__xludf.DUMMYFUNCTION("""COMPUTED_VALUE"""),"")</f>
        <v/>
      </c>
      <c r="Q1403" s="5" t="str">
        <f ca="1">IFERROR(__xludf.DUMMYFUNCTION("""COMPUTED_VALUE"""),"")</f>
        <v/>
      </c>
      <c r="R1403" s="6" t="str">
        <f ca="1">IFERROR(__xludf.DUMMYFUNCTION("""COMPUTED_VALUE"""),"")</f>
        <v/>
      </c>
      <c r="S1403" t="str">
        <f ca="1">IFERROR(__xludf.DUMMYFUNCTION("""COMPUTED_VALUE"""),"")</f>
        <v/>
      </c>
      <c r="T1403" t="str">
        <f ca="1">IFERROR(__xludf.DUMMYFUNCTION("""COMPUTED_VALUE"""),"")</f>
        <v/>
      </c>
      <c r="U1403" t="str">
        <f ca="1">IFERROR(__xludf.DUMMYFUNCTION("""COMPUTED_VALUE"""),"")</f>
        <v/>
      </c>
      <c r="V1403" t="str">
        <f ca="1">IFERROR(__xludf.DUMMYFUNCTION("""COMPUTED_VALUE"""),"")</f>
        <v/>
      </c>
      <c r="W1403" t="str">
        <f ca="1">IFERROR(__xludf.DUMMYFUNCTION("""COMPUTED_VALUE"""),"")</f>
        <v/>
      </c>
      <c r="X1403" t="str">
        <f ca="1">IFERROR(__xludf.DUMMYFUNCTION("""COMPUTED_VALUE"""),"")</f>
        <v/>
      </c>
      <c r="Y1403" t="str">
        <f ca="1">IFERROR(__xludf.DUMMYFUNCTION("""COMPUTED_VALUE"""),"")</f>
        <v/>
      </c>
      <c r="Z1403" t="str">
        <f ca="1">IFERROR(__xludf.DUMMYFUNCTION("""COMPUTED_VALUE"""),"")</f>
        <v/>
      </c>
      <c r="AA1403" t="str">
        <f ca="1">IFERROR(__xludf.DUMMYFUNCTION("""COMPUTED_VALUE"""),"")</f>
        <v/>
      </c>
      <c r="AB1403" s="8" t="str">
        <f ca="1">IFERROR(__xludf.DUMMYFUNCTION("""COMPUTED_VALUE"""),"")</f>
        <v/>
      </c>
      <c r="AC1403" s="8" t="str">
        <f ca="1">IFERROR(__xludf.DUMMYFUNCTION("""COMPUTED_VALUE"""),"")</f>
        <v/>
      </c>
      <c r="AD1403" s="11" t="str">
        <f ca="1">IFERROR(__xludf.DUMMYFUNCTION("""COMPUTED_VALUE"""),"")</f>
        <v/>
      </c>
      <c r="AE1403" t="str">
        <f ca="1">IFERROR(__xludf.DUMMYFUNCTION("""COMPUTED_VALUE"""),"")</f>
        <v/>
      </c>
    </row>
    <row r="1404" spans="1:31" ht="12.75" x14ac:dyDescent="0.2">
      <c r="A1404" t="str">
        <f ca="1">IFERROR(__xludf.DUMMYFUNCTION("""COMPUTED_VALUE"""),"")</f>
        <v/>
      </c>
      <c r="B1404" t="str">
        <f ca="1">IFERROR(__xludf.DUMMYFUNCTION("""COMPUTED_VALUE"""),"")</f>
        <v/>
      </c>
      <c r="C1404" t="str">
        <f ca="1">IFERROR(__xludf.DUMMYFUNCTION("""COMPUTED_VALUE"""),"")</f>
        <v/>
      </c>
      <c r="D1404" t="str">
        <f ca="1">IFERROR(__xludf.DUMMYFUNCTION("""COMPUTED_VALUE"""),"")</f>
        <v/>
      </c>
      <c r="E1404" t="str">
        <f ca="1">IFERROR(__xludf.DUMMYFUNCTION("""COMPUTED_VALUE"""),"")</f>
        <v/>
      </c>
      <c r="F1404" t="str">
        <f ca="1">IFERROR(__xludf.DUMMYFUNCTION("""COMPUTED_VALUE"""),"")</f>
        <v/>
      </c>
      <c r="G1404" t="str">
        <f ca="1">IFERROR(__xludf.DUMMYFUNCTION("""COMPUTED_VALUE"""),"")</f>
        <v/>
      </c>
      <c r="H1404" t="str">
        <f ca="1">IFERROR(__xludf.DUMMYFUNCTION("""COMPUTED_VALUE"""),"")</f>
        <v/>
      </c>
      <c r="I1404" t="str">
        <f ca="1">IFERROR(__xludf.DUMMYFUNCTION("""COMPUTED_VALUE"""),"")</f>
        <v/>
      </c>
      <c r="J1404" t="str">
        <f ca="1">IFERROR(__xludf.DUMMYFUNCTION("""COMPUTED_VALUE"""),"")</f>
        <v/>
      </c>
      <c r="K1404" t="str">
        <f ca="1">IFERROR(__xludf.DUMMYFUNCTION("""COMPUTED_VALUE"""),"")</f>
        <v/>
      </c>
      <c r="L1404" t="str">
        <f ca="1">IFERROR(__xludf.DUMMYFUNCTION("""COMPUTED_VALUE"""),"")</f>
        <v/>
      </c>
      <c r="M1404" t="str">
        <f ca="1">IFERROR(__xludf.DUMMYFUNCTION("""COMPUTED_VALUE"""),"")</f>
        <v/>
      </c>
      <c r="N1404" t="str">
        <f ca="1">IFERROR(__xludf.DUMMYFUNCTION("""COMPUTED_VALUE"""),"")</f>
        <v/>
      </c>
      <c r="O1404" t="str">
        <f ca="1">IFERROR(__xludf.DUMMYFUNCTION("""COMPUTED_VALUE"""),"")</f>
        <v/>
      </c>
      <c r="P1404" t="str">
        <f ca="1">IFERROR(__xludf.DUMMYFUNCTION("""COMPUTED_VALUE"""),"")</f>
        <v/>
      </c>
      <c r="Q1404" s="5" t="str">
        <f ca="1">IFERROR(__xludf.DUMMYFUNCTION("""COMPUTED_VALUE"""),"")</f>
        <v/>
      </c>
      <c r="R1404" s="6" t="str">
        <f ca="1">IFERROR(__xludf.DUMMYFUNCTION("""COMPUTED_VALUE"""),"")</f>
        <v/>
      </c>
      <c r="S1404" t="str">
        <f ca="1">IFERROR(__xludf.DUMMYFUNCTION("""COMPUTED_VALUE"""),"")</f>
        <v/>
      </c>
      <c r="T1404" t="str">
        <f ca="1">IFERROR(__xludf.DUMMYFUNCTION("""COMPUTED_VALUE"""),"")</f>
        <v/>
      </c>
      <c r="U1404" t="str">
        <f ca="1">IFERROR(__xludf.DUMMYFUNCTION("""COMPUTED_VALUE"""),"")</f>
        <v/>
      </c>
      <c r="V1404" t="str">
        <f ca="1">IFERROR(__xludf.DUMMYFUNCTION("""COMPUTED_VALUE"""),"")</f>
        <v/>
      </c>
      <c r="W1404" t="str">
        <f ca="1">IFERROR(__xludf.DUMMYFUNCTION("""COMPUTED_VALUE"""),"")</f>
        <v/>
      </c>
      <c r="X1404" t="str">
        <f ca="1">IFERROR(__xludf.DUMMYFUNCTION("""COMPUTED_VALUE"""),"")</f>
        <v/>
      </c>
      <c r="Y1404" t="str">
        <f ca="1">IFERROR(__xludf.DUMMYFUNCTION("""COMPUTED_VALUE"""),"")</f>
        <v/>
      </c>
      <c r="Z1404" t="str">
        <f ca="1">IFERROR(__xludf.DUMMYFUNCTION("""COMPUTED_VALUE"""),"")</f>
        <v/>
      </c>
      <c r="AA1404" t="str">
        <f ca="1">IFERROR(__xludf.DUMMYFUNCTION("""COMPUTED_VALUE"""),"")</f>
        <v/>
      </c>
      <c r="AB1404" s="8" t="str">
        <f ca="1">IFERROR(__xludf.DUMMYFUNCTION("""COMPUTED_VALUE"""),"")</f>
        <v/>
      </c>
      <c r="AC1404" s="8" t="str">
        <f ca="1">IFERROR(__xludf.DUMMYFUNCTION("""COMPUTED_VALUE"""),"")</f>
        <v/>
      </c>
      <c r="AD1404" s="11" t="str">
        <f ca="1">IFERROR(__xludf.DUMMYFUNCTION("""COMPUTED_VALUE"""),"")</f>
        <v/>
      </c>
      <c r="AE1404" t="str">
        <f ca="1">IFERROR(__xludf.DUMMYFUNCTION("""COMPUTED_VALUE"""),"")</f>
        <v/>
      </c>
    </row>
    <row r="1405" spans="1:31" ht="12.75" x14ac:dyDescent="0.2">
      <c r="A1405" t="str">
        <f ca="1">IFERROR(__xludf.DUMMYFUNCTION("""COMPUTED_VALUE"""),"")</f>
        <v/>
      </c>
      <c r="B1405" t="str">
        <f ca="1">IFERROR(__xludf.DUMMYFUNCTION("""COMPUTED_VALUE"""),"")</f>
        <v/>
      </c>
      <c r="C1405" t="str">
        <f ca="1">IFERROR(__xludf.DUMMYFUNCTION("""COMPUTED_VALUE"""),"")</f>
        <v/>
      </c>
      <c r="D1405" t="str">
        <f ca="1">IFERROR(__xludf.DUMMYFUNCTION("""COMPUTED_VALUE"""),"")</f>
        <v/>
      </c>
      <c r="E1405" t="str">
        <f ca="1">IFERROR(__xludf.DUMMYFUNCTION("""COMPUTED_VALUE"""),"")</f>
        <v/>
      </c>
      <c r="F1405" t="str">
        <f ca="1">IFERROR(__xludf.DUMMYFUNCTION("""COMPUTED_VALUE"""),"")</f>
        <v/>
      </c>
      <c r="G1405" t="str">
        <f ca="1">IFERROR(__xludf.DUMMYFUNCTION("""COMPUTED_VALUE"""),"")</f>
        <v/>
      </c>
      <c r="H1405" t="str">
        <f ca="1">IFERROR(__xludf.DUMMYFUNCTION("""COMPUTED_VALUE"""),"")</f>
        <v/>
      </c>
      <c r="I1405" t="str">
        <f ca="1">IFERROR(__xludf.DUMMYFUNCTION("""COMPUTED_VALUE"""),"")</f>
        <v/>
      </c>
      <c r="J1405" t="str">
        <f ca="1">IFERROR(__xludf.DUMMYFUNCTION("""COMPUTED_VALUE"""),"")</f>
        <v/>
      </c>
      <c r="K1405" t="str">
        <f ca="1">IFERROR(__xludf.DUMMYFUNCTION("""COMPUTED_VALUE"""),"")</f>
        <v/>
      </c>
      <c r="L1405" t="str">
        <f ca="1">IFERROR(__xludf.DUMMYFUNCTION("""COMPUTED_VALUE"""),"")</f>
        <v/>
      </c>
      <c r="M1405" t="str">
        <f ca="1">IFERROR(__xludf.DUMMYFUNCTION("""COMPUTED_VALUE"""),"")</f>
        <v/>
      </c>
      <c r="N1405" t="str">
        <f ca="1">IFERROR(__xludf.DUMMYFUNCTION("""COMPUTED_VALUE"""),"")</f>
        <v/>
      </c>
      <c r="O1405" t="str">
        <f ca="1">IFERROR(__xludf.DUMMYFUNCTION("""COMPUTED_VALUE"""),"")</f>
        <v/>
      </c>
      <c r="P1405" t="str">
        <f ca="1">IFERROR(__xludf.DUMMYFUNCTION("""COMPUTED_VALUE"""),"")</f>
        <v/>
      </c>
      <c r="Q1405" s="5" t="str">
        <f ca="1">IFERROR(__xludf.DUMMYFUNCTION("""COMPUTED_VALUE"""),"")</f>
        <v/>
      </c>
      <c r="R1405" s="6" t="str">
        <f ca="1">IFERROR(__xludf.DUMMYFUNCTION("""COMPUTED_VALUE"""),"")</f>
        <v/>
      </c>
      <c r="S1405" t="str">
        <f ca="1">IFERROR(__xludf.DUMMYFUNCTION("""COMPUTED_VALUE"""),"")</f>
        <v/>
      </c>
      <c r="T1405" t="str">
        <f ca="1">IFERROR(__xludf.DUMMYFUNCTION("""COMPUTED_VALUE"""),"")</f>
        <v/>
      </c>
      <c r="U1405" t="str">
        <f ca="1">IFERROR(__xludf.DUMMYFUNCTION("""COMPUTED_VALUE"""),"")</f>
        <v/>
      </c>
      <c r="V1405" t="str">
        <f ca="1">IFERROR(__xludf.DUMMYFUNCTION("""COMPUTED_VALUE"""),"")</f>
        <v/>
      </c>
      <c r="W1405" t="str">
        <f ca="1">IFERROR(__xludf.DUMMYFUNCTION("""COMPUTED_VALUE"""),"")</f>
        <v/>
      </c>
      <c r="X1405" t="str">
        <f ca="1">IFERROR(__xludf.DUMMYFUNCTION("""COMPUTED_VALUE"""),"")</f>
        <v/>
      </c>
      <c r="Y1405" t="str">
        <f ca="1">IFERROR(__xludf.DUMMYFUNCTION("""COMPUTED_VALUE"""),"")</f>
        <v/>
      </c>
      <c r="Z1405" t="str">
        <f ca="1">IFERROR(__xludf.DUMMYFUNCTION("""COMPUTED_VALUE"""),"")</f>
        <v/>
      </c>
      <c r="AA1405" t="str">
        <f ca="1">IFERROR(__xludf.DUMMYFUNCTION("""COMPUTED_VALUE"""),"")</f>
        <v/>
      </c>
      <c r="AB1405" s="8" t="str">
        <f ca="1">IFERROR(__xludf.DUMMYFUNCTION("""COMPUTED_VALUE"""),"")</f>
        <v/>
      </c>
      <c r="AC1405" s="8" t="str">
        <f ca="1">IFERROR(__xludf.DUMMYFUNCTION("""COMPUTED_VALUE"""),"")</f>
        <v/>
      </c>
      <c r="AD1405" s="11" t="str">
        <f ca="1">IFERROR(__xludf.DUMMYFUNCTION("""COMPUTED_VALUE"""),"")</f>
        <v/>
      </c>
      <c r="AE1405" t="str">
        <f ca="1">IFERROR(__xludf.DUMMYFUNCTION("""COMPUTED_VALUE"""),"")</f>
        <v/>
      </c>
    </row>
    <row r="1406" spans="1:31" ht="12.75" x14ac:dyDescent="0.2">
      <c r="A1406" t="str">
        <f ca="1">IFERROR(__xludf.DUMMYFUNCTION("""COMPUTED_VALUE"""),"")</f>
        <v/>
      </c>
      <c r="B1406" t="str">
        <f ca="1">IFERROR(__xludf.DUMMYFUNCTION("""COMPUTED_VALUE"""),"")</f>
        <v/>
      </c>
      <c r="C1406" t="str">
        <f ca="1">IFERROR(__xludf.DUMMYFUNCTION("""COMPUTED_VALUE"""),"")</f>
        <v/>
      </c>
      <c r="D1406" t="str">
        <f ca="1">IFERROR(__xludf.DUMMYFUNCTION("""COMPUTED_VALUE"""),"")</f>
        <v/>
      </c>
      <c r="E1406" t="str">
        <f ca="1">IFERROR(__xludf.DUMMYFUNCTION("""COMPUTED_VALUE"""),"")</f>
        <v/>
      </c>
      <c r="F1406" t="str">
        <f ca="1">IFERROR(__xludf.DUMMYFUNCTION("""COMPUTED_VALUE"""),"")</f>
        <v/>
      </c>
      <c r="G1406" t="str">
        <f ca="1">IFERROR(__xludf.DUMMYFUNCTION("""COMPUTED_VALUE"""),"")</f>
        <v/>
      </c>
      <c r="H1406" t="str">
        <f ca="1">IFERROR(__xludf.DUMMYFUNCTION("""COMPUTED_VALUE"""),"")</f>
        <v/>
      </c>
      <c r="I1406" t="str">
        <f ca="1">IFERROR(__xludf.DUMMYFUNCTION("""COMPUTED_VALUE"""),"")</f>
        <v/>
      </c>
      <c r="J1406" t="str">
        <f ca="1">IFERROR(__xludf.DUMMYFUNCTION("""COMPUTED_VALUE"""),"")</f>
        <v/>
      </c>
      <c r="K1406" t="str">
        <f ca="1">IFERROR(__xludf.DUMMYFUNCTION("""COMPUTED_VALUE"""),"")</f>
        <v/>
      </c>
      <c r="L1406" t="str">
        <f ca="1">IFERROR(__xludf.DUMMYFUNCTION("""COMPUTED_VALUE"""),"")</f>
        <v/>
      </c>
      <c r="M1406" t="str">
        <f ca="1">IFERROR(__xludf.DUMMYFUNCTION("""COMPUTED_VALUE"""),"")</f>
        <v/>
      </c>
      <c r="N1406" t="str">
        <f ca="1">IFERROR(__xludf.DUMMYFUNCTION("""COMPUTED_VALUE"""),"")</f>
        <v/>
      </c>
      <c r="O1406" t="str">
        <f ca="1">IFERROR(__xludf.DUMMYFUNCTION("""COMPUTED_VALUE"""),"")</f>
        <v/>
      </c>
      <c r="P1406" t="str">
        <f ca="1">IFERROR(__xludf.DUMMYFUNCTION("""COMPUTED_VALUE"""),"")</f>
        <v/>
      </c>
      <c r="Q1406" s="5" t="str">
        <f ca="1">IFERROR(__xludf.DUMMYFUNCTION("""COMPUTED_VALUE"""),"")</f>
        <v/>
      </c>
      <c r="R1406" s="6" t="str">
        <f ca="1">IFERROR(__xludf.DUMMYFUNCTION("""COMPUTED_VALUE"""),"")</f>
        <v/>
      </c>
      <c r="S1406" t="str">
        <f ca="1">IFERROR(__xludf.DUMMYFUNCTION("""COMPUTED_VALUE"""),"")</f>
        <v/>
      </c>
      <c r="T1406" t="str">
        <f ca="1">IFERROR(__xludf.DUMMYFUNCTION("""COMPUTED_VALUE"""),"")</f>
        <v/>
      </c>
      <c r="U1406" t="str">
        <f ca="1">IFERROR(__xludf.DUMMYFUNCTION("""COMPUTED_VALUE"""),"")</f>
        <v/>
      </c>
      <c r="V1406" t="str">
        <f ca="1">IFERROR(__xludf.DUMMYFUNCTION("""COMPUTED_VALUE"""),"")</f>
        <v/>
      </c>
      <c r="W1406" t="str">
        <f ca="1">IFERROR(__xludf.DUMMYFUNCTION("""COMPUTED_VALUE"""),"")</f>
        <v/>
      </c>
      <c r="X1406" t="str">
        <f ca="1">IFERROR(__xludf.DUMMYFUNCTION("""COMPUTED_VALUE"""),"")</f>
        <v/>
      </c>
      <c r="Y1406" t="str">
        <f ca="1">IFERROR(__xludf.DUMMYFUNCTION("""COMPUTED_VALUE"""),"")</f>
        <v/>
      </c>
      <c r="Z1406" t="str">
        <f ca="1">IFERROR(__xludf.DUMMYFUNCTION("""COMPUTED_VALUE"""),"")</f>
        <v/>
      </c>
      <c r="AA1406" t="str">
        <f ca="1">IFERROR(__xludf.DUMMYFUNCTION("""COMPUTED_VALUE"""),"")</f>
        <v/>
      </c>
      <c r="AB1406" s="8" t="str">
        <f ca="1">IFERROR(__xludf.DUMMYFUNCTION("""COMPUTED_VALUE"""),"")</f>
        <v/>
      </c>
      <c r="AC1406" s="8" t="str">
        <f ca="1">IFERROR(__xludf.DUMMYFUNCTION("""COMPUTED_VALUE"""),"")</f>
        <v/>
      </c>
      <c r="AD1406" s="11" t="str">
        <f ca="1">IFERROR(__xludf.DUMMYFUNCTION("""COMPUTED_VALUE"""),"")</f>
        <v/>
      </c>
      <c r="AE1406" t="str">
        <f ca="1">IFERROR(__xludf.DUMMYFUNCTION("""COMPUTED_VALUE"""),"")</f>
        <v/>
      </c>
    </row>
    <row r="1407" spans="1:31" ht="12.75" x14ac:dyDescent="0.2">
      <c r="A1407" t="str">
        <f ca="1">IFERROR(__xludf.DUMMYFUNCTION("""COMPUTED_VALUE"""),"")</f>
        <v/>
      </c>
      <c r="B1407" t="str">
        <f ca="1">IFERROR(__xludf.DUMMYFUNCTION("""COMPUTED_VALUE"""),"")</f>
        <v/>
      </c>
      <c r="C1407" t="str">
        <f ca="1">IFERROR(__xludf.DUMMYFUNCTION("""COMPUTED_VALUE"""),"")</f>
        <v/>
      </c>
      <c r="D1407" t="str">
        <f ca="1">IFERROR(__xludf.DUMMYFUNCTION("""COMPUTED_VALUE"""),"")</f>
        <v/>
      </c>
      <c r="E1407" t="str">
        <f ca="1">IFERROR(__xludf.DUMMYFUNCTION("""COMPUTED_VALUE"""),"")</f>
        <v/>
      </c>
      <c r="F1407" t="str">
        <f ca="1">IFERROR(__xludf.DUMMYFUNCTION("""COMPUTED_VALUE"""),"")</f>
        <v/>
      </c>
      <c r="G1407" t="str">
        <f ca="1">IFERROR(__xludf.DUMMYFUNCTION("""COMPUTED_VALUE"""),"")</f>
        <v/>
      </c>
      <c r="H1407" t="str">
        <f ca="1">IFERROR(__xludf.DUMMYFUNCTION("""COMPUTED_VALUE"""),"")</f>
        <v/>
      </c>
      <c r="I1407" t="str">
        <f ca="1">IFERROR(__xludf.DUMMYFUNCTION("""COMPUTED_VALUE"""),"")</f>
        <v/>
      </c>
      <c r="J1407" t="str">
        <f ca="1">IFERROR(__xludf.DUMMYFUNCTION("""COMPUTED_VALUE"""),"")</f>
        <v/>
      </c>
      <c r="K1407" t="str">
        <f ca="1">IFERROR(__xludf.DUMMYFUNCTION("""COMPUTED_VALUE"""),"")</f>
        <v/>
      </c>
      <c r="L1407" t="str">
        <f ca="1">IFERROR(__xludf.DUMMYFUNCTION("""COMPUTED_VALUE"""),"")</f>
        <v/>
      </c>
      <c r="M1407" t="str">
        <f ca="1">IFERROR(__xludf.DUMMYFUNCTION("""COMPUTED_VALUE"""),"")</f>
        <v/>
      </c>
      <c r="N1407" t="str">
        <f ca="1">IFERROR(__xludf.DUMMYFUNCTION("""COMPUTED_VALUE"""),"")</f>
        <v/>
      </c>
      <c r="O1407" t="str">
        <f ca="1">IFERROR(__xludf.DUMMYFUNCTION("""COMPUTED_VALUE"""),"")</f>
        <v/>
      </c>
      <c r="P1407" t="str">
        <f ca="1">IFERROR(__xludf.DUMMYFUNCTION("""COMPUTED_VALUE"""),"")</f>
        <v/>
      </c>
      <c r="Q1407" s="5" t="str">
        <f ca="1">IFERROR(__xludf.DUMMYFUNCTION("""COMPUTED_VALUE"""),"")</f>
        <v/>
      </c>
      <c r="R1407" s="6" t="str">
        <f ca="1">IFERROR(__xludf.DUMMYFUNCTION("""COMPUTED_VALUE"""),"")</f>
        <v/>
      </c>
      <c r="S1407" t="str">
        <f ca="1">IFERROR(__xludf.DUMMYFUNCTION("""COMPUTED_VALUE"""),"")</f>
        <v/>
      </c>
      <c r="T1407" t="str">
        <f ca="1">IFERROR(__xludf.DUMMYFUNCTION("""COMPUTED_VALUE"""),"")</f>
        <v/>
      </c>
      <c r="U1407" t="str">
        <f ca="1">IFERROR(__xludf.DUMMYFUNCTION("""COMPUTED_VALUE"""),"")</f>
        <v/>
      </c>
      <c r="V1407" t="str">
        <f ca="1">IFERROR(__xludf.DUMMYFUNCTION("""COMPUTED_VALUE"""),"")</f>
        <v/>
      </c>
      <c r="W1407" t="str">
        <f ca="1">IFERROR(__xludf.DUMMYFUNCTION("""COMPUTED_VALUE"""),"")</f>
        <v/>
      </c>
      <c r="X1407" t="str">
        <f ca="1">IFERROR(__xludf.DUMMYFUNCTION("""COMPUTED_VALUE"""),"")</f>
        <v/>
      </c>
      <c r="Y1407" t="str">
        <f ca="1">IFERROR(__xludf.DUMMYFUNCTION("""COMPUTED_VALUE"""),"")</f>
        <v/>
      </c>
      <c r="Z1407" t="str">
        <f ca="1">IFERROR(__xludf.DUMMYFUNCTION("""COMPUTED_VALUE"""),"")</f>
        <v/>
      </c>
      <c r="AA1407" t="str">
        <f ca="1">IFERROR(__xludf.DUMMYFUNCTION("""COMPUTED_VALUE"""),"")</f>
        <v/>
      </c>
      <c r="AB1407" s="8" t="str">
        <f ca="1">IFERROR(__xludf.DUMMYFUNCTION("""COMPUTED_VALUE"""),"")</f>
        <v/>
      </c>
      <c r="AC1407" s="8" t="str">
        <f ca="1">IFERROR(__xludf.DUMMYFUNCTION("""COMPUTED_VALUE"""),"")</f>
        <v/>
      </c>
      <c r="AD1407" s="11" t="str">
        <f ca="1">IFERROR(__xludf.DUMMYFUNCTION("""COMPUTED_VALUE"""),"")</f>
        <v/>
      </c>
      <c r="AE1407" t="str">
        <f ca="1">IFERROR(__xludf.DUMMYFUNCTION("""COMPUTED_VALUE"""),"")</f>
        <v/>
      </c>
    </row>
    <row r="1408" spans="1:31" ht="12.75" x14ac:dyDescent="0.2">
      <c r="A1408" t="str">
        <f ca="1">IFERROR(__xludf.DUMMYFUNCTION("""COMPUTED_VALUE"""),"")</f>
        <v/>
      </c>
      <c r="B1408" t="str">
        <f ca="1">IFERROR(__xludf.DUMMYFUNCTION("""COMPUTED_VALUE"""),"")</f>
        <v/>
      </c>
      <c r="C1408" t="str">
        <f ca="1">IFERROR(__xludf.DUMMYFUNCTION("""COMPUTED_VALUE"""),"")</f>
        <v/>
      </c>
      <c r="D1408" t="str">
        <f ca="1">IFERROR(__xludf.DUMMYFUNCTION("""COMPUTED_VALUE"""),"")</f>
        <v/>
      </c>
      <c r="E1408" t="str">
        <f ca="1">IFERROR(__xludf.DUMMYFUNCTION("""COMPUTED_VALUE"""),"")</f>
        <v/>
      </c>
      <c r="F1408" t="str">
        <f ca="1">IFERROR(__xludf.DUMMYFUNCTION("""COMPUTED_VALUE"""),"")</f>
        <v/>
      </c>
      <c r="G1408" t="str">
        <f ca="1">IFERROR(__xludf.DUMMYFUNCTION("""COMPUTED_VALUE"""),"")</f>
        <v/>
      </c>
      <c r="H1408" t="str">
        <f ca="1">IFERROR(__xludf.DUMMYFUNCTION("""COMPUTED_VALUE"""),"")</f>
        <v/>
      </c>
      <c r="I1408" t="str">
        <f ca="1">IFERROR(__xludf.DUMMYFUNCTION("""COMPUTED_VALUE"""),"")</f>
        <v/>
      </c>
      <c r="J1408" t="str">
        <f ca="1">IFERROR(__xludf.DUMMYFUNCTION("""COMPUTED_VALUE"""),"")</f>
        <v/>
      </c>
      <c r="K1408" t="str">
        <f ca="1">IFERROR(__xludf.DUMMYFUNCTION("""COMPUTED_VALUE"""),"")</f>
        <v/>
      </c>
      <c r="L1408" t="str">
        <f ca="1">IFERROR(__xludf.DUMMYFUNCTION("""COMPUTED_VALUE"""),"")</f>
        <v/>
      </c>
      <c r="M1408" t="str">
        <f ca="1">IFERROR(__xludf.DUMMYFUNCTION("""COMPUTED_VALUE"""),"")</f>
        <v/>
      </c>
      <c r="N1408" t="str">
        <f ca="1">IFERROR(__xludf.DUMMYFUNCTION("""COMPUTED_VALUE"""),"")</f>
        <v/>
      </c>
      <c r="O1408" t="str">
        <f ca="1">IFERROR(__xludf.DUMMYFUNCTION("""COMPUTED_VALUE"""),"")</f>
        <v/>
      </c>
      <c r="P1408" t="str">
        <f ca="1">IFERROR(__xludf.DUMMYFUNCTION("""COMPUTED_VALUE"""),"")</f>
        <v/>
      </c>
      <c r="Q1408" s="5" t="str">
        <f ca="1">IFERROR(__xludf.DUMMYFUNCTION("""COMPUTED_VALUE"""),"")</f>
        <v/>
      </c>
      <c r="R1408" s="6" t="str">
        <f ca="1">IFERROR(__xludf.DUMMYFUNCTION("""COMPUTED_VALUE"""),"")</f>
        <v/>
      </c>
      <c r="S1408" t="str">
        <f ca="1">IFERROR(__xludf.DUMMYFUNCTION("""COMPUTED_VALUE"""),"")</f>
        <v/>
      </c>
      <c r="T1408" t="str">
        <f ca="1">IFERROR(__xludf.DUMMYFUNCTION("""COMPUTED_VALUE"""),"")</f>
        <v/>
      </c>
      <c r="U1408" t="str">
        <f ca="1">IFERROR(__xludf.DUMMYFUNCTION("""COMPUTED_VALUE"""),"")</f>
        <v/>
      </c>
      <c r="V1408" t="str">
        <f ca="1">IFERROR(__xludf.DUMMYFUNCTION("""COMPUTED_VALUE"""),"")</f>
        <v/>
      </c>
      <c r="W1408" t="str">
        <f ca="1">IFERROR(__xludf.DUMMYFUNCTION("""COMPUTED_VALUE"""),"")</f>
        <v/>
      </c>
      <c r="X1408" t="str">
        <f ca="1">IFERROR(__xludf.DUMMYFUNCTION("""COMPUTED_VALUE"""),"")</f>
        <v/>
      </c>
      <c r="Y1408" t="str">
        <f ca="1">IFERROR(__xludf.DUMMYFUNCTION("""COMPUTED_VALUE"""),"")</f>
        <v/>
      </c>
      <c r="Z1408" t="str">
        <f ca="1">IFERROR(__xludf.DUMMYFUNCTION("""COMPUTED_VALUE"""),"")</f>
        <v/>
      </c>
      <c r="AA1408" t="str">
        <f ca="1">IFERROR(__xludf.DUMMYFUNCTION("""COMPUTED_VALUE"""),"")</f>
        <v/>
      </c>
      <c r="AB1408" s="8" t="str">
        <f ca="1">IFERROR(__xludf.DUMMYFUNCTION("""COMPUTED_VALUE"""),"")</f>
        <v/>
      </c>
      <c r="AC1408" s="8" t="str">
        <f ca="1">IFERROR(__xludf.DUMMYFUNCTION("""COMPUTED_VALUE"""),"")</f>
        <v/>
      </c>
      <c r="AD1408" s="11" t="str">
        <f ca="1">IFERROR(__xludf.DUMMYFUNCTION("""COMPUTED_VALUE"""),"")</f>
        <v/>
      </c>
      <c r="AE1408" t="str">
        <f ca="1">IFERROR(__xludf.DUMMYFUNCTION("""COMPUTED_VALUE"""),"")</f>
        <v/>
      </c>
    </row>
    <row r="1409" spans="1:31" ht="12.75" x14ac:dyDescent="0.2">
      <c r="A1409" t="str">
        <f ca="1">IFERROR(__xludf.DUMMYFUNCTION("""COMPUTED_VALUE"""),"")</f>
        <v/>
      </c>
      <c r="B1409" t="str">
        <f ca="1">IFERROR(__xludf.DUMMYFUNCTION("""COMPUTED_VALUE"""),"")</f>
        <v/>
      </c>
      <c r="C1409" t="str">
        <f ca="1">IFERROR(__xludf.DUMMYFUNCTION("""COMPUTED_VALUE"""),"")</f>
        <v/>
      </c>
      <c r="D1409" t="str">
        <f ca="1">IFERROR(__xludf.DUMMYFUNCTION("""COMPUTED_VALUE"""),"")</f>
        <v/>
      </c>
      <c r="E1409" t="str">
        <f ca="1">IFERROR(__xludf.DUMMYFUNCTION("""COMPUTED_VALUE"""),"")</f>
        <v/>
      </c>
      <c r="F1409" t="str">
        <f ca="1">IFERROR(__xludf.DUMMYFUNCTION("""COMPUTED_VALUE"""),"")</f>
        <v/>
      </c>
      <c r="G1409" t="str">
        <f ca="1">IFERROR(__xludf.DUMMYFUNCTION("""COMPUTED_VALUE"""),"")</f>
        <v/>
      </c>
      <c r="H1409" t="str">
        <f ca="1">IFERROR(__xludf.DUMMYFUNCTION("""COMPUTED_VALUE"""),"")</f>
        <v/>
      </c>
      <c r="I1409" t="str">
        <f ca="1">IFERROR(__xludf.DUMMYFUNCTION("""COMPUTED_VALUE"""),"")</f>
        <v/>
      </c>
      <c r="J1409" t="str">
        <f ca="1">IFERROR(__xludf.DUMMYFUNCTION("""COMPUTED_VALUE"""),"")</f>
        <v/>
      </c>
      <c r="K1409" t="str">
        <f ca="1">IFERROR(__xludf.DUMMYFUNCTION("""COMPUTED_VALUE"""),"")</f>
        <v/>
      </c>
      <c r="L1409" t="str">
        <f ca="1">IFERROR(__xludf.DUMMYFUNCTION("""COMPUTED_VALUE"""),"")</f>
        <v/>
      </c>
      <c r="M1409" t="str">
        <f ca="1">IFERROR(__xludf.DUMMYFUNCTION("""COMPUTED_VALUE"""),"")</f>
        <v/>
      </c>
      <c r="N1409" t="str">
        <f ca="1">IFERROR(__xludf.DUMMYFUNCTION("""COMPUTED_VALUE"""),"")</f>
        <v/>
      </c>
      <c r="O1409" t="str">
        <f ca="1">IFERROR(__xludf.DUMMYFUNCTION("""COMPUTED_VALUE"""),"")</f>
        <v/>
      </c>
      <c r="P1409" t="str">
        <f ca="1">IFERROR(__xludf.DUMMYFUNCTION("""COMPUTED_VALUE"""),"")</f>
        <v/>
      </c>
      <c r="Q1409" s="5" t="str">
        <f ca="1">IFERROR(__xludf.DUMMYFUNCTION("""COMPUTED_VALUE"""),"")</f>
        <v/>
      </c>
      <c r="R1409" s="6" t="str">
        <f ca="1">IFERROR(__xludf.DUMMYFUNCTION("""COMPUTED_VALUE"""),"")</f>
        <v/>
      </c>
      <c r="S1409" t="str">
        <f ca="1">IFERROR(__xludf.DUMMYFUNCTION("""COMPUTED_VALUE"""),"")</f>
        <v/>
      </c>
      <c r="T1409" t="str">
        <f ca="1">IFERROR(__xludf.DUMMYFUNCTION("""COMPUTED_VALUE"""),"")</f>
        <v/>
      </c>
      <c r="U1409" t="str">
        <f ca="1">IFERROR(__xludf.DUMMYFUNCTION("""COMPUTED_VALUE"""),"")</f>
        <v/>
      </c>
      <c r="V1409" t="str">
        <f ca="1">IFERROR(__xludf.DUMMYFUNCTION("""COMPUTED_VALUE"""),"")</f>
        <v/>
      </c>
      <c r="W1409" t="str">
        <f ca="1">IFERROR(__xludf.DUMMYFUNCTION("""COMPUTED_VALUE"""),"")</f>
        <v/>
      </c>
      <c r="X1409" t="str">
        <f ca="1">IFERROR(__xludf.DUMMYFUNCTION("""COMPUTED_VALUE"""),"")</f>
        <v/>
      </c>
      <c r="Y1409" t="str">
        <f ca="1">IFERROR(__xludf.DUMMYFUNCTION("""COMPUTED_VALUE"""),"")</f>
        <v/>
      </c>
      <c r="Z1409" t="str">
        <f ca="1">IFERROR(__xludf.DUMMYFUNCTION("""COMPUTED_VALUE"""),"")</f>
        <v/>
      </c>
      <c r="AA1409" t="str">
        <f ca="1">IFERROR(__xludf.DUMMYFUNCTION("""COMPUTED_VALUE"""),"")</f>
        <v/>
      </c>
      <c r="AB1409" s="8" t="str">
        <f ca="1">IFERROR(__xludf.DUMMYFUNCTION("""COMPUTED_VALUE"""),"")</f>
        <v/>
      </c>
      <c r="AC1409" s="8" t="str">
        <f ca="1">IFERROR(__xludf.DUMMYFUNCTION("""COMPUTED_VALUE"""),"")</f>
        <v/>
      </c>
      <c r="AD1409" s="11" t="str">
        <f ca="1">IFERROR(__xludf.DUMMYFUNCTION("""COMPUTED_VALUE"""),"")</f>
        <v/>
      </c>
      <c r="AE1409" t="str">
        <f ca="1">IFERROR(__xludf.DUMMYFUNCTION("""COMPUTED_VALUE"""),"")</f>
        <v/>
      </c>
    </row>
    <row r="1410" spans="1:31" ht="12.75" x14ac:dyDescent="0.2">
      <c r="A1410" t="str">
        <f ca="1">IFERROR(__xludf.DUMMYFUNCTION("""COMPUTED_VALUE"""),"")</f>
        <v/>
      </c>
      <c r="B1410" t="str">
        <f ca="1">IFERROR(__xludf.DUMMYFUNCTION("""COMPUTED_VALUE"""),"")</f>
        <v/>
      </c>
      <c r="C1410" t="str">
        <f ca="1">IFERROR(__xludf.DUMMYFUNCTION("""COMPUTED_VALUE"""),"")</f>
        <v/>
      </c>
      <c r="D1410" t="str">
        <f ca="1">IFERROR(__xludf.DUMMYFUNCTION("""COMPUTED_VALUE"""),"")</f>
        <v/>
      </c>
      <c r="E1410" t="str">
        <f ca="1">IFERROR(__xludf.DUMMYFUNCTION("""COMPUTED_VALUE"""),"")</f>
        <v/>
      </c>
      <c r="F1410" t="str">
        <f ca="1">IFERROR(__xludf.DUMMYFUNCTION("""COMPUTED_VALUE"""),"")</f>
        <v/>
      </c>
      <c r="G1410" t="str">
        <f ca="1">IFERROR(__xludf.DUMMYFUNCTION("""COMPUTED_VALUE"""),"")</f>
        <v/>
      </c>
      <c r="H1410" t="str">
        <f ca="1">IFERROR(__xludf.DUMMYFUNCTION("""COMPUTED_VALUE"""),"")</f>
        <v/>
      </c>
      <c r="I1410" t="str">
        <f ca="1">IFERROR(__xludf.DUMMYFUNCTION("""COMPUTED_VALUE"""),"")</f>
        <v/>
      </c>
      <c r="J1410" t="str">
        <f ca="1">IFERROR(__xludf.DUMMYFUNCTION("""COMPUTED_VALUE"""),"")</f>
        <v/>
      </c>
      <c r="K1410" t="str">
        <f ca="1">IFERROR(__xludf.DUMMYFUNCTION("""COMPUTED_VALUE"""),"")</f>
        <v/>
      </c>
      <c r="L1410" t="str">
        <f ca="1">IFERROR(__xludf.DUMMYFUNCTION("""COMPUTED_VALUE"""),"")</f>
        <v/>
      </c>
      <c r="M1410" t="str">
        <f ca="1">IFERROR(__xludf.DUMMYFUNCTION("""COMPUTED_VALUE"""),"")</f>
        <v/>
      </c>
      <c r="N1410" t="str">
        <f ca="1">IFERROR(__xludf.DUMMYFUNCTION("""COMPUTED_VALUE"""),"")</f>
        <v/>
      </c>
      <c r="O1410" t="str">
        <f ca="1">IFERROR(__xludf.DUMMYFUNCTION("""COMPUTED_VALUE"""),"")</f>
        <v/>
      </c>
      <c r="P1410" t="str">
        <f ca="1">IFERROR(__xludf.DUMMYFUNCTION("""COMPUTED_VALUE"""),"")</f>
        <v/>
      </c>
      <c r="Q1410" s="5" t="str">
        <f ca="1">IFERROR(__xludf.DUMMYFUNCTION("""COMPUTED_VALUE"""),"")</f>
        <v/>
      </c>
      <c r="R1410" s="6" t="str">
        <f ca="1">IFERROR(__xludf.DUMMYFUNCTION("""COMPUTED_VALUE"""),"")</f>
        <v/>
      </c>
      <c r="S1410" t="str">
        <f ca="1">IFERROR(__xludf.DUMMYFUNCTION("""COMPUTED_VALUE"""),"")</f>
        <v/>
      </c>
      <c r="T1410" t="str">
        <f ca="1">IFERROR(__xludf.DUMMYFUNCTION("""COMPUTED_VALUE"""),"")</f>
        <v/>
      </c>
      <c r="U1410" t="str">
        <f ca="1">IFERROR(__xludf.DUMMYFUNCTION("""COMPUTED_VALUE"""),"")</f>
        <v/>
      </c>
      <c r="V1410" t="str">
        <f ca="1">IFERROR(__xludf.DUMMYFUNCTION("""COMPUTED_VALUE"""),"")</f>
        <v/>
      </c>
      <c r="W1410" t="str">
        <f ca="1">IFERROR(__xludf.DUMMYFUNCTION("""COMPUTED_VALUE"""),"")</f>
        <v/>
      </c>
      <c r="X1410" t="str">
        <f ca="1">IFERROR(__xludf.DUMMYFUNCTION("""COMPUTED_VALUE"""),"")</f>
        <v/>
      </c>
      <c r="Y1410" t="str">
        <f ca="1">IFERROR(__xludf.DUMMYFUNCTION("""COMPUTED_VALUE"""),"")</f>
        <v/>
      </c>
      <c r="Z1410" t="str">
        <f ca="1">IFERROR(__xludf.DUMMYFUNCTION("""COMPUTED_VALUE"""),"")</f>
        <v/>
      </c>
      <c r="AA1410" t="str">
        <f ca="1">IFERROR(__xludf.DUMMYFUNCTION("""COMPUTED_VALUE"""),"")</f>
        <v/>
      </c>
      <c r="AB1410" s="8" t="str">
        <f ca="1">IFERROR(__xludf.DUMMYFUNCTION("""COMPUTED_VALUE"""),"")</f>
        <v/>
      </c>
      <c r="AC1410" s="8" t="str">
        <f ca="1">IFERROR(__xludf.DUMMYFUNCTION("""COMPUTED_VALUE"""),"")</f>
        <v/>
      </c>
      <c r="AD1410" s="11" t="str">
        <f ca="1">IFERROR(__xludf.DUMMYFUNCTION("""COMPUTED_VALUE"""),"")</f>
        <v/>
      </c>
      <c r="AE1410" t="str">
        <f ca="1">IFERROR(__xludf.DUMMYFUNCTION("""COMPUTED_VALUE"""),"")</f>
        <v/>
      </c>
    </row>
    <row r="1411" spans="1:31" ht="12.75" x14ac:dyDescent="0.2">
      <c r="A1411" t="str">
        <f ca="1">IFERROR(__xludf.DUMMYFUNCTION("""COMPUTED_VALUE"""),"")</f>
        <v/>
      </c>
      <c r="B1411" t="str">
        <f ca="1">IFERROR(__xludf.DUMMYFUNCTION("""COMPUTED_VALUE"""),"")</f>
        <v/>
      </c>
      <c r="C1411" t="str">
        <f ca="1">IFERROR(__xludf.DUMMYFUNCTION("""COMPUTED_VALUE"""),"")</f>
        <v/>
      </c>
      <c r="D1411" t="str">
        <f ca="1">IFERROR(__xludf.DUMMYFUNCTION("""COMPUTED_VALUE"""),"")</f>
        <v/>
      </c>
      <c r="E1411" t="str">
        <f ca="1">IFERROR(__xludf.DUMMYFUNCTION("""COMPUTED_VALUE"""),"")</f>
        <v/>
      </c>
      <c r="F1411" t="str">
        <f ca="1">IFERROR(__xludf.DUMMYFUNCTION("""COMPUTED_VALUE"""),"")</f>
        <v/>
      </c>
      <c r="G1411" t="str">
        <f ca="1">IFERROR(__xludf.DUMMYFUNCTION("""COMPUTED_VALUE"""),"")</f>
        <v/>
      </c>
      <c r="H1411" t="str">
        <f ca="1">IFERROR(__xludf.DUMMYFUNCTION("""COMPUTED_VALUE"""),"")</f>
        <v/>
      </c>
      <c r="I1411" t="str">
        <f ca="1">IFERROR(__xludf.DUMMYFUNCTION("""COMPUTED_VALUE"""),"")</f>
        <v/>
      </c>
      <c r="J1411" t="str">
        <f ca="1">IFERROR(__xludf.DUMMYFUNCTION("""COMPUTED_VALUE"""),"")</f>
        <v/>
      </c>
      <c r="K1411" t="str">
        <f ca="1">IFERROR(__xludf.DUMMYFUNCTION("""COMPUTED_VALUE"""),"")</f>
        <v/>
      </c>
      <c r="L1411" t="str">
        <f ca="1">IFERROR(__xludf.DUMMYFUNCTION("""COMPUTED_VALUE"""),"")</f>
        <v/>
      </c>
      <c r="M1411" t="str">
        <f ca="1">IFERROR(__xludf.DUMMYFUNCTION("""COMPUTED_VALUE"""),"")</f>
        <v/>
      </c>
      <c r="N1411" t="str">
        <f ca="1">IFERROR(__xludf.DUMMYFUNCTION("""COMPUTED_VALUE"""),"")</f>
        <v/>
      </c>
      <c r="O1411" t="str">
        <f ca="1">IFERROR(__xludf.DUMMYFUNCTION("""COMPUTED_VALUE"""),"")</f>
        <v/>
      </c>
      <c r="P1411" t="str">
        <f ca="1">IFERROR(__xludf.DUMMYFUNCTION("""COMPUTED_VALUE"""),"")</f>
        <v/>
      </c>
      <c r="Q1411" s="5" t="str">
        <f ca="1">IFERROR(__xludf.DUMMYFUNCTION("""COMPUTED_VALUE"""),"")</f>
        <v/>
      </c>
      <c r="R1411" s="6" t="str">
        <f ca="1">IFERROR(__xludf.DUMMYFUNCTION("""COMPUTED_VALUE"""),"")</f>
        <v/>
      </c>
      <c r="S1411" t="str">
        <f ca="1">IFERROR(__xludf.DUMMYFUNCTION("""COMPUTED_VALUE"""),"")</f>
        <v/>
      </c>
      <c r="T1411" t="str">
        <f ca="1">IFERROR(__xludf.DUMMYFUNCTION("""COMPUTED_VALUE"""),"")</f>
        <v/>
      </c>
      <c r="U1411" t="str">
        <f ca="1">IFERROR(__xludf.DUMMYFUNCTION("""COMPUTED_VALUE"""),"")</f>
        <v/>
      </c>
      <c r="V1411" t="str">
        <f ca="1">IFERROR(__xludf.DUMMYFUNCTION("""COMPUTED_VALUE"""),"")</f>
        <v/>
      </c>
      <c r="W1411" t="str">
        <f ca="1">IFERROR(__xludf.DUMMYFUNCTION("""COMPUTED_VALUE"""),"")</f>
        <v/>
      </c>
      <c r="X1411" t="str">
        <f ca="1">IFERROR(__xludf.DUMMYFUNCTION("""COMPUTED_VALUE"""),"")</f>
        <v/>
      </c>
      <c r="Y1411" t="str">
        <f ca="1">IFERROR(__xludf.DUMMYFUNCTION("""COMPUTED_VALUE"""),"")</f>
        <v/>
      </c>
      <c r="Z1411" t="str">
        <f ca="1">IFERROR(__xludf.DUMMYFUNCTION("""COMPUTED_VALUE"""),"")</f>
        <v/>
      </c>
      <c r="AA1411" t="str">
        <f ca="1">IFERROR(__xludf.DUMMYFUNCTION("""COMPUTED_VALUE"""),"")</f>
        <v/>
      </c>
      <c r="AB1411" s="8" t="str">
        <f ca="1">IFERROR(__xludf.DUMMYFUNCTION("""COMPUTED_VALUE"""),"")</f>
        <v/>
      </c>
      <c r="AC1411" s="8" t="str">
        <f ca="1">IFERROR(__xludf.DUMMYFUNCTION("""COMPUTED_VALUE"""),"")</f>
        <v/>
      </c>
      <c r="AD1411" s="11" t="str">
        <f ca="1">IFERROR(__xludf.DUMMYFUNCTION("""COMPUTED_VALUE"""),"")</f>
        <v/>
      </c>
      <c r="AE1411" t="str">
        <f ca="1">IFERROR(__xludf.DUMMYFUNCTION("""COMPUTED_VALUE"""),"")</f>
        <v/>
      </c>
    </row>
    <row r="1412" spans="1:31" ht="12.75" x14ac:dyDescent="0.2">
      <c r="A1412" t="str">
        <f ca="1">IFERROR(__xludf.DUMMYFUNCTION("""COMPUTED_VALUE"""),"")</f>
        <v/>
      </c>
      <c r="B1412" t="str">
        <f ca="1">IFERROR(__xludf.DUMMYFUNCTION("""COMPUTED_VALUE"""),"")</f>
        <v/>
      </c>
      <c r="C1412" t="str">
        <f ca="1">IFERROR(__xludf.DUMMYFUNCTION("""COMPUTED_VALUE"""),"")</f>
        <v/>
      </c>
      <c r="D1412" t="str">
        <f ca="1">IFERROR(__xludf.DUMMYFUNCTION("""COMPUTED_VALUE"""),"")</f>
        <v/>
      </c>
      <c r="E1412" t="str">
        <f ca="1">IFERROR(__xludf.DUMMYFUNCTION("""COMPUTED_VALUE"""),"")</f>
        <v/>
      </c>
      <c r="F1412" t="str">
        <f ca="1">IFERROR(__xludf.DUMMYFUNCTION("""COMPUTED_VALUE"""),"")</f>
        <v/>
      </c>
      <c r="G1412" t="str">
        <f ca="1">IFERROR(__xludf.DUMMYFUNCTION("""COMPUTED_VALUE"""),"")</f>
        <v/>
      </c>
      <c r="H1412" t="str">
        <f ca="1">IFERROR(__xludf.DUMMYFUNCTION("""COMPUTED_VALUE"""),"")</f>
        <v/>
      </c>
      <c r="I1412" t="str">
        <f ca="1">IFERROR(__xludf.DUMMYFUNCTION("""COMPUTED_VALUE"""),"")</f>
        <v/>
      </c>
      <c r="J1412" t="str">
        <f ca="1">IFERROR(__xludf.DUMMYFUNCTION("""COMPUTED_VALUE"""),"")</f>
        <v/>
      </c>
      <c r="K1412" t="str">
        <f ca="1">IFERROR(__xludf.DUMMYFUNCTION("""COMPUTED_VALUE"""),"")</f>
        <v/>
      </c>
      <c r="L1412" t="str">
        <f ca="1">IFERROR(__xludf.DUMMYFUNCTION("""COMPUTED_VALUE"""),"")</f>
        <v/>
      </c>
      <c r="M1412" t="str">
        <f ca="1">IFERROR(__xludf.DUMMYFUNCTION("""COMPUTED_VALUE"""),"")</f>
        <v/>
      </c>
      <c r="N1412" t="str">
        <f ca="1">IFERROR(__xludf.DUMMYFUNCTION("""COMPUTED_VALUE"""),"")</f>
        <v/>
      </c>
      <c r="O1412" t="str">
        <f ca="1">IFERROR(__xludf.DUMMYFUNCTION("""COMPUTED_VALUE"""),"")</f>
        <v/>
      </c>
      <c r="P1412" t="str">
        <f ca="1">IFERROR(__xludf.DUMMYFUNCTION("""COMPUTED_VALUE"""),"")</f>
        <v/>
      </c>
      <c r="Q1412" s="5" t="str">
        <f ca="1">IFERROR(__xludf.DUMMYFUNCTION("""COMPUTED_VALUE"""),"")</f>
        <v/>
      </c>
      <c r="R1412" s="6" t="str">
        <f ca="1">IFERROR(__xludf.DUMMYFUNCTION("""COMPUTED_VALUE"""),"")</f>
        <v/>
      </c>
      <c r="S1412" t="str">
        <f ca="1">IFERROR(__xludf.DUMMYFUNCTION("""COMPUTED_VALUE"""),"")</f>
        <v/>
      </c>
      <c r="T1412" t="str">
        <f ca="1">IFERROR(__xludf.DUMMYFUNCTION("""COMPUTED_VALUE"""),"")</f>
        <v/>
      </c>
      <c r="U1412" t="str">
        <f ca="1">IFERROR(__xludf.DUMMYFUNCTION("""COMPUTED_VALUE"""),"")</f>
        <v/>
      </c>
      <c r="V1412" t="str">
        <f ca="1">IFERROR(__xludf.DUMMYFUNCTION("""COMPUTED_VALUE"""),"")</f>
        <v/>
      </c>
      <c r="W1412" t="str">
        <f ca="1">IFERROR(__xludf.DUMMYFUNCTION("""COMPUTED_VALUE"""),"")</f>
        <v/>
      </c>
      <c r="X1412" t="str">
        <f ca="1">IFERROR(__xludf.DUMMYFUNCTION("""COMPUTED_VALUE"""),"")</f>
        <v/>
      </c>
      <c r="Y1412" t="str">
        <f ca="1">IFERROR(__xludf.DUMMYFUNCTION("""COMPUTED_VALUE"""),"")</f>
        <v/>
      </c>
      <c r="Z1412" t="str">
        <f ca="1">IFERROR(__xludf.DUMMYFUNCTION("""COMPUTED_VALUE"""),"")</f>
        <v/>
      </c>
      <c r="AA1412" t="str">
        <f ca="1">IFERROR(__xludf.DUMMYFUNCTION("""COMPUTED_VALUE"""),"")</f>
        <v/>
      </c>
      <c r="AB1412" s="8" t="str">
        <f ca="1">IFERROR(__xludf.DUMMYFUNCTION("""COMPUTED_VALUE"""),"")</f>
        <v/>
      </c>
      <c r="AC1412" s="8" t="str">
        <f ca="1">IFERROR(__xludf.DUMMYFUNCTION("""COMPUTED_VALUE"""),"")</f>
        <v/>
      </c>
      <c r="AD1412" s="11" t="str">
        <f ca="1">IFERROR(__xludf.DUMMYFUNCTION("""COMPUTED_VALUE"""),"")</f>
        <v/>
      </c>
      <c r="AE1412" t="str">
        <f ca="1">IFERROR(__xludf.DUMMYFUNCTION("""COMPUTED_VALUE"""),"")</f>
        <v/>
      </c>
    </row>
    <row r="1413" spans="1:31" ht="12.75" x14ac:dyDescent="0.2">
      <c r="A1413" t="str">
        <f ca="1">IFERROR(__xludf.DUMMYFUNCTION("""COMPUTED_VALUE"""),"")</f>
        <v/>
      </c>
      <c r="B1413" t="str">
        <f ca="1">IFERROR(__xludf.DUMMYFUNCTION("""COMPUTED_VALUE"""),"")</f>
        <v/>
      </c>
      <c r="C1413" t="str">
        <f ca="1">IFERROR(__xludf.DUMMYFUNCTION("""COMPUTED_VALUE"""),"")</f>
        <v/>
      </c>
      <c r="D1413" t="str">
        <f ca="1">IFERROR(__xludf.DUMMYFUNCTION("""COMPUTED_VALUE"""),"")</f>
        <v/>
      </c>
      <c r="E1413" t="str">
        <f ca="1">IFERROR(__xludf.DUMMYFUNCTION("""COMPUTED_VALUE"""),"")</f>
        <v/>
      </c>
      <c r="F1413" t="str">
        <f ca="1">IFERROR(__xludf.DUMMYFUNCTION("""COMPUTED_VALUE"""),"")</f>
        <v/>
      </c>
      <c r="G1413" t="str">
        <f ca="1">IFERROR(__xludf.DUMMYFUNCTION("""COMPUTED_VALUE"""),"")</f>
        <v/>
      </c>
      <c r="H1413" t="str">
        <f ca="1">IFERROR(__xludf.DUMMYFUNCTION("""COMPUTED_VALUE"""),"")</f>
        <v/>
      </c>
      <c r="I1413" t="str">
        <f ca="1">IFERROR(__xludf.DUMMYFUNCTION("""COMPUTED_VALUE"""),"")</f>
        <v/>
      </c>
      <c r="J1413" t="str">
        <f ca="1">IFERROR(__xludf.DUMMYFUNCTION("""COMPUTED_VALUE"""),"")</f>
        <v/>
      </c>
      <c r="K1413" t="str">
        <f ca="1">IFERROR(__xludf.DUMMYFUNCTION("""COMPUTED_VALUE"""),"")</f>
        <v/>
      </c>
      <c r="L1413" t="str">
        <f ca="1">IFERROR(__xludf.DUMMYFUNCTION("""COMPUTED_VALUE"""),"")</f>
        <v/>
      </c>
      <c r="M1413" t="str">
        <f ca="1">IFERROR(__xludf.DUMMYFUNCTION("""COMPUTED_VALUE"""),"")</f>
        <v/>
      </c>
      <c r="N1413" t="str">
        <f ca="1">IFERROR(__xludf.DUMMYFUNCTION("""COMPUTED_VALUE"""),"")</f>
        <v/>
      </c>
      <c r="O1413" t="str">
        <f ca="1">IFERROR(__xludf.DUMMYFUNCTION("""COMPUTED_VALUE"""),"")</f>
        <v/>
      </c>
      <c r="P1413" t="str">
        <f ca="1">IFERROR(__xludf.DUMMYFUNCTION("""COMPUTED_VALUE"""),"")</f>
        <v/>
      </c>
      <c r="Q1413" s="5" t="str">
        <f ca="1">IFERROR(__xludf.DUMMYFUNCTION("""COMPUTED_VALUE"""),"")</f>
        <v/>
      </c>
      <c r="R1413" s="6" t="str">
        <f ca="1">IFERROR(__xludf.DUMMYFUNCTION("""COMPUTED_VALUE"""),"")</f>
        <v/>
      </c>
      <c r="S1413" t="str">
        <f ca="1">IFERROR(__xludf.DUMMYFUNCTION("""COMPUTED_VALUE"""),"")</f>
        <v/>
      </c>
      <c r="T1413" t="str">
        <f ca="1">IFERROR(__xludf.DUMMYFUNCTION("""COMPUTED_VALUE"""),"")</f>
        <v/>
      </c>
      <c r="U1413" t="str">
        <f ca="1">IFERROR(__xludf.DUMMYFUNCTION("""COMPUTED_VALUE"""),"")</f>
        <v/>
      </c>
      <c r="V1413" t="str">
        <f ca="1">IFERROR(__xludf.DUMMYFUNCTION("""COMPUTED_VALUE"""),"")</f>
        <v/>
      </c>
      <c r="W1413" t="str">
        <f ca="1">IFERROR(__xludf.DUMMYFUNCTION("""COMPUTED_VALUE"""),"")</f>
        <v/>
      </c>
      <c r="X1413" t="str">
        <f ca="1">IFERROR(__xludf.DUMMYFUNCTION("""COMPUTED_VALUE"""),"")</f>
        <v/>
      </c>
      <c r="Y1413" t="str">
        <f ca="1">IFERROR(__xludf.DUMMYFUNCTION("""COMPUTED_VALUE"""),"")</f>
        <v/>
      </c>
      <c r="Z1413" t="str">
        <f ca="1">IFERROR(__xludf.DUMMYFUNCTION("""COMPUTED_VALUE"""),"")</f>
        <v/>
      </c>
      <c r="AA1413" t="str">
        <f ca="1">IFERROR(__xludf.DUMMYFUNCTION("""COMPUTED_VALUE"""),"")</f>
        <v/>
      </c>
      <c r="AB1413" s="8" t="str">
        <f ca="1">IFERROR(__xludf.DUMMYFUNCTION("""COMPUTED_VALUE"""),"")</f>
        <v/>
      </c>
      <c r="AC1413" s="8" t="str">
        <f ca="1">IFERROR(__xludf.DUMMYFUNCTION("""COMPUTED_VALUE"""),"")</f>
        <v/>
      </c>
      <c r="AD1413" s="11" t="str">
        <f ca="1">IFERROR(__xludf.DUMMYFUNCTION("""COMPUTED_VALUE"""),"")</f>
        <v/>
      </c>
      <c r="AE1413" t="str">
        <f ca="1">IFERROR(__xludf.DUMMYFUNCTION("""COMPUTED_VALUE"""),"")</f>
        <v/>
      </c>
    </row>
    <row r="1414" spans="1:31" ht="12.75" x14ac:dyDescent="0.2">
      <c r="A1414" t="str">
        <f ca="1">IFERROR(__xludf.DUMMYFUNCTION("""COMPUTED_VALUE"""),"")</f>
        <v/>
      </c>
      <c r="B1414" t="str">
        <f ca="1">IFERROR(__xludf.DUMMYFUNCTION("""COMPUTED_VALUE"""),"")</f>
        <v/>
      </c>
      <c r="C1414" t="str">
        <f ca="1">IFERROR(__xludf.DUMMYFUNCTION("""COMPUTED_VALUE"""),"")</f>
        <v/>
      </c>
      <c r="D1414" t="str">
        <f ca="1">IFERROR(__xludf.DUMMYFUNCTION("""COMPUTED_VALUE"""),"")</f>
        <v/>
      </c>
      <c r="E1414" t="str">
        <f ca="1">IFERROR(__xludf.DUMMYFUNCTION("""COMPUTED_VALUE"""),"")</f>
        <v/>
      </c>
      <c r="F1414" t="str">
        <f ca="1">IFERROR(__xludf.DUMMYFUNCTION("""COMPUTED_VALUE"""),"")</f>
        <v/>
      </c>
      <c r="G1414" t="str">
        <f ca="1">IFERROR(__xludf.DUMMYFUNCTION("""COMPUTED_VALUE"""),"")</f>
        <v/>
      </c>
      <c r="H1414" t="str">
        <f ca="1">IFERROR(__xludf.DUMMYFUNCTION("""COMPUTED_VALUE"""),"")</f>
        <v/>
      </c>
      <c r="I1414" t="str">
        <f ca="1">IFERROR(__xludf.DUMMYFUNCTION("""COMPUTED_VALUE"""),"")</f>
        <v/>
      </c>
      <c r="J1414" t="str">
        <f ca="1">IFERROR(__xludf.DUMMYFUNCTION("""COMPUTED_VALUE"""),"")</f>
        <v/>
      </c>
      <c r="K1414" t="str">
        <f ca="1">IFERROR(__xludf.DUMMYFUNCTION("""COMPUTED_VALUE"""),"")</f>
        <v/>
      </c>
      <c r="L1414" t="str">
        <f ca="1">IFERROR(__xludf.DUMMYFUNCTION("""COMPUTED_VALUE"""),"")</f>
        <v/>
      </c>
      <c r="M1414" t="str">
        <f ca="1">IFERROR(__xludf.DUMMYFUNCTION("""COMPUTED_VALUE"""),"")</f>
        <v/>
      </c>
      <c r="N1414" t="str">
        <f ca="1">IFERROR(__xludf.DUMMYFUNCTION("""COMPUTED_VALUE"""),"")</f>
        <v/>
      </c>
      <c r="O1414" t="str">
        <f ca="1">IFERROR(__xludf.DUMMYFUNCTION("""COMPUTED_VALUE"""),"")</f>
        <v/>
      </c>
      <c r="P1414" t="str">
        <f ca="1">IFERROR(__xludf.DUMMYFUNCTION("""COMPUTED_VALUE"""),"")</f>
        <v/>
      </c>
      <c r="Q1414" s="5" t="str">
        <f ca="1">IFERROR(__xludf.DUMMYFUNCTION("""COMPUTED_VALUE"""),"")</f>
        <v/>
      </c>
      <c r="R1414" s="6" t="str">
        <f ca="1">IFERROR(__xludf.DUMMYFUNCTION("""COMPUTED_VALUE"""),"")</f>
        <v/>
      </c>
      <c r="S1414" t="str">
        <f ca="1">IFERROR(__xludf.DUMMYFUNCTION("""COMPUTED_VALUE"""),"")</f>
        <v/>
      </c>
      <c r="T1414" t="str">
        <f ca="1">IFERROR(__xludf.DUMMYFUNCTION("""COMPUTED_VALUE"""),"")</f>
        <v/>
      </c>
      <c r="U1414" t="str">
        <f ca="1">IFERROR(__xludf.DUMMYFUNCTION("""COMPUTED_VALUE"""),"")</f>
        <v/>
      </c>
      <c r="V1414" t="str">
        <f ca="1">IFERROR(__xludf.DUMMYFUNCTION("""COMPUTED_VALUE"""),"")</f>
        <v/>
      </c>
      <c r="W1414" t="str">
        <f ca="1">IFERROR(__xludf.DUMMYFUNCTION("""COMPUTED_VALUE"""),"")</f>
        <v/>
      </c>
      <c r="X1414" t="str">
        <f ca="1">IFERROR(__xludf.DUMMYFUNCTION("""COMPUTED_VALUE"""),"")</f>
        <v/>
      </c>
      <c r="Y1414" t="str">
        <f ca="1">IFERROR(__xludf.DUMMYFUNCTION("""COMPUTED_VALUE"""),"")</f>
        <v/>
      </c>
      <c r="Z1414" t="str">
        <f ca="1">IFERROR(__xludf.DUMMYFUNCTION("""COMPUTED_VALUE"""),"")</f>
        <v/>
      </c>
      <c r="AA1414" t="str">
        <f ca="1">IFERROR(__xludf.DUMMYFUNCTION("""COMPUTED_VALUE"""),"")</f>
        <v/>
      </c>
      <c r="AB1414" s="8" t="str">
        <f ca="1">IFERROR(__xludf.DUMMYFUNCTION("""COMPUTED_VALUE"""),"")</f>
        <v/>
      </c>
      <c r="AC1414" s="8" t="str">
        <f ca="1">IFERROR(__xludf.DUMMYFUNCTION("""COMPUTED_VALUE"""),"")</f>
        <v/>
      </c>
      <c r="AD1414" s="11" t="str">
        <f ca="1">IFERROR(__xludf.DUMMYFUNCTION("""COMPUTED_VALUE"""),"")</f>
        <v/>
      </c>
      <c r="AE1414" t="str">
        <f ca="1">IFERROR(__xludf.DUMMYFUNCTION("""COMPUTED_VALUE"""),"")</f>
        <v/>
      </c>
    </row>
    <row r="1415" spans="1:31" ht="12.75" x14ac:dyDescent="0.2">
      <c r="A1415" t="str">
        <f ca="1">IFERROR(__xludf.DUMMYFUNCTION("""COMPUTED_VALUE"""),"")</f>
        <v/>
      </c>
      <c r="B1415" t="str">
        <f ca="1">IFERROR(__xludf.DUMMYFUNCTION("""COMPUTED_VALUE"""),"")</f>
        <v/>
      </c>
      <c r="C1415" t="str">
        <f ca="1">IFERROR(__xludf.DUMMYFUNCTION("""COMPUTED_VALUE"""),"")</f>
        <v/>
      </c>
      <c r="D1415" t="str">
        <f ca="1">IFERROR(__xludf.DUMMYFUNCTION("""COMPUTED_VALUE"""),"")</f>
        <v/>
      </c>
      <c r="E1415" t="str">
        <f ca="1">IFERROR(__xludf.DUMMYFUNCTION("""COMPUTED_VALUE"""),"")</f>
        <v/>
      </c>
      <c r="F1415" t="str">
        <f ca="1">IFERROR(__xludf.DUMMYFUNCTION("""COMPUTED_VALUE"""),"")</f>
        <v/>
      </c>
      <c r="G1415" t="str">
        <f ca="1">IFERROR(__xludf.DUMMYFUNCTION("""COMPUTED_VALUE"""),"")</f>
        <v/>
      </c>
      <c r="H1415" t="str">
        <f ca="1">IFERROR(__xludf.DUMMYFUNCTION("""COMPUTED_VALUE"""),"")</f>
        <v/>
      </c>
      <c r="I1415" t="str">
        <f ca="1">IFERROR(__xludf.DUMMYFUNCTION("""COMPUTED_VALUE"""),"")</f>
        <v/>
      </c>
      <c r="J1415" t="str">
        <f ca="1">IFERROR(__xludf.DUMMYFUNCTION("""COMPUTED_VALUE"""),"")</f>
        <v/>
      </c>
      <c r="K1415" t="str">
        <f ca="1">IFERROR(__xludf.DUMMYFUNCTION("""COMPUTED_VALUE"""),"")</f>
        <v/>
      </c>
      <c r="L1415" t="str">
        <f ca="1">IFERROR(__xludf.DUMMYFUNCTION("""COMPUTED_VALUE"""),"")</f>
        <v/>
      </c>
      <c r="M1415" t="str">
        <f ca="1">IFERROR(__xludf.DUMMYFUNCTION("""COMPUTED_VALUE"""),"")</f>
        <v/>
      </c>
      <c r="N1415" t="str">
        <f ca="1">IFERROR(__xludf.DUMMYFUNCTION("""COMPUTED_VALUE"""),"")</f>
        <v/>
      </c>
      <c r="O1415" t="str">
        <f ca="1">IFERROR(__xludf.DUMMYFUNCTION("""COMPUTED_VALUE"""),"")</f>
        <v/>
      </c>
      <c r="P1415" t="str">
        <f ca="1">IFERROR(__xludf.DUMMYFUNCTION("""COMPUTED_VALUE"""),"")</f>
        <v/>
      </c>
      <c r="Q1415" s="5" t="str">
        <f ca="1">IFERROR(__xludf.DUMMYFUNCTION("""COMPUTED_VALUE"""),"")</f>
        <v/>
      </c>
      <c r="R1415" s="6" t="str">
        <f ca="1">IFERROR(__xludf.DUMMYFUNCTION("""COMPUTED_VALUE"""),"")</f>
        <v/>
      </c>
      <c r="S1415" t="str">
        <f ca="1">IFERROR(__xludf.DUMMYFUNCTION("""COMPUTED_VALUE"""),"")</f>
        <v/>
      </c>
      <c r="T1415" t="str">
        <f ca="1">IFERROR(__xludf.DUMMYFUNCTION("""COMPUTED_VALUE"""),"")</f>
        <v/>
      </c>
      <c r="U1415" t="str">
        <f ca="1">IFERROR(__xludf.DUMMYFUNCTION("""COMPUTED_VALUE"""),"")</f>
        <v/>
      </c>
      <c r="V1415" t="str">
        <f ca="1">IFERROR(__xludf.DUMMYFUNCTION("""COMPUTED_VALUE"""),"")</f>
        <v/>
      </c>
      <c r="W1415" t="str">
        <f ca="1">IFERROR(__xludf.DUMMYFUNCTION("""COMPUTED_VALUE"""),"")</f>
        <v/>
      </c>
      <c r="X1415" t="str">
        <f ca="1">IFERROR(__xludf.DUMMYFUNCTION("""COMPUTED_VALUE"""),"")</f>
        <v/>
      </c>
      <c r="Y1415" t="str">
        <f ca="1">IFERROR(__xludf.DUMMYFUNCTION("""COMPUTED_VALUE"""),"")</f>
        <v/>
      </c>
      <c r="Z1415" t="str">
        <f ca="1">IFERROR(__xludf.DUMMYFUNCTION("""COMPUTED_VALUE"""),"")</f>
        <v/>
      </c>
      <c r="AA1415" t="str">
        <f ca="1">IFERROR(__xludf.DUMMYFUNCTION("""COMPUTED_VALUE"""),"")</f>
        <v/>
      </c>
      <c r="AB1415" s="8" t="str">
        <f ca="1">IFERROR(__xludf.DUMMYFUNCTION("""COMPUTED_VALUE"""),"")</f>
        <v/>
      </c>
      <c r="AC1415" s="8" t="str">
        <f ca="1">IFERROR(__xludf.DUMMYFUNCTION("""COMPUTED_VALUE"""),"")</f>
        <v/>
      </c>
      <c r="AD1415" s="11" t="str">
        <f ca="1">IFERROR(__xludf.DUMMYFUNCTION("""COMPUTED_VALUE"""),"")</f>
        <v/>
      </c>
      <c r="AE1415" t="str">
        <f ca="1">IFERROR(__xludf.DUMMYFUNCTION("""COMPUTED_VALUE"""),"")</f>
        <v/>
      </c>
    </row>
    <row r="1416" spans="1:31" ht="12.75" x14ac:dyDescent="0.2">
      <c r="A1416" t="str">
        <f ca="1">IFERROR(__xludf.DUMMYFUNCTION("""COMPUTED_VALUE"""),"")</f>
        <v/>
      </c>
      <c r="B1416" t="str">
        <f ca="1">IFERROR(__xludf.DUMMYFUNCTION("""COMPUTED_VALUE"""),"")</f>
        <v/>
      </c>
      <c r="C1416" t="str">
        <f ca="1">IFERROR(__xludf.DUMMYFUNCTION("""COMPUTED_VALUE"""),"")</f>
        <v/>
      </c>
      <c r="D1416" t="str">
        <f ca="1">IFERROR(__xludf.DUMMYFUNCTION("""COMPUTED_VALUE"""),"")</f>
        <v/>
      </c>
      <c r="E1416" t="str">
        <f ca="1">IFERROR(__xludf.DUMMYFUNCTION("""COMPUTED_VALUE"""),"")</f>
        <v/>
      </c>
      <c r="F1416" t="str">
        <f ca="1">IFERROR(__xludf.DUMMYFUNCTION("""COMPUTED_VALUE"""),"")</f>
        <v/>
      </c>
      <c r="G1416" t="str">
        <f ca="1">IFERROR(__xludf.DUMMYFUNCTION("""COMPUTED_VALUE"""),"")</f>
        <v/>
      </c>
      <c r="H1416" t="str">
        <f ca="1">IFERROR(__xludf.DUMMYFUNCTION("""COMPUTED_VALUE"""),"")</f>
        <v/>
      </c>
      <c r="I1416" t="str">
        <f ca="1">IFERROR(__xludf.DUMMYFUNCTION("""COMPUTED_VALUE"""),"")</f>
        <v/>
      </c>
      <c r="J1416" t="str">
        <f ca="1">IFERROR(__xludf.DUMMYFUNCTION("""COMPUTED_VALUE"""),"")</f>
        <v/>
      </c>
      <c r="K1416" t="str">
        <f ca="1">IFERROR(__xludf.DUMMYFUNCTION("""COMPUTED_VALUE"""),"")</f>
        <v/>
      </c>
      <c r="L1416" t="str">
        <f ca="1">IFERROR(__xludf.DUMMYFUNCTION("""COMPUTED_VALUE"""),"")</f>
        <v/>
      </c>
      <c r="M1416" t="str">
        <f ca="1">IFERROR(__xludf.DUMMYFUNCTION("""COMPUTED_VALUE"""),"")</f>
        <v/>
      </c>
      <c r="N1416" t="str">
        <f ca="1">IFERROR(__xludf.DUMMYFUNCTION("""COMPUTED_VALUE"""),"")</f>
        <v/>
      </c>
      <c r="O1416" t="str">
        <f ca="1">IFERROR(__xludf.DUMMYFUNCTION("""COMPUTED_VALUE"""),"")</f>
        <v/>
      </c>
      <c r="P1416" t="str">
        <f ca="1">IFERROR(__xludf.DUMMYFUNCTION("""COMPUTED_VALUE"""),"")</f>
        <v/>
      </c>
      <c r="Q1416" s="5" t="str">
        <f ca="1">IFERROR(__xludf.DUMMYFUNCTION("""COMPUTED_VALUE"""),"")</f>
        <v/>
      </c>
      <c r="R1416" s="6" t="str">
        <f ca="1">IFERROR(__xludf.DUMMYFUNCTION("""COMPUTED_VALUE"""),"")</f>
        <v/>
      </c>
      <c r="S1416" t="str">
        <f ca="1">IFERROR(__xludf.DUMMYFUNCTION("""COMPUTED_VALUE"""),"")</f>
        <v/>
      </c>
      <c r="T1416" t="str">
        <f ca="1">IFERROR(__xludf.DUMMYFUNCTION("""COMPUTED_VALUE"""),"")</f>
        <v/>
      </c>
      <c r="U1416" t="str">
        <f ca="1">IFERROR(__xludf.DUMMYFUNCTION("""COMPUTED_VALUE"""),"")</f>
        <v/>
      </c>
      <c r="V1416" t="str">
        <f ca="1">IFERROR(__xludf.DUMMYFUNCTION("""COMPUTED_VALUE"""),"")</f>
        <v/>
      </c>
      <c r="W1416" t="str">
        <f ca="1">IFERROR(__xludf.DUMMYFUNCTION("""COMPUTED_VALUE"""),"")</f>
        <v/>
      </c>
      <c r="X1416" t="str">
        <f ca="1">IFERROR(__xludf.DUMMYFUNCTION("""COMPUTED_VALUE"""),"")</f>
        <v/>
      </c>
      <c r="Y1416" t="str">
        <f ca="1">IFERROR(__xludf.DUMMYFUNCTION("""COMPUTED_VALUE"""),"")</f>
        <v/>
      </c>
      <c r="Z1416" t="str">
        <f ca="1">IFERROR(__xludf.DUMMYFUNCTION("""COMPUTED_VALUE"""),"")</f>
        <v/>
      </c>
      <c r="AA1416" t="str">
        <f ca="1">IFERROR(__xludf.DUMMYFUNCTION("""COMPUTED_VALUE"""),"")</f>
        <v/>
      </c>
      <c r="AB1416" s="8" t="str">
        <f ca="1">IFERROR(__xludf.DUMMYFUNCTION("""COMPUTED_VALUE"""),"")</f>
        <v/>
      </c>
      <c r="AC1416" s="8" t="str">
        <f ca="1">IFERROR(__xludf.DUMMYFUNCTION("""COMPUTED_VALUE"""),"")</f>
        <v/>
      </c>
      <c r="AD1416" s="11" t="str">
        <f ca="1">IFERROR(__xludf.DUMMYFUNCTION("""COMPUTED_VALUE"""),"")</f>
        <v/>
      </c>
      <c r="AE1416" t="str">
        <f ca="1">IFERROR(__xludf.DUMMYFUNCTION("""COMPUTED_VALUE"""),"")</f>
        <v/>
      </c>
    </row>
    <row r="1417" spans="1:31" ht="12.75" x14ac:dyDescent="0.2">
      <c r="A1417" t="str">
        <f ca="1">IFERROR(__xludf.DUMMYFUNCTION("""COMPUTED_VALUE"""),"")</f>
        <v/>
      </c>
      <c r="B1417" t="str">
        <f ca="1">IFERROR(__xludf.DUMMYFUNCTION("""COMPUTED_VALUE"""),"")</f>
        <v/>
      </c>
      <c r="C1417" t="str">
        <f ca="1">IFERROR(__xludf.DUMMYFUNCTION("""COMPUTED_VALUE"""),"")</f>
        <v/>
      </c>
      <c r="D1417" t="str">
        <f ca="1">IFERROR(__xludf.DUMMYFUNCTION("""COMPUTED_VALUE"""),"")</f>
        <v/>
      </c>
      <c r="E1417" t="str">
        <f ca="1">IFERROR(__xludf.DUMMYFUNCTION("""COMPUTED_VALUE"""),"")</f>
        <v/>
      </c>
      <c r="F1417" t="str">
        <f ca="1">IFERROR(__xludf.DUMMYFUNCTION("""COMPUTED_VALUE"""),"")</f>
        <v/>
      </c>
      <c r="G1417" t="str">
        <f ca="1">IFERROR(__xludf.DUMMYFUNCTION("""COMPUTED_VALUE"""),"")</f>
        <v/>
      </c>
      <c r="H1417" t="str">
        <f ca="1">IFERROR(__xludf.DUMMYFUNCTION("""COMPUTED_VALUE"""),"")</f>
        <v/>
      </c>
      <c r="I1417" t="str">
        <f ca="1">IFERROR(__xludf.DUMMYFUNCTION("""COMPUTED_VALUE"""),"")</f>
        <v/>
      </c>
      <c r="J1417" t="str">
        <f ca="1">IFERROR(__xludf.DUMMYFUNCTION("""COMPUTED_VALUE"""),"")</f>
        <v/>
      </c>
      <c r="K1417" t="str">
        <f ca="1">IFERROR(__xludf.DUMMYFUNCTION("""COMPUTED_VALUE"""),"")</f>
        <v/>
      </c>
      <c r="L1417" t="str">
        <f ca="1">IFERROR(__xludf.DUMMYFUNCTION("""COMPUTED_VALUE"""),"")</f>
        <v/>
      </c>
      <c r="M1417" t="str">
        <f ca="1">IFERROR(__xludf.DUMMYFUNCTION("""COMPUTED_VALUE"""),"")</f>
        <v/>
      </c>
      <c r="N1417" t="str">
        <f ca="1">IFERROR(__xludf.DUMMYFUNCTION("""COMPUTED_VALUE"""),"")</f>
        <v/>
      </c>
      <c r="O1417" t="str">
        <f ca="1">IFERROR(__xludf.DUMMYFUNCTION("""COMPUTED_VALUE"""),"")</f>
        <v/>
      </c>
      <c r="P1417" t="str">
        <f ca="1">IFERROR(__xludf.DUMMYFUNCTION("""COMPUTED_VALUE"""),"")</f>
        <v/>
      </c>
      <c r="Q1417" s="5" t="str">
        <f ca="1">IFERROR(__xludf.DUMMYFUNCTION("""COMPUTED_VALUE"""),"")</f>
        <v/>
      </c>
      <c r="R1417" s="6" t="str">
        <f ca="1">IFERROR(__xludf.DUMMYFUNCTION("""COMPUTED_VALUE"""),"")</f>
        <v/>
      </c>
      <c r="S1417" t="str">
        <f ca="1">IFERROR(__xludf.DUMMYFUNCTION("""COMPUTED_VALUE"""),"")</f>
        <v/>
      </c>
      <c r="T1417" t="str">
        <f ca="1">IFERROR(__xludf.DUMMYFUNCTION("""COMPUTED_VALUE"""),"")</f>
        <v/>
      </c>
      <c r="U1417" t="str">
        <f ca="1">IFERROR(__xludf.DUMMYFUNCTION("""COMPUTED_VALUE"""),"")</f>
        <v/>
      </c>
      <c r="V1417" t="str">
        <f ca="1">IFERROR(__xludf.DUMMYFUNCTION("""COMPUTED_VALUE"""),"")</f>
        <v/>
      </c>
      <c r="W1417" t="str">
        <f ca="1">IFERROR(__xludf.DUMMYFUNCTION("""COMPUTED_VALUE"""),"")</f>
        <v/>
      </c>
      <c r="X1417" t="str">
        <f ca="1">IFERROR(__xludf.DUMMYFUNCTION("""COMPUTED_VALUE"""),"")</f>
        <v/>
      </c>
      <c r="Y1417" t="str">
        <f ca="1">IFERROR(__xludf.DUMMYFUNCTION("""COMPUTED_VALUE"""),"")</f>
        <v/>
      </c>
      <c r="Z1417" t="str">
        <f ca="1">IFERROR(__xludf.DUMMYFUNCTION("""COMPUTED_VALUE"""),"")</f>
        <v/>
      </c>
      <c r="AA1417" t="str">
        <f ca="1">IFERROR(__xludf.DUMMYFUNCTION("""COMPUTED_VALUE"""),"")</f>
        <v/>
      </c>
      <c r="AB1417" s="8" t="str">
        <f ca="1">IFERROR(__xludf.DUMMYFUNCTION("""COMPUTED_VALUE"""),"")</f>
        <v/>
      </c>
      <c r="AC1417" s="8" t="str">
        <f ca="1">IFERROR(__xludf.DUMMYFUNCTION("""COMPUTED_VALUE"""),"")</f>
        <v/>
      </c>
      <c r="AD1417" s="11" t="str">
        <f ca="1">IFERROR(__xludf.DUMMYFUNCTION("""COMPUTED_VALUE"""),"")</f>
        <v/>
      </c>
      <c r="AE1417" t="str">
        <f ca="1">IFERROR(__xludf.DUMMYFUNCTION("""COMPUTED_VALUE"""),"")</f>
        <v/>
      </c>
    </row>
    <row r="1418" spans="1:31" ht="12.75" x14ac:dyDescent="0.2">
      <c r="A1418" t="str">
        <f ca="1">IFERROR(__xludf.DUMMYFUNCTION("""COMPUTED_VALUE"""),"")</f>
        <v/>
      </c>
      <c r="B1418" t="str">
        <f ca="1">IFERROR(__xludf.DUMMYFUNCTION("""COMPUTED_VALUE"""),"")</f>
        <v/>
      </c>
      <c r="C1418" t="str">
        <f ca="1">IFERROR(__xludf.DUMMYFUNCTION("""COMPUTED_VALUE"""),"")</f>
        <v/>
      </c>
      <c r="D1418" t="str">
        <f ca="1">IFERROR(__xludf.DUMMYFUNCTION("""COMPUTED_VALUE"""),"")</f>
        <v/>
      </c>
      <c r="E1418" t="str">
        <f ca="1">IFERROR(__xludf.DUMMYFUNCTION("""COMPUTED_VALUE"""),"")</f>
        <v/>
      </c>
      <c r="F1418" t="str">
        <f ca="1">IFERROR(__xludf.DUMMYFUNCTION("""COMPUTED_VALUE"""),"")</f>
        <v/>
      </c>
      <c r="G1418" t="str">
        <f ca="1">IFERROR(__xludf.DUMMYFUNCTION("""COMPUTED_VALUE"""),"")</f>
        <v/>
      </c>
      <c r="H1418" t="str">
        <f ca="1">IFERROR(__xludf.DUMMYFUNCTION("""COMPUTED_VALUE"""),"")</f>
        <v/>
      </c>
      <c r="I1418" t="str">
        <f ca="1">IFERROR(__xludf.DUMMYFUNCTION("""COMPUTED_VALUE"""),"")</f>
        <v/>
      </c>
      <c r="J1418" t="str">
        <f ca="1">IFERROR(__xludf.DUMMYFUNCTION("""COMPUTED_VALUE"""),"")</f>
        <v/>
      </c>
      <c r="K1418" t="str">
        <f ca="1">IFERROR(__xludf.DUMMYFUNCTION("""COMPUTED_VALUE"""),"")</f>
        <v/>
      </c>
      <c r="L1418" t="str">
        <f ca="1">IFERROR(__xludf.DUMMYFUNCTION("""COMPUTED_VALUE"""),"")</f>
        <v/>
      </c>
      <c r="M1418" t="str">
        <f ca="1">IFERROR(__xludf.DUMMYFUNCTION("""COMPUTED_VALUE"""),"")</f>
        <v/>
      </c>
      <c r="N1418" t="str">
        <f ca="1">IFERROR(__xludf.DUMMYFUNCTION("""COMPUTED_VALUE"""),"")</f>
        <v/>
      </c>
      <c r="O1418" t="str">
        <f ca="1">IFERROR(__xludf.DUMMYFUNCTION("""COMPUTED_VALUE"""),"")</f>
        <v/>
      </c>
      <c r="P1418" t="str">
        <f ca="1">IFERROR(__xludf.DUMMYFUNCTION("""COMPUTED_VALUE"""),"")</f>
        <v/>
      </c>
      <c r="Q1418" s="5" t="str">
        <f ca="1">IFERROR(__xludf.DUMMYFUNCTION("""COMPUTED_VALUE"""),"")</f>
        <v/>
      </c>
      <c r="R1418" s="6" t="str">
        <f ca="1">IFERROR(__xludf.DUMMYFUNCTION("""COMPUTED_VALUE"""),"")</f>
        <v/>
      </c>
      <c r="S1418" t="str">
        <f ca="1">IFERROR(__xludf.DUMMYFUNCTION("""COMPUTED_VALUE"""),"")</f>
        <v/>
      </c>
      <c r="T1418" t="str">
        <f ca="1">IFERROR(__xludf.DUMMYFUNCTION("""COMPUTED_VALUE"""),"")</f>
        <v/>
      </c>
      <c r="U1418" t="str">
        <f ca="1">IFERROR(__xludf.DUMMYFUNCTION("""COMPUTED_VALUE"""),"")</f>
        <v/>
      </c>
      <c r="V1418" t="str">
        <f ca="1">IFERROR(__xludf.DUMMYFUNCTION("""COMPUTED_VALUE"""),"")</f>
        <v/>
      </c>
      <c r="W1418" t="str">
        <f ca="1">IFERROR(__xludf.DUMMYFUNCTION("""COMPUTED_VALUE"""),"")</f>
        <v/>
      </c>
      <c r="X1418" t="str">
        <f ca="1">IFERROR(__xludf.DUMMYFUNCTION("""COMPUTED_VALUE"""),"")</f>
        <v/>
      </c>
      <c r="Y1418" t="str">
        <f ca="1">IFERROR(__xludf.DUMMYFUNCTION("""COMPUTED_VALUE"""),"")</f>
        <v/>
      </c>
      <c r="Z1418" t="str">
        <f ca="1">IFERROR(__xludf.DUMMYFUNCTION("""COMPUTED_VALUE"""),"")</f>
        <v/>
      </c>
      <c r="AA1418" t="str">
        <f ca="1">IFERROR(__xludf.DUMMYFUNCTION("""COMPUTED_VALUE"""),"")</f>
        <v/>
      </c>
      <c r="AB1418" s="8" t="str">
        <f ca="1">IFERROR(__xludf.DUMMYFUNCTION("""COMPUTED_VALUE"""),"")</f>
        <v/>
      </c>
      <c r="AC1418" s="8" t="str">
        <f ca="1">IFERROR(__xludf.DUMMYFUNCTION("""COMPUTED_VALUE"""),"")</f>
        <v/>
      </c>
      <c r="AD1418" s="11" t="str">
        <f ca="1">IFERROR(__xludf.DUMMYFUNCTION("""COMPUTED_VALUE"""),"")</f>
        <v/>
      </c>
      <c r="AE1418" t="str">
        <f ca="1">IFERROR(__xludf.DUMMYFUNCTION("""COMPUTED_VALUE"""),"")</f>
        <v/>
      </c>
    </row>
    <row r="1419" spans="1:31" ht="12.75" x14ac:dyDescent="0.2">
      <c r="A1419" t="str">
        <f ca="1">IFERROR(__xludf.DUMMYFUNCTION("""COMPUTED_VALUE"""),"")</f>
        <v/>
      </c>
      <c r="B1419" t="str">
        <f ca="1">IFERROR(__xludf.DUMMYFUNCTION("""COMPUTED_VALUE"""),"")</f>
        <v/>
      </c>
      <c r="C1419" t="str">
        <f ca="1">IFERROR(__xludf.DUMMYFUNCTION("""COMPUTED_VALUE"""),"")</f>
        <v/>
      </c>
      <c r="D1419" t="str">
        <f ca="1">IFERROR(__xludf.DUMMYFUNCTION("""COMPUTED_VALUE"""),"")</f>
        <v/>
      </c>
      <c r="E1419" t="str">
        <f ca="1">IFERROR(__xludf.DUMMYFUNCTION("""COMPUTED_VALUE"""),"")</f>
        <v/>
      </c>
      <c r="F1419" t="str">
        <f ca="1">IFERROR(__xludf.DUMMYFUNCTION("""COMPUTED_VALUE"""),"")</f>
        <v/>
      </c>
      <c r="G1419" t="str">
        <f ca="1">IFERROR(__xludf.DUMMYFUNCTION("""COMPUTED_VALUE"""),"")</f>
        <v/>
      </c>
      <c r="H1419" t="str">
        <f ca="1">IFERROR(__xludf.DUMMYFUNCTION("""COMPUTED_VALUE"""),"")</f>
        <v/>
      </c>
      <c r="I1419" t="str">
        <f ca="1">IFERROR(__xludf.DUMMYFUNCTION("""COMPUTED_VALUE"""),"")</f>
        <v/>
      </c>
      <c r="J1419" t="str">
        <f ca="1">IFERROR(__xludf.DUMMYFUNCTION("""COMPUTED_VALUE"""),"")</f>
        <v/>
      </c>
      <c r="K1419" t="str">
        <f ca="1">IFERROR(__xludf.DUMMYFUNCTION("""COMPUTED_VALUE"""),"")</f>
        <v/>
      </c>
      <c r="L1419" t="str">
        <f ca="1">IFERROR(__xludf.DUMMYFUNCTION("""COMPUTED_VALUE"""),"")</f>
        <v/>
      </c>
      <c r="M1419" t="str">
        <f ca="1">IFERROR(__xludf.DUMMYFUNCTION("""COMPUTED_VALUE"""),"")</f>
        <v/>
      </c>
      <c r="N1419" t="str">
        <f ca="1">IFERROR(__xludf.DUMMYFUNCTION("""COMPUTED_VALUE"""),"")</f>
        <v/>
      </c>
      <c r="O1419" t="str">
        <f ca="1">IFERROR(__xludf.DUMMYFUNCTION("""COMPUTED_VALUE"""),"")</f>
        <v/>
      </c>
      <c r="P1419" t="str">
        <f ca="1">IFERROR(__xludf.DUMMYFUNCTION("""COMPUTED_VALUE"""),"")</f>
        <v/>
      </c>
      <c r="Q1419" s="5" t="str">
        <f ca="1">IFERROR(__xludf.DUMMYFUNCTION("""COMPUTED_VALUE"""),"")</f>
        <v/>
      </c>
      <c r="R1419" s="6" t="str">
        <f ca="1">IFERROR(__xludf.DUMMYFUNCTION("""COMPUTED_VALUE"""),"")</f>
        <v/>
      </c>
      <c r="S1419" t="str">
        <f ca="1">IFERROR(__xludf.DUMMYFUNCTION("""COMPUTED_VALUE"""),"")</f>
        <v/>
      </c>
      <c r="T1419" t="str">
        <f ca="1">IFERROR(__xludf.DUMMYFUNCTION("""COMPUTED_VALUE"""),"")</f>
        <v/>
      </c>
      <c r="U1419" t="str">
        <f ca="1">IFERROR(__xludf.DUMMYFUNCTION("""COMPUTED_VALUE"""),"")</f>
        <v/>
      </c>
      <c r="V1419" t="str">
        <f ca="1">IFERROR(__xludf.DUMMYFUNCTION("""COMPUTED_VALUE"""),"")</f>
        <v/>
      </c>
      <c r="W1419" t="str">
        <f ca="1">IFERROR(__xludf.DUMMYFUNCTION("""COMPUTED_VALUE"""),"")</f>
        <v/>
      </c>
      <c r="X1419" t="str">
        <f ca="1">IFERROR(__xludf.DUMMYFUNCTION("""COMPUTED_VALUE"""),"")</f>
        <v/>
      </c>
      <c r="Y1419" t="str">
        <f ca="1">IFERROR(__xludf.DUMMYFUNCTION("""COMPUTED_VALUE"""),"")</f>
        <v/>
      </c>
      <c r="Z1419" t="str">
        <f ca="1">IFERROR(__xludf.DUMMYFUNCTION("""COMPUTED_VALUE"""),"")</f>
        <v/>
      </c>
      <c r="AA1419" t="str">
        <f ca="1">IFERROR(__xludf.DUMMYFUNCTION("""COMPUTED_VALUE"""),"")</f>
        <v/>
      </c>
      <c r="AB1419" s="8" t="str">
        <f ca="1">IFERROR(__xludf.DUMMYFUNCTION("""COMPUTED_VALUE"""),"")</f>
        <v/>
      </c>
      <c r="AC1419" s="8" t="str">
        <f ca="1">IFERROR(__xludf.DUMMYFUNCTION("""COMPUTED_VALUE"""),"")</f>
        <v/>
      </c>
      <c r="AD1419" s="11" t="str">
        <f ca="1">IFERROR(__xludf.DUMMYFUNCTION("""COMPUTED_VALUE"""),"")</f>
        <v/>
      </c>
      <c r="AE1419" t="str">
        <f ca="1">IFERROR(__xludf.DUMMYFUNCTION("""COMPUTED_VALUE"""),"")</f>
        <v/>
      </c>
    </row>
    <row r="1420" spans="1:31" ht="12.75" x14ac:dyDescent="0.2">
      <c r="A1420" t="str">
        <f ca="1">IFERROR(__xludf.DUMMYFUNCTION("""COMPUTED_VALUE"""),"")</f>
        <v/>
      </c>
      <c r="B1420" t="str">
        <f ca="1">IFERROR(__xludf.DUMMYFUNCTION("""COMPUTED_VALUE"""),"")</f>
        <v/>
      </c>
      <c r="C1420" t="str">
        <f ca="1">IFERROR(__xludf.DUMMYFUNCTION("""COMPUTED_VALUE"""),"")</f>
        <v/>
      </c>
      <c r="D1420" t="str">
        <f ca="1">IFERROR(__xludf.DUMMYFUNCTION("""COMPUTED_VALUE"""),"")</f>
        <v/>
      </c>
      <c r="E1420" t="str">
        <f ca="1">IFERROR(__xludf.DUMMYFUNCTION("""COMPUTED_VALUE"""),"")</f>
        <v/>
      </c>
      <c r="F1420" t="str">
        <f ca="1">IFERROR(__xludf.DUMMYFUNCTION("""COMPUTED_VALUE"""),"")</f>
        <v/>
      </c>
      <c r="G1420" t="str">
        <f ca="1">IFERROR(__xludf.DUMMYFUNCTION("""COMPUTED_VALUE"""),"")</f>
        <v/>
      </c>
      <c r="H1420" t="str">
        <f ca="1">IFERROR(__xludf.DUMMYFUNCTION("""COMPUTED_VALUE"""),"")</f>
        <v/>
      </c>
      <c r="I1420" t="str">
        <f ca="1">IFERROR(__xludf.DUMMYFUNCTION("""COMPUTED_VALUE"""),"")</f>
        <v/>
      </c>
      <c r="J1420" t="str">
        <f ca="1">IFERROR(__xludf.DUMMYFUNCTION("""COMPUTED_VALUE"""),"")</f>
        <v/>
      </c>
      <c r="K1420" t="str">
        <f ca="1">IFERROR(__xludf.DUMMYFUNCTION("""COMPUTED_VALUE"""),"")</f>
        <v/>
      </c>
      <c r="L1420" t="str">
        <f ca="1">IFERROR(__xludf.DUMMYFUNCTION("""COMPUTED_VALUE"""),"")</f>
        <v/>
      </c>
      <c r="M1420" t="str">
        <f ca="1">IFERROR(__xludf.DUMMYFUNCTION("""COMPUTED_VALUE"""),"")</f>
        <v/>
      </c>
      <c r="N1420" t="str">
        <f ca="1">IFERROR(__xludf.DUMMYFUNCTION("""COMPUTED_VALUE"""),"")</f>
        <v/>
      </c>
      <c r="O1420" t="str">
        <f ca="1">IFERROR(__xludf.DUMMYFUNCTION("""COMPUTED_VALUE"""),"")</f>
        <v/>
      </c>
      <c r="P1420" t="str">
        <f ca="1">IFERROR(__xludf.DUMMYFUNCTION("""COMPUTED_VALUE"""),"")</f>
        <v/>
      </c>
      <c r="Q1420" s="5" t="str">
        <f ca="1">IFERROR(__xludf.DUMMYFUNCTION("""COMPUTED_VALUE"""),"")</f>
        <v/>
      </c>
      <c r="R1420" s="6" t="str">
        <f ca="1">IFERROR(__xludf.DUMMYFUNCTION("""COMPUTED_VALUE"""),"")</f>
        <v/>
      </c>
      <c r="S1420" t="str">
        <f ca="1">IFERROR(__xludf.DUMMYFUNCTION("""COMPUTED_VALUE"""),"")</f>
        <v/>
      </c>
      <c r="T1420" t="str">
        <f ca="1">IFERROR(__xludf.DUMMYFUNCTION("""COMPUTED_VALUE"""),"")</f>
        <v/>
      </c>
      <c r="U1420" t="str">
        <f ca="1">IFERROR(__xludf.DUMMYFUNCTION("""COMPUTED_VALUE"""),"")</f>
        <v/>
      </c>
      <c r="V1420" t="str">
        <f ca="1">IFERROR(__xludf.DUMMYFUNCTION("""COMPUTED_VALUE"""),"")</f>
        <v/>
      </c>
      <c r="W1420" t="str">
        <f ca="1">IFERROR(__xludf.DUMMYFUNCTION("""COMPUTED_VALUE"""),"")</f>
        <v/>
      </c>
      <c r="X1420" t="str">
        <f ca="1">IFERROR(__xludf.DUMMYFUNCTION("""COMPUTED_VALUE"""),"")</f>
        <v/>
      </c>
      <c r="Y1420" t="str">
        <f ca="1">IFERROR(__xludf.DUMMYFUNCTION("""COMPUTED_VALUE"""),"")</f>
        <v/>
      </c>
      <c r="Z1420" t="str">
        <f ca="1">IFERROR(__xludf.DUMMYFUNCTION("""COMPUTED_VALUE"""),"")</f>
        <v/>
      </c>
      <c r="AA1420" t="str">
        <f ca="1">IFERROR(__xludf.DUMMYFUNCTION("""COMPUTED_VALUE"""),"")</f>
        <v/>
      </c>
      <c r="AB1420" s="8" t="str">
        <f ca="1">IFERROR(__xludf.DUMMYFUNCTION("""COMPUTED_VALUE"""),"")</f>
        <v/>
      </c>
      <c r="AC1420" s="8" t="str">
        <f ca="1">IFERROR(__xludf.DUMMYFUNCTION("""COMPUTED_VALUE"""),"")</f>
        <v/>
      </c>
      <c r="AD1420" s="11" t="str">
        <f ca="1">IFERROR(__xludf.DUMMYFUNCTION("""COMPUTED_VALUE"""),"")</f>
        <v/>
      </c>
      <c r="AE1420" t="str">
        <f ca="1">IFERROR(__xludf.DUMMYFUNCTION("""COMPUTED_VALUE"""),"")</f>
        <v/>
      </c>
    </row>
    <row r="1421" spans="1:31" ht="12.75" x14ac:dyDescent="0.2">
      <c r="A1421" t="str">
        <f ca="1">IFERROR(__xludf.DUMMYFUNCTION("""COMPUTED_VALUE"""),"")</f>
        <v/>
      </c>
      <c r="B1421" t="str">
        <f ca="1">IFERROR(__xludf.DUMMYFUNCTION("""COMPUTED_VALUE"""),"")</f>
        <v/>
      </c>
      <c r="C1421" t="str">
        <f ca="1">IFERROR(__xludf.DUMMYFUNCTION("""COMPUTED_VALUE"""),"")</f>
        <v/>
      </c>
      <c r="D1421" t="str">
        <f ca="1">IFERROR(__xludf.DUMMYFUNCTION("""COMPUTED_VALUE"""),"")</f>
        <v/>
      </c>
      <c r="E1421" t="str">
        <f ca="1">IFERROR(__xludf.DUMMYFUNCTION("""COMPUTED_VALUE"""),"")</f>
        <v/>
      </c>
      <c r="F1421" t="str">
        <f ca="1">IFERROR(__xludf.DUMMYFUNCTION("""COMPUTED_VALUE"""),"")</f>
        <v/>
      </c>
      <c r="G1421" t="str">
        <f ca="1">IFERROR(__xludf.DUMMYFUNCTION("""COMPUTED_VALUE"""),"")</f>
        <v/>
      </c>
      <c r="H1421" t="str">
        <f ca="1">IFERROR(__xludf.DUMMYFUNCTION("""COMPUTED_VALUE"""),"")</f>
        <v/>
      </c>
      <c r="I1421" t="str">
        <f ca="1">IFERROR(__xludf.DUMMYFUNCTION("""COMPUTED_VALUE"""),"")</f>
        <v/>
      </c>
      <c r="J1421" t="str">
        <f ca="1">IFERROR(__xludf.DUMMYFUNCTION("""COMPUTED_VALUE"""),"")</f>
        <v/>
      </c>
      <c r="K1421" t="str">
        <f ca="1">IFERROR(__xludf.DUMMYFUNCTION("""COMPUTED_VALUE"""),"")</f>
        <v/>
      </c>
      <c r="L1421" t="str">
        <f ca="1">IFERROR(__xludf.DUMMYFUNCTION("""COMPUTED_VALUE"""),"")</f>
        <v/>
      </c>
      <c r="M1421" t="str">
        <f ca="1">IFERROR(__xludf.DUMMYFUNCTION("""COMPUTED_VALUE"""),"")</f>
        <v/>
      </c>
      <c r="N1421" t="str">
        <f ca="1">IFERROR(__xludf.DUMMYFUNCTION("""COMPUTED_VALUE"""),"")</f>
        <v/>
      </c>
      <c r="O1421" t="str">
        <f ca="1">IFERROR(__xludf.DUMMYFUNCTION("""COMPUTED_VALUE"""),"")</f>
        <v/>
      </c>
      <c r="P1421" t="str">
        <f ca="1">IFERROR(__xludf.DUMMYFUNCTION("""COMPUTED_VALUE"""),"")</f>
        <v/>
      </c>
      <c r="Q1421" s="5" t="str">
        <f ca="1">IFERROR(__xludf.DUMMYFUNCTION("""COMPUTED_VALUE"""),"")</f>
        <v/>
      </c>
      <c r="R1421" s="6" t="str">
        <f ca="1">IFERROR(__xludf.DUMMYFUNCTION("""COMPUTED_VALUE"""),"")</f>
        <v/>
      </c>
      <c r="S1421" t="str">
        <f ca="1">IFERROR(__xludf.DUMMYFUNCTION("""COMPUTED_VALUE"""),"")</f>
        <v/>
      </c>
      <c r="T1421" t="str">
        <f ca="1">IFERROR(__xludf.DUMMYFUNCTION("""COMPUTED_VALUE"""),"")</f>
        <v/>
      </c>
      <c r="U1421" t="str">
        <f ca="1">IFERROR(__xludf.DUMMYFUNCTION("""COMPUTED_VALUE"""),"")</f>
        <v/>
      </c>
      <c r="V1421" t="str">
        <f ca="1">IFERROR(__xludf.DUMMYFUNCTION("""COMPUTED_VALUE"""),"")</f>
        <v/>
      </c>
      <c r="W1421" t="str">
        <f ca="1">IFERROR(__xludf.DUMMYFUNCTION("""COMPUTED_VALUE"""),"")</f>
        <v/>
      </c>
      <c r="X1421" t="str">
        <f ca="1">IFERROR(__xludf.DUMMYFUNCTION("""COMPUTED_VALUE"""),"")</f>
        <v/>
      </c>
      <c r="Y1421" t="str">
        <f ca="1">IFERROR(__xludf.DUMMYFUNCTION("""COMPUTED_VALUE"""),"")</f>
        <v/>
      </c>
      <c r="Z1421" t="str">
        <f ca="1">IFERROR(__xludf.DUMMYFUNCTION("""COMPUTED_VALUE"""),"")</f>
        <v/>
      </c>
      <c r="AA1421" t="str">
        <f ca="1">IFERROR(__xludf.DUMMYFUNCTION("""COMPUTED_VALUE"""),"")</f>
        <v/>
      </c>
      <c r="AB1421" s="8" t="str">
        <f ca="1">IFERROR(__xludf.DUMMYFUNCTION("""COMPUTED_VALUE"""),"")</f>
        <v/>
      </c>
      <c r="AC1421" s="8" t="str">
        <f ca="1">IFERROR(__xludf.DUMMYFUNCTION("""COMPUTED_VALUE"""),"")</f>
        <v/>
      </c>
      <c r="AD1421" s="11" t="str">
        <f ca="1">IFERROR(__xludf.DUMMYFUNCTION("""COMPUTED_VALUE"""),"")</f>
        <v/>
      </c>
      <c r="AE1421" t="str">
        <f ca="1">IFERROR(__xludf.DUMMYFUNCTION("""COMPUTED_VALUE"""),"")</f>
        <v/>
      </c>
    </row>
    <row r="1422" spans="1:31" ht="12.75" x14ac:dyDescent="0.2">
      <c r="A1422" t="str">
        <f ca="1">IFERROR(__xludf.DUMMYFUNCTION("""COMPUTED_VALUE"""),"")</f>
        <v/>
      </c>
      <c r="B1422" t="str">
        <f ca="1">IFERROR(__xludf.DUMMYFUNCTION("""COMPUTED_VALUE"""),"")</f>
        <v/>
      </c>
      <c r="C1422" t="str">
        <f ca="1">IFERROR(__xludf.DUMMYFUNCTION("""COMPUTED_VALUE"""),"")</f>
        <v/>
      </c>
      <c r="D1422" t="str">
        <f ca="1">IFERROR(__xludf.DUMMYFUNCTION("""COMPUTED_VALUE"""),"")</f>
        <v/>
      </c>
      <c r="E1422" t="str">
        <f ca="1">IFERROR(__xludf.DUMMYFUNCTION("""COMPUTED_VALUE"""),"")</f>
        <v/>
      </c>
      <c r="F1422" t="str">
        <f ca="1">IFERROR(__xludf.DUMMYFUNCTION("""COMPUTED_VALUE"""),"")</f>
        <v/>
      </c>
      <c r="G1422" t="str">
        <f ca="1">IFERROR(__xludf.DUMMYFUNCTION("""COMPUTED_VALUE"""),"")</f>
        <v/>
      </c>
      <c r="H1422" t="str">
        <f ca="1">IFERROR(__xludf.DUMMYFUNCTION("""COMPUTED_VALUE"""),"")</f>
        <v/>
      </c>
      <c r="I1422" t="str">
        <f ca="1">IFERROR(__xludf.DUMMYFUNCTION("""COMPUTED_VALUE"""),"")</f>
        <v/>
      </c>
      <c r="J1422" t="str">
        <f ca="1">IFERROR(__xludf.DUMMYFUNCTION("""COMPUTED_VALUE"""),"")</f>
        <v/>
      </c>
      <c r="K1422" t="str">
        <f ca="1">IFERROR(__xludf.DUMMYFUNCTION("""COMPUTED_VALUE"""),"")</f>
        <v/>
      </c>
      <c r="L1422" t="str">
        <f ca="1">IFERROR(__xludf.DUMMYFUNCTION("""COMPUTED_VALUE"""),"")</f>
        <v/>
      </c>
      <c r="M1422" t="str">
        <f ca="1">IFERROR(__xludf.DUMMYFUNCTION("""COMPUTED_VALUE"""),"")</f>
        <v/>
      </c>
      <c r="N1422" t="str">
        <f ca="1">IFERROR(__xludf.DUMMYFUNCTION("""COMPUTED_VALUE"""),"")</f>
        <v/>
      </c>
      <c r="O1422" t="str">
        <f ca="1">IFERROR(__xludf.DUMMYFUNCTION("""COMPUTED_VALUE"""),"")</f>
        <v/>
      </c>
      <c r="P1422" t="str">
        <f ca="1">IFERROR(__xludf.DUMMYFUNCTION("""COMPUTED_VALUE"""),"")</f>
        <v/>
      </c>
      <c r="Q1422" s="5" t="str">
        <f ca="1">IFERROR(__xludf.DUMMYFUNCTION("""COMPUTED_VALUE"""),"")</f>
        <v/>
      </c>
      <c r="R1422" s="6" t="str">
        <f ca="1">IFERROR(__xludf.DUMMYFUNCTION("""COMPUTED_VALUE"""),"")</f>
        <v/>
      </c>
      <c r="S1422" t="str">
        <f ca="1">IFERROR(__xludf.DUMMYFUNCTION("""COMPUTED_VALUE"""),"")</f>
        <v/>
      </c>
      <c r="T1422" t="str">
        <f ca="1">IFERROR(__xludf.DUMMYFUNCTION("""COMPUTED_VALUE"""),"")</f>
        <v/>
      </c>
      <c r="U1422" t="str">
        <f ca="1">IFERROR(__xludf.DUMMYFUNCTION("""COMPUTED_VALUE"""),"")</f>
        <v/>
      </c>
      <c r="V1422" t="str">
        <f ca="1">IFERROR(__xludf.DUMMYFUNCTION("""COMPUTED_VALUE"""),"")</f>
        <v/>
      </c>
      <c r="W1422" t="str">
        <f ca="1">IFERROR(__xludf.DUMMYFUNCTION("""COMPUTED_VALUE"""),"")</f>
        <v/>
      </c>
      <c r="X1422" t="str">
        <f ca="1">IFERROR(__xludf.DUMMYFUNCTION("""COMPUTED_VALUE"""),"")</f>
        <v/>
      </c>
      <c r="Y1422" t="str">
        <f ca="1">IFERROR(__xludf.DUMMYFUNCTION("""COMPUTED_VALUE"""),"")</f>
        <v/>
      </c>
      <c r="Z1422" t="str">
        <f ca="1">IFERROR(__xludf.DUMMYFUNCTION("""COMPUTED_VALUE"""),"")</f>
        <v/>
      </c>
      <c r="AA1422" t="str">
        <f ca="1">IFERROR(__xludf.DUMMYFUNCTION("""COMPUTED_VALUE"""),"")</f>
        <v/>
      </c>
      <c r="AB1422" s="8" t="str">
        <f ca="1">IFERROR(__xludf.DUMMYFUNCTION("""COMPUTED_VALUE"""),"")</f>
        <v/>
      </c>
      <c r="AC1422" s="8" t="str">
        <f ca="1">IFERROR(__xludf.DUMMYFUNCTION("""COMPUTED_VALUE"""),"")</f>
        <v/>
      </c>
      <c r="AD1422" s="11" t="str">
        <f ca="1">IFERROR(__xludf.DUMMYFUNCTION("""COMPUTED_VALUE"""),"")</f>
        <v/>
      </c>
      <c r="AE1422" t="str">
        <f ca="1">IFERROR(__xludf.DUMMYFUNCTION("""COMPUTED_VALUE"""),"")</f>
        <v/>
      </c>
    </row>
    <row r="1423" spans="1:31" ht="12.75" x14ac:dyDescent="0.2">
      <c r="A1423" t="str">
        <f ca="1">IFERROR(__xludf.DUMMYFUNCTION("""COMPUTED_VALUE"""),"")</f>
        <v/>
      </c>
      <c r="B1423" t="str">
        <f ca="1">IFERROR(__xludf.DUMMYFUNCTION("""COMPUTED_VALUE"""),"")</f>
        <v/>
      </c>
      <c r="C1423" t="str">
        <f ca="1">IFERROR(__xludf.DUMMYFUNCTION("""COMPUTED_VALUE"""),"")</f>
        <v/>
      </c>
      <c r="D1423" t="str">
        <f ca="1">IFERROR(__xludf.DUMMYFUNCTION("""COMPUTED_VALUE"""),"")</f>
        <v/>
      </c>
      <c r="E1423" t="str">
        <f ca="1">IFERROR(__xludf.DUMMYFUNCTION("""COMPUTED_VALUE"""),"")</f>
        <v/>
      </c>
      <c r="F1423" t="str">
        <f ca="1">IFERROR(__xludf.DUMMYFUNCTION("""COMPUTED_VALUE"""),"")</f>
        <v/>
      </c>
      <c r="G1423" t="str">
        <f ca="1">IFERROR(__xludf.DUMMYFUNCTION("""COMPUTED_VALUE"""),"")</f>
        <v/>
      </c>
      <c r="H1423" t="str">
        <f ca="1">IFERROR(__xludf.DUMMYFUNCTION("""COMPUTED_VALUE"""),"")</f>
        <v/>
      </c>
      <c r="I1423" t="str">
        <f ca="1">IFERROR(__xludf.DUMMYFUNCTION("""COMPUTED_VALUE"""),"")</f>
        <v/>
      </c>
      <c r="J1423" t="str">
        <f ca="1">IFERROR(__xludf.DUMMYFUNCTION("""COMPUTED_VALUE"""),"")</f>
        <v/>
      </c>
      <c r="K1423" t="str">
        <f ca="1">IFERROR(__xludf.DUMMYFUNCTION("""COMPUTED_VALUE"""),"")</f>
        <v/>
      </c>
      <c r="L1423" t="str">
        <f ca="1">IFERROR(__xludf.DUMMYFUNCTION("""COMPUTED_VALUE"""),"")</f>
        <v/>
      </c>
      <c r="M1423" t="str">
        <f ca="1">IFERROR(__xludf.DUMMYFUNCTION("""COMPUTED_VALUE"""),"")</f>
        <v/>
      </c>
      <c r="N1423" t="str">
        <f ca="1">IFERROR(__xludf.DUMMYFUNCTION("""COMPUTED_VALUE"""),"")</f>
        <v/>
      </c>
      <c r="O1423" t="str">
        <f ca="1">IFERROR(__xludf.DUMMYFUNCTION("""COMPUTED_VALUE"""),"")</f>
        <v/>
      </c>
      <c r="P1423" t="str">
        <f ca="1">IFERROR(__xludf.DUMMYFUNCTION("""COMPUTED_VALUE"""),"")</f>
        <v/>
      </c>
      <c r="Q1423" s="5" t="str">
        <f ca="1">IFERROR(__xludf.DUMMYFUNCTION("""COMPUTED_VALUE"""),"")</f>
        <v/>
      </c>
      <c r="R1423" s="6" t="str">
        <f ca="1">IFERROR(__xludf.DUMMYFUNCTION("""COMPUTED_VALUE"""),"")</f>
        <v/>
      </c>
      <c r="S1423" t="str">
        <f ca="1">IFERROR(__xludf.DUMMYFUNCTION("""COMPUTED_VALUE"""),"")</f>
        <v/>
      </c>
      <c r="T1423" t="str">
        <f ca="1">IFERROR(__xludf.DUMMYFUNCTION("""COMPUTED_VALUE"""),"")</f>
        <v/>
      </c>
      <c r="U1423" t="str">
        <f ca="1">IFERROR(__xludf.DUMMYFUNCTION("""COMPUTED_VALUE"""),"")</f>
        <v/>
      </c>
      <c r="V1423" t="str">
        <f ca="1">IFERROR(__xludf.DUMMYFUNCTION("""COMPUTED_VALUE"""),"")</f>
        <v/>
      </c>
      <c r="W1423" t="str">
        <f ca="1">IFERROR(__xludf.DUMMYFUNCTION("""COMPUTED_VALUE"""),"")</f>
        <v/>
      </c>
      <c r="X1423" t="str">
        <f ca="1">IFERROR(__xludf.DUMMYFUNCTION("""COMPUTED_VALUE"""),"")</f>
        <v/>
      </c>
      <c r="Y1423" t="str">
        <f ca="1">IFERROR(__xludf.DUMMYFUNCTION("""COMPUTED_VALUE"""),"")</f>
        <v/>
      </c>
      <c r="Z1423" t="str">
        <f ca="1">IFERROR(__xludf.DUMMYFUNCTION("""COMPUTED_VALUE"""),"")</f>
        <v/>
      </c>
      <c r="AA1423" t="str">
        <f ca="1">IFERROR(__xludf.DUMMYFUNCTION("""COMPUTED_VALUE"""),"")</f>
        <v/>
      </c>
      <c r="AB1423" s="8" t="str">
        <f ca="1">IFERROR(__xludf.DUMMYFUNCTION("""COMPUTED_VALUE"""),"")</f>
        <v/>
      </c>
      <c r="AC1423" s="8" t="str">
        <f ca="1">IFERROR(__xludf.DUMMYFUNCTION("""COMPUTED_VALUE"""),"")</f>
        <v/>
      </c>
      <c r="AD1423" s="11" t="str">
        <f ca="1">IFERROR(__xludf.DUMMYFUNCTION("""COMPUTED_VALUE"""),"")</f>
        <v/>
      </c>
      <c r="AE1423" t="str">
        <f ca="1">IFERROR(__xludf.DUMMYFUNCTION("""COMPUTED_VALUE"""),"")</f>
        <v/>
      </c>
    </row>
    <row r="1424" spans="1:31" ht="12.75" x14ac:dyDescent="0.2">
      <c r="A1424" t="str">
        <f ca="1">IFERROR(__xludf.DUMMYFUNCTION("""COMPUTED_VALUE"""),"")</f>
        <v/>
      </c>
      <c r="B1424" t="str">
        <f ca="1">IFERROR(__xludf.DUMMYFUNCTION("""COMPUTED_VALUE"""),"")</f>
        <v/>
      </c>
      <c r="C1424" t="str">
        <f ca="1">IFERROR(__xludf.DUMMYFUNCTION("""COMPUTED_VALUE"""),"")</f>
        <v/>
      </c>
      <c r="D1424" t="str">
        <f ca="1">IFERROR(__xludf.DUMMYFUNCTION("""COMPUTED_VALUE"""),"")</f>
        <v/>
      </c>
      <c r="E1424" t="str">
        <f ca="1">IFERROR(__xludf.DUMMYFUNCTION("""COMPUTED_VALUE"""),"")</f>
        <v/>
      </c>
      <c r="F1424" t="str">
        <f ca="1">IFERROR(__xludf.DUMMYFUNCTION("""COMPUTED_VALUE"""),"")</f>
        <v/>
      </c>
      <c r="G1424" t="str">
        <f ca="1">IFERROR(__xludf.DUMMYFUNCTION("""COMPUTED_VALUE"""),"")</f>
        <v/>
      </c>
      <c r="H1424" t="str">
        <f ca="1">IFERROR(__xludf.DUMMYFUNCTION("""COMPUTED_VALUE"""),"")</f>
        <v/>
      </c>
      <c r="I1424" t="str">
        <f ca="1">IFERROR(__xludf.DUMMYFUNCTION("""COMPUTED_VALUE"""),"")</f>
        <v/>
      </c>
      <c r="J1424" t="str">
        <f ca="1">IFERROR(__xludf.DUMMYFUNCTION("""COMPUTED_VALUE"""),"")</f>
        <v/>
      </c>
      <c r="K1424" t="str">
        <f ca="1">IFERROR(__xludf.DUMMYFUNCTION("""COMPUTED_VALUE"""),"")</f>
        <v/>
      </c>
      <c r="L1424" t="str">
        <f ca="1">IFERROR(__xludf.DUMMYFUNCTION("""COMPUTED_VALUE"""),"")</f>
        <v/>
      </c>
      <c r="M1424" t="str">
        <f ca="1">IFERROR(__xludf.DUMMYFUNCTION("""COMPUTED_VALUE"""),"")</f>
        <v/>
      </c>
      <c r="N1424" t="str">
        <f ca="1">IFERROR(__xludf.DUMMYFUNCTION("""COMPUTED_VALUE"""),"")</f>
        <v/>
      </c>
      <c r="O1424" t="str">
        <f ca="1">IFERROR(__xludf.DUMMYFUNCTION("""COMPUTED_VALUE"""),"")</f>
        <v/>
      </c>
      <c r="P1424" t="str">
        <f ca="1">IFERROR(__xludf.DUMMYFUNCTION("""COMPUTED_VALUE"""),"")</f>
        <v/>
      </c>
      <c r="Q1424" s="5" t="str">
        <f ca="1">IFERROR(__xludf.DUMMYFUNCTION("""COMPUTED_VALUE"""),"")</f>
        <v/>
      </c>
      <c r="R1424" s="6" t="str">
        <f ca="1">IFERROR(__xludf.DUMMYFUNCTION("""COMPUTED_VALUE"""),"")</f>
        <v/>
      </c>
      <c r="S1424" t="str">
        <f ca="1">IFERROR(__xludf.DUMMYFUNCTION("""COMPUTED_VALUE"""),"")</f>
        <v/>
      </c>
      <c r="T1424" t="str">
        <f ca="1">IFERROR(__xludf.DUMMYFUNCTION("""COMPUTED_VALUE"""),"")</f>
        <v/>
      </c>
      <c r="U1424" t="str">
        <f ca="1">IFERROR(__xludf.DUMMYFUNCTION("""COMPUTED_VALUE"""),"")</f>
        <v/>
      </c>
      <c r="V1424" t="str">
        <f ca="1">IFERROR(__xludf.DUMMYFUNCTION("""COMPUTED_VALUE"""),"")</f>
        <v/>
      </c>
      <c r="W1424" t="str">
        <f ca="1">IFERROR(__xludf.DUMMYFUNCTION("""COMPUTED_VALUE"""),"")</f>
        <v/>
      </c>
      <c r="X1424" t="str">
        <f ca="1">IFERROR(__xludf.DUMMYFUNCTION("""COMPUTED_VALUE"""),"")</f>
        <v/>
      </c>
      <c r="Y1424" t="str">
        <f ca="1">IFERROR(__xludf.DUMMYFUNCTION("""COMPUTED_VALUE"""),"")</f>
        <v/>
      </c>
      <c r="Z1424" t="str">
        <f ca="1">IFERROR(__xludf.DUMMYFUNCTION("""COMPUTED_VALUE"""),"")</f>
        <v/>
      </c>
      <c r="AA1424" t="str">
        <f ca="1">IFERROR(__xludf.DUMMYFUNCTION("""COMPUTED_VALUE"""),"")</f>
        <v/>
      </c>
      <c r="AB1424" s="8" t="str">
        <f ca="1">IFERROR(__xludf.DUMMYFUNCTION("""COMPUTED_VALUE"""),"")</f>
        <v/>
      </c>
      <c r="AC1424" s="8" t="str">
        <f ca="1">IFERROR(__xludf.DUMMYFUNCTION("""COMPUTED_VALUE"""),"")</f>
        <v/>
      </c>
      <c r="AD1424" s="11" t="str">
        <f ca="1">IFERROR(__xludf.DUMMYFUNCTION("""COMPUTED_VALUE"""),"")</f>
        <v/>
      </c>
      <c r="AE1424" t="str">
        <f ca="1">IFERROR(__xludf.DUMMYFUNCTION("""COMPUTED_VALUE"""),"")</f>
        <v/>
      </c>
    </row>
    <row r="1425" spans="1:31" ht="12.75" x14ac:dyDescent="0.2">
      <c r="A1425" t="str">
        <f ca="1">IFERROR(__xludf.DUMMYFUNCTION("""COMPUTED_VALUE"""),"")</f>
        <v/>
      </c>
      <c r="B1425" t="str">
        <f ca="1">IFERROR(__xludf.DUMMYFUNCTION("""COMPUTED_VALUE"""),"")</f>
        <v/>
      </c>
      <c r="C1425" t="str">
        <f ca="1">IFERROR(__xludf.DUMMYFUNCTION("""COMPUTED_VALUE"""),"")</f>
        <v/>
      </c>
      <c r="D1425" t="str">
        <f ca="1">IFERROR(__xludf.DUMMYFUNCTION("""COMPUTED_VALUE"""),"")</f>
        <v/>
      </c>
      <c r="E1425" t="str">
        <f ca="1">IFERROR(__xludf.DUMMYFUNCTION("""COMPUTED_VALUE"""),"")</f>
        <v/>
      </c>
      <c r="F1425" t="str">
        <f ca="1">IFERROR(__xludf.DUMMYFUNCTION("""COMPUTED_VALUE"""),"")</f>
        <v/>
      </c>
      <c r="G1425" t="str">
        <f ca="1">IFERROR(__xludf.DUMMYFUNCTION("""COMPUTED_VALUE"""),"")</f>
        <v/>
      </c>
      <c r="H1425" t="str">
        <f ca="1">IFERROR(__xludf.DUMMYFUNCTION("""COMPUTED_VALUE"""),"")</f>
        <v/>
      </c>
      <c r="I1425" t="str">
        <f ca="1">IFERROR(__xludf.DUMMYFUNCTION("""COMPUTED_VALUE"""),"")</f>
        <v/>
      </c>
      <c r="J1425" t="str">
        <f ca="1">IFERROR(__xludf.DUMMYFUNCTION("""COMPUTED_VALUE"""),"")</f>
        <v/>
      </c>
      <c r="K1425" t="str">
        <f ca="1">IFERROR(__xludf.DUMMYFUNCTION("""COMPUTED_VALUE"""),"")</f>
        <v/>
      </c>
      <c r="L1425" t="str">
        <f ca="1">IFERROR(__xludf.DUMMYFUNCTION("""COMPUTED_VALUE"""),"")</f>
        <v/>
      </c>
      <c r="M1425" t="str">
        <f ca="1">IFERROR(__xludf.DUMMYFUNCTION("""COMPUTED_VALUE"""),"")</f>
        <v/>
      </c>
      <c r="N1425" t="str">
        <f ca="1">IFERROR(__xludf.DUMMYFUNCTION("""COMPUTED_VALUE"""),"")</f>
        <v/>
      </c>
      <c r="O1425" t="str">
        <f ca="1">IFERROR(__xludf.DUMMYFUNCTION("""COMPUTED_VALUE"""),"")</f>
        <v/>
      </c>
      <c r="P1425" t="str">
        <f ca="1">IFERROR(__xludf.DUMMYFUNCTION("""COMPUTED_VALUE"""),"")</f>
        <v/>
      </c>
      <c r="Q1425" s="5" t="str">
        <f ca="1">IFERROR(__xludf.DUMMYFUNCTION("""COMPUTED_VALUE"""),"")</f>
        <v/>
      </c>
      <c r="R1425" s="6" t="str">
        <f ca="1">IFERROR(__xludf.DUMMYFUNCTION("""COMPUTED_VALUE"""),"")</f>
        <v/>
      </c>
      <c r="S1425" t="str">
        <f ca="1">IFERROR(__xludf.DUMMYFUNCTION("""COMPUTED_VALUE"""),"")</f>
        <v/>
      </c>
      <c r="T1425" t="str">
        <f ca="1">IFERROR(__xludf.DUMMYFUNCTION("""COMPUTED_VALUE"""),"")</f>
        <v/>
      </c>
      <c r="U1425" t="str">
        <f ca="1">IFERROR(__xludf.DUMMYFUNCTION("""COMPUTED_VALUE"""),"")</f>
        <v/>
      </c>
      <c r="V1425" t="str">
        <f ca="1">IFERROR(__xludf.DUMMYFUNCTION("""COMPUTED_VALUE"""),"")</f>
        <v/>
      </c>
      <c r="W1425" t="str">
        <f ca="1">IFERROR(__xludf.DUMMYFUNCTION("""COMPUTED_VALUE"""),"")</f>
        <v/>
      </c>
      <c r="X1425" t="str">
        <f ca="1">IFERROR(__xludf.DUMMYFUNCTION("""COMPUTED_VALUE"""),"")</f>
        <v/>
      </c>
      <c r="Y1425" t="str">
        <f ca="1">IFERROR(__xludf.DUMMYFUNCTION("""COMPUTED_VALUE"""),"")</f>
        <v/>
      </c>
      <c r="Z1425" t="str">
        <f ca="1">IFERROR(__xludf.DUMMYFUNCTION("""COMPUTED_VALUE"""),"")</f>
        <v/>
      </c>
      <c r="AA1425" t="str">
        <f ca="1">IFERROR(__xludf.DUMMYFUNCTION("""COMPUTED_VALUE"""),"")</f>
        <v/>
      </c>
      <c r="AB1425" s="8" t="str">
        <f ca="1">IFERROR(__xludf.DUMMYFUNCTION("""COMPUTED_VALUE"""),"")</f>
        <v/>
      </c>
      <c r="AC1425" s="8" t="str">
        <f ca="1">IFERROR(__xludf.DUMMYFUNCTION("""COMPUTED_VALUE"""),"")</f>
        <v/>
      </c>
      <c r="AD1425" s="11" t="str">
        <f ca="1">IFERROR(__xludf.DUMMYFUNCTION("""COMPUTED_VALUE"""),"")</f>
        <v/>
      </c>
      <c r="AE1425" t="str">
        <f ca="1">IFERROR(__xludf.DUMMYFUNCTION("""COMPUTED_VALUE"""),"")</f>
        <v/>
      </c>
    </row>
    <row r="1426" spans="1:31" ht="12.75" x14ac:dyDescent="0.2">
      <c r="A1426" t="str">
        <f ca="1">IFERROR(__xludf.DUMMYFUNCTION("""COMPUTED_VALUE"""),"")</f>
        <v/>
      </c>
      <c r="B1426" t="str">
        <f ca="1">IFERROR(__xludf.DUMMYFUNCTION("""COMPUTED_VALUE"""),"")</f>
        <v/>
      </c>
      <c r="C1426" t="str">
        <f ca="1">IFERROR(__xludf.DUMMYFUNCTION("""COMPUTED_VALUE"""),"")</f>
        <v/>
      </c>
      <c r="D1426" t="str">
        <f ca="1">IFERROR(__xludf.DUMMYFUNCTION("""COMPUTED_VALUE"""),"")</f>
        <v/>
      </c>
      <c r="E1426" t="str">
        <f ca="1">IFERROR(__xludf.DUMMYFUNCTION("""COMPUTED_VALUE"""),"")</f>
        <v/>
      </c>
      <c r="F1426" t="str">
        <f ca="1">IFERROR(__xludf.DUMMYFUNCTION("""COMPUTED_VALUE"""),"")</f>
        <v/>
      </c>
      <c r="G1426" t="str">
        <f ca="1">IFERROR(__xludf.DUMMYFUNCTION("""COMPUTED_VALUE"""),"")</f>
        <v/>
      </c>
      <c r="H1426" t="str">
        <f ca="1">IFERROR(__xludf.DUMMYFUNCTION("""COMPUTED_VALUE"""),"")</f>
        <v/>
      </c>
      <c r="I1426" t="str">
        <f ca="1">IFERROR(__xludf.DUMMYFUNCTION("""COMPUTED_VALUE"""),"")</f>
        <v/>
      </c>
      <c r="J1426" t="str">
        <f ca="1">IFERROR(__xludf.DUMMYFUNCTION("""COMPUTED_VALUE"""),"")</f>
        <v/>
      </c>
      <c r="K1426" t="str">
        <f ca="1">IFERROR(__xludf.DUMMYFUNCTION("""COMPUTED_VALUE"""),"")</f>
        <v/>
      </c>
      <c r="L1426" t="str">
        <f ca="1">IFERROR(__xludf.DUMMYFUNCTION("""COMPUTED_VALUE"""),"")</f>
        <v/>
      </c>
      <c r="M1426" t="str">
        <f ca="1">IFERROR(__xludf.DUMMYFUNCTION("""COMPUTED_VALUE"""),"")</f>
        <v/>
      </c>
      <c r="N1426" t="str">
        <f ca="1">IFERROR(__xludf.DUMMYFUNCTION("""COMPUTED_VALUE"""),"")</f>
        <v/>
      </c>
      <c r="O1426" t="str">
        <f ca="1">IFERROR(__xludf.DUMMYFUNCTION("""COMPUTED_VALUE"""),"")</f>
        <v/>
      </c>
      <c r="P1426" t="str">
        <f ca="1">IFERROR(__xludf.DUMMYFUNCTION("""COMPUTED_VALUE"""),"")</f>
        <v/>
      </c>
      <c r="Q1426" s="5" t="str">
        <f ca="1">IFERROR(__xludf.DUMMYFUNCTION("""COMPUTED_VALUE"""),"")</f>
        <v/>
      </c>
      <c r="R1426" s="6" t="str">
        <f ca="1">IFERROR(__xludf.DUMMYFUNCTION("""COMPUTED_VALUE"""),"")</f>
        <v/>
      </c>
      <c r="S1426" t="str">
        <f ca="1">IFERROR(__xludf.DUMMYFUNCTION("""COMPUTED_VALUE"""),"")</f>
        <v/>
      </c>
      <c r="T1426" t="str">
        <f ca="1">IFERROR(__xludf.DUMMYFUNCTION("""COMPUTED_VALUE"""),"")</f>
        <v/>
      </c>
      <c r="U1426" t="str">
        <f ca="1">IFERROR(__xludf.DUMMYFUNCTION("""COMPUTED_VALUE"""),"")</f>
        <v/>
      </c>
      <c r="V1426" t="str">
        <f ca="1">IFERROR(__xludf.DUMMYFUNCTION("""COMPUTED_VALUE"""),"")</f>
        <v/>
      </c>
      <c r="W1426" t="str">
        <f ca="1">IFERROR(__xludf.DUMMYFUNCTION("""COMPUTED_VALUE"""),"")</f>
        <v/>
      </c>
      <c r="X1426" t="str">
        <f ca="1">IFERROR(__xludf.DUMMYFUNCTION("""COMPUTED_VALUE"""),"")</f>
        <v/>
      </c>
      <c r="Y1426" t="str">
        <f ca="1">IFERROR(__xludf.DUMMYFUNCTION("""COMPUTED_VALUE"""),"")</f>
        <v/>
      </c>
      <c r="Z1426" t="str">
        <f ca="1">IFERROR(__xludf.DUMMYFUNCTION("""COMPUTED_VALUE"""),"")</f>
        <v/>
      </c>
      <c r="AA1426" t="str">
        <f ca="1">IFERROR(__xludf.DUMMYFUNCTION("""COMPUTED_VALUE"""),"")</f>
        <v/>
      </c>
      <c r="AB1426" s="8" t="str">
        <f ca="1">IFERROR(__xludf.DUMMYFUNCTION("""COMPUTED_VALUE"""),"")</f>
        <v/>
      </c>
      <c r="AC1426" s="8" t="str">
        <f ca="1">IFERROR(__xludf.DUMMYFUNCTION("""COMPUTED_VALUE"""),"")</f>
        <v/>
      </c>
      <c r="AD1426" s="11" t="str">
        <f ca="1">IFERROR(__xludf.DUMMYFUNCTION("""COMPUTED_VALUE"""),"")</f>
        <v/>
      </c>
      <c r="AE1426" t="str">
        <f ca="1">IFERROR(__xludf.DUMMYFUNCTION("""COMPUTED_VALUE"""),"")</f>
        <v/>
      </c>
    </row>
    <row r="1427" spans="1:31" ht="12.75" x14ac:dyDescent="0.2">
      <c r="A1427" t="str">
        <f ca="1">IFERROR(__xludf.DUMMYFUNCTION("""COMPUTED_VALUE"""),"")</f>
        <v/>
      </c>
      <c r="B1427" t="str">
        <f ca="1">IFERROR(__xludf.DUMMYFUNCTION("""COMPUTED_VALUE"""),"")</f>
        <v/>
      </c>
      <c r="C1427" t="str">
        <f ca="1">IFERROR(__xludf.DUMMYFUNCTION("""COMPUTED_VALUE"""),"")</f>
        <v/>
      </c>
      <c r="D1427" t="str">
        <f ca="1">IFERROR(__xludf.DUMMYFUNCTION("""COMPUTED_VALUE"""),"")</f>
        <v/>
      </c>
      <c r="E1427" t="str">
        <f ca="1">IFERROR(__xludf.DUMMYFUNCTION("""COMPUTED_VALUE"""),"")</f>
        <v/>
      </c>
      <c r="F1427" t="str">
        <f ca="1">IFERROR(__xludf.DUMMYFUNCTION("""COMPUTED_VALUE"""),"")</f>
        <v/>
      </c>
      <c r="G1427" t="str">
        <f ca="1">IFERROR(__xludf.DUMMYFUNCTION("""COMPUTED_VALUE"""),"")</f>
        <v/>
      </c>
      <c r="H1427" t="str">
        <f ca="1">IFERROR(__xludf.DUMMYFUNCTION("""COMPUTED_VALUE"""),"")</f>
        <v/>
      </c>
      <c r="I1427" t="str">
        <f ca="1">IFERROR(__xludf.DUMMYFUNCTION("""COMPUTED_VALUE"""),"")</f>
        <v/>
      </c>
      <c r="J1427" t="str">
        <f ca="1">IFERROR(__xludf.DUMMYFUNCTION("""COMPUTED_VALUE"""),"")</f>
        <v/>
      </c>
      <c r="K1427" t="str">
        <f ca="1">IFERROR(__xludf.DUMMYFUNCTION("""COMPUTED_VALUE"""),"")</f>
        <v/>
      </c>
      <c r="L1427" t="str">
        <f ca="1">IFERROR(__xludf.DUMMYFUNCTION("""COMPUTED_VALUE"""),"")</f>
        <v/>
      </c>
      <c r="M1427" t="str">
        <f ca="1">IFERROR(__xludf.DUMMYFUNCTION("""COMPUTED_VALUE"""),"")</f>
        <v/>
      </c>
      <c r="N1427" t="str">
        <f ca="1">IFERROR(__xludf.DUMMYFUNCTION("""COMPUTED_VALUE"""),"")</f>
        <v/>
      </c>
      <c r="O1427" t="str">
        <f ca="1">IFERROR(__xludf.DUMMYFUNCTION("""COMPUTED_VALUE"""),"")</f>
        <v/>
      </c>
      <c r="P1427" t="str">
        <f ca="1">IFERROR(__xludf.DUMMYFUNCTION("""COMPUTED_VALUE"""),"")</f>
        <v/>
      </c>
      <c r="Q1427" s="5" t="str">
        <f ca="1">IFERROR(__xludf.DUMMYFUNCTION("""COMPUTED_VALUE"""),"")</f>
        <v/>
      </c>
      <c r="R1427" s="6" t="str">
        <f ca="1">IFERROR(__xludf.DUMMYFUNCTION("""COMPUTED_VALUE"""),"")</f>
        <v/>
      </c>
      <c r="S1427" t="str">
        <f ca="1">IFERROR(__xludf.DUMMYFUNCTION("""COMPUTED_VALUE"""),"")</f>
        <v/>
      </c>
      <c r="T1427" t="str">
        <f ca="1">IFERROR(__xludf.DUMMYFUNCTION("""COMPUTED_VALUE"""),"")</f>
        <v/>
      </c>
      <c r="U1427" t="str">
        <f ca="1">IFERROR(__xludf.DUMMYFUNCTION("""COMPUTED_VALUE"""),"")</f>
        <v/>
      </c>
      <c r="V1427" t="str">
        <f ca="1">IFERROR(__xludf.DUMMYFUNCTION("""COMPUTED_VALUE"""),"")</f>
        <v/>
      </c>
      <c r="W1427" t="str">
        <f ca="1">IFERROR(__xludf.DUMMYFUNCTION("""COMPUTED_VALUE"""),"")</f>
        <v/>
      </c>
      <c r="X1427" t="str">
        <f ca="1">IFERROR(__xludf.DUMMYFUNCTION("""COMPUTED_VALUE"""),"")</f>
        <v/>
      </c>
      <c r="Y1427" t="str">
        <f ca="1">IFERROR(__xludf.DUMMYFUNCTION("""COMPUTED_VALUE"""),"")</f>
        <v/>
      </c>
      <c r="Z1427" t="str">
        <f ca="1">IFERROR(__xludf.DUMMYFUNCTION("""COMPUTED_VALUE"""),"")</f>
        <v/>
      </c>
      <c r="AA1427" t="str">
        <f ca="1">IFERROR(__xludf.DUMMYFUNCTION("""COMPUTED_VALUE"""),"")</f>
        <v/>
      </c>
      <c r="AB1427" s="8" t="str">
        <f ca="1">IFERROR(__xludf.DUMMYFUNCTION("""COMPUTED_VALUE"""),"")</f>
        <v/>
      </c>
      <c r="AC1427" s="8" t="str">
        <f ca="1">IFERROR(__xludf.DUMMYFUNCTION("""COMPUTED_VALUE"""),"")</f>
        <v/>
      </c>
      <c r="AD1427" s="11" t="str">
        <f ca="1">IFERROR(__xludf.DUMMYFUNCTION("""COMPUTED_VALUE"""),"")</f>
        <v/>
      </c>
      <c r="AE1427" t="str">
        <f ca="1">IFERROR(__xludf.DUMMYFUNCTION("""COMPUTED_VALUE"""),"")</f>
        <v/>
      </c>
    </row>
    <row r="1428" spans="1:31" ht="12.75" x14ac:dyDescent="0.2">
      <c r="A1428" t="str">
        <f ca="1">IFERROR(__xludf.DUMMYFUNCTION("""COMPUTED_VALUE"""),"")</f>
        <v/>
      </c>
      <c r="B1428" t="str">
        <f ca="1">IFERROR(__xludf.DUMMYFUNCTION("""COMPUTED_VALUE"""),"")</f>
        <v/>
      </c>
      <c r="C1428" t="str">
        <f ca="1">IFERROR(__xludf.DUMMYFUNCTION("""COMPUTED_VALUE"""),"")</f>
        <v/>
      </c>
      <c r="D1428" t="str">
        <f ca="1">IFERROR(__xludf.DUMMYFUNCTION("""COMPUTED_VALUE"""),"")</f>
        <v/>
      </c>
      <c r="E1428" t="str">
        <f ca="1">IFERROR(__xludf.DUMMYFUNCTION("""COMPUTED_VALUE"""),"")</f>
        <v/>
      </c>
      <c r="F1428" t="str">
        <f ca="1">IFERROR(__xludf.DUMMYFUNCTION("""COMPUTED_VALUE"""),"")</f>
        <v/>
      </c>
      <c r="G1428" t="str">
        <f ca="1">IFERROR(__xludf.DUMMYFUNCTION("""COMPUTED_VALUE"""),"")</f>
        <v/>
      </c>
      <c r="H1428" t="str">
        <f ca="1">IFERROR(__xludf.DUMMYFUNCTION("""COMPUTED_VALUE"""),"")</f>
        <v/>
      </c>
      <c r="I1428" t="str">
        <f ca="1">IFERROR(__xludf.DUMMYFUNCTION("""COMPUTED_VALUE"""),"")</f>
        <v/>
      </c>
      <c r="J1428" t="str">
        <f ca="1">IFERROR(__xludf.DUMMYFUNCTION("""COMPUTED_VALUE"""),"")</f>
        <v/>
      </c>
      <c r="K1428" t="str">
        <f ca="1">IFERROR(__xludf.DUMMYFUNCTION("""COMPUTED_VALUE"""),"")</f>
        <v/>
      </c>
      <c r="L1428" t="str">
        <f ca="1">IFERROR(__xludf.DUMMYFUNCTION("""COMPUTED_VALUE"""),"")</f>
        <v/>
      </c>
      <c r="M1428" t="str">
        <f ca="1">IFERROR(__xludf.DUMMYFUNCTION("""COMPUTED_VALUE"""),"")</f>
        <v/>
      </c>
      <c r="N1428" t="str">
        <f ca="1">IFERROR(__xludf.DUMMYFUNCTION("""COMPUTED_VALUE"""),"")</f>
        <v/>
      </c>
      <c r="O1428" t="str">
        <f ca="1">IFERROR(__xludf.DUMMYFUNCTION("""COMPUTED_VALUE"""),"")</f>
        <v/>
      </c>
      <c r="P1428" t="str">
        <f ca="1">IFERROR(__xludf.DUMMYFUNCTION("""COMPUTED_VALUE"""),"")</f>
        <v/>
      </c>
      <c r="Q1428" s="5" t="str">
        <f ca="1">IFERROR(__xludf.DUMMYFUNCTION("""COMPUTED_VALUE"""),"")</f>
        <v/>
      </c>
      <c r="R1428" s="6" t="str">
        <f ca="1">IFERROR(__xludf.DUMMYFUNCTION("""COMPUTED_VALUE"""),"")</f>
        <v/>
      </c>
      <c r="S1428" t="str">
        <f ca="1">IFERROR(__xludf.DUMMYFUNCTION("""COMPUTED_VALUE"""),"")</f>
        <v/>
      </c>
      <c r="T1428" t="str">
        <f ca="1">IFERROR(__xludf.DUMMYFUNCTION("""COMPUTED_VALUE"""),"")</f>
        <v/>
      </c>
      <c r="U1428" t="str">
        <f ca="1">IFERROR(__xludf.DUMMYFUNCTION("""COMPUTED_VALUE"""),"")</f>
        <v/>
      </c>
      <c r="V1428" t="str">
        <f ca="1">IFERROR(__xludf.DUMMYFUNCTION("""COMPUTED_VALUE"""),"")</f>
        <v/>
      </c>
      <c r="W1428" t="str">
        <f ca="1">IFERROR(__xludf.DUMMYFUNCTION("""COMPUTED_VALUE"""),"")</f>
        <v/>
      </c>
      <c r="X1428" t="str">
        <f ca="1">IFERROR(__xludf.DUMMYFUNCTION("""COMPUTED_VALUE"""),"")</f>
        <v/>
      </c>
      <c r="Y1428" t="str">
        <f ca="1">IFERROR(__xludf.DUMMYFUNCTION("""COMPUTED_VALUE"""),"")</f>
        <v/>
      </c>
      <c r="Z1428" t="str">
        <f ca="1">IFERROR(__xludf.DUMMYFUNCTION("""COMPUTED_VALUE"""),"")</f>
        <v/>
      </c>
      <c r="AA1428" t="str">
        <f ca="1">IFERROR(__xludf.DUMMYFUNCTION("""COMPUTED_VALUE"""),"")</f>
        <v/>
      </c>
      <c r="AB1428" s="8" t="str">
        <f ca="1">IFERROR(__xludf.DUMMYFUNCTION("""COMPUTED_VALUE"""),"")</f>
        <v/>
      </c>
      <c r="AC1428" s="8" t="str">
        <f ca="1">IFERROR(__xludf.DUMMYFUNCTION("""COMPUTED_VALUE"""),"")</f>
        <v/>
      </c>
      <c r="AD1428" s="11" t="str">
        <f ca="1">IFERROR(__xludf.DUMMYFUNCTION("""COMPUTED_VALUE"""),"")</f>
        <v/>
      </c>
      <c r="AE1428" t="str">
        <f ca="1">IFERROR(__xludf.DUMMYFUNCTION("""COMPUTED_VALUE"""),"")</f>
        <v/>
      </c>
    </row>
    <row r="1429" spans="1:31" ht="12.75" x14ac:dyDescent="0.2">
      <c r="A1429" t="str">
        <f ca="1">IFERROR(__xludf.DUMMYFUNCTION("""COMPUTED_VALUE"""),"")</f>
        <v/>
      </c>
      <c r="B1429" t="str">
        <f ca="1">IFERROR(__xludf.DUMMYFUNCTION("""COMPUTED_VALUE"""),"")</f>
        <v/>
      </c>
      <c r="C1429" t="str">
        <f ca="1">IFERROR(__xludf.DUMMYFUNCTION("""COMPUTED_VALUE"""),"")</f>
        <v/>
      </c>
      <c r="D1429" t="str">
        <f ca="1">IFERROR(__xludf.DUMMYFUNCTION("""COMPUTED_VALUE"""),"")</f>
        <v/>
      </c>
      <c r="E1429" t="str">
        <f ca="1">IFERROR(__xludf.DUMMYFUNCTION("""COMPUTED_VALUE"""),"")</f>
        <v/>
      </c>
      <c r="F1429" t="str">
        <f ca="1">IFERROR(__xludf.DUMMYFUNCTION("""COMPUTED_VALUE"""),"")</f>
        <v/>
      </c>
      <c r="G1429" t="str">
        <f ca="1">IFERROR(__xludf.DUMMYFUNCTION("""COMPUTED_VALUE"""),"")</f>
        <v/>
      </c>
      <c r="H1429" t="str">
        <f ca="1">IFERROR(__xludf.DUMMYFUNCTION("""COMPUTED_VALUE"""),"")</f>
        <v/>
      </c>
      <c r="I1429" t="str">
        <f ca="1">IFERROR(__xludf.DUMMYFUNCTION("""COMPUTED_VALUE"""),"")</f>
        <v/>
      </c>
      <c r="J1429" t="str">
        <f ca="1">IFERROR(__xludf.DUMMYFUNCTION("""COMPUTED_VALUE"""),"")</f>
        <v/>
      </c>
      <c r="K1429" t="str">
        <f ca="1">IFERROR(__xludf.DUMMYFUNCTION("""COMPUTED_VALUE"""),"")</f>
        <v/>
      </c>
      <c r="L1429" t="str">
        <f ca="1">IFERROR(__xludf.DUMMYFUNCTION("""COMPUTED_VALUE"""),"")</f>
        <v/>
      </c>
      <c r="M1429" t="str">
        <f ca="1">IFERROR(__xludf.DUMMYFUNCTION("""COMPUTED_VALUE"""),"")</f>
        <v/>
      </c>
      <c r="N1429" t="str">
        <f ca="1">IFERROR(__xludf.DUMMYFUNCTION("""COMPUTED_VALUE"""),"")</f>
        <v/>
      </c>
      <c r="O1429" t="str">
        <f ca="1">IFERROR(__xludf.DUMMYFUNCTION("""COMPUTED_VALUE"""),"")</f>
        <v/>
      </c>
      <c r="P1429" t="str">
        <f ca="1">IFERROR(__xludf.DUMMYFUNCTION("""COMPUTED_VALUE"""),"")</f>
        <v/>
      </c>
      <c r="Q1429" s="5" t="str">
        <f ca="1">IFERROR(__xludf.DUMMYFUNCTION("""COMPUTED_VALUE"""),"")</f>
        <v/>
      </c>
      <c r="R1429" s="6" t="str">
        <f ca="1">IFERROR(__xludf.DUMMYFUNCTION("""COMPUTED_VALUE"""),"")</f>
        <v/>
      </c>
      <c r="S1429" t="str">
        <f ca="1">IFERROR(__xludf.DUMMYFUNCTION("""COMPUTED_VALUE"""),"")</f>
        <v/>
      </c>
      <c r="T1429" t="str">
        <f ca="1">IFERROR(__xludf.DUMMYFUNCTION("""COMPUTED_VALUE"""),"")</f>
        <v/>
      </c>
      <c r="U1429" t="str">
        <f ca="1">IFERROR(__xludf.DUMMYFUNCTION("""COMPUTED_VALUE"""),"")</f>
        <v/>
      </c>
      <c r="V1429" t="str">
        <f ca="1">IFERROR(__xludf.DUMMYFUNCTION("""COMPUTED_VALUE"""),"")</f>
        <v/>
      </c>
      <c r="W1429" t="str">
        <f ca="1">IFERROR(__xludf.DUMMYFUNCTION("""COMPUTED_VALUE"""),"")</f>
        <v/>
      </c>
      <c r="X1429" t="str">
        <f ca="1">IFERROR(__xludf.DUMMYFUNCTION("""COMPUTED_VALUE"""),"")</f>
        <v/>
      </c>
      <c r="Y1429" t="str">
        <f ca="1">IFERROR(__xludf.DUMMYFUNCTION("""COMPUTED_VALUE"""),"")</f>
        <v/>
      </c>
      <c r="Z1429" t="str">
        <f ca="1">IFERROR(__xludf.DUMMYFUNCTION("""COMPUTED_VALUE"""),"")</f>
        <v/>
      </c>
      <c r="AA1429" t="str">
        <f ca="1">IFERROR(__xludf.DUMMYFUNCTION("""COMPUTED_VALUE"""),"")</f>
        <v/>
      </c>
      <c r="AB1429" s="8" t="str">
        <f ca="1">IFERROR(__xludf.DUMMYFUNCTION("""COMPUTED_VALUE"""),"")</f>
        <v/>
      </c>
      <c r="AC1429" s="8" t="str">
        <f ca="1">IFERROR(__xludf.DUMMYFUNCTION("""COMPUTED_VALUE"""),"")</f>
        <v/>
      </c>
      <c r="AD1429" s="11" t="str">
        <f ca="1">IFERROR(__xludf.DUMMYFUNCTION("""COMPUTED_VALUE"""),"")</f>
        <v/>
      </c>
      <c r="AE1429" t="str">
        <f ca="1">IFERROR(__xludf.DUMMYFUNCTION("""COMPUTED_VALUE"""),"")</f>
        <v/>
      </c>
    </row>
    <row r="1430" spans="1:31" ht="12.75" x14ac:dyDescent="0.2">
      <c r="A1430" t="str">
        <f ca="1">IFERROR(__xludf.DUMMYFUNCTION("""COMPUTED_VALUE"""),"")</f>
        <v/>
      </c>
      <c r="B1430" t="str">
        <f ca="1">IFERROR(__xludf.DUMMYFUNCTION("""COMPUTED_VALUE"""),"")</f>
        <v/>
      </c>
      <c r="C1430" t="str">
        <f ca="1">IFERROR(__xludf.DUMMYFUNCTION("""COMPUTED_VALUE"""),"")</f>
        <v/>
      </c>
      <c r="D1430" t="str">
        <f ca="1">IFERROR(__xludf.DUMMYFUNCTION("""COMPUTED_VALUE"""),"")</f>
        <v/>
      </c>
      <c r="E1430" t="str">
        <f ca="1">IFERROR(__xludf.DUMMYFUNCTION("""COMPUTED_VALUE"""),"")</f>
        <v/>
      </c>
      <c r="F1430" t="str">
        <f ca="1">IFERROR(__xludf.DUMMYFUNCTION("""COMPUTED_VALUE"""),"")</f>
        <v/>
      </c>
      <c r="G1430" t="str">
        <f ca="1">IFERROR(__xludf.DUMMYFUNCTION("""COMPUTED_VALUE"""),"")</f>
        <v/>
      </c>
      <c r="H1430" t="str">
        <f ca="1">IFERROR(__xludf.DUMMYFUNCTION("""COMPUTED_VALUE"""),"")</f>
        <v/>
      </c>
      <c r="I1430" t="str">
        <f ca="1">IFERROR(__xludf.DUMMYFUNCTION("""COMPUTED_VALUE"""),"")</f>
        <v/>
      </c>
      <c r="J1430" t="str">
        <f ca="1">IFERROR(__xludf.DUMMYFUNCTION("""COMPUTED_VALUE"""),"")</f>
        <v/>
      </c>
      <c r="K1430" t="str">
        <f ca="1">IFERROR(__xludf.DUMMYFUNCTION("""COMPUTED_VALUE"""),"")</f>
        <v/>
      </c>
      <c r="L1430" t="str">
        <f ca="1">IFERROR(__xludf.DUMMYFUNCTION("""COMPUTED_VALUE"""),"")</f>
        <v/>
      </c>
      <c r="M1430" t="str">
        <f ca="1">IFERROR(__xludf.DUMMYFUNCTION("""COMPUTED_VALUE"""),"")</f>
        <v/>
      </c>
      <c r="N1430" t="str">
        <f ca="1">IFERROR(__xludf.DUMMYFUNCTION("""COMPUTED_VALUE"""),"")</f>
        <v/>
      </c>
      <c r="O1430" t="str">
        <f ca="1">IFERROR(__xludf.DUMMYFUNCTION("""COMPUTED_VALUE"""),"")</f>
        <v/>
      </c>
      <c r="P1430" t="str">
        <f ca="1">IFERROR(__xludf.DUMMYFUNCTION("""COMPUTED_VALUE"""),"")</f>
        <v/>
      </c>
      <c r="Q1430" s="5" t="str">
        <f ca="1">IFERROR(__xludf.DUMMYFUNCTION("""COMPUTED_VALUE"""),"")</f>
        <v/>
      </c>
      <c r="R1430" s="6" t="str">
        <f ca="1">IFERROR(__xludf.DUMMYFUNCTION("""COMPUTED_VALUE"""),"")</f>
        <v/>
      </c>
      <c r="S1430" t="str">
        <f ca="1">IFERROR(__xludf.DUMMYFUNCTION("""COMPUTED_VALUE"""),"")</f>
        <v/>
      </c>
      <c r="T1430" t="str">
        <f ca="1">IFERROR(__xludf.DUMMYFUNCTION("""COMPUTED_VALUE"""),"")</f>
        <v/>
      </c>
      <c r="U1430" t="str">
        <f ca="1">IFERROR(__xludf.DUMMYFUNCTION("""COMPUTED_VALUE"""),"")</f>
        <v/>
      </c>
      <c r="V1430" t="str">
        <f ca="1">IFERROR(__xludf.DUMMYFUNCTION("""COMPUTED_VALUE"""),"")</f>
        <v/>
      </c>
      <c r="W1430" t="str">
        <f ca="1">IFERROR(__xludf.DUMMYFUNCTION("""COMPUTED_VALUE"""),"")</f>
        <v/>
      </c>
      <c r="X1430" t="str">
        <f ca="1">IFERROR(__xludf.DUMMYFUNCTION("""COMPUTED_VALUE"""),"")</f>
        <v/>
      </c>
      <c r="Y1430" t="str">
        <f ca="1">IFERROR(__xludf.DUMMYFUNCTION("""COMPUTED_VALUE"""),"")</f>
        <v/>
      </c>
      <c r="Z1430" t="str">
        <f ca="1">IFERROR(__xludf.DUMMYFUNCTION("""COMPUTED_VALUE"""),"")</f>
        <v/>
      </c>
      <c r="AA1430" t="str">
        <f ca="1">IFERROR(__xludf.DUMMYFUNCTION("""COMPUTED_VALUE"""),"")</f>
        <v/>
      </c>
      <c r="AB1430" s="8" t="str">
        <f ca="1">IFERROR(__xludf.DUMMYFUNCTION("""COMPUTED_VALUE"""),"")</f>
        <v/>
      </c>
      <c r="AC1430" s="8" t="str">
        <f ca="1">IFERROR(__xludf.DUMMYFUNCTION("""COMPUTED_VALUE"""),"")</f>
        <v/>
      </c>
      <c r="AD1430" s="11" t="str">
        <f ca="1">IFERROR(__xludf.DUMMYFUNCTION("""COMPUTED_VALUE"""),"")</f>
        <v/>
      </c>
      <c r="AE1430" t="str">
        <f ca="1">IFERROR(__xludf.DUMMYFUNCTION("""COMPUTED_VALUE"""),"")</f>
        <v/>
      </c>
    </row>
    <row r="1431" spans="1:31" ht="12.75" x14ac:dyDescent="0.2">
      <c r="A1431" t="str">
        <f ca="1">IFERROR(__xludf.DUMMYFUNCTION("""COMPUTED_VALUE"""),"")</f>
        <v/>
      </c>
      <c r="B1431" t="str">
        <f ca="1">IFERROR(__xludf.DUMMYFUNCTION("""COMPUTED_VALUE"""),"")</f>
        <v/>
      </c>
      <c r="C1431" t="str">
        <f ca="1">IFERROR(__xludf.DUMMYFUNCTION("""COMPUTED_VALUE"""),"")</f>
        <v/>
      </c>
      <c r="D1431" t="str">
        <f ca="1">IFERROR(__xludf.DUMMYFUNCTION("""COMPUTED_VALUE"""),"")</f>
        <v/>
      </c>
      <c r="E1431" t="str">
        <f ca="1">IFERROR(__xludf.DUMMYFUNCTION("""COMPUTED_VALUE"""),"")</f>
        <v/>
      </c>
      <c r="F1431" t="str">
        <f ca="1">IFERROR(__xludf.DUMMYFUNCTION("""COMPUTED_VALUE"""),"")</f>
        <v/>
      </c>
      <c r="G1431" t="str">
        <f ca="1">IFERROR(__xludf.DUMMYFUNCTION("""COMPUTED_VALUE"""),"")</f>
        <v/>
      </c>
      <c r="H1431" t="str">
        <f ca="1">IFERROR(__xludf.DUMMYFUNCTION("""COMPUTED_VALUE"""),"")</f>
        <v/>
      </c>
      <c r="I1431" t="str">
        <f ca="1">IFERROR(__xludf.DUMMYFUNCTION("""COMPUTED_VALUE"""),"")</f>
        <v/>
      </c>
      <c r="J1431" t="str">
        <f ca="1">IFERROR(__xludf.DUMMYFUNCTION("""COMPUTED_VALUE"""),"")</f>
        <v/>
      </c>
      <c r="K1431" t="str">
        <f ca="1">IFERROR(__xludf.DUMMYFUNCTION("""COMPUTED_VALUE"""),"")</f>
        <v/>
      </c>
      <c r="L1431" t="str">
        <f ca="1">IFERROR(__xludf.DUMMYFUNCTION("""COMPUTED_VALUE"""),"")</f>
        <v/>
      </c>
      <c r="M1431" t="str">
        <f ca="1">IFERROR(__xludf.DUMMYFUNCTION("""COMPUTED_VALUE"""),"")</f>
        <v/>
      </c>
      <c r="N1431" t="str">
        <f ca="1">IFERROR(__xludf.DUMMYFUNCTION("""COMPUTED_VALUE"""),"")</f>
        <v/>
      </c>
      <c r="O1431" t="str">
        <f ca="1">IFERROR(__xludf.DUMMYFUNCTION("""COMPUTED_VALUE"""),"")</f>
        <v/>
      </c>
      <c r="P1431" t="str">
        <f ca="1">IFERROR(__xludf.DUMMYFUNCTION("""COMPUTED_VALUE"""),"")</f>
        <v/>
      </c>
      <c r="Q1431" s="5" t="str">
        <f ca="1">IFERROR(__xludf.DUMMYFUNCTION("""COMPUTED_VALUE"""),"")</f>
        <v/>
      </c>
      <c r="R1431" s="6" t="str">
        <f ca="1">IFERROR(__xludf.DUMMYFUNCTION("""COMPUTED_VALUE"""),"")</f>
        <v/>
      </c>
      <c r="S1431" t="str">
        <f ca="1">IFERROR(__xludf.DUMMYFUNCTION("""COMPUTED_VALUE"""),"")</f>
        <v/>
      </c>
      <c r="T1431" t="str">
        <f ca="1">IFERROR(__xludf.DUMMYFUNCTION("""COMPUTED_VALUE"""),"")</f>
        <v/>
      </c>
      <c r="U1431" t="str">
        <f ca="1">IFERROR(__xludf.DUMMYFUNCTION("""COMPUTED_VALUE"""),"")</f>
        <v/>
      </c>
      <c r="V1431" t="str">
        <f ca="1">IFERROR(__xludf.DUMMYFUNCTION("""COMPUTED_VALUE"""),"")</f>
        <v/>
      </c>
      <c r="W1431" t="str">
        <f ca="1">IFERROR(__xludf.DUMMYFUNCTION("""COMPUTED_VALUE"""),"")</f>
        <v/>
      </c>
      <c r="X1431" t="str">
        <f ca="1">IFERROR(__xludf.DUMMYFUNCTION("""COMPUTED_VALUE"""),"")</f>
        <v/>
      </c>
      <c r="Y1431" t="str">
        <f ca="1">IFERROR(__xludf.DUMMYFUNCTION("""COMPUTED_VALUE"""),"")</f>
        <v/>
      </c>
      <c r="Z1431" t="str">
        <f ca="1">IFERROR(__xludf.DUMMYFUNCTION("""COMPUTED_VALUE"""),"")</f>
        <v/>
      </c>
      <c r="AA1431" t="str">
        <f ca="1">IFERROR(__xludf.DUMMYFUNCTION("""COMPUTED_VALUE"""),"")</f>
        <v/>
      </c>
      <c r="AB1431" s="8" t="str">
        <f ca="1">IFERROR(__xludf.DUMMYFUNCTION("""COMPUTED_VALUE"""),"")</f>
        <v/>
      </c>
      <c r="AC1431" s="8" t="str">
        <f ca="1">IFERROR(__xludf.DUMMYFUNCTION("""COMPUTED_VALUE"""),"")</f>
        <v/>
      </c>
      <c r="AD1431" s="11" t="str">
        <f ca="1">IFERROR(__xludf.DUMMYFUNCTION("""COMPUTED_VALUE"""),"")</f>
        <v/>
      </c>
      <c r="AE1431" t="str">
        <f ca="1">IFERROR(__xludf.DUMMYFUNCTION("""COMPUTED_VALUE"""),"")</f>
        <v/>
      </c>
    </row>
    <row r="1432" spans="1:31" ht="12.75" x14ac:dyDescent="0.2">
      <c r="A1432" t="str">
        <f ca="1">IFERROR(__xludf.DUMMYFUNCTION("""COMPUTED_VALUE"""),"")</f>
        <v/>
      </c>
      <c r="B1432" t="str">
        <f ca="1">IFERROR(__xludf.DUMMYFUNCTION("""COMPUTED_VALUE"""),"")</f>
        <v/>
      </c>
      <c r="C1432" t="str">
        <f ca="1">IFERROR(__xludf.DUMMYFUNCTION("""COMPUTED_VALUE"""),"")</f>
        <v/>
      </c>
      <c r="D1432" t="str">
        <f ca="1">IFERROR(__xludf.DUMMYFUNCTION("""COMPUTED_VALUE"""),"")</f>
        <v/>
      </c>
      <c r="E1432" t="str">
        <f ca="1">IFERROR(__xludf.DUMMYFUNCTION("""COMPUTED_VALUE"""),"")</f>
        <v/>
      </c>
      <c r="F1432" t="str">
        <f ca="1">IFERROR(__xludf.DUMMYFUNCTION("""COMPUTED_VALUE"""),"")</f>
        <v/>
      </c>
      <c r="G1432" t="str">
        <f ca="1">IFERROR(__xludf.DUMMYFUNCTION("""COMPUTED_VALUE"""),"")</f>
        <v/>
      </c>
      <c r="H1432" t="str">
        <f ca="1">IFERROR(__xludf.DUMMYFUNCTION("""COMPUTED_VALUE"""),"")</f>
        <v/>
      </c>
      <c r="I1432" t="str">
        <f ca="1">IFERROR(__xludf.DUMMYFUNCTION("""COMPUTED_VALUE"""),"")</f>
        <v/>
      </c>
      <c r="J1432" t="str">
        <f ca="1">IFERROR(__xludf.DUMMYFUNCTION("""COMPUTED_VALUE"""),"")</f>
        <v/>
      </c>
      <c r="K1432" t="str">
        <f ca="1">IFERROR(__xludf.DUMMYFUNCTION("""COMPUTED_VALUE"""),"")</f>
        <v/>
      </c>
      <c r="L1432" t="str">
        <f ca="1">IFERROR(__xludf.DUMMYFUNCTION("""COMPUTED_VALUE"""),"")</f>
        <v/>
      </c>
      <c r="M1432" t="str">
        <f ca="1">IFERROR(__xludf.DUMMYFUNCTION("""COMPUTED_VALUE"""),"")</f>
        <v/>
      </c>
      <c r="N1432" t="str">
        <f ca="1">IFERROR(__xludf.DUMMYFUNCTION("""COMPUTED_VALUE"""),"")</f>
        <v/>
      </c>
      <c r="O1432" t="str">
        <f ca="1">IFERROR(__xludf.DUMMYFUNCTION("""COMPUTED_VALUE"""),"")</f>
        <v/>
      </c>
      <c r="P1432" t="str">
        <f ca="1">IFERROR(__xludf.DUMMYFUNCTION("""COMPUTED_VALUE"""),"")</f>
        <v/>
      </c>
      <c r="Q1432" s="5" t="str">
        <f ca="1">IFERROR(__xludf.DUMMYFUNCTION("""COMPUTED_VALUE"""),"")</f>
        <v/>
      </c>
      <c r="R1432" s="6" t="str">
        <f ca="1">IFERROR(__xludf.DUMMYFUNCTION("""COMPUTED_VALUE"""),"")</f>
        <v/>
      </c>
      <c r="S1432" t="str">
        <f ca="1">IFERROR(__xludf.DUMMYFUNCTION("""COMPUTED_VALUE"""),"")</f>
        <v/>
      </c>
      <c r="T1432" t="str">
        <f ca="1">IFERROR(__xludf.DUMMYFUNCTION("""COMPUTED_VALUE"""),"")</f>
        <v/>
      </c>
      <c r="U1432" t="str">
        <f ca="1">IFERROR(__xludf.DUMMYFUNCTION("""COMPUTED_VALUE"""),"")</f>
        <v/>
      </c>
      <c r="V1432" t="str">
        <f ca="1">IFERROR(__xludf.DUMMYFUNCTION("""COMPUTED_VALUE"""),"")</f>
        <v/>
      </c>
      <c r="W1432" t="str">
        <f ca="1">IFERROR(__xludf.DUMMYFUNCTION("""COMPUTED_VALUE"""),"")</f>
        <v/>
      </c>
      <c r="X1432" t="str">
        <f ca="1">IFERROR(__xludf.DUMMYFUNCTION("""COMPUTED_VALUE"""),"")</f>
        <v/>
      </c>
      <c r="Y1432" t="str">
        <f ca="1">IFERROR(__xludf.DUMMYFUNCTION("""COMPUTED_VALUE"""),"")</f>
        <v/>
      </c>
      <c r="Z1432" t="str">
        <f ca="1">IFERROR(__xludf.DUMMYFUNCTION("""COMPUTED_VALUE"""),"")</f>
        <v/>
      </c>
      <c r="AA1432" t="str">
        <f ca="1">IFERROR(__xludf.DUMMYFUNCTION("""COMPUTED_VALUE"""),"")</f>
        <v/>
      </c>
      <c r="AB1432" s="8" t="str">
        <f ca="1">IFERROR(__xludf.DUMMYFUNCTION("""COMPUTED_VALUE"""),"")</f>
        <v/>
      </c>
      <c r="AC1432" s="8" t="str">
        <f ca="1">IFERROR(__xludf.DUMMYFUNCTION("""COMPUTED_VALUE"""),"")</f>
        <v/>
      </c>
      <c r="AD1432" s="11" t="str">
        <f ca="1">IFERROR(__xludf.DUMMYFUNCTION("""COMPUTED_VALUE"""),"")</f>
        <v/>
      </c>
      <c r="AE1432" t="str">
        <f ca="1">IFERROR(__xludf.DUMMYFUNCTION("""COMPUTED_VALUE"""),"")</f>
        <v/>
      </c>
    </row>
    <row r="1433" spans="1:31" ht="12.75" x14ac:dyDescent="0.2">
      <c r="A1433" t="str">
        <f ca="1">IFERROR(__xludf.DUMMYFUNCTION("""COMPUTED_VALUE"""),"")</f>
        <v/>
      </c>
      <c r="B1433" t="str">
        <f ca="1">IFERROR(__xludf.DUMMYFUNCTION("""COMPUTED_VALUE"""),"")</f>
        <v/>
      </c>
      <c r="C1433" t="str">
        <f ca="1">IFERROR(__xludf.DUMMYFUNCTION("""COMPUTED_VALUE"""),"")</f>
        <v/>
      </c>
      <c r="D1433" t="str">
        <f ca="1">IFERROR(__xludf.DUMMYFUNCTION("""COMPUTED_VALUE"""),"")</f>
        <v/>
      </c>
      <c r="E1433" t="str">
        <f ca="1">IFERROR(__xludf.DUMMYFUNCTION("""COMPUTED_VALUE"""),"")</f>
        <v/>
      </c>
      <c r="F1433" t="str">
        <f ca="1">IFERROR(__xludf.DUMMYFUNCTION("""COMPUTED_VALUE"""),"")</f>
        <v/>
      </c>
      <c r="G1433" t="str">
        <f ca="1">IFERROR(__xludf.DUMMYFUNCTION("""COMPUTED_VALUE"""),"")</f>
        <v/>
      </c>
      <c r="H1433" t="str">
        <f ca="1">IFERROR(__xludf.DUMMYFUNCTION("""COMPUTED_VALUE"""),"")</f>
        <v/>
      </c>
      <c r="I1433" t="str">
        <f ca="1">IFERROR(__xludf.DUMMYFUNCTION("""COMPUTED_VALUE"""),"")</f>
        <v/>
      </c>
      <c r="J1433" t="str">
        <f ca="1">IFERROR(__xludf.DUMMYFUNCTION("""COMPUTED_VALUE"""),"")</f>
        <v/>
      </c>
      <c r="K1433" t="str">
        <f ca="1">IFERROR(__xludf.DUMMYFUNCTION("""COMPUTED_VALUE"""),"")</f>
        <v/>
      </c>
      <c r="L1433" t="str">
        <f ca="1">IFERROR(__xludf.DUMMYFUNCTION("""COMPUTED_VALUE"""),"")</f>
        <v/>
      </c>
      <c r="M1433" t="str">
        <f ca="1">IFERROR(__xludf.DUMMYFUNCTION("""COMPUTED_VALUE"""),"")</f>
        <v/>
      </c>
      <c r="N1433" t="str">
        <f ca="1">IFERROR(__xludf.DUMMYFUNCTION("""COMPUTED_VALUE"""),"")</f>
        <v/>
      </c>
      <c r="O1433" t="str">
        <f ca="1">IFERROR(__xludf.DUMMYFUNCTION("""COMPUTED_VALUE"""),"")</f>
        <v/>
      </c>
      <c r="P1433" t="str">
        <f ca="1">IFERROR(__xludf.DUMMYFUNCTION("""COMPUTED_VALUE"""),"")</f>
        <v/>
      </c>
      <c r="Q1433" s="5" t="str">
        <f ca="1">IFERROR(__xludf.DUMMYFUNCTION("""COMPUTED_VALUE"""),"")</f>
        <v/>
      </c>
      <c r="R1433" s="6" t="str">
        <f ca="1">IFERROR(__xludf.DUMMYFUNCTION("""COMPUTED_VALUE"""),"")</f>
        <v/>
      </c>
      <c r="S1433" t="str">
        <f ca="1">IFERROR(__xludf.DUMMYFUNCTION("""COMPUTED_VALUE"""),"")</f>
        <v/>
      </c>
      <c r="T1433" t="str">
        <f ca="1">IFERROR(__xludf.DUMMYFUNCTION("""COMPUTED_VALUE"""),"")</f>
        <v/>
      </c>
      <c r="U1433" t="str">
        <f ca="1">IFERROR(__xludf.DUMMYFUNCTION("""COMPUTED_VALUE"""),"")</f>
        <v/>
      </c>
      <c r="V1433" t="str">
        <f ca="1">IFERROR(__xludf.DUMMYFUNCTION("""COMPUTED_VALUE"""),"")</f>
        <v/>
      </c>
      <c r="W1433" t="str">
        <f ca="1">IFERROR(__xludf.DUMMYFUNCTION("""COMPUTED_VALUE"""),"")</f>
        <v/>
      </c>
      <c r="X1433" t="str">
        <f ca="1">IFERROR(__xludf.DUMMYFUNCTION("""COMPUTED_VALUE"""),"")</f>
        <v/>
      </c>
      <c r="Y1433" t="str">
        <f ca="1">IFERROR(__xludf.DUMMYFUNCTION("""COMPUTED_VALUE"""),"")</f>
        <v/>
      </c>
      <c r="Z1433" t="str">
        <f ca="1">IFERROR(__xludf.DUMMYFUNCTION("""COMPUTED_VALUE"""),"")</f>
        <v/>
      </c>
      <c r="AA1433" t="str">
        <f ca="1">IFERROR(__xludf.DUMMYFUNCTION("""COMPUTED_VALUE"""),"")</f>
        <v/>
      </c>
      <c r="AB1433" s="8" t="str">
        <f ca="1">IFERROR(__xludf.DUMMYFUNCTION("""COMPUTED_VALUE"""),"")</f>
        <v/>
      </c>
      <c r="AC1433" s="8" t="str">
        <f ca="1">IFERROR(__xludf.DUMMYFUNCTION("""COMPUTED_VALUE"""),"")</f>
        <v/>
      </c>
      <c r="AD1433" s="11" t="str">
        <f ca="1">IFERROR(__xludf.DUMMYFUNCTION("""COMPUTED_VALUE"""),"")</f>
        <v/>
      </c>
      <c r="AE1433" t="str">
        <f ca="1">IFERROR(__xludf.DUMMYFUNCTION("""COMPUTED_VALUE"""),"")</f>
        <v/>
      </c>
    </row>
    <row r="1434" spans="1:31" ht="12.75" x14ac:dyDescent="0.2">
      <c r="A1434" t="str">
        <f ca="1">IFERROR(__xludf.DUMMYFUNCTION("""COMPUTED_VALUE"""),"")</f>
        <v/>
      </c>
      <c r="B1434" t="str">
        <f ca="1">IFERROR(__xludf.DUMMYFUNCTION("""COMPUTED_VALUE"""),"")</f>
        <v/>
      </c>
      <c r="C1434" t="str">
        <f ca="1">IFERROR(__xludf.DUMMYFUNCTION("""COMPUTED_VALUE"""),"")</f>
        <v/>
      </c>
      <c r="D1434" t="str">
        <f ca="1">IFERROR(__xludf.DUMMYFUNCTION("""COMPUTED_VALUE"""),"")</f>
        <v/>
      </c>
      <c r="E1434" t="str">
        <f ca="1">IFERROR(__xludf.DUMMYFUNCTION("""COMPUTED_VALUE"""),"")</f>
        <v/>
      </c>
      <c r="F1434" t="str">
        <f ca="1">IFERROR(__xludf.DUMMYFUNCTION("""COMPUTED_VALUE"""),"")</f>
        <v/>
      </c>
      <c r="G1434" t="str">
        <f ca="1">IFERROR(__xludf.DUMMYFUNCTION("""COMPUTED_VALUE"""),"")</f>
        <v/>
      </c>
      <c r="H1434" t="str">
        <f ca="1">IFERROR(__xludf.DUMMYFUNCTION("""COMPUTED_VALUE"""),"")</f>
        <v/>
      </c>
      <c r="I1434" t="str">
        <f ca="1">IFERROR(__xludf.DUMMYFUNCTION("""COMPUTED_VALUE"""),"")</f>
        <v/>
      </c>
      <c r="J1434" t="str">
        <f ca="1">IFERROR(__xludf.DUMMYFUNCTION("""COMPUTED_VALUE"""),"")</f>
        <v/>
      </c>
      <c r="K1434" t="str">
        <f ca="1">IFERROR(__xludf.DUMMYFUNCTION("""COMPUTED_VALUE"""),"")</f>
        <v/>
      </c>
      <c r="L1434" t="str">
        <f ca="1">IFERROR(__xludf.DUMMYFUNCTION("""COMPUTED_VALUE"""),"")</f>
        <v/>
      </c>
      <c r="M1434" t="str">
        <f ca="1">IFERROR(__xludf.DUMMYFUNCTION("""COMPUTED_VALUE"""),"")</f>
        <v/>
      </c>
      <c r="N1434" t="str">
        <f ca="1">IFERROR(__xludf.DUMMYFUNCTION("""COMPUTED_VALUE"""),"")</f>
        <v/>
      </c>
      <c r="O1434" t="str">
        <f ca="1">IFERROR(__xludf.DUMMYFUNCTION("""COMPUTED_VALUE"""),"")</f>
        <v/>
      </c>
      <c r="P1434" t="str">
        <f ca="1">IFERROR(__xludf.DUMMYFUNCTION("""COMPUTED_VALUE"""),"")</f>
        <v/>
      </c>
      <c r="Q1434" s="5" t="str">
        <f ca="1">IFERROR(__xludf.DUMMYFUNCTION("""COMPUTED_VALUE"""),"")</f>
        <v/>
      </c>
      <c r="R1434" s="6" t="str">
        <f ca="1">IFERROR(__xludf.DUMMYFUNCTION("""COMPUTED_VALUE"""),"")</f>
        <v/>
      </c>
      <c r="S1434" t="str">
        <f ca="1">IFERROR(__xludf.DUMMYFUNCTION("""COMPUTED_VALUE"""),"")</f>
        <v/>
      </c>
      <c r="T1434" t="str">
        <f ca="1">IFERROR(__xludf.DUMMYFUNCTION("""COMPUTED_VALUE"""),"")</f>
        <v/>
      </c>
      <c r="U1434" t="str">
        <f ca="1">IFERROR(__xludf.DUMMYFUNCTION("""COMPUTED_VALUE"""),"")</f>
        <v/>
      </c>
      <c r="V1434" t="str">
        <f ca="1">IFERROR(__xludf.DUMMYFUNCTION("""COMPUTED_VALUE"""),"")</f>
        <v/>
      </c>
      <c r="W1434" t="str">
        <f ca="1">IFERROR(__xludf.DUMMYFUNCTION("""COMPUTED_VALUE"""),"")</f>
        <v/>
      </c>
      <c r="X1434" t="str">
        <f ca="1">IFERROR(__xludf.DUMMYFUNCTION("""COMPUTED_VALUE"""),"")</f>
        <v/>
      </c>
      <c r="Y1434" t="str">
        <f ca="1">IFERROR(__xludf.DUMMYFUNCTION("""COMPUTED_VALUE"""),"")</f>
        <v/>
      </c>
      <c r="Z1434" t="str">
        <f ca="1">IFERROR(__xludf.DUMMYFUNCTION("""COMPUTED_VALUE"""),"")</f>
        <v/>
      </c>
      <c r="AA1434" t="str">
        <f ca="1">IFERROR(__xludf.DUMMYFUNCTION("""COMPUTED_VALUE"""),"")</f>
        <v/>
      </c>
      <c r="AB1434" s="8" t="str">
        <f ca="1">IFERROR(__xludf.DUMMYFUNCTION("""COMPUTED_VALUE"""),"")</f>
        <v/>
      </c>
      <c r="AC1434" s="8" t="str">
        <f ca="1">IFERROR(__xludf.DUMMYFUNCTION("""COMPUTED_VALUE"""),"")</f>
        <v/>
      </c>
      <c r="AD1434" s="11" t="str">
        <f ca="1">IFERROR(__xludf.DUMMYFUNCTION("""COMPUTED_VALUE"""),"")</f>
        <v/>
      </c>
      <c r="AE1434" t="str">
        <f ca="1">IFERROR(__xludf.DUMMYFUNCTION("""COMPUTED_VALUE"""),"")</f>
        <v/>
      </c>
    </row>
    <row r="1435" spans="1:31" ht="12.75" x14ac:dyDescent="0.2">
      <c r="A1435" t="str">
        <f ca="1">IFERROR(__xludf.DUMMYFUNCTION("""COMPUTED_VALUE"""),"")</f>
        <v/>
      </c>
      <c r="B1435" t="str">
        <f ca="1">IFERROR(__xludf.DUMMYFUNCTION("""COMPUTED_VALUE"""),"")</f>
        <v/>
      </c>
      <c r="C1435" t="str">
        <f ca="1">IFERROR(__xludf.DUMMYFUNCTION("""COMPUTED_VALUE"""),"")</f>
        <v/>
      </c>
      <c r="D1435" t="str">
        <f ca="1">IFERROR(__xludf.DUMMYFUNCTION("""COMPUTED_VALUE"""),"")</f>
        <v/>
      </c>
      <c r="E1435" t="str">
        <f ca="1">IFERROR(__xludf.DUMMYFUNCTION("""COMPUTED_VALUE"""),"")</f>
        <v/>
      </c>
      <c r="F1435" t="str">
        <f ca="1">IFERROR(__xludf.DUMMYFUNCTION("""COMPUTED_VALUE"""),"")</f>
        <v/>
      </c>
      <c r="G1435" t="str">
        <f ca="1">IFERROR(__xludf.DUMMYFUNCTION("""COMPUTED_VALUE"""),"")</f>
        <v/>
      </c>
      <c r="H1435" t="str">
        <f ca="1">IFERROR(__xludf.DUMMYFUNCTION("""COMPUTED_VALUE"""),"")</f>
        <v/>
      </c>
      <c r="I1435" t="str">
        <f ca="1">IFERROR(__xludf.DUMMYFUNCTION("""COMPUTED_VALUE"""),"")</f>
        <v/>
      </c>
      <c r="J1435" t="str">
        <f ca="1">IFERROR(__xludf.DUMMYFUNCTION("""COMPUTED_VALUE"""),"")</f>
        <v/>
      </c>
      <c r="K1435" t="str">
        <f ca="1">IFERROR(__xludf.DUMMYFUNCTION("""COMPUTED_VALUE"""),"")</f>
        <v/>
      </c>
      <c r="L1435" t="str">
        <f ca="1">IFERROR(__xludf.DUMMYFUNCTION("""COMPUTED_VALUE"""),"")</f>
        <v/>
      </c>
      <c r="M1435" t="str">
        <f ca="1">IFERROR(__xludf.DUMMYFUNCTION("""COMPUTED_VALUE"""),"")</f>
        <v/>
      </c>
      <c r="N1435" t="str">
        <f ca="1">IFERROR(__xludf.DUMMYFUNCTION("""COMPUTED_VALUE"""),"")</f>
        <v/>
      </c>
      <c r="O1435" t="str">
        <f ca="1">IFERROR(__xludf.DUMMYFUNCTION("""COMPUTED_VALUE"""),"")</f>
        <v/>
      </c>
      <c r="P1435" t="str">
        <f ca="1">IFERROR(__xludf.DUMMYFUNCTION("""COMPUTED_VALUE"""),"")</f>
        <v/>
      </c>
      <c r="Q1435" s="5" t="str">
        <f ca="1">IFERROR(__xludf.DUMMYFUNCTION("""COMPUTED_VALUE"""),"")</f>
        <v/>
      </c>
      <c r="R1435" s="6" t="str">
        <f ca="1">IFERROR(__xludf.DUMMYFUNCTION("""COMPUTED_VALUE"""),"")</f>
        <v/>
      </c>
      <c r="S1435" t="str">
        <f ca="1">IFERROR(__xludf.DUMMYFUNCTION("""COMPUTED_VALUE"""),"")</f>
        <v/>
      </c>
      <c r="T1435" t="str">
        <f ca="1">IFERROR(__xludf.DUMMYFUNCTION("""COMPUTED_VALUE"""),"")</f>
        <v/>
      </c>
      <c r="U1435" t="str">
        <f ca="1">IFERROR(__xludf.DUMMYFUNCTION("""COMPUTED_VALUE"""),"")</f>
        <v/>
      </c>
      <c r="V1435" t="str">
        <f ca="1">IFERROR(__xludf.DUMMYFUNCTION("""COMPUTED_VALUE"""),"")</f>
        <v/>
      </c>
      <c r="W1435" t="str">
        <f ca="1">IFERROR(__xludf.DUMMYFUNCTION("""COMPUTED_VALUE"""),"")</f>
        <v/>
      </c>
      <c r="X1435" t="str">
        <f ca="1">IFERROR(__xludf.DUMMYFUNCTION("""COMPUTED_VALUE"""),"")</f>
        <v/>
      </c>
      <c r="Y1435" t="str">
        <f ca="1">IFERROR(__xludf.DUMMYFUNCTION("""COMPUTED_VALUE"""),"")</f>
        <v/>
      </c>
      <c r="Z1435" t="str">
        <f ca="1">IFERROR(__xludf.DUMMYFUNCTION("""COMPUTED_VALUE"""),"")</f>
        <v/>
      </c>
      <c r="AA1435" t="str">
        <f ca="1">IFERROR(__xludf.DUMMYFUNCTION("""COMPUTED_VALUE"""),"")</f>
        <v/>
      </c>
      <c r="AB1435" s="8" t="str">
        <f ca="1">IFERROR(__xludf.DUMMYFUNCTION("""COMPUTED_VALUE"""),"")</f>
        <v/>
      </c>
      <c r="AC1435" s="8" t="str">
        <f ca="1">IFERROR(__xludf.DUMMYFUNCTION("""COMPUTED_VALUE"""),"")</f>
        <v/>
      </c>
      <c r="AD1435" s="11" t="str">
        <f ca="1">IFERROR(__xludf.DUMMYFUNCTION("""COMPUTED_VALUE"""),"")</f>
        <v/>
      </c>
      <c r="AE1435" t="str">
        <f ca="1">IFERROR(__xludf.DUMMYFUNCTION("""COMPUTED_VALUE"""),"")</f>
        <v/>
      </c>
    </row>
    <row r="1436" spans="1:31" ht="12.75" x14ac:dyDescent="0.2">
      <c r="A1436" t="str">
        <f ca="1">IFERROR(__xludf.DUMMYFUNCTION("""COMPUTED_VALUE"""),"")</f>
        <v/>
      </c>
      <c r="B1436" t="str">
        <f ca="1">IFERROR(__xludf.DUMMYFUNCTION("""COMPUTED_VALUE"""),"")</f>
        <v/>
      </c>
      <c r="C1436" t="str">
        <f ca="1">IFERROR(__xludf.DUMMYFUNCTION("""COMPUTED_VALUE"""),"")</f>
        <v/>
      </c>
      <c r="D1436" t="str">
        <f ca="1">IFERROR(__xludf.DUMMYFUNCTION("""COMPUTED_VALUE"""),"")</f>
        <v/>
      </c>
      <c r="E1436" t="str">
        <f ca="1">IFERROR(__xludf.DUMMYFUNCTION("""COMPUTED_VALUE"""),"")</f>
        <v/>
      </c>
      <c r="F1436" t="str">
        <f ca="1">IFERROR(__xludf.DUMMYFUNCTION("""COMPUTED_VALUE"""),"")</f>
        <v/>
      </c>
      <c r="G1436" t="str">
        <f ca="1">IFERROR(__xludf.DUMMYFUNCTION("""COMPUTED_VALUE"""),"")</f>
        <v/>
      </c>
      <c r="H1436" t="str">
        <f ca="1">IFERROR(__xludf.DUMMYFUNCTION("""COMPUTED_VALUE"""),"")</f>
        <v/>
      </c>
      <c r="I1436" t="str">
        <f ca="1">IFERROR(__xludf.DUMMYFUNCTION("""COMPUTED_VALUE"""),"")</f>
        <v/>
      </c>
      <c r="J1436" t="str">
        <f ca="1">IFERROR(__xludf.DUMMYFUNCTION("""COMPUTED_VALUE"""),"")</f>
        <v/>
      </c>
      <c r="K1436" t="str">
        <f ca="1">IFERROR(__xludf.DUMMYFUNCTION("""COMPUTED_VALUE"""),"")</f>
        <v/>
      </c>
      <c r="L1436" t="str">
        <f ca="1">IFERROR(__xludf.DUMMYFUNCTION("""COMPUTED_VALUE"""),"")</f>
        <v/>
      </c>
      <c r="M1436" t="str">
        <f ca="1">IFERROR(__xludf.DUMMYFUNCTION("""COMPUTED_VALUE"""),"")</f>
        <v/>
      </c>
      <c r="N1436" t="str">
        <f ca="1">IFERROR(__xludf.DUMMYFUNCTION("""COMPUTED_VALUE"""),"")</f>
        <v/>
      </c>
      <c r="O1436" t="str">
        <f ca="1">IFERROR(__xludf.DUMMYFUNCTION("""COMPUTED_VALUE"""),"")</f>
        <v/>
      </c>
      <c r="P1436" t="str">
        <f ca="1">IFERROR(__xludf.DUMMYFUNCTION("""COMPUTED_VALUE"""),"")</f>
        <v/>
      </c>
      <c r="Q1436" s="5" t="str">
        <f ca="1">IFERROR(__xludf.DUMMYFUNCTION("""COMPUTED_VALUE"""),"")</f>
        <v/>
      </c>
      <c r="R1436" s="6" t="str">
        <f ca="1">IFERROR(__xludf.DUMMYFUNCTION("""COMPUTED_VALUE"""),"")</f>
        <v/>
      </c>
      <c r="S1436" t="str">
        <f ca="1">IFERROR(__xludf.DUMMYFUNCTION("""COMPUTED_VALUE"""),"")</f>
        <v/>
      </c>
      <c r="T1436" t="str">
        <f ca="1">IFERROR(__xludf.DUMMYFUNCTION("""COMPUTED_VALUE"""),"")</f>
        <v/>
      </c>
      <c r="U1436" t="str">
        <f ca="1">IFERROR(__xludf.DUMMYFUNCTION("""COMPUTED_VALUE"""),"")</f>
        <v/>
      </c>
      <c r="V1436" t="str">
        <f ca="1">IFERROR(__xludf.DUMMYFUNCTION("""COMPUTED_VALUE"""),"")</f>
        <v/>
      </c>
      <c r="W1436" t="str">
        <f ca="1">IFERROR(__xludf.DUMMYFUNCTION("""COMPUTED_VALUE"""),"")</f>
        <v/>
      </c>
      <c r="X1436" t="str">
        <f ca="1">IFERROR(__xludf.DUMMYFUNCTION("""COMPUTED_VALUE"""),"")</f>
        <v/>
      </c>
      <c r="Y1436" t="str">
        <f ca="1">IFERROR(__xludf.DUMMYFUNCTION("""COMPUTED_VALUE"""),"")</f>
        <v/>
      </c>
      <c r="Z1436" t="str">
        <f ca="1">IFERROR(__xludf.DUMMYFUNCTION("""COMPUTED_VALUE"""),"")</f>
        <v/>
      </c>
      <c r="AA1436" t="str">
        <f ca="1">IFERROR(__xludf.DUMMYFUNCTION("""COMPUTED_VALUE"""),"")</f>
        <v/>
      </c>
      <c r="AB1436" s="8" t="str">
        <f ca="1">IFERROR(__xludf.DUMMYFUNCTION("""COMPUTED_VALUE"""),"")</f>
        <v/>
      </c>
      <c r="AC1436" s="8" t="str">
        <f ca="1">IFERROR(__xludf.DUMMYFUNCTION("""COMPUTED_VALUE"""),"")</f>
        <v/>
      </c>
      <c r="AD1436" s="11" t="str">
        <f ca="1">IFERROR(__xludf.DUMMYFUNCTION("""COMPUTED_VALUE"""),"")</f>
        <v/>
      </c>
      <c r="AE1436" t="str">
        <f ca="1">IFERROR(__xludf.DUMMYFUNCTION("""COMPUTED_VALUE"""),"")</f>
        <v/>
      </c>
    </row>
    <row r="1437" spans="1:31" ht="12.75" x14ac:dyDescent="0.2">
      <c r="A1437" t="str">
        <f ca="1">IFERROR(__xludf.DUMMYFUNCTION("""COMPUTED_VALUE"""),"")</f>
        <v/>
      </c>
      <c r="B1437" t="str">
        <f ca="1">IFERROR(__xludf.DUMMYFUNCTION("""COMPUTED_VALUE"""),"")</f>
        <v/>
      </c>
      <c r="C1437" t="str">
        <f ca="1">IFERROR(__xludf.DUMMYFUNCTION("""COMPUTED_VALUE"""),"")</f>
        <v/>
      </c>
      <c r="D1437" t="str">
        <f ca="1">IFERROR(__xludf.DUMMYFUNCTION("""COMPUTED_VALUE"""),"")</f>
        <v/>
      </c>
      <c r="E1437" t="str">
        <f ca="1">IFERROR(__xludf.DUMMYFUNCTION("""COMPUTED_VALUE"""),"")</f>
        <v/>
      </c>
      <c r="F1437" t="str">
        <f ca="1">IFERROR(__xludf.DUMMYFUNCTION("""COMPUTED_VALUE"""),"")</f>
        <v/>
      </c>
      <c r="G1437" t="str">
        <f ca="1">IFERROR(__xludf.DUMMYFUNCTION("""COMPUTED_VALUE"""),"")</f>
        <v/>
      </c>
      <c r="H1437" t="str">
        <f ca="1">IFERROR(__xludf.DUMMYFUNCTION("""COMPUTED_VALUE"""),"")</f>
        <v/>
      </c>
      <c r="I1437" t="str">
        <f ca="1">IFERROR(__xludf.DUMMYFUNCTION("""COMPUTED_VALUE"""),"")</f>
        <v/>
      </c>
      <c r="J1437" t="str">
        <f ca="1">IFERROR(__xludf.DUMMYFUNCTION("""COMPUTED_VALUE"""),"")</f>
        <v/>
      </c>
      <c r="K1437" t="str">
        <f ca="1">IFERROR(__xludf.DUMMYFUNCTION("""COMPUTED_VALUE"""),"")</f>
        <v/>
      </c>
      <c r="L1437" t="str">
        <f ca="1">IFERROR(__xludf.DUMMYFUNCTION("""COMPUTED_VALUE"""),"")</f>
        <v/>
      </c>
      <c r="M1437" t="str">
        <f ca="1">IFERROR(__xludf.DUMMYFUNCTION("""COMPUTED_VALUE"""),"")</f>
        <v/>
      </c>
      <c r="N1437" t="str">
        <f ca="1">IFERROR(__xludf.DUMMYFUNCTION("""COMPUTED_VALUE"""),"")</f>
        <v/>
      </c>
      <c r="O1437" t="str">
        <f ca="1">IFERROR(__xludf.DUMMYFUNCTION("""COMPUTED_VALUE"""),"")</f>
        <v/>
      </c>
      <c r="P1437" t="str">
        <f ca="1">IFERROR(__xludf.DUMMYFUNCTION("""COMPUTED_VALUE"""),"")</f>
        <v/>
      </c>
      <c r="Q1437" s="5" t="str">
        <f ca="1">IFERROR(__xludf.DUMMYFUNCTION("""COMPUTED_VALUE"""),"")</f>
        <v/>
      </c>
      <c r="R1437" s="6" t="str">
        <f ca="1">IFERROR(__xludf.DUMMYFUNCTION("""COMPUTED_VALUE"""),"")</f>
        <v/>
      </c>
      <c r="S1437" t="str">
        <f ca="1">IFERROR(__xludf.DUMMYFUNCTION("""COMPUTED_VALUE"""),"")</f>
        <v/>
      </c>
      <c r="T1437" t="str">
        <f ca="1">IFERROR(__xludf.DUMMYFUNCTION("""COMPUTED_VALUE"""),"")</f>
        <v/>
      </c>
      <c r="U1437" t="str">
        <f ca="1">IFERROR(__xludf.DUMMYFUNCTION("""COMPUTED_VALUE"""),"")</f>
        <v/>
      </c>
      <c r="V1437" t="str">
        <f ca="1">IFERROR(__xludf.DUMMYFUNCTION("""COMPUTED_VALUE"""),"")</f>
        <v/>
      </c>
      <c r="W1437" t="str">
        <f ca="1">IFERROR(__xludf.DUMMYFUNCTION("""COMPUTED_VALUE"""),"")</f>
        <v/>
      </c>
      <c r="X1437" t="str">
        <f ca="1">IFERROR(__xludf.DUMMYFUNCTION("""COMPUTED_VALUE"""),"")</f>
        <v/>
      </c>
      <c r="Y1437" t="str">
        <f ca="1">IFERROR(__xludf.DUMMYFUNCTION("""COMPUTED_VALUE"""),"")</f>
        <v/>
      </c>
      <c r="Z1437" t="str">
        <f ca="1">IFERROR(__xludf.DUMMYFUNCTION("""COMPUTED_VALUE"""),"")</f>
        <v/>
      </c>
      <c r="AA1437" t="str">
        <f ca="1">IFERROR(__xludf.DUMMYFUNCTION("""COMPUTED_VALUE"""),"")</f>
        <v/>
      </c>
      <c r="AB1437" s="8" t="str">
        <f ca="1">IFERROR(__xludf.DUMMYFUNCTION("""COMPUTED_VALUE"""),"")</f>
        <v/>
      </c>
      <c r="AC1437" s="8" t="str">
        <f ca="1">IFERROR(__xludf.DUMMYFUNCTION("""COMPUTED_VALUE"""),"")</f>
        <v/>
      </c>
      <c r="AD1437" s="11" t="str">
        <f ca="1">IFERROR(__xludf.DUMMYFUNCTION("""COMPUTED_VALUE"""),"")</f>
        <v/>
      </c>
      <c r="AE1437" t="str">
        <f ca="1">IFERROR(__xludf.DUMMYFUNCTION("""COMPUTED_VALUE"""),"")</f>
        <v/>
      </c>
    </row>
    <row r="1438" spans="1:31" ht="12.75" x14ac:dyDescent="0.2">
      <c r="A1438" t="str">
        <f ca="1">IFERROR(__xludf.DUMMYFUNCTION("""COMPUTED_VALUE"""),"")</f>
        <v/>
      </c>
      <c r="B1438" t="str">
        <f ca="1">IFERROR(__xludf.DUMMYFUNCTION("""COMPUTED_VALUE"""),"")</f>
        <v/>
      </c>
      <c r="C1438" t="str">
        <f ca="1">IFERROR(__xludf.DUMMYFUNCTION("""COMPUTED_VALUE"""),"")</f>
        <v/>
      </c>
      <c r="D1438" t="str">
        <f ca="1">IFERROR(__xludf.DUMMYFUNCTION("""COMPUTED_VALUE"""),"")</f>
        <v/>
      </c>
      <c r="E1438" t="str">
        <f ca="1">IFERROR(__xludf.DUMMYFUNCTION("""COMPUTED_VALUE"""),"")</f>
        <v/>
      </c>
      <c r="F1438" t="str">
        <f ca="1">IFERROR(__xludf.DUMMYFUNCTION("""COMPUTED_VALUE"""),"")</f>
        <v/>
      </c>
      <c r="G1438" t="str">
        <f ca="1">IFERROR(__xludf.DUMMYFUNCTION("""COMPUTED_VALUE"""),"")</f>
        <v/>
      </c>
      <c r="H1438" t="str">
        <f ca="1">IFERROR(__xludf.DUMMYFUNCTION("""COMPUTED_VALUE"""),"")</f>
        <v/>
      </c>
      <c r="I1438" t="str">
        <f ca="1">IFERROR(__xludf.DUMMYFUNCTION("""COMPUTED_VALUE"""),"")</f>
        <v/>
      </c>
      <c r="J1438" t="str">
        <f ca="1">IFERROR(__xludf.DUMMYFUNCTION("""COMPUTED_VALUE"""),"")</f>
        <v/>
      </c>
      <c r="K1438" t="str">
        <f ca="1">IFERROR(__xludf.DUMMYFUNCTION("""COMPUTED_VALUE"""),"")</f>
        <v/>
      </c>
      <c r="L1438" t="str">
        <f ca="1">IFERROR(__xludf.DUMMYFUNCTION("""COMPUTED_VALUE"""),"")</f>
        <v/>
      </c>
      <c r="M1438" t="str">
        <f ca="1">IFERROR(__xludf.DUMMYFUNCTION("""COMPUTED_VALUE"""),"")</f>
        <v/>
      </c>
      <c r="N1438" t="str">
        <f ca="1">IFERROR(__xludf.DUMMYFUNCTION("""COMPUTED_VALUE"""),"")</f>
        <v/>
      </c>
      <c r="O1438" t="str">
        <f ca="1">IFERROR(__xludf.DUMMYFUNCTION("""COMPUTED_VALUE"""),"")</f>
        <v/>
      </c>
      <c r="P1438" t="str">
        <f ca="1">IFERROR(__xludf.DUMMYFUNCTION("""COMPUTED_VALUE"""),"")</f>
        <v/>
      </c>
      <c r="Q1438" s="5" t="str">
        <f ca="1">IFERROR(__xludf.DUMMYFUNCTION("""COMPUTED_VALUE"""),"")</f>
        <v/>
      </c>
      <c r="R1438" s="6" t="str">
        <f ca="1">IFERROR(__xludf.DUMMYFUNCTION("""COMPUTED_VALUE"""),"")</f>
        <v/>
      </c>
      <c r="S1438" t="str">
        <f ca="1">IFERROR(__xludf.DUMMYFUNCTION("""COMPUTED_VALUE"""),"")</f>
        <v/>
      </c>
      <c r="T1438" t="str">
        <f ca="1">IFERROR(__xludf.DUMMYFUNCTION("""COMPUTED_VALUE"""),"")</f>
        <v/>
      </c>
      <c r="U1438" t="str">
        <f ca="1">IFERROR(__xludf.DUMMYFUNCTION("""COMPUTED_VALUE"""),"")</f>
        <v/>
      </c>
      <c r="V1438" t="str">
        <f ca="1">IFERROR(__xludf.DUMMYFUNCTION("""COMPUTED_VALUE"""),"")</f>
        <v/>
      </c>
      <c r="W1438" t="str">
        <f ca="1">IFERROR(__xludf.DUMMYFUNCTION("""COMPUTED_VALUE"""),"")</f>
        <v/>
      </c>
      <c r="X1438" t="str">
        <f ca="1">IFERROR(__xludf.DUMMYFUNCTION("""COMPUTED_VALUE"""),"")</f>
        <v/>
      </c>
      <c r="Y1438" t="str">
        <f ca="1">IFERROR(__xludf.DUMMYFUNCTION("""COMPUTED_VALUE"""),"")</f>
        <v/>
      </c>
      <c r="Z1438" t="str">
        <f ca="1">IFERROR(__xludf.DUMMYFUNCTION("""COMPUTED_VALUE"""),"")</f>
        <v/>
      </c>
      <c r="AA1438" t="str">
        <f ca="1">IFERROR(__xludf.DUMMYFUNCTION("""COMPUTED_VALUE"""),"")</f>
        <v/>
      </c>
      <c r="AB1438" s="8" t="str">
        <f ca="1">IFERROR(__xludf.DUMMYFUNCTION("""COMPUTED_VALUE"""),"")</f>
        <v/>
      </c>
      <c r="AC1438" s="8" t="str">
        <f ca="1">IFERROR(__xludf.DUMMYFUNCTION("""COMPUTED_VALUE"""),"")</f>
        <v/>
      </c>
      <c r="AD1438" s="11" t="str">
        <f ca="1">IFERROR(__xludf.DUMMYFUNCTION("""COMPUTED_VALUE"""),"")</f>
        <v/>
      </c>
      <c r="AE1438" t="str">
        <f ca="1">IFERROR(__xludf.DUMMYFUNCTION("""COMPUTED_VALUE"""),"")</f>
        <v/>
      </c>
    </row>
    <row r="1439" spans="1:31" ht="12.75" x14ac:dyDescent="0.2">
      <c r="A1439" t="str">
        <f ca="1">IFERROR(__xludf.DUMMYFUNCTION("""COMPUTED_VALUE"""),"")</f>
        <v/>
      </c>
      <c r="B1439" t="str">
        <f ca="1">IFERROR(__xludf.DUMMYFUNCTION("""COMPUTED_VALUE"""),"")</f>
        <v/>
      </c>
      <c r="C1439" t="str">
        <f ca="1">IFERROR(__xludf.DUMMYFUNCTION("""COMPUTED_VALUE"""),"")</f>
        <v/>
      </c>
      <c r="D1439" t="str">
        <f ca="1">IFERROR(__xludf.DUMMYFUNCTION("""COMPUTED_VALUE"""),"")</f>
        <v/>
      </c>
      <c r="E1439" t="str">
        <f ca="1">IFERROR(__xludf.DUMMYFUNCTION("""COMPUTED_VALUE"""),"")</f>
        <v/>
      </c>
      <c r="F1439" t="str">
        <f ca="1">IFERROR(__xludf.DUMMYFUNCTION("""COMPUTED_VALUE"""),"")</f>
        <v/>
      </c>
      <c r="G1439" t="str">
        <f ca="1">IFERROR(__xludf.DUMMYFUNCTION("""COMPUTED_VALUE"""),"")</f>
        <v/>
      </c>
      <c r="H1439" t="str">
        <f ca="1">IFERROR(__xludf.DUMMYFUNCTION("""COMPUTED_VALUE"""),"")</f>
        <v/>
      </c>
      <c r="I1439" t="str">
        <f ca="1">IFERROR(__xludf.DUMMYFUNCTION("""COMPUTED_VALUE"""),"")</f>
        <v/>
      </c>
      <c r="J1439" t="str">
        <f ca="1">IFERROR(__xludf.DUMMYFUNCTION("""COMPUTED_VALUE"""),"")</f>
        <v/>
      </c>
      <c r="K1439" t="str">
        <f ca="1">IFERROR(__xludf.DUMMYFUNCTION("""COMPUTED_VALUE"""),"")</f>
        <v/>
      </c>
      <c r="L1439" t="str">
        <f ca="1">IFERROR(__xludf.DUMMYFUNCTION("""COMPUTED_VALUE"""),"")</f>
        <v/>
      </c>
      <c r="M1439" t="str">
        <f ca="1">IFERROR(__xludf.DUMMYFUNCTION("""COMPUTED_VALUE"""),"")</f>
        <v/>
      </c>
      <c r="N1439" t="str">
        <f ca="1">IFERROR(__xludf.DUMMYFUNCTION("""COMPUTED_VALUE"""),"")</f>
        <v/>
      </c>
      <c r="O1439" t="str">
        <f ca="1">IFERROR(__xludf.DUMMYFUNCTION("""COMPUTED_VALUE"""),"")</f>
        <v/>
      </c>
      <c r="P1439" t="str">
        <f ca="1">IFERROR(__xludf.DUMMYFUNCTION("""COMPUTED_VALUE"""),"")</f>
        <v/>
      </c>
      <c r="Q1439" s="5" t="str">
        <f ca="1">IFERROR(__xludf.DUMMYFUNCTION("""COMPUTED_VALUE"""),"")</f>
        <v/>
      </c>
      <c r="R1439" s="6" t="str">
        <f ca="1">IFERROR(__xludf.DUMMYFUNCTION("""COMPUTED_VALUE"""),"")</f>
        <v/>
      </c>
      <c r="S1439" t="str">
        <f ca="1">IFERROR(__xludf.DUMMYFUNCTION("""COMPUTED_VALUE"""),"")</f>
        <v/>
      </c>
      <c r="T1439" t="str">
        <f ca="1">IFERROR(__xludf.DUMMYFUNCTION("""COMPUTED_VALUE"""),"")</f>
        <v/>
      </c>
      <c r="U1439" t="str">
        <f ca="1">IFERROR(__xludf.DUMMYFUNCTION("""COMPUTED_VALUE"""),"")</f>
        <v/>
      </c>
      <c r="V1439" t="str">
        <f ca="1">IFERROR(__xludf.DUMMYFUNCTION("""COMPUTED_VALUE"""),"")</f>
        <v/>
      </c>
      <c r="W1439" t="str">
        <f ca="1">IFERROR(__xludf.DUMMYFUNCTION("""COMPUTED_VALUE"""),"")</f>
        <v/>
      </c>
      <c r="X1439" t="str">
        <f ca="1">IFERROR(__xludf.DUMMYFUNCTION("""COMPUTED_VALUE"""),"")</f>
        <v/>
      </c>
      <c r="Y1439" t="str">
        <f ca="1">IFERROR(__xludf.DUMMYFUNCTION("""COMPUTED_VALUE"""),"")</f>
        <v/>
      </c>
      <c r="Z1439" t="str">
        <f ca="1">IFERROR(__xludf.DUMMYFUNCTION("""COMPUTED_VALUE"""),"")</f>
        <v/>
      </c>
      <c r="AA1439" t="str">
        <f ca="1">IFERROR(__xludf.DUMMYFUNCTION("""COMPUTED_VALUE"""),"")</f>
        <v/>
      </c>
      <c r="AB1439" s="8" t="str">
        <f ca="1">IFERROR(__xludf.DUMMYFUNCTION("""COMPUTED_VALUE"""),"")</f>
        <v/>
      </c>
      <c r="AC1439" s="8" t="str">
        <f ca="1">IFERROR(__xludf.DUMMYFUNCTION("""COMPUTED_VALUE"""),"")</f>
        <v/>
      </c>
      <c r="AD1439" s="11" t="str">
        <f ca="1">IFERROR(__xludf.DUMMYFUNCTION("""COMPUTED_VALUE"""),"")</f>
        <v/>
      </c>
      <c r="AE1439" t="str">
        <f ca="1">IFERROR(__xludf.DUMMYFUNCTION("""COMPUTED_VALUE"""),"")</f>
        <v/>
      </c>
    </row>
    <row r="1440" spans="1:31" ht="12.75" x14ac:dyDescent="0.2">
      <c r="A1440" t="str">
        <f ca="1">IFERROR(__xludf.DUMMYFUNCTION("""COMPUTED_VALUE"""),"")</f>
        <v/>
      </c>
      <c r="B1440" t="str">
        <f ca="1">IFERROR(__xludf.DUMMYFUNCTION("""COMPUTED_VALUE"""),"")</f>
        <v/>
      </c>
      <c r="C1440" t="str">
        <f ca="1">IFERROR(__xludf.DUMMYFUNCTION("""COMPUTED_VALUE"""),"")</f>
        <v/>
      </c>
      <c r="D1440" t="str">
        <f ca="1">IFERROR(__xludf.DUMMYFUNCTION("""COMPUTED_VALUE"""),"")</f>
        <v/>
      </c>
      <c r="E1440" t="str">
        <f ca="1">IFERROR(__xludf.DUMMYFUNCTION("""COMPUTED_VALUE"""),"")</f>
        <v/>
      </c>
      <c r="F1440" t="str">
        <f ca="1">IFERROR(__xludf.DUMMYFUNCTION("""COMPUTED_VALUE"""),"")</f>
        <v/>
      </c>
      <c r="G1440" t="str">
        <f ca="1">IFERROR(__xludf.DUMMYFUNCTION("""COMPUTED_VALUE"""),"")</f>
        <v/>
      </c>
      <c r="H1440" t="str">
        <f ca="1">IFERROR(__xludf.DUMMYFUNCTION("""COMPUTED_VALUE"""),"")</f>
        <v/>
      </c>
      <c r="I1440" t="str">
        <f ca="1">IFERROR(__xludf.DUMMYFUNCTION("""COMPUTED_VALUE"""),"")</f>
        <v/>
      </c>
      <c r="J1440" t="str">
        <f ca="1">IFERROR(__xludf.DUMMYFUNCTION("""COMPUTED_VALUE"""),"")</f>
        <v/>
      </c>
      <c r="K1440" t="str">
        <f ca="1">IFERROR(__xludf.DUMMYFUNCTION("""COMPUTED_VALUE"""),"")</f>
        <v/>
      </c>
      <c r="L1440" t="str">
        <f ca="1">IFERROR(__xludf.DUMMYFUNCTION("""COMPUTED_VALUE"""),"")</f>
        <v/>
      </c>
      <c r="M1440" t="str">
        <f ca="1">IFERROR(__xludf.DUMMYFUNCTION("""COMPUTED_VALUE"""),"")</f>
        <v/>
      </c>
      <c r="N1440" t="str">
        <f ca="1">IFERROR(__xludf.DUMMYFUNCTION("""COMPUTED_VALUE"""),"")</f>
        <v/>
      </c>
      <c r="O1440" t="str">
        <f ca="1">IFERROR(__xludf.DUMMYFUNCTION("""COMPUTED_VALUE"""),"")</f>
        <v/>
      </c>
      <c r="P1440" t="str">
        <f ca="1">IFERROR(__xludf.DUMMYFUNCTION("""COMPUTED_VALUE"""),"")</f>
        <v/>
      </c>
      <c r="Q1440" s="5" t="str">
        <f ca="1">IFERROR(__xludf.DUMMYFUNCTION("""COMPUTED_VALUE"""),"")</f>
        <v/>
      </c>
      <c r="R1440" s="6" t="str">
        <f ca="1">IFERROR(__xludf.DUMMYFUNCTION("""COMPUTED_VALUE"""),"")</f>
        <v/>
      </c>
      <c r="S1440" t="str">
        <f ca="1">IFERROR(__xludf.DUMMYFUNCTION("""COMPUTED_VALUE"""),"")</f>
        <v/>
      </c>
      <c r="T1440" t="str">
        <f ca="1">IFERROR(__xludf.DUMMYFUNCTION("""COMPUTED_VALUE"""),"")</f>
        <v/>
      </c>
      <c r="U1440" t="str">
        <f ca="1">IFERROR(__xludf.DUMMYFUNCTION("""COMPUTED_VALUE"""),"")</f>
        <v/>
      </c>
      <c r="V1440" t="str">
        <f ca="1">IFERROR(__xludf.DUMMYFUNCTION("""COMPUTED_VALUE"""),"")</f>
        <v/>
      </c>
      <c r="W1440" t="str">
        <f ca="1">IFERROR(__xludf.DUMMYFUNCTION("""COMPUTED_VALUE"""),"")</f>
        <v/>
      </c>
      <c r="X1440" t="str">
        <f ca="1">IFERROR(__xludf.DUMMYFUNCTION("""COMPUTED_VALUE"""),"")</f>
        <v/>
      </c>
      <c r="Y1440" t="str">
        <f ca="1">IFERROR(__xludf.DUMMYFUNCTION("""COMPUTED_VALUE"""),"")</f>
        <v/>
      </c>
      <c r="Z1440" t="str">
        <f ca="1">IFERROR(__xludf.DUMMYFUNCTION("""COMPUTED_VALUE"""),"")</f>
        <v/>
      </c>
      <c r="AA1440" t="str">
        <f ca="1">IFERROR(__xludf.DUMMYFUNCTION("""COMPUTED_VALUE"""),"")</f>
        <v/>
      </c>
      <c r="AB1440" s="8" t="str">
        <f ca="1">IFERROR(__xludf.DUMMYFUNCTION("""COMPUTED_VALUE"""),"")</f>
        <v/>
      </c>
      <c r="AC1440" s="8" t="str">
        <f ca="1">IFERROR(__xludf.DUMMYFUNCTION("""COMPUTED_VALUE"""),"")</f>
        <v/>
      </c>
      <c r="AD1440" s="11" t="str">
        <f ca="1">IFERROR(__xludf.DUMMYFUNCTION("""COMPUTED_VALUE"""),"")</f>
        <v/>
      </c>
      <c r="AE1440" t="str">
        <f ca="1">IFERROR(__xludf.DUMMYFUNCTION("""COMPUTED_VALUE"""),"")</f>
        <v/>
      </c>
    </row>
    <row r="1441" spans="1:31" ht="12.75" x14ac:dyDescent="0.2">
      <c r="A1441" t="str">
        <f ca="1">IFERROR(__xludf.DUMMYFUNCTION("""COMPUTED_VALUE"""),"")</f>
        <v/>
      </c>
      <c r="B1441" t="str">
        <f ca="1">IFERROR(__xludf.DUMMYFUNCTION("""COMPUTED_VALUE"""),"")</f>
        <v/>
      </c>
      <c r="C1441" t="str">
        <f ca="1">IFERROR(__xludf.DUMMYFUNCTION("""COMPUTED_VALUE"""),"")</f>
        <v/>
      </c>
      <c r="D1441" t="str">
        <f ca="1">IFERROR(__xludf.DUMMYFUNCTION("""COMPUTED_VALUE"""),"")</f>
        <v/>
      </c>
      <c r="E1441" t="str">
        <f ca="1">IFERROR(__xludf.DUMMYFUNCTION("""COMPUTED_VALUE"""),"")</f>
        <v/>
      </c>
      <c r="F1441" t="str">
        <f ca="1">IFERROR(__xludf.DUMMYFUNCTION("""COMPUTED_VALUE"""),"")</f>
        <v/>
      </c>
      <c r="G1441" t="str">
        <f ca="1">IFERROR(__xludf.DUMMYFUNCTION("""COMPUTED_VALUE"""),"")</f>
        <v/>
      </c>
      <c r="H1441" t="str">
        <f ca="1">IFERROR(__xludf.DUMMYFUNCTION("""COMPUTED_VALUE"""),"")</f>
        <v/>
      </c>
      <c r="I1441" t="str">
        <f ca="1">IFERROR(__xludf.DUMMYFUNCTION("""COMPUTED_VALUE"""),"")</f>
        <v/>
      </c>
      <c r="J1441" t="str">
        <f ca="1">IFERROR(__xludf.DUMMYFUNCTION("""COMPUTED_VALUE"""),"")</f>
        <v/>
      </c>
      <c r="K1441" t="str">
        <f ca="1">IFERROR(__xludf.DUMMYFUNCTION("""COMPUTED_VALUE"""),"")</f>
        <v/>
      </c>
      <c r="L1441" t="str">
        <f ca="1">IFERROR(__xludf.DUMMYFUNCTION("""COMPUTED_VALUE"""),"")</f>
        <v/>
      </c>
      <c r="M1441" t="str">
        <f ca="1">IFERROR(__xludf.DUMMYFUNCTION("""COMPUTED_VALUE"""),"")</f>
        <v/>
      </c>
      <c r="N1441" t="str">
        <f ca="1">IFERROR(__xludf.DUMMYFUNCTION("""COMPUTED_VALUE"""),"")</f>
        <v/>
      </c>
      <c r="O1441" t="str">
        <f ca="1">IFERROR(__xludf.DUMMYFUNCTION("""COMPUTED_VALUE"""),"")</f>
        <v/>
      </c>
      <c r="P1441" t="str">
        <f ca="1">IFERROR(__xludf.DUMMYFUNCTION("""COMPUTED_VALUE"""),"")</f>
        <v/>
      </c>
      <c r="Q1441" s="5" t="str">
        <f ca="1">IFERROR(__xludf.DUMMYFUNCTION("""COMPUTED_VALUE"""),"")</f>
        <v/>
      </c>
      <c r="R1441" s="6" t="str">
        <f ca="1">IFERROR(__xludf.DUMMYFUNCTION("""COMPUTED_VALUE"""),"")</f>
        <v/>
      </c>
      <c r="S1441" t="str">
        <f ca="1">IFERROR(__xludf.DUMMYFUNCTION("""COMPUTED_VALUE"""),"")</f>
        <v/>
      </c>
      <c r="T1441" t="str">
        <f ca="1">IFERROR(__xludf.DUMMYFUNCTION("""COMPUTED_VALUE"""),"")</f>
        <v/>
      </c>
      <c r="U1441" t="str">
        <f ca="1">IFERROR(__xludf.DUMMYFUNCTION("""COMPUTED_VALUE"""),"")</f>
        <v/>
      </c>
      <c r="V1441" t="str">
        <f ca="1">IFERROR(__xludf.DUMMYFUNCTION("""COMPUTED_VALUE"""),"")</f>
        <v/>
      </c>
      <c r="W1441" t="str">
        <f ca="1">IFERROR(__xludf.DUMMYFUNCTION("""COMPUTED_VALUE"""),"")</f>
        <v/>
      </c>
      <c r="X1441" t="str">
        <f ca="1">IFERROR(__xludf.DUMMYFUNCTION("""COMPUTED_VALUE"""),"")</f>
        <v/>
      </c>
      <c r="Y1441" t="str">
        <f ca="1">IFERROR(__xludf.DUMMYFUNCTION("""COMPUTED_VALUE"""),"")</f>
        <v/>
      </c>
      <c r="Z1441" t="str">
        <f ca="1">IFERROR(__xludf.DUMMYFUNCTION("""COMPUTED_VALUE"""),"")</f>
        <v/>
      </c>
      <c r="AA1441" t="str">
        <f ca="1">IFERROR(__xludf.DUMMYFUNCTION("""COMPUTED_VALUE"""),"")</f>
        <v/>
      </c>
      <c r="AB1441" s="8" t="str">
        <f ca="1">IFERROR(__xludf.DUMMYFUNCTION("""COMPUTED_VALUE"""),"")</f>
        <v/>
      </c>
      <c r="AC1441" s="8" t="str">
        <f ca="1">IFERROR(__xludf.DUMMYFUNCTION("""COMPUTED_VALUE"""),"")</f>
        <v/>
      </c>
      <c r="AD1441" s="11" t="str">
        <f ca="1">IFERROR(__xludf.DUMMYFUNCTION("""COMPUTED_VALUE"""),"")</f>
        <v/>
      </c>
      <c r="AE1441" t="str">
        <f ca="1">IFERROR(__xludf.DUMMYFUNCTION("""COMPUTED_VALUE"""),"")</f>
        <v/>
      </c>
    </row>
    <row r="1442" spans="1:31" ht="12.75" x14ac:dyDescent="0.2">
      <c r="A1442" t="str">
        <f ca="1">IFERROR(__xludf.DUMMYFUNCTION("""COMPUTED_VALUE"""),"")</f>
        <v/>
      </c>
      <c r="B1442" t="str">
        <f ca="1">IFERROR(__xludf.DUMMYFUNCTION("""COMPUTED_VALUE"""),"")</f>
        <v/>
      </c>
      <c r="C1442" t="str">
        <f ca="1">IFERROR(__xludf.DUMMYFUNCTION("""COMPUTED_VALUE"""),"")</f>
        <v/>
      </c>
      <c r="D1442" t="str">
        <f ca="1">IFERROR(__xludf.DUMMYFUNCTION("""COMPUTED_VALUE"""),"")</f>
        <v/>
      </c>
      <c r="E1442" t="str">
        <f ca="1">IFERROR(__xludf.DUMMYFUNCTION("""COMPUTED_VALUE"""),"")</f>
        <v/>
      </c>
      <c r="F1442" t="str">
        <f ca="1">IFERROR(__xludf.DUMMYFUNCTION("""COMPUTED_VALUE"""),"")</f>
        <v/>
      </c>
      <c r="G1442" t="str">
        <f ca="1">IFERROR(__xludf.DUMMYFUNCTION("""COMPUTED_VALUE"""),"")</f>
        <v/>
      </c>
      <c r="H1442" t="str">
        <f ca="1">IFERROR(__xludf.DUMMYFUNCTION("""COMPUTED_VALUE"""),"")</f>
        <v/>
      </c>
      <c r="I1442" t="str">
        <f ca="1">IFERROR(__xludf.DUMMYFUNCTION("""COMPUTED_VALUE"""),"")</f>
        <v/>
      </c>
      <c r="J1442" t="str">
        <f ca="1">IFERROR(__xludf.DUMMYFUNCTION("""COMPUTED_VALUE"""),"")</f>
        <v/>
      </c>
      <c r="K1442" t="str">
        <f ca="1">IFERROR(__xludf.DUMMYFUNCTION("""COMPUTED_VALUE"""),"")</f>
        <v/>
      </c>
      <c r="L1442" t="str">
        <f ca="1">IFERROR(__xludf.DUMMYFUNCTION("""COMPUTED_VALUE"""),"")</f>
        <v/>
      </c>
      <c r="M1442" t="str">
        <f ca="1">IFERROR(__xludf.DUMMYFUNCTION("""COMPUTED_VALUE"""),"")</f>
        <v/>
      </c>
      <c r="N1442" t="str">
        <f ca="1">IFERROR(__xludf.DUMMYFUNCTION("""COMPUTED_VALUE"""),"")</f>
        <v/>
      </c>
      <c r="O1442" t="str">
        <f ca="1">IFERROR(__xludf.DUMMYFUNCTION("""COMPUTED_VALUE"""),"")</f>
        <v/>
      </c>
      <c r="P1442" t="str">
        <f ca="1">IFERROR(__xludf.DUMMYFUNCTION("""COMPUTED_VALUE"""),"")</f>
        <v/>
      </c>
      <c r="Q1442" s="5" t="str">
        <f ca="1">IFERROR(__xludf.DUMMYFUNCTION("""COMPUTED_VALUE"""),"")</f>
        <v/>
      </c>
      <c r="R1442" s="6" t="str">
        <f ca="1">IFERROR(__xludf.DUMMYFUNCTION("""COMPUTED_VALUE"""),"")</f>
        <v/>
      </c>
      <c r="S1442" t="str">
        <f ca="1">IFERROR(__xludf.DUMMYFUNCTION("""COMPUTED_VALUE"""),"")</f>
        <v/>
      </c>
      <c r="T1442" t="str">
        <f ca="1">IFERROR(__xludf.DUMMYFUNCTION("""COMPUTED_VALUE"""),"")</f>
        <v/>
      </c>
      <c r="U1442" t="str">
        <f ca="1">IFERROR(__xludf.DUMMYFUNCTION("""COMPUTED_VALUE"""),"")</f>
        <v/>
      </c>
      <c r="V1442" t="str">
        <f ca="1">IFERROR(__xludf.DUMMYFUNCTION("""COMPUTED_VALUE"""),"")</f>
        <v/>
      </c>
      <c r="W1442" t="str">
        <f ca="1">IFERROR(__xludf.DUMMYFUNCTION("""COMPUTED_VALUE"""),"")</f>
        <v/>
      </c>
      <c r="X1442" t="str">
        <f ca="1">IFERROR(__xludf.DUMMYFUNCTION("""COMPUTED_VALUE"""),"")</f>
        <v/>
      </c>
      <c r="Y1442" t="str">
        <f ca="1">IFERROR(__xludf.DUMMYFUNCTION("""COMPUTED_VALUE"""),"")</f>
        <v/>
      </c>
      <c r="Z1442" t="str">
        <f ca="1">IFERROR(__xludf.DUMMYFUNCTION("""COMPUTED_VALUE"""),"")</f>
        <v/>
      </c>
      <c r="AA1442" t="str">
        <f ca="1">IFERROR(__xludf.DUMMYFUNCTION("""COMPUTED_VALUE"""),"")</f>
        <v/>
      </c>
      <c r="AB1442" s="8" t="str">
        <f ca="1">IFERROR(__xludf.DUMMYFUNCTION("""COMPUTED_VALUE"""),"")</f>
        <v/>
      </c>
      <c r="AC1442" s="8" t="str">
        <f ca="1">IFERROR(__xludf.DUMMYFUNCTION("""COMPUTED_VALUE"""),"")</f>
        <v/>
      </c>
      <c r="AD1442" s="11" t="str">
        <f ca="1">IFERROR(__xludf.DUMMYFUNCTION("""COMPUTED_VALUE"""),"")</f>
        <v/>
      </c>
      <c r="AE1442" t="str">
        <f ca="1">IFERROR(__xludf.DUMMYFUNCTION("""COMPUTED_VALUE"""),"")</f>
        <v/>
      </c>
    </row>
    <row r="1443" spans="1:31" ht="12.75" x14ac:dyDescent="0.2">
      <c r="A1443" t="str">
        <f ca="1">IFERROR(__xludf.DUMMYFUNCTION("""COMPUTED_VALUE"""),"")</f>
        <v/>
      </c>
      <c r="B1443" t="str">
        <f ca="1">IFERROR(__xludf.DUMMYFUNCTION("""COMPUTED_VALUE"""),"")</f>
        <v/>
      </c>
      <c r="C1443" t="str">
        <f ca="1">IFERROR(__xludf.DUMMYFUNCTION("""COMPUTED_VALUE"""),"")</f>
        <v/>
      </c>
      <c r="D1443" t="str">
        <f ca="1">IFERROR(__xludf.DUMMYFUNCTION("""COMPUTED_VALUE"""),"")</f>
        <v/>
      </c>
      <c r="E1443" t="str">
        <f ca="1">IFERROR(__xludf.DUMMYFUNCTION("""COMPUTED_VALUE"""),"")</f>
        <v/>
      </c>
      <c r="F1443" t="str">
        <f ca="1">IFERROR(__xludf.DUMMYFUNCTION("""COMPUTED_VALUE"""),"")</f>
        <v/>
      </c>
      <c r="G1443" t="str">
        <f ca="1">IFERROR(__xludf.DUMMYFUNCTION("""COMPUTED_VALUE"""),"")</f>
        <v/>
      </c>
      <c r="H1443" t="str">
        <f ca="1">IFERROR(__xludf.DUMMYFUNCTION("""COMPUTED_VALUE"""),"")</f>
        <v/>
      </c>
      <c r="I1443" t="str">
        <f ca="1">IFERROR(__xludf.DUMMYFUNCTION("""COMPUTED_VALUE"""),"")</f>
        <v/>
      </c>
      <c r="J1443" t="str">
        <f ca="1">IFERROR(__xludf.DUMMYFUNCTION("""COMPUTED_VALUE"""),"")</f>
        <v/>
      </c>
      <c r="K1443" t="str">
        <f ca="1">IFERROR(__xludf.DUMMYFUNCTION("""COMPUTED_VALUE"""),"")</f>
        <v/>
      </c>
      <c r="L1443" t="str">
        <f ca="1">IFERROR(__xludf.DUMMYFUNCTION("""COMPUTED_VALUE"""),"")</f>
        <v/>
      </c>
      <c r="M1443" t="str">
        <f ca="1">IFERROR(__xludf.DUMMYFUNCTION("""COMPUTED_VALUE"""),"")</f>
        <v/>
      </c>
      <c r="N1443" t="str">
        <f ca="1">IFERROR(__xludf.DUMMYFUNCTION("""COMPUTED_VALUE"""),"")</f>
        <v/>
      </c>
      <c r="O1443" t="str">
        <f ca="1">IFERROR(__xludf.DUMMYFUNCTION("""COMPUTED_VALUE"""),"")</f>
        <v/>
      </c>
      <c r="P1443" t="str">
        <f ca="1">IFERROR(__xludf.DUMMYFUNCTION("""COMPUTED_VALUE"""),"")</f>
        <v/>
      </c>
      <c r="Q1443" s="5" t="str">
        <f ca="1">IFERROR(__xludf.DUMMYFUNCTION("""COMPUTED_VALUE"""),"")</f>
        <v/>
      </c>
      <c r="R1443" s="6" t="str">
        <f ca="1">IFERROR(__xludf.DUMMYFUNCTION("""COMPUTED_VALUE"""),"")</f>
        <v/>
      </c>
      <c r="S1443" t="str">
        <f ca="1">IFERROR(__xludf.DUMMYFUNCTION("""COMPUTED_VALUE"""),"")</f>
        <v/>
      </c>
      <c r="T1443" t="str">
        <f ca="1">IFERROR(__xludf.DUMMYFUNCTION("""COMPUTED_VALUE"""),"")</f>
        <v/>
      </c>
      <c r="U1443" t="str">
        <f ca="1">IFERROR(__xludf.DUMMYFUNCTION("""COMPUTED_VALUE"""),"")</f>
        <v/>
      </c>
      <c r="V1443" t="str">
        <f ca="1">IFERROR(__xludf.DUMMYFUNCTION("""COMPUTED_VALUE"""),"")</f>
        <v/>
      </c>
      <c r="W1443" t="str">
        <f ca="1">IFERROR(__xludf.DUMMYFUNCTION("""COMPUTED_VALUE"""),"")</f>
        <v/>
      </c>
      <c r="X1443" t="str">
        <f ca="1">IFERROR(__xludf.DUMMYFUNCTION("""COMPUTED_VALUE"""),"")</f>
        <v/>
      </c>
      <c r="Y1443" t="str">
        <f ca="1">IFERROR(__xludf.DUMMYFUNCTION("""COMPUTED_VALUE"""),"")</f>
        <v/>
      </c>
      <c r="Z1443" t="str">
        <f ca="1">IFERROR(__xludf.DUMMYFUNCTION("""COMPUTED_VALUE"""),"")</f>
        <v/>
      </c>
      <c r="AA1443" t="str">
        <f ca="1">IFERROR(__xludf.DUMMYFUNCTION("""COMPUTED_VALUE"""),"")</f>
        <v/>
      </c>
      <c r="AB1443" s="8" t="str">
        <f ca="1">IFERROR(__xludf.DUMMYFUNCTION("""COMPUTED_VALUE"""),"")</f>
        <v/>
      </c>
      <c r="AC1443" s="8" t="str">
        <f ca="1">IFERROR(__xludf.DUMMYFUNCTION("""COMPUTED_VALUE"""),"")</f>
        <v/>
      </c>
      <c r="AD1443" s="11" t="str">
        <f ca="1">IFERROR(__xludf.DUMMYFUNCTION("""COMPUTED_VALUE"""),"")</f>
        <v/>
      </c>
      <c r="AE1443" t="str">
        <f ca="1">IFERROR(__xludf.DUMMYFUNCTION("""COMPUTED_VALUE"""),"")</f>
        <v/>
      </c>
    </row>
    <row r="1444" spans="1:31" ht="12.75" x14ac:dyDescent="0.2">
      <c r="A1444" t="str">
        <f ca="1">IFERROR(__xludf.DUMMYFUNCTION("""COMPUTED_VALUE"""),"")</f>
        <v/>
      </c>
      <c r="B1444" t="str">
        <f ca="1">IFERROR(__xludf.DUMMYFUNCTION("""COMPUTED_VALUE"""),"")</f>
        <v/>
      </c>
      <c r="C1444" t="str">
        <f ca="1">IFERROR(__xludf.DUMMYFUNCTION("""COMPUTED_VALUE"""),"")</f>
        <v/>
      </c>
      <c r="D1444" t="str">
        <f ca="1">IFERROR(__xludf.DUMMYFUNCTION("""COMPUTED_VALUE"""),"")</f>
        <v/>
      </c>
      <c r="E1444" t="str">
        <f ca="1">IFERROR(__xludf.DUMMYFUNCTION("""COMPUTED_VALUE"""),"")</f>
        <v/>
      </c>
      <c r="F1444" t="str">
        <f ca="1">IFERROR(__xludf.DUMMYFUNCTION("""COMPUTED_VALUE"""),"")</f>
        <v/>
      </c>
      <c r="G1444" t="str">
        <f ca="1">IFERROR(__xludf.DUMMYFUNCTION("""COMPUTED_VALUE"""),"")</f>
        <v/>
      </c>
      <c r="H1444" t="str">
        <f ca="1">IFERROR(__xludf.DUMMYFUNCTION("""COMPUTED_VALUE"""),"")</f>
        <v/>
      </c>
      <c r="I1444" t="str">
        <f ca="1">IFERROR(__xludf.DUMMYFUNCTION("""COMPUTED_VALUE"""),"")</f>
        <v/>
      </c>
      <c r="J1444" t="str">
        <f ca="1">IFERROR(__xludf.DUMMYFUNCTION("""COMPUTED_VALUE"""),"")</f>
        <v/>
      </c>
      <c r="K1444" t="str">
        <f ca="1">IFERROR(__xludf.DUMMYFUNCTION("""COMPUTED_VALUE"""),"")</f>
        <v/>
      </c>
      <c r="L1444" t="str">
        <f ca="1">IFERROR(__xludf.DUMMYFUNCTION("""COMPUTED_VALUE"""),"")</f>
        <v/>
      </c>
      <c r="M1444" t="str">
        <f ca="1">IFERROR(__xludf.DUMMYFUNCTION("""COMPUTED_VALUE"""),"")</f>
        <v/>
      </c>
      <c r="N1444" t="str">
        <f ca="1">IFERROR(__xludf.DUMMYFUNCTION("""COMPUTED_VALUE"""),"")</f>
        <v/>
      </c>
      <c r="O1444" t="str">
        <f ca="1">IFERROR(__xludf.DUMMYFUNCTION("""COMPUTED_VALUE"""),"")</f>
        <v/>
      </c>
      <c r="P1444" t="str">
        <f ca="1">IFERROR(__xludf.DUMMYFUNCTION("""COMPUTED_VALUE"""),"")</f>
        <v/>
      </c>
      <c r="Q1444" s="5" t="str">
        <f ca="1">IFERROR(__xludf.DUMMYFUNCTION("""COMPUTED_VALUE"""),"")</f>
        <v/>
      </c>
      <c r="R1444" s="6" t="str">
        <f ca="1">IFERROR(__xludf.DUMMYFUNCTION("""COMPUTED_VALUE"""),"")</f>
        <v/>
      </c>
      <c r="S1444" t="str">
        <f ca="1">IFERROR(__xludf.DUMMYFUNCTION("""COMPUTED_VALUE"""),"")</f>
        <v/>
      </c>
      <c r="T1444" t="str">
        <f ca="1">IFERROR(__xludf.DUMMYFUNCTION("""COMPUTED_VALUE"""),"")</f>
        <v/>
      </c>
      <c r="U1444" t="str">
        <f ca="1">IFERROR(__xludf.DUMMYFUNCTION("""COMPUTED_VALUE"""),"")</f>
        <v/>
      </c>
      <c r="V1444" t="str">
        <f ca="1">IFERROR(__xludf.DUMMYFUNCTION("""COMPUTED_VALUE"""),"")</f>
        <v/>
      </c>
      <c r="W1444" t="str">
        <f ca="1">IFERROR(__xludf.DUMMYFUNCTION("""COMPUTED_VALUE"""),"")</f>
        <v/>
      </c>
      <c r="X1444" t="str">
        <f ca="1">IFERROR(__xludf.DUMMYFUNCTION("""COMPUTED_VALUE"""),"")</f>
        <v/>
      </c>
      <c r="Y1444" t="str">
        <f ca="1">IFERROR(__xludf.DUMMYFUNCTION("""COMPUTED_VALUE"""),"")</f>
        <v/>
      </c>
      <c r="Z1444" t="str">
        <f ca="1">IFERROR(__xludf.DUMMYFUNCTION("""COMPUTED_VALUE"""),"")</f>
        <v/>
      </c>
      <c r="AA1444" t="str">
        <f ca="1">IFERROR(__xludf.DUMMYFUNCTION("""COMPUTED_VALUE"""),"")</f>
        <v/>
      </c>
      <c r="AB1444" s="8" t="str">
        <f ca="1">IFERROR(__xludf.DUMMYFUNCTION("""COMPUTED_VALUE"""),"")</f>
        <v/>
      </c>
      <c r="AC1444" s="8" t="str">
        <f ca="1">IFERROR(__xludf.DUMMYFUNCTION("""COMPUTED_VALUE"""),"")</f>
        <v/>
      </c>
      <c r="AD1444" s="11" t="str">
        <f ca="1">IFERROR(__xludf.DUMMYFUNCTION("""COMPUTED_VALUE"""),"")</f>
        <v/>
      </c>
      <c r="AE1444" t="str">
        <f ca="1">IFERROR(__xludf.DUMMYFUNCTION("""COMPUTED_VALUE"""),"")</f>
        <v/>
      </c>
    </row>
    <row r="1445" spans="1:31" ht="12.75" x14ac:dyDescent="0.2">
      <c r="A1445" t="str">
        <f ca="1">IFERROR(__xludf.DUMMYFUNCTION("""COMPUTED_VALUE"""),"")</f>
        <v/>
      </c>
      <c r="B1445" t="str">
        <f ca="1">IFERROR(__xludf.DUMMYFUNCTION("""COMPUTED_VALUE"""),"")</f>
        <v/>
      </c>
      <c r="C1445" t="str">
        <f ca="1">IFERROR(__xludf.DUMMYFUNCTION("""COMPUTED_VALUE"""),"")</f>
        <v/>
      </c>
      <c r="D1445" t="str">
        <f ca="1">IFERROR(__xludf.DUMMYFUNCTION("""COMPUTED_VALUE"""),"")</f>
        <v/>
      </c>
      <c r="E1445" t="str">
        <f ca="1">IFERROR(__xludf.DUMMYFUNCTION("""COMPUTED_VALUE"""),"")</f>
        <v/>
      </c>
      <c r="F1445" t="str">
        <f ca="1">IFERROR(__xludf.DUMMYFUNCTION("""COMPUTED_VALUE"""),"")</f>
        <v/>
      </c>
      <c r="G1445" t="str">
        <f ca="1">IFERROR(__xludf.DUMMYFUNCTION("""COMPUTED_VALUE"""),"")</f>
        <v/>
      </c>
      <c r="H1445" t="str">
        <f ca="1">IFERROR(__xludf.DUMMYFUNCTION("""COMPUTED_VALUE"""),"")</f>
        <v/>
      </c>
      <c r="I1445" t="str">
        <f ca="1">IFERROR(__xludf.DUMMYFUNCTION("""COMPUTED_VALUE"""),"")</f>
        <v/>
      </c>
      <c r="J1445" t="str">
        <f ca="1">IFERROR(__xludf.DUMMYFUNCTION("""COMPUTED_VALUE"""),"")</f>
        <v/>
      </c>
      <c r="K1445" t="str">
        <f ca="1">IFERROR(__xludf.DUMMYFUNCTION("""COMPUTED_VALUE"""),"")</f>
        <v/>
      </c>
      <c r="L1445" t="str">
        <f ca="1">IFERROR(__xludf.DUMMYFUNCTION("""COMPUTED_VALUE"""),"")</f>
        <v/>
      </c>
      <c r="M1445" t="str">
        <f ca="1">IFERROR(__xludf.DUMMYFUNCTION("""COMPUTED_VALUE"""),"")</f>
        <v/>
      </c>
      <c r="N1445" t="str">
        <f ca="1">IFERROR(__xludf.DUMMYFUNCTION("""COMPUTED_VALUE"""),"")</f>
        <v/>
      </c>
      <c r="O1445" t="str">
        <f ca="1">IFERROR(__xludf.DUMMYFUNCTION("""COMPUTED_VALUE"""),"")</f>
        <v/>
      </c>
      <c r="P1445" t="str">
        <f ca="1">IFERROR(__xludf.DUMMYFUNCTION("""COMPUTED_VALUE"""),"")</f>
        <v/>
      </c>
      <c r="Q1445" s="5" t="str">
        <f ca="1">IFERROR(__xludf.DUMMYFUNCTION("""COMPUTED_VALUE"""),"")</f>
        <v/>
      </c>
      <c r="R1445" s="6" t="str">
        <f ca="1">IFERROR(__xludf.DUMMYFUNCTION("""COMPUTED_VALUE"""),"")</f>
        <v/>
      </c>
      <c r="S1445" t="str">
        <f ca="1">IFERROR(__xludf.DUMMYFUNCTION("""COMPUTED_VALUE"""),"")</f>
        <v/>
      </c>
      <c r="T1445" t="str">
        <f ca="1">IFERROR(__xludf.DUMMYFUNCTION("""COMPUTED_VALUE"""),"")</f>
        <v/>
      </c>
      <c r="U1445" t="str">
        <f ca="1">IFERROR(__xludf.DUMMYFUNCTION("""COMPUTED_VALUE"""),"")</f>
        <v/>
      </c>
      <c r="V1445" t="str">
        <f ca="1">IFERROR(__xludf.DUMMYFUNCTION("""COMPUTED_VALUE"""),"")</f>
        <v/>
      </c>
      <c r="W1445" t="str">
        <f ca="1">IFERROR(__xludf.DUMMYFUNCTION("""COMPUTED_VALUE"""),"")</f>
        <v/>
      </c>
      <c r="X1445" t="str">
        <f ca="1">IFERROR(__xludf.DUMMYFUNCTION("""COMPUTED_VALUE"""),"")</f>
        <v/>
      </c>
      <c r="Y1445" t="str">
        <f ca="1">IFERROR(__xludf.DUMMYFUNCTION("""COMPUTED_VALUE"""),"")</f>
        <v/>
      </c>
      <c r="Z1445" t="str">
        <f ca="1">IFERROR(__xludf.DUMMYFUNCTION("""COMPUTED_VALUE"""),"")</f>
        <v/>
      </c>
      <c r="AA1445" t="str">
        <f ca="1">IFERROR(__xludf.DUMMYFUNCTION("""COMPUTED_VALUE"""),"")</f>
        <v/>
      </c>
      <c r="AB1445" s="8" t="str">
        <f ca="1">IFERROR(__xludf.DUMMYFUNCTION("""COMPUTED_VALUE"""),"")</f>
        <v/>
      </c>
      <c r="AC1445" s="8" t="str">
        <f ca="1">IFERROR(__xludf.DUMMYFUNCTION("""COMPUTED_VALUE"""),"")</f>
        <v/>
      </c>
      <c r="AD1445" s="11" t="str">
        <f ca="1">IFERROR(__xludf.DUMMYFUNCTION("""COMPUTED_VALUE"""),"")</f>
        <v/>
      </c>
      <c r="AE1445" t="str">
        <f ca="1">IFERROR(__xludf.DUMMYFUNCTION("""COMPUTED_VALUE"""),"")</f>
        <v/>
      </c>
    </row>
    <row r="1446" spans="1:31" ht="12.75" x14ac:dyDescent="0.2">
      <c r="A1446" t="str">
        <f ca="1">IFERROR(__xludf.DUMMYFUNCTION("""COMPUTED_VALUE"""),"")</f>
        <v/>
      </c>
      <c r="B1446" t="str">
        <f ca="1">IFERROR(__xludf.DUMMYFUNCTION("""COMPUTED_VALUE"""),"")</f>
        <v/>
      </c>
      <c r="C1446" t="str">
        <f ca="1">IFERROR(__xludf.DUMMYFUNCTION("""COMPUTED_VALUE"""),"")</f>
        <v/>
      </c>
      <c r="D1446" t="str">
        <f ca="1">IFERROR(__xludf.DUMMYFUNCTION("""COMPUTED_VALUE"""),"")</f>
        <v/>
      </c>
      <c r="E1446" t="str">
        <f ca="1">IFERROR(__xludf.DUMMYFUNCTION("""COMPUTED_VALUE"""),"")</f>
        <v/>
      </c>
      <c r="F1446" t="str">
        <f ca="1">IFERROR(__xludf.DUMMYFUNCTION("""COMPUTED_VALUE"""),"")</f>
        <v/>
      </c>
      <c r="G1446" t="str">
        <f ca="1">IFERROR(__xludf.DUMMYFUNCTION("""COMPUTED_VALUE"""),"")</f>
        <v/>
      </c>
      <c r="H1446" t="str">
        <f ca="1">IFERROR(__xludf.DUMMYFUNCTION("""COMPUTED_VALUE"""),"")</f>
        <v/>
      </c>
      <c r="I1446" t="str">
        <f ca="1">IFERROR(__xludf.DUMMYFUNCTION("""COMPUTED_VALUE"""),"")</f>
        <v/>
      </c>
      <c r="J1446" t="str">
        <f ca="1">IFERROR(__xludf.DUMMYFUNCTION("""COMPUTED_VALUE"""),"")</f>
        <v/>
      </c>
      <c r="K1446" t="str">
        <f ca="1">IFERROR(__xludf.DUMMYFUNCTION("""COMPUTED_VALUE"""),"")</f>
        <v/>
      </c>
      <c r="L1446" t="str">
        <f ca="1">IFERROR(__xludf.DUMMYFUNCTION("""COMPUTED_VALUE"""),"")</f>
        <v/>
      </c>
      <c r="M1446" t="str">
        <f ca="1">IFERROR(__xludf.DUMMYFUNCTION("""COMPUTED_VALUE"""),"")</f>
        <v/>
      </c>
      <c r="N1446" t="str">
        <f ca="1">IFERROR(__xludf.DUMMYFUNCTION("""COMPUTED_VALUE"""),"")</f>
        <v/>
      </c>
      <c r="O1446" t="str">
        <f ca="1">IFERROR(__xludf.DUMMYFUNCTION("""COMPUTED_VALUE"""),"")</f>
        <v/>
      </c>
      <c r="P1446" t="str">
        <f ca="1">IFERROR(__xludf.DUMMYFUNCTION("""COMPUTED_VALUE"""),"")</f>
        <v/>
      </c>
      <c r="Q1446" s="5" t="str">
        <f ca="1">IFERROR(__xludf.DUMMYFUNCTION("""COMPUTED_VALUE"""),"")</f>
        <v/>
      </c>
      <c r="R1446" s="6" t="str">
        <f ca="1">IFERROR(__xludf.DUMMYFUNCTION("""COMPUTED_VALUE"""),"")</f>
        <v/>
      </c>
      <c r="S1446" t="str">
        <f ca="1">IFERROR(__xludf.DUMMYFUNCTION("""COMPUTED_VALUE"""),"")</f>
        <v/>
      </c>
      <c r="T1446" t="str">
        <f ca="1">IFERROR(__xludf.DUMMYFUNCTION("""COMPUTED_VALUE"""),"")</f>
        <v/>
      </c>
      <c r="U1446" t="str">
        <f ca="1">IFERROR(__xludf.DUMMYFUNCTION("""COMPUTED_VALUE"""),"")</f>
        <v/>
      </c>
      <c r="V1446" t="str">
        <f ca="1">IFERROR(__xludf.DUMMYFUNCTION("""COMPUTED_VALUE"""),"")</f>
        <v/>
      </c>
      <c r="W1446" t="str">
        <f ca="1">IFERROR(__xludf.DUMMYFUNCTION("""COMPUTED_VALUE"""),"")</f>
        <v/>
      </c>
      <c r="X1446" t="str">
        <f ca="1">IFERROR(__xludf.DUMMYFUNCTION("""COMPUTED_VALUE"""),"")</f>
        <v/>
      </c>
      <c r="Y1446" t="str">
        <f ca="1">IFERROR(__xludf.DUMMYFUNCTION("""COMPUTED_VALUE"""),"")</f>
        <v/>
      </c>
      <c r="Z1446" t="str">
        <f ca="1">IFERROR(__xludf.DUMMYFUNCTION("""COMPUTED_VALUE"""),"")</f>
        <v/>
      </c>
      <c r="AA1446" t="str">
        <f ca="1">IFERROR(__xludf.DUMMYFUNCTION("""COMPUTED_VALUE"""),"")</f>
        <v/>
      </c>
      <c r="AB1446" s="8" t="str">
        <f ca="1">IFERROR(__xludf.DUMMYFUNCTION("""COMPUTED_VALUE"""),"")</f>
        <v/>
      </c>
      <c r="AC1446" s="8" t="str">
        <f ca="1">IFERROR(__xludf.DUMMYFUNCTION("""COMPUTED_VALUE"""),"")</f>
        <v/>
      </c>
      <c r="AD1446" s="11" t="str">
        <f ca="1">IFERROR(__xludf.DUMMYFUNCTION("""COMPUTED_VALUE"""),"")</f>
        <v/>
      </c>
      <c r="AE1446" t="str">
        <f ca="1">IFERROR(__xludf.DUMMYFUNCTION("""COMPUTED_VALUE"""),"")</f>
        <v/>
      </c>
    </row>
    <row r="1447" spans="1:31" ht="12.75" x14ac:dyDescent="0.2">
      <c r="A1447" t="str">
        <f ca="1">IFERROR(__xludf.DUMMYFUNCTION("""COMPUTED_VALUE"""),"")</f>
        <v/>
      </c>
      <c r="B1447" t="str">
        <f ca="1">IFERROR(__xludf.DUMMYFUNCTION("""COMPUTED_VALUE"""),"")</f>
        <v/>
      </c>
      <c r="C1447" t="str">
        <f ca="1">IFERROR(__xludf.DUMMYFUNCTION("""COMPUTED_VALUE"""),"")</f>
        <v/>
      </c>
      <c r="D1447" t="str">
        <f ca="1">IFERROR(__xludf.DUMMYFUNCTION("""COMPUTED_VALUE"""),"")</f>
        <v/>
      </c>
      <c r="E1447" t="str">
        <f ca="1">IFERROR(__xludf.DUMMYFUNCTION("""COMPUTED_VALUE"""),"")</f>
        <v/>
      </c>
      <c r="F1447" t="str">
        <f ca="1">IFERROR(__xludf.DUMMYFUNCTION("""COMPUTED_VALUE"""),"")</f>
        <v/>
      </c>
      <c r="G1447" t="str">
        <f ca="1">IFERROR(__xludf.DUMMYFUNCTION("""COMPUTED_VALUE"""),"")</f>
        <v/>
      </c>
      <c r="H1447" t="str">
        <f ca="1">IFERROR(__xludf.DUMMYFUNCTION("""COMPUTED_VALUE"""),"")</f>
        <v/>
      </c>
      <c r="I1447" t="str">
        <f ca="1">IFERROR(__xludf.DUMMYFUNCTION("""COMPUTED_VALUE"""),"")</f>
        <v/>
      </c>
      <c r="J1447" t="str">
        <f ca="1">IFERROR(__xludf.DUMMYFUNCTION("""COMPUTED_VALUE"""),"")</f>
        <v/>
      </c>
      <c r="K1447" t="str">
        <f ca="1">IFERROR(__xludf.DUMMYFUNCTION("""COMPUTED_VALUE"""),"")</f>
        <v/>
      </c>
      <c r="L1447" t="str">
        <f ca="1">IFERROR(__xludf.DUMMYFUNCTION("""COMPUTED_VALUE"""),"")</f>
        <v/>
      </c>
      <c r="M1447" t="str">
        <f ca="1">IFERROR(__xludf.DUMMYFUNCTION("""COMPUTED_VALUE"""),"")</f>
        <v/>
      </c>
      <c r="N1447" t="str">
        <f ca="1">IFERROR(__xludf.DUMMYFUNCTION("""COMPUTED_VALUE"""),"")</f>
        <v/>
      </c>
      <c r="O1447" t="str">
        <f ca="1">IFERROR(__xludf.DUMMYFUNCTION("""COMPUTED_VALUE"""),"")</f>
        <v/>
      </c>
      <c r="P1447" t="str">
        <f ca="1">IFERROR(__xludf.DUMMYFUNCTION("""COMPUTED_VALUE"""),"")</f>
        <v/>
      </c>
      <c r="Q1447" s="5" t="str">
        <f ca="1">IFERROR(__xludf.DUMMYFUNCTION("""COMPUTED_VALUE"""),"")</f>
        <v/>
      </c>
      <c r="R1447" s="6" t="str">
        <f ca="1">IFERROR(__xludf.DUMMYFUNCTION("""COMPUTED_VALUE"""),"")</f>
        <v/>
      </c>
      <c r="S1447" t="str">
        <f ca="1">IFERROR(__xludf.DUMMYFUNCTION("""COMPUTED_VALUE"""),"")</f>
        <v/>
      </c>
      <c r="T1447" t="str">
        <f ca="1">IFERROR(__xludf.DUMMYFUNCTION("""COMPUTED_VALUE"""),"")</f>
        <v/>
      </c>
      <c r="U1447" t="str">
        <f ca="1">IFERROR(__xludf.DUMMYFUNCTION("""COMPUTED_VALUE"""),"")</f>
        <v/>
      </c>
      <c r="V1447" t="str">
        <f ca="1">IFERROR(__xludf.DUMMYFUNCTION("""COMPUTED_VALUE"""),"")</f>
        <v/>
      </c>
      <c r="W1447" t="str">
        <f ca="1">IFERROR(__xludf.DUMMYFUNCTION("""COMPUTED_VALUE"""),"")</f>
        <v/>
      </c>
      <c r="X1447" t="str">
        <f ca="1">IFERROR(__xludf.DUMMYFUNCTION("""COMPUTED_VALUE"""),"")</f>
        <v/>
      </c>
      <c r="Y1447" t="str">
        <f ca="1">IFERROR(__xludf.DUMMYFUNCTION("""COMPUTED_VALUE"""),"")</f>
        <v/>
      </c>
      <c r="Z1447" t="str">
        <f ca="1">IFERROR(__xludf.DUMMYFUNCTION("""COMPUTED_VALUE"""),"")</f>
        <v/>
      </c>
      <c r="AA1447" t="str">
        <f ca="1">IFERROR(__xludf.DUMMYFUNCTION("""COMPUTED_VALUE"""),"")</f>
        <v/>
      </c>
      <c r="AB1447" s="8" t="str">
        <f ca="1">IFERROR(__xludf.DUMMYFUNCTION("""COMPUTED_VALUE"""),"")</f>
        <v/>
      </c>
      <c r="AC1447" s="8" t="str">
        <f ca="1">IFERROR(__xludf.DUMMYFUNCTION("""COMPUTED_VALUE"""),"")</f>
        <v/>
      </c>
      <c r="AD1447" s="11" t="str">
        <f ca="1">IFERROR(__xludf.DUMMYFUNCTION("""COMPUTED_VALUE"""),"")</f>
        <v/>
      </c>
      <c r="AE1447" t="str">
        <f ca="1">IFERROR(__xludf.DUMMYFUNCTION("""COMPUTED_VALUE"""),"")</f>
        <v/>
      </c>
    </row>
    <row r="1448" spans="1:31" ht="12.75" x14ac:dyDescent="0.2">
      <c r="A1448" t="str">
        <f ca="1">IFERROR(__xludf.DUMMYFUNCTION("""COMPUTED_VALUE"""),"")</f>
        <v/>
      </c>
      <c r="B1448" t="str">
        <f ca="1">IFERROR(__xludf.DUMMYFUNCTION("""COMPUTED_VALUE"""),"")</f>
        <v/>
      </c>
      <c r="C1448" t="str">
        <f ca="1">IFERROR(__xludf.DUMMYFUNCTION("""COMPUTED_VALUE"""),"")</f>
        <v/>
      </c>
      <c r="D1448" t="str">
        <f ca="1">IFERROR(__xludf.DUMMYFUNCTION("""COMPUTED_VALUE"""),"")</f>
        <v/>
      </c>
      <c r="E1448" t="str">
        <f ca="1">IFERROR(__xludf.DUMMYFUNCTION("""COMPUTED_VALUE"""),"")</f>
        <v/>
      </c>
      <c r="F1448" t="str">
        <f ca="1">IFERROR(__xludf.DUMMYFUNCTION("""COMPUTED_VALUE"""),"")</f>
        <v/>
      </c>
      <c r="G1448" t="str">
        <f ca="1">IFERROR(__xludf.DUMMYFUNCTION("""COMPUTED_VALUE"""),"")</f>
        <v/>
      </c>
      <c r="H1448" t="str">
        <f ca="1">IFERROR(__xludf.DUMMYFUNCTION("""COMPUTED_VALUE"""),"")</f>
        <v/>
      </c>
      <c r="I1448" t="str">
        <f ca="1">IFERROR(__xludf.DUMMYFUNCTION("""COMPUTED_VALUE"""),"")</f>
        <v/>
      </c>
      <c r="J1448" t="str">
        <f ca="1">IFERROR(__xludf.DUMMYFUNCTION("""COMPUTED_VALUE"""),"")</f>
        <v/>
      </c>
      <c r="K1448" t="str">
        <f ca="1">IFERROR(__xludf.DUMMYFUNCTION("""COMPUTED_VALUE"""),"")</f>
        <v/>
      </c>
      <c r="L1448" t="str">
        <f ca="1">IFERROR(__xludf.DUMMYFUNCTION("""COMPUTED_VALUE"""),"")</f>
        <v/>
      </c>
      <c r="M1448" t="str">
        <f ca="1">IFERROR(__xludf.DUMMYFUNCTION("""COMPUTED_VALUE"""),"")</f>
        <v/>
      </c>
      <c r="N1448" t="str">
        <f ca="1">IFERROR(__xludf.DUMMYFUNCTION("""COMPUTED_VALUE"""),"")</f>
        <v/>
      </c>
      <c r="O1448" t="str">
        <f ca="1">IFERROR(__xludf.DUMMYFUNCTION("""COMPUTED_VALUE"""),"")</f>
        <v/>
      </c>
      <c r="P1448" t="str">
        <f ca="1">IFERROR(__xludf.DUMMYFUNCTION("""COMPUTED_VALUE"""),"")</f>
        <v/>
      </c>
      <c r="Q1448" s="5" t="str">
        <f ca="1">IFERROR(__xludf.DUMMYFUNCTION("""COMPUTED_VALUE"""),"")</f>
        <v/>
      </c>
      <c r="R1448" s="6" t="str">
        <f ca="1">IFERROR(__xludf.DUMMYFUNCTION("""COMPUTED_VALUE"""),"")</f>
        <v/>
      </c>
      <c r="S1448" t="str">
        <f ca="1">IFERROR(__xludf.DUMMYFUNCTION("""COMPUTED_VALUE"""),"")</f>
        <v/>
      </c>
      <c r="T1448" t="str">
        <f ca="1">IFERROR(__xludf.DUMMYFUNCTION("""COMPUTED_VALUE"""),"")</f>
        <v/>
      </c>
      <c r="U1448" t="str">
        <f ca="1">IFERROR(__xludf.DUMMYFUNCTION("""COMPUTED_VALUE"""),"")</f>
        <v/>
      </c>
      <c r="V1448" t="str">
        <f ca="1">IFERROR(__xludf.DUMMYFUNCTION("""COMPUTED_VALUE"""),"")</f>
        <v/>
      </c>
      <c r="W1448" t="str">
        <f ca="1">IFERROR(__xludf.DUMMYFUNCTION("""COMPUTED_VALUE"""),"")</f>
        <v/>
      </c>
      <c r="X1448" t="str">
        <f ca="1">IFERROR(__xludf.DUMMYFUNCTION("""COMPUTED_VALUE"""),"")</f>
        <v/>
      </c>
      <c r="Y1448" t="str">
        <f ca="1">IFERROR(__xludf.DUMMYFUNCTION("""COMPUTED_VALUE"""),"")</f>
        <v/>
      </c>
      <c r="Z1448" t="str">
        <f ca="1">IFERROR(__xludf.DUMMYFUNCTION("""COMPUTED_VALUE"""),"")</f>
        <v/>
      </c>
      <c r="AA1448" t="str">
        <f ca="1">IFERROR(__xludf.DUMMYFUNCTION("""COMPUTED_VALUE"""),"")</f>
        <v/>
      </c>
      <c r="AB1448" s="8" t="str">
        <f ca="1">IFERROR(__xludf.DUMMYFUNCTION("""COMPUTED_VALUE"""),"")</f>
        <v/>
      </c>
      <c r="AC1448" s="8" t="str">
        <f ca="1">IFERROR(__xludf.DUMMYFUNCTION("""COMPUTED_VALUE"""),"")</f>
        <v/>
      </c>
      <c r="AD1448" s="11" t="str">
        <f ca="1">IFERROR(__xludf.DUMMYFUNCTION("""COMPUTED_VALUE"""),"")</f>
        <v/>
      </c>
      <c r="AE1448" t="str">
        <f ca="1">IFERROR(__xludf.DUMMYFUNCTION("""COMPUTED_VALUE"""),"")</f>
        <v/>
      </c>
    </row>
    <row r="1449" spans="1:31" ht="12.75" x14ac:dyDescent="0.2">
      <c r="A1449" t="str">
        <f ca="1">IFERROR(__xludf.DUMMYFUNCTION("""COMPUTED_VALUE"""),"")</f>
        <v/>
      </c>
      <c r="B1449" t="str">
        <f ca="1">IFERROR(__xludf.DUMMYFUNCTION("""COMPUTED_VALUE"""),"")</f>
        <v/>
      </c>
      <c r="C1449" t="str">
        <f ca="1">IFERROR(__xludf.DUMMYFUNCTION("""COMPUTED_VALUE"""),"")</f>
        <v/>
      </c>
      <c r="D1449" t="str">
        <f ca="1">IFERROR(__xludf.DUMMYFUNCTION("""COMPUTED_VALUE"""),"")</f>
        <v/>
      </c>
      <c r="E1449" t="str">
        <f ca="1">IFERROR(__xludf.DUMMYFUNCTION("""COMPUTED_VALUE"""),"")</f>
        <v/>
      </c>
      <c r="F1449" t="str">
        <f ca="1">IFERROR(__xludf.DUMMYFUNCTION("""COMPUTED_VALUE"""),"")</f>
        <v/>
      </c>
      <c r="G1449" t="str">
        <f ca="1">IFERROR(__xludf.DUMMYFUNCTION("""COMPUTED_VALUE"""),"")</f>
        <v/>
      </c>
      <c r="H1449" t="str">
        <f ca="1">IFERROR(__xludf.DUMMYFUNCTION("""COMPUTED_VALUE"""),"")</f>
        <v/>
      </c>
      <c r="I1449" t="str">
        <f ca="1">IFERROR(__xludf.DUMMYFUNCTION("""COMPUTED_VALUE"""),"")</f>
        <v/>
      </c>
      <c r="J1449" t="str">
        <f ca="1">IFERROR(__xludf.DUMMYFUNCTION("""COMPUTED_VALUE"""),"")</f>
        <v/>
      </c>
      <c r="K1449" t="str">
        <f ca="1">IFERROR(__xludf.DUMMYFUNCTION("""COMPUTED_VALUE"""),"")</f>
        <v/>
      </c>
      <c r="L1449" t="str">
        <f ca="1">IFERROR(__xludf.DUMMYFUNCTION("""COMPUTED_VALUE"""),"")</f>
        <v/>
      </c>
      <c r="M1449" t="str">
        <f ca="1">IFERROR(__xludf.DUMMYFUNCTION("""COMPUTED_VALUE"""),"")</f>
        <v/>
      </c>
      <c r="N1449" t="str">
        <f ca="1">IFERROR(__xludf.DUMMYFUNCTION("""COMPUTED_VALUE"""),"")</f>
        <v/>
      </c>
      <c r="O1449" t="str">
        <f ca="1">IFERROR(__xludf.DUMMYFUNCTION("""COMPUTED_VALUE"""),"")</f>
        <v/>
      </c>
      <c r="P1449" t="str">
        <f ca="1">IFERROR(__xludf.DUMMYFUNCTION("""COMPUTED_VALUE"""),"")</f>
        <v/>
      </c>
      <c r="Q1449" s="5" t="str">
        <f ca="1">IFERROR(__xludf.DUMMYFUNCTION("""COMPUTED_VALUE"""),"")</f>
        <v/>
      </c>
      <c r="R1449" s="6" t="str">
        <f ca="1">IFERROR(__xludf.DUMMYFUNCTION("""COMPUTED_VALUE"""),"")</f>
        <v/>
      </c>
      <c r="S1449" t="str">
        <f ca="1">IFERROR(__xludf.DUMMYFUNCTION("""COMPUTED_VALUE"""),"")</f>
        <v/>
      </c>
      <c r="T1449" t="str">
        <f ca="1">IFERROR(__xludf.DUMMYFUNCTION("""COMPUTED_VALUE"""),"")</f>
        <v/>
      </c>
      <c r="U1449" t="str">
        <f ca="1">IFERROR(__xludf.DUMMYFUNCTION("""COMPUTED_VALUE"""),"")</f>
        <v/>
      </c>
      <c r="V1449" t="str">
        <f ca="1">IFERROR(__xludf.DUMMYFUNCTION("""COMPUTED_VALUE"""),"")</f>
        <v/>
      </c>
      <c r="W1449" t="str">
        <f ca="1">IFERROR(__xludf.DUMMYFUNCTION("""COMPUTED_VALUE"""),"")</f>
        <v/>
      </c>
      <c r="X1449" t="str">
        <f ca="1">IFERROR(__xludf.DUMMYFUNCTION("""COMPUTED_VALUE"""),"")</f>
        <v/>
      </c>
      <c r="Y1449" t="str">
        <f ca="1">IFERROR(__xludf.DUMMYFUNCTION("""COMPUTED_VALUE"""),"")</f>
        <v/>
      </c>
      <c r="Z1449" t="str">
        <f ca="1">IFERROR(__xludf.DUMMYFUNCTION("""COMPUTED_VALUE"""),"")</f>
        <v/>
      </c>
      <c r="AA1449" t="str">
        <f ca="1">IFERROR(__xludf.DUMMYFUNCTION("""COMPUTED_VALUE"""),"")</f>
        <v/>
      </c>
      <c r="AB1449" s="8" t="str">
        <f ca="1">IFERROR(__xludf.DUMMYFUNCTION("""COMPUTED_VALUE"""),"")</f>
        <v/>
      </c>
      <c r="AC1449" s="8" t="str">
        <f ca="1">IFERROR(__xludf.DUMMYFUNCTION("""COMPUTED_VALUE"""),"")</f>
        <v/>
      </c>
      <c r="AD1449" s="11" t="str">
        <f ca="1">IFERROR(__xludf.DUMMYFUNCTION("""COMPUTED_VALUE"""),"")</f>
        <v/>
      </c>
      <c r="AE1449" t="str">
        <f ca="1">IFERROR(__xludf.DUMMYFUNCTION("""COMPUTED_VALUE"""),"")</f>
        <v/>
      </c>
    </row>
    <row r="1450" spans="1:31" ht="12.75" x14ac:dyDescent="0.2">
      <c r="A1450" t="str">
        <f ca="1">IFERROR(__xludf.DUMMYFUNCTION("""COMPUTED_VALUE"""),"")</f>
        <v/>
      </c>
      <c r="B1450" t="str">
        <f ca="1">IFERROR(__xludf.DUMMYFUNCTION("""COMPUTED_VALUE"""),"")</f>
        <v/>
      </c>
      <c r="C1450" t="str">
        <f ca="1">IFERROR(__xludf.DUMMYFUNCTION("""COMPUTED_VALUE"""),"")</f>
        <v/>
      </c>
      <c r="D1450" t="str">
        <f ca="1">IFERROR(__xludf.DUMMYFUNCTION("""COMPUTED_VALUE"""),"")</f>
        <v/>
      </c>
      <c r="E1450" t="str">
        <f ca="1">IFERROR(__xludf.DUMMYFUNCTION("""COMPUTED_VALUE"""),"")</f>
        <v/>
      </c>
      <c r="F1450" t="str">
        <f ca="1">IFERROR(__xludf.DUMMYFUNCTION("""COMPUTED_VALUE"""),"")</f>
        <v/>
      </c>
      <c r="G1450" t="str">
        <f ca="1">IFERROR(__xludf.DUMMYFUNCTION("""COMPUTED_VALUE"""),"")</f>
        <v/>
      </c>
      <c r="H1450" t="str">
        <f ca="1">IFERROR(__xludf.DUMMYFUNCTION("""COMPUTED_VALUE"""),"")</f>
        <v/>
      </c>
      <c r="I1450" t="str">
        <f ca="1">IFERROR(__xludf.DUMMYFUNCTION("""COMPUTED_VALUE"""),"")</f>
        <v/>
      </c>
      <c r="J1450" t="str">
        <f ca="1">IFERROR(__xludf.DUMMYFUNCTION("""COMPUTED_VALUE"""),"")</f>
        <v/>
      </c>
      <c r="K1450" t="str">
        <f ca="1">IFERROR(__xludf.DUMMYFUNCTION("""COMPUTED_VALUE"""),"")</f>
        <v/>
      </c>
      <c r="L1450" t="str">
        <f ca="1">IFERROR(__xludf.DUMMYFUNCTION("""COMPUTED_VALUE"""),"")</f>
        <v/>
      </c>
      <c r="M1450" t="str">
        <f ca="1">IFERROR(__xludf.DUMMYFUNCTION("""COMPUTED_VALUE"""),"")</f>
        <v/>
      </c>
      <c r="N1450" t="str">
        <f ca="1">IFERROR(__xludf.DUMMYFUNCTION("""COMPUTED_VALUE"""),"")</f>
        <v/>
      </c>
      <c r="O1450" t="str">
        <f ca="1">IFERROR(__xludf.DUMMYFUNCTION("""COMPUTED_VALUE"""),"")</f>
        <v/>
      </c>
      <c r="P1450" t="str">
        <f ca="1">IFERROR(__xludf.DUMMYFUNCTION("""COMPUTED_VALUE"""),"")</f>
        <v/>
      </c>
      <c r="Q1450" s="5" t="str">
        <f ca="1">IFERROR(__xludf.DUMMYFUNCTION("""COMPUTED_VALUE"""),"")</f>
        <v/>
      </c>
      <c r="R1450" s="6" t="str">
        <f ca="1">IFERROR(__xludf.DUMMYFUNCTION("""COMPUTED_VALUE"""),"")</f>
        <v/>
      </c>
      <c r="S1450" t="str">
        <f ca="1">IFERROR(__xludf.DUMMYFUNCTION("""COMPUTED_VALUE"""),"")</f>
        <v/>
      </c>
      <c r="T1450" t="str">
        <f ca="1">IFERROR(__xludf.DUMMYFUNCTION("""COMPUTED_VALUE"""),"")</f>
        <v/>
      </c>
      <c r="U1450" t="str">
        <f ca="1">IFERROR(__xludf.DUMMYFUNCTION("""COMPUTED_VALUE"""),"")</f>
        <v/>
      </c>
      <c r="V1450" t="str">
        <f ca="1">IFERROR(__xludf.DUMMYFUNCTION("""COMPUTED_VALUE"""),"")</f>
        <v/>
      </c>
      <c r="W1450" t="str">
        <f ca="1">IFERROR(__xludf.DUMMYFUNCTION("""COMPUTED_VALUE"""),"")</f>
        <v/>
      </c>
      <c r="X1450" t="str">
        <f ca="1">IFERROR(__xludf.DUMMYFUNCTION("""COMPUTED_VALUE"""),"")</f>
        <v/>
      </c>
      <c r="Y1450" t="str">
        <f ca="1">IFERROR(__xludf.DUMMYFUNCTION("""COMPUTED_VALUE"""),"")</f>
        <v/>
      </c>
      <c r="Z1450" t="str">
        <f ca="1">IFERROR(__xludf.DUMMYFUNCTION("""COMPUTED_VALUE"""),"")</f>
        <v/>
      </c>
      <c r="AA1450" t="str">
        <f ca="1">IFERROR(__xludf.DUMMYFUNCTION("""COMPUTED_VALUE"""),"")</f>
        <v/>
      </c>
      <c r="AB1450" s="8" t="str">
        <f ca="1">IFERROR(__xludf.DUMMYFUNCTION("""COMPUTED_VALUE"""),"")</f>
        <v/>
      </c>
      <c r="AC1450" s="8" t="str">
        <f ca="1">IFERROR(__xludf.DUMMYFUNCTION("""COMPUTED_VALUE"""),"")</f>
        <v/>
      </c>
      <c r="AD1450" s="11" t="str">
        <f ca="1">IFERROR(__xludf.DUMMYFUNCTION("""COMPUTED_VALUE"""),"")</f>
        <v/>
      </c>
      <c r="AE1450" t="str">
        <f ca="1">IFERROR(__xludf.DUMMYFUNCTION("""COMPUTED_VALUE"""),"")</f>
        <v/>
      </c>
    </row>
    <row r="1451" spans="1:31" ht="12.75" x14ac:dyDescent="0.2">
      <c r="A1451" t="str">
        <f ca="1">IFERROR(__xludf.DUMMYFUNCTION("""COMPUTED_VALUE"""),"")</f>
        <v/>
      </c>
      <c r="B1451" t="str">
        <f ca="1">IFERROR(__xludf.DUMMYFUNCTION("""COMPUTED_VALUE"""),"")</f>
        <v/>
      </c>
      <c r="C1451" t="str">
        <f ca="1">IFERROR(__xludf.DUMMYFUNCTION("""COMPUTED_VALUE"""),"")</f>
        <v/>
      </c>
      <c r="D1451" t="str">
        <f ca="1">IFERROR(__xludf.DUMMYFUNCTION("""COMPUTED_VALUE"""),"")</f>
        <v/>
      </c>
      <c r="E1451" t="str">
        <f ca="1">IFERROR(__xludf.DUMMYFUNCTION("""COMPUTED_VALUE"""),"")</f>
        <v/>
      </c>
      <c r="F1451" t="str">
        <f ca="1">IFERROR(__xludf.DUMMYFUNCTION("""COMPUTED_VALUE"""),"")</f>
        <v/>
      </c>
      <c r="G1451" t="str">
        <f ca="1">IFERROR(__xludf.DUMMYFUNCTION("""COMPUTED_VALUE"""),"")</f>
        <v/>
      </c>
      <c r="H1451" t="str">
        <f ca="1">IFERROR(__xludf.DUMMYFUNCTION("""COMPUTED_VALUE"""),"")</f>
        <v/>
      </c>
      <c r="I1451" t="str">
        <f ca="1">IFERROR(__xludf.DUMMYFUNCTION("""COMPUTED_VALUE"""),"")</f>
        <v/>
      </c>
      <c r="J1451" t="str">
        <f ca="1">IFERROR(__xludf.DUMMYFUNCTION("""COMPUTED_VALUE"""),"")</f>
        <v/>
      </c>
      <c r="K1451" t="str">
        <f ca="1">IFERROR(__xludf.DUMMYFUNCTION("""COMPUTED_VALUE"""),"")</f>
        <v/>
      </c>
      <c r="L1451" t="str">
        <f ca="1">IFERROR(__xludf.DUMMYFUNCTION("""COMPUTED_VALUE"""),"")</f>
        <v/>
      </c>
      <c r="M1451" t="str">
        <f ca="1">IFERROR(__xludf.DUMMYFUNCTION("""COMPUTED_VALUE"""),"")</f>
        <v/>
      </c>
      <c r="N1451" t="str">
        <f ca="1">IFERROR(__xludf.DUMMYFUNCTION("""COMPUTED_VALUE"""),"")</f>
        <v/>
      </c>
      <c r="O1451" t="str">
        <f ca="1">IFERROR(__xludf.DUMMYFUNCTION("""COMPUTED_VALUE"""),"")</f>
        <v/>
      </c>
      <c r="P1451" t="str">
        <f ca="1">IFERROR(__xludf.DUMMYFUNCTION("""COMPUTED_VALUE"""),"")</f>
        <v/>
      </c>
      <c r="Q1451" s="5" t="str">
        <f ca="1">IFERROR(__xludf.DUMMYFUNCTION("""COMPUTED_VALUE"""),"")</f>
        <v/>
      </c>
      <c r="R1451" s="6" t="str">
        <f ca="1">IFERROR(__xludf.DUMMYFUNCTION("""COMPUTED_VALUE"""),"")</f>
        <v/>
      </c>
      <c r="S1451" t="str">
        <f ca="1">IFERROR(__xludf.DUMMYFUNCTION("""COMPUTED_VALUE"""),"")</f>
        <v/>
      </c>
      <c r="T1451" t="str">
        <f ca="1">IFERROR(__xludf.DUMMYFUNCTION("""COMPUTED_VALUE"""),"")</f>
        <v/>
      </c>
      <c r="U1451" t="str">
        <f ca="1">IFERROR(__xludf.DUMMYFUNCTION("""COMPUTED_VALUE"""),"")</f>
        <v/>
      </c>
      <c r="V1451" t="str">
        <f ca="1">IFERROR(__xludf.DUMMYFUNCTION("""COMPUTED_VALUE"""),"")</f>
        <v/>
      </c>
      <c r="W1451" t="str">
        <f ca="1">IFERROR(__xludf.DUMMYFUNCTION("""COMPUTED_VALUE"""),"")</f>
        <v/>
      </c>
      <c r="X1451" t="str">
        <f ca="1">IFERROR(__xludf.DUMMYFUNCTION("""COMPUTED_VALUE"""),"")</f>
        <v/>
      </c>
      <c r="Y1451" t="str">
        <f ca="1">IFERROR(__xludf.DUMMYFUNCTION("""COMPUTED_VALUE"""),"")</f>
        <v/>
      </c>
      <c r="Z1451" t="str">
        <f ca="1">IFERROR(__xludf.DUMMYFUNCTION("""COMPUTED_VALUE"""),"")</f>
        <v/>
      </c>
      <c r="AA1451" t="str">
        <f ca="1">IFERROR(__xludf.DUMMYFUNCTION("""COMPUTED_VALUE"""),"")</f>
        <v/>
      </c>
      <c r="AB1451" s="8" t="str">
        <f ca="1">IFERROR(__xludf.DUMMYFUNCTION("""COMPUTED_VALUE"""),"")</f>
        <v/>
      </c>
      <c r="AC1451" s="8" t="str">
        <f ca="1">IFERROR(__xludf.DUMMYFUNCTION("""COMPUTED_VALUE"""),"")</f>
        <v/>
      </c>
      <c r="AD1451" s="11" t="str">
        <f ca="1">IFERROR(__xludf.DUMMYFUNCTION("""COMPUTED_VALUE"""),"")</f>
        <v/>
      </c>
      <c r="AE1451" t="str">
        <f ca="1">IFERROR(__xludf.DUMMYFUNCTION("""COMPUTED_VALUE"""),"")</f>
        <v/>
      </c>
    </row>
    <row r="1452" spans="1:31" ht="12.75" x14ac:dyDescent="0.2">
      <c r="A1452" t="str">
        <f ca="1">IFERROR(__xludf.DUMMYFUNCTION("""COMPUTED_VALUE"""),"")</f>
        <v/>
      </c>
      <c r="B1452" t="str">
        <f ca="1">IFERROR(__xludf.DUMMYFUNCTION("""COMPUTED_VALUE"""),"")</f>
        <v/>
      </c>
      <c r="C1452" t="str">
        <f ca="1">IFERROR(__xludf.DUMMYFUNCTION("""COMPUTED_VALUE"""),"")</f>
        <v/>
      </c>
      <c r="D1452" t="str">
        <f ca="1">IFERROR(__xludf.DUMMYFUNCTION("""COMPUTED_VALUE"""),"")</f>
        <v/>
      </c>
      <c r="E1452" t="str">
        <f ca="1">IFERROR(__xludf.DUMMYFUNCTION("""COMPUTED_VALUE"""),"")</f>
        <v/>
      </c>
      <c r="F1452" t="str">
        <f ca="1">IFERROR(__xludf.DUMMYFUNCTION("""COMPUTED_VALUE"""),"")</f>
        <v/>
      </c>
      <c r="G1452" t="str">
        <f ca="1">IFERROR(__xludf.DUMMYFUNCTION("""COMPUTED_VALUE"""),"")</f>
        <v/>
      </c>
      <c r="H1452" t="str">
        <f ca="1">IFERROR(__xludf.DUMMYFUNCTION("""COMPUTED_VALUE"""),"")</f>
        <v/>
      </c>
      <c r="I1452" t="str">
        <f ca="1">IFERROR(__xludf.DUMMYFUNCTION("""COMPUTED_VALUE"""),"")</f>
        <v/>
      </c>
      <c r="J1452" t="str">
        <f ca="1">IFERROR(__xludf.DUMMYFUNCTION("""COMPUTED_VALUE"""),"")</f>
        <v/>
      </c>
      <c r="K1452" t="str">
        <f ca="1">IFERROR(__xludf.DUMMYFUNCTION("""COMPUTED_VALUE"""),"")</f>
        <v/>
      </c>
      <c r="L1452" t="str">
        <f ca="1">IFERROR(__xludf.DUMMYFUNCTION("""COMPUTED_VALUE"""),"")</f>
        <v/>
      </c>
      <c r="M1452" t="str">
        <f ca="1">IFERROR(__xludf.DUMMYFUNCTION("""COMPUTED_VALUE"""),"")</f>
        <v/>
      </c>
      <c r="N1452" t="str">
        <f ca="1">IFERROR(__xludf.DUMMYFUNCTION("""COMPUTED_VALUE"""),"")</f>
        <v/>
      </c>
      <c r="O1452" t="str">
        <f ca="1">IFERROR(__xludf.DUMMYFUNCTION("""COMPUTED_VALUE"""),"")</f>
        <v/>
      </c>
      <c r="P1452" t="str">
        <f ca="1">IFERROR(__xludf.DUMMYFUNCTION("""COMPUTED_VALUE"""),"")</f>
        <v/>
      </c>
      <c r="Q1452" s="5" t="str">
        <f ca="1">IFERROR(__xludf.DUMMYFUNCTION("""COMPUTED_VALUE"""),"")</f>
        <v/>
      </c>
      <c r="R1452" s="6" t="str">
        <f ca="1">IFERROR(__xludf.DUMMYFUNCTION("""COMPUTED_VALUE"""),"")</f>
        <v/>
      </c>
      <c r="S1452" t="str">
        <f ca="1">IFERROR(__xludf.DUMMYFUNCTION("""COMPUTED_VALUE"""),"")</f>
        <v/>
      </c>
      <c r="T1452" t="str">
        <f ca="1">IFERROR(__xludf.DUMMYFUNCTION("""COMPUTED_VALUE"""),"")</f>
        <v/>
      </c>
      <c r="U1452" t="str">
        <f ca="1">IFERROR(__xludf.DUMMYFUNCTION("""COMPUTED_VALUE"""),"")</f>
        <v/>
      </c>
      <c r="V1452" t="str">
        <f ca="1">IFERROR(__xludf.DUMMYFUNCTION("""COMPUTED_VALUE"""),"")</f>
        <v/>
      </c>
      <c r="W1452" t="str">
        <f ca="1">IFERROR(__xludf.DUMMYFUNCTION("""COMPUTED_VALUE"""),"")</f>
        <v/>
      </c>
      <c r="X1452" t="str">
        <f ca="1">IFERROR(__xludf.DUMMYFUNCTION("""COMPUTED_VALUE"""),"")</f>
        <v/>
      </c>
      <c r="Y1452" t="str">
        <f ca="1">IFERROR(__xludf.DUMMYFUNCTION("""COMPUTED_VALUE"""),"")</f>
        <v/>
      </c>
      <c r="Z1452" t="str">
        <f ca="1">IFERROR(__xludf.DUMMYFUNCTION("""COMPUTED_VALUE"""),"")</f>
        <v/>
      </c>
      <c r="AA1452" t="str">
        <f ca="1">IFERROR(__xludf.DUMMYFUNCTION("""COMPUTED_VALUE"""),"")</f>
        <v/>
      </c>
      <c r="AB1452" s="8" t="str">
        <f ca="1">IFERROR(__xludf.DUMMYFUNCTION("""COMPUTED_VALUE"""),"")</f>
        <v/>
      </c>
      <c r="AC1452" s="8" t="str">
        <f ca="1">IFERROR(__xludf.DUMMYFUNCTION("""COMPUTED_VALUE"""),"")</f>
        <v/>
      </c>
      <c r="AD1452" s="11" t="str">
        <f ca="1">IFERROR(__xludf.DUMMYFUNCTION("""COMPUTED_VALUE"""),"")</f>
        <v/>
      </c>
      <c r="AE1452" t="str">
        <f ca="1">IFERROR(__xludf.DUMMYFUNCTION("""COMPUTED_VALUE"""),"")</f>
        <v/>
      </c>
    </row>
    <row r="1453" spans="1:31" ht="12.75" x14ac:dyDescent="0.2">
      <c r="A1453" t="str">
        <f ca="1">IFERROR(__xludf.DUMMYFUNCTION("""COMPUTED_VALUE"""),"")</f>
        <v/>
      </c>
      <c r="B1453" t="str">
        <f ca="1">IFERROR(__xludf.DUMMYFUNCTION("""COMPUTED_VALUE"""),"")</f>
        <v/>
      </c>
      <c r="C1453" t="str">
        <f ca="1">IFERROR(__xludf.DUMMYFUNCTION("""COMPUTED_VALUE"""),"")</f>
        <v/>
      </c>
      <c r="D1453" t="str">
        <f ca="1">IFERROR(__xludf.DUMMYFUNCTION("""COMPUTED_VALUE"""),"")</f>
        <v/>
      </c>
      <c r="E1453" t="str">
        <f ca="1">IFERROR(__xludf.DUMMYFUNCTION("""COMPUTED_VALUE"""),"")</f>
        <v/>
      </c>
      <c r="F1453" t="str">
        <f ca="1">IFERROR(__xludf.DUMMYFUNCTION("""COMPUTED_VALUE"""),"")</f>
        <v/>
      </c>
      <c r="G1453" t="str">
        <f ca="1">IFERROR(__xludf.DUMMYFUNCTION("""COMPUTED_VALUE"""),"")</f>
        <v/>
      </c>
      <c r="H1453" t="str">
        <f ca="1">IFERROR(__xludf.DUMMYFUNCTION("""COMPUTED_VALUE"""),"")</f>
        <v/>
      </c>
      <c r="I1453" t="str">
        <f ca="1">IFERROR(__xludf.DUMMYFUNCTION("""COMPUTED_VALUE"""),"")</f>
        <v/>
      </c>
      <c r="J1453" t="str">
        <f ca="1">IFERROR(__xludf.DUMMYFUNCTION("""COMPUTED_VALUE"""),"")</f>
        <v/>
      </c>
      <c r="K1453" t="str">
        <f ca="1">IFERROR(__xludf.DUMMYFUNCTION("""COMPUTED_VALUE"""),"")</f>
        <v/>
      </c>
      <c r="L1453" t="str">
        <f ca="1">IFERROR(__xludf.DUMMYFUNCTION("""COMPUTED_VALUE"""),"")</f>
        <v/>
      </c>
      <c r="M1453" t="str">
        <f ca="1">IFERROR(__xludf.DUMMYFUNCTION("""COMPUTED_VALUE"""),"")</f>
        <v/>
      </c>
      <c r="N1453" t="str">
        <f ca="1">IFERROR(__xludf.DUMMYFUNCTION("""COMPUTED_VALUE"""),"")</f>
        <v/>
      </c>
      <c r="O1453" t="str">
        <f ca="1">IFERROR(__xludf.DUMMYFUNCTION("""COMPUTED_VALUE"""),"")</f>
        <v/>
      </c>
      <c r="P1453" t="str">
        <f ca="1">IFERROR(__xludf.DUMMYFUNCTION("""COMPUTED_VALUE"""),"")</f>
        <v/>
      </c>
      <c r="Q1453" s="5" t="str">
        <f ca="1">IFERROR(__xludf.DUMMYFUNCTION("""COMPUTED_VALUE"""),"")</f>
        <v/>
      </c>
      <c r="R1453" s="6" t="str">
        <f ca="1">IFERROR(__xludf.DUMMYFUNCTION("""COMPUTED_VALUE"""),"")</f>
        <v/>
      </c>
      <c r="S1453" t="str">
        <f ca="1">IFERROR(__xludf.DUMMYFUNCTION("""COMPUTED_VALUE"""),"")</f>
        <v/>
      </c>
      <c r="T1453" t="str">
        <f ca="1">IFERROR(__xludf.DUMMYFUNCTION("""COMPUTED_VALUE"""),"")</f>
        <v/>
      </c>
      <c r="U1453" t="str">
        <f ca="1">IFERROR(__xludf.DUMMYFUNCTION("""COMPUTED_VALUE"""),"")</f>
        <v/>
      </c>
      <c r="V1453" t="str">
        <f ca="1">IFERROR(__xludf.DUMMYFUNCTION("""COMPUTED_VALUE"""),"")</f>
        <v/>
      </c>
      <c r="W1453" t="str">
        <f ca="1">IFERROR(__xludf.DUMMYFUNCTION("""COMPUTED_VALUE"""),"")</f>
        <v/>
      </c>
      <c r="X1453" t="str">
        <f ca="1">IFERROR(__xludf.DUMMYFUNCTION("""COMPUTED_VALUE"""),"")</f>
        <v/>
      </c>
      <c r="Y1453" t="str">
        <f ca="1">IFERROR(__xludf.DUMMYFUNCTION("""COMPUTED_VALUE"""),"")</f>
        <v/>
      </c>
      <c r="Z1453" t="str">
        <f ca="1">IFERROR(__xludf.DUMMYFUNCTION("""COMPUTED_VALUE"""),"")</f>
        <v/>
      </c>
      <c r="AA1453" t="str">
        <f ca="1">IFERROR(__xludf.DUMMYFUNCTION("""COMPUTED_VALUE"""),"")</f>
        <v/>
      </c>
      <c r="AB1453" s="8" t="str">
        <f ca="1">IFERROR(__xludf.DUMMYFUNCTION("""COMPUTED_VALUE"""),"")</f>
        <v/>
      </c>
      <c r="AC1453" s="8" t="str">
        <f ca="1">IFERROR(__xludf.DUMMYFUNCTION("""COMPUTED_VALUE"""),"")</f>
        <v/>
      </c>
      <c r="AD1453" s="11" t="str">
        <f ca="1">IFERROR(__xludf.DUMMYFUNCTION("""COMPUTED_VALUE"""),"")</f>
        <v/>
      </c>
      <c r="AE1453" t="str">
        <f ca="1">IFERROR(__xludf.DUMMYFUNCTION("""COMPUTED_VALUE"""),"")</f>
        <v/>
      </c>
    </row>
    <row r="1454" spans="1:31" ht="12.75" x14ac:dyDescent="0.2">
      <c r="A1454" t="str">
        <f ca="1">IFERROR(__xludf.DUMMYFUNCTION("""COMPUTED_VALUE"""),"")</f>
        <v/>
      </c>
      <c r="B1454" t="str">
        <f ca="1">IFERROR(__xludf.DUMMYFUNCTION("""COMPUTED_VALUE"""),"")</f>
        <v/>
      </c>
      <c r="C1454" t="str">
        <f ca="1">IFERROR(__xludf.DUMMYFUNCTION("""COMPUTED_VALUE"""),"")</f>
        <v/>
      </c>
      <c r="D1454" t="str">
        <f ca="1">IFERROR(__xludf.DUMMYFUNCTION("""COMPUTED_VALUE"""),"")</f>
        <v/>
      </c>
      <c r="E1454" t="str">
        <f ca="1">IFERROR(__xludf.DUMMYFUNCTION("""COMPUTED_VALUE"""),"")</f>
        <v/>
      </c>
      <c r="F1454" t="str">
        <f ca="1">IFERROR(__xludf.DUMMYFUNCTION("""COMPUTED_VALUE"""),"")</f>
        <v/>
      </c>
      <c r="G1454" t="str">
        <f ca="1">IFERROR(__xludf.DUMMYFUNCTION("""COMPUTED_VALUE"""),"")</f>
        <v/>
      </c>
      <c r="H1454" t="str">
        <f ca="1">IFERROR(__xludf.DUMMYFUNCTION("""COMPUTED_VALUE"""),"")</f>
        <v/>
      </c>
      <c r="I1454" t="str">
        <f ca="1">IFERROR(__xludf.DUMMYFUNCTION("""COMPUTED_VALUE"""),"")</f>
        <v/>
      </c>
      <c r="J1454" t="str">
        <f ca="1">IFERROR(__xludf.DUMMYFUNCTION("""COMPUTED_VALUE"""),"")</f>
        <v/>
      </c>
      <c r="K1454" t="str">
        <f ca="1">IFERROR(__xludf.DUMMYFUNCTION("""COMPUTED_VALUE"""),"")</f>
        <v/>
      </c>
      <c r="L1454" t="str">
        <f ca="1">IFERROR(__xludf.DUMMYFUNCTION("""COMPUTED_VALUE"""),"")</f>
        <v/>
      </c>
      <c r="M1454" t="str">
        <f ca="1">IFERROR(__xludf.DUMMYFUNCTION("""COMPUTED_VALUE"""),"")</f>
        <v/>
      </c>
      <c r="N1454" t="str">
        <f ca="1">IFERROR(__xludf.DUMMYFUNCTION("""COMPUTED_VALUE"""),"")</f>
        <v/>
      </c>
      <c r="O1454" t="str">
        <f ca="1">IFERROR(__xludf.DUMMYFUNCTION("""COMPUTED_VALUE"""),"")</f>
        <v/>
      </c>
      <c r="P1454" t="str">
        <f ca="1">IFERROR(__xludf.DUMMYFUNCTION("""COMPUTED_VALUE"""),"")</f>
        <v/>
      </c>
      <c r="Q1454" s="5" t="str">
        <f ca="1">IFERROR(__xludf.DUMMYFUNCTION("""COMPUTED_VALUE"""),"")</f>
        <v/>
      </c>
      <c r="R1454" s="6" t="str">
        <f ca="1">IFERROR(__xludf.DUMMYFUNCTION("""COMPUTED_VALUE"""),"")</f>
        <v/>
      </c>
      <c r="S1454" t="str">
        <f ca="1">IFERROR(__xludf.DUMMYFUNCTION("""COMPUTED_VALUE"""),"")</f>
        <v/>
      </c>
      <c r="T1454" t="str">
        <f ca="1">IFERROR(__xludf.DUMMYFUNCTION("""COMPUTED_VALUE"""),"")</f>
        <v/>
      </c>
      <c r="U1454" t="str">
        <f ca="1">IFERROR(__xludf.DUMMYFUNCTION("""COMPUTED_VALUE"""),"")</f>
        <v/>
      </c>
      <c r="V1454" t="str">
        <f ca="1">IFERROR(__xludf.DUMMYFUNCTION("""COMPUTED_VALUE"""),"")</f>
        <v/>
      </c>
      <c r="W1454" t="str">
        <f ca="1">IFERROR(__xludf.DUMMYFUNCTION("""COMPUTED_VALUE"""),"")</f>
        <v/>
      </c>
      <c r="X1454" t="str">
        <f ca="1">IFERROR(__xludf.DUMMYFUNCTION("""COMPUTED_VALUE"""),"")</f>
        <v/>
      </c>
      <c r="Y1454" t="str">
        <f ca="1">IFERROR(__xludf.DUMMYFUNCTION("""COMPUTED_VALUE"""),"")</f>
        <v/>
      </c>
      <c r="Z1454" t="str">
        <f ca="1">IFERROR(__xludf.DUMMYFUNCTION("""COMPUTED_VALUE"""),"")</f>
        <v/>
      </c>
      <c r="AA1454" t="str">
        <f ca="1">IFERROR(__xludf.DUMMYFUNCTION("""COMPUTED_VALUE"""),"")</f>
        <v/>
      </c>
      <c r="AB1454" s="8" t="str">
        <f ca="1">IFERROR(__xludf.DUMMYFUNCTION("""COMPUTED_VALUE"""),"")</f>
        <v/>
      </c>
      <c r="AC1454" s="8" t="str">
        <f ca="1">IFERROR(__xludf.DUMMYFUNCTION("""COMPUTED_VALUE"""),"")</f>
        <v/>
      </c>
      <c r="AD1454" s="11" t="str">
        <f ca="1">IFERROR(__xludf.DUMMYFUNCTION("""COMPUTED_VALUE"""),"")</f>
        <v/>
      </c>
      <c r="AE1454" t="str">
        <f ca="1">IFERROR(__xludf.DUMMYFUNCTION("""COMPUTED_VALUE"""),"")</f>
        <v/>
      </c>
    </row>
    <row r="1455" spans="1:31" ht="12.75" x14ac:dyDescent="0.2">
      <c r="A1455" t="str">
        <f ca="1">IFERROR(__xludf.DUMMYFUNCTION("""COMPUTED_VALUE"""),"")</f>
        <v/>
      </c>
      <c r="B1455" t="str">
        <f ca="1">IFERROR(__xludf.DUMMYFUNCTION("""COMPUTED_VALUE"""),"")</f>
        <v/>
      </c>
      <c r="C1455" t="str">
        <f ca="1">IFERROR(__xludf.DUMMYFUNCTION("""COMPUTED_VALUE"""),"")</f>
        <v/>
      </c>
      <c r="D1455" t="str">
        <f ca="1">IFERROR(__xludf.DUMMYFUNCTION("""COMPUTED_VALUE"""),"")</f>
        <v/>
      </c>
      <c r="E1455" t="str">
        <f ca="1">IFERROR(__xludf.DUMMYFUNCTION("""COMPUTED_VALUE"""),"")</f>
        <v/>
      </c>
      <c r="F1455" t="str">
        <f ca="1">IFERROR(__xludf.DUMMYFUNCTION("""COMPUTED_VALUE"""),"")</f>
        <v/>
      </c>
      <c r="G1455" t="str">
        <f ca="1">IFERROR(__xludf.DUMMYFUNCTION("""COMPUTED_VALUE"""),"")</f>
        <v/>
      </c>
      <c r="H1455" t="str">
        <f ca="1">IFERROR(__xludf.DUMMYFUNCTION("""COMPUTED_VALUE"""),"")</f>
        <v/>
      </c>
      <c r="I1455" t="str">
        <f ca="1">IFERROR(__xludf.DUMMYFUNCTION("""COMPUTED_VALUE"""),"")</f>
        <v/>
      </c>
      <c r="J1455" t="str">
        <f ca="1">IFERROR(__xludf.DUMMYFUNCTION("""COMPUTED_VALUE"""),"")</f>
        <v/>
      </c>
      <c r="K1455" t="str">
        <f ca="1">IFERROR(__xludf.DUMMYFUNCTION("""COMPUTED_VALUE"""),"")</f>
        <v/>
      </c>
      <c r="L1455" t="str">
        <f ca="1">IFERROR(__xludf.DUMMYFUNCTION("""COMPUTED_VALUE"""),"")</f>
        <v/>
      </c>
      <c r="M1455" t="str">
        <f ca="1">IFERROR(__xludf.DUMMYFUNCTION("""COMPUTED_VALUE"""),"")</f>
        <v/>
      </c>
      <c r="N1455" t="str">
        <f ca="1">IFERROR(__xludf.DUMMYFUNCTION("""COMPUTED_VALUE"""),"")</f>
        <v/>
      </c>
      <c r="O1455" t="str">
        <f ca="1">IFERROR(__xludf.DUMMYFUNCTION("""COMPUTED_VALUE"""),"")</f>
        <v/>
      </c>
      <c r="P1455" t="str">
        <f ca="1">IFERROR(__xludf.DUMMYFUNCTION("""COMPUTED_VALUE"""),"")</f>
        <v/>
      </c>
      <c r="Q1455" s="5" t="str">
        <f ca="1">IFERROR(__xludf.DUMMYFUNCTION("""COMPUTED_VALUE"""),"")</f>
        <v/>
      </c>
      <c r="R1455" s="6" t="str">
        <f ca="1">IFERROR(__xludf.DUMMYFUNCTION("""COMPUTED_VALUE"""),"")</f>
        <v/>
      </c>
      <c r="S1455" t="str">
        <f ca="1">IFERROR(__xludf.DUMMYFUNCTION("""COMPUTED_VALUE"""),"")</f>
        <v/>
      </c>
      <c r="T1455" t="str">
        <f ca="1">IFERROR(__xludf.DUMMYFUNCTION("""COMPUTED_VALUE"""),"")</f>
        <v/>
      </c>
      <c r="U1455" t="str">
        <f ca="1">IFERROR(__xludf.DUMMYFUNCTION("""COMPUTED_VALUE"""),"")</f>
        <v/>
      </c>
      <c r="V1455" t="str">
        <f ca="1">IFERROR(__xludf.DUMMYFUNCTION("""COMPUTED_VALUE"""),"")</f>
        <v/>
      </c>
      <c r="W1455" t="str">
        <f ca="1">IFERROR(__xludf.DUMMYFUNCTION("""COMPUTED_VALUE"""),"")</f>
        <v/>
      </c>
      <c r="X1455" t="str">
        <f ca="1">IFERROR(__xludf.DUMMYFUNCTION("""COMPUTED_VALUE"""),"")</f>
        <v/>
      </c>
      <c r="Y1455" t="str">
        <f ca="1">IFERROR(__xludf.DUMMYFUNCTION("""COMPUTED_VALUE"""),"")</f>
        <v/>
      </c>
      <c r="Z1455" t="str">
        <f ca="1">IFERROR(__xludf.DUMMYFUNCTION("""COMPUTED_VALUE"""),"")</f>
        <v/>
      </c>
      <c r="AA1455" t="str">
        <f ca="1">IFERROR(__xludf.DUMMYFUNCTION("""COMPUTED_VALUE"""),"")</f>
        <v/>
      </c>
      <c r="AB1455" s="8" t="str">
        <f ca="1">IFERROR(__xludf.DUMMYFUNCTION("""COMPUTED_VALUE"""),"")</f>
        <v/>
      </c>
      <c r="AC1455" s="8" t="str">
        <f ca="1">IFERROR(__xludf.DUMMYFUNCTION("""COMPUTED_VALUE"""),"")</f>
        <v/>
      </c>
      <c r="AD1455" s="11" t="str">
        <f ca="1">IFERROR(__xludf.DUMMYFUNCTION("""COMPUTED_VALUE"""),"")</f>
        <v/>
      </c>
      <c r="AE1455" t="str">
        <f ca="1">IFERROR(__xludf.DUMMYFUNCTION("""COMPUTED_VALUE"""),"")</f>
        <v/>
      </c>
    </row>
    <row r="1456" spans="1:31" ht="12.75" x14ac:dyDescent="0.2">
      <c r="A1456" t="str">
        <f ca="1">IFERROR(__xludf.DUMMYFUNCTION("""COMPUTED_VALUE"""),"")</f>
        <v/>
      </c>
      <c r="B1456" t="str">
        <f ca="1">IFERROR(__xludf.DUMMYFUNCTION("""COMPUTED_VALUE"""),"")</f>
        <v/>
      </c>
      <c r="C1456" t="str">
        <f ca="1">IFERROR(__xludf.DUMMYFUNCTION("""COMPUTED_VALUE"""),"")</f>
        <v/>
      </c>
      <c r="D1456" t="str">
        <f ca="1">IFERROR(__xludf.DUMMYFUNCTION("""COMPUTED_VALUE"""),"")</f>
        <v/>
      </c>
      <c r="E1456" t="str">
        <f ca="1">IFERROR(__xludf.DUMMYFUNCTION("""COMPUTED_VALUE"""),"")</f>
        <v/>
      </c>
      <c r="F1456" t="str">
        <f ca="1">IFERROR(__xludf.DUMMYFUNCTION("""COMPUTED_VALUE"""),"")</f>
        <v/>
      </c>
      <c r="G1456" t="str">
        <f ca="1">IFERROR(__xludf.DUMMYFUNCTION("""COMPUTED_VALUE"""),"")</f>
        <v/>
      </c>
      <c r="H1456" t="str">
        <f ca="1">IFERROR(__xludf.DUMMYFUNCTION("""COMPUTED_VALUE"""),"")</f>
        <v/>
      </c>
      <c r="I1456" t="str">
        <f ca="1">IFERROR(__xludf.DUMMYFUNCTION("""COMPUTED_VALUE"""),"")</f>
        <v/>
      </c>
      <c r="J1456" t="str">
        <f ca="1">IFERROR(__xludf.DUMMYFUNCTION("""COMPUTED_VALUE"""),"")</f>
        <v/>
      </c>
      <c r="K1456" t="str">
        <f ca="1">IFERROR(__xludf.DUMMYFUNCTION("""COMPUTED_VALUE"""),"")</f>
        <v/>
      </c>
      <c r="L1456" t="str">
        <f ca="1">IFERROR(__xludf.DUMMYFUNCTION("""COMPUTED_VALUE"""),"")</f>
        <v/>
      </c>
      <c r="M1456" t="str">
        <f ca="1">IFERROR(__xludf.DUMMYFUNCTION("""COMPUTED_VALUE"""),"")</f>
        <v/>
      </c>
      <c r="N1456" t="str">
        <f ca="1">IFERROR(__xludf.DUMMYFUNCTION("""COMPUTED_VALUE"""),"")</f>
        <v/>
      </c>
      <c r="O1456" t="str">
        <f ca="1">IFERROR(__xludf.DUMMYFUNCTION("""COMPUTED_VALUE"""),"")</f>
        <v/>
      </c>
      <c r="P1456" t="str">
        <f ca="1">IFERROR(__xludf.DUMMYFUNCTION("""COMPUTED_VALUE"""),"")</f>
        <v/>
      </c>
      <c r="Q1456" s="5" t="str">
        <f ca="1">IFERROR(__xludf.DUMMYFUNCTION("""COMPUTED_VALUE"""),"")</f>
        <v/>
      </c>
      <c r="R1456" s="6" t="str">
        <f ca="1">IFERROR(__xludf.DUMMYFUNCTION("""COMPUTED_VALUE"""),"")</f>
        <v/>
      </c>
      <c r="S1456" t="str">
        <f ca="1">IFERROR(__xludf.DUMMYFUNCTION("""COMPUTED_VALUE"""),"")</f>
        <v/>
      </c>
      <c r="T1456" t="str">
        <f ca="1">IFERROR(__xludf.DUMMYFUNCTION("""COMPUTED_VALUE"""),"")</f>
        <v/>
      </c>
      <c r="U1456" t="str">
        <f ca="1">IFERROR(__xludf.DUMMYFUNCTION("""COMPUTED_VALUE"""),"")</f>
        <v/>
      </c>
      <c r="V1456" t="str">
        <f ca="1">IFERROR(__xludf.DUMMYFUNCTION("""COMPUTED_VALUE"""),"")</f>
        <v/>
      </c>
      <c r="W1456" t="str">
        <f ca="1">IFERROR(__xludf.DUMMYFUNCTION("""COMPUTED_VALUE"""),"")</f>
        <v/>
      </c>
      <c r="X1456" t="str">
        <f ca="1">IFERROR(__xludf.DUMMYFUNCTION("""COMPUTED_VALUE"""),"")</f>
        <v/>
      </c>
      <c r="Y1456" t="str">
        <f ca="1">IFERROR(__xludf.DUMMYFUNCTION("""COMPUTED_VALUE"""),"")</f>
        <v/>
      </c>
      <c r="Z1456" t="str">
        <f ca="1">IFERROR(__xludf.DUMMYFUNCTION("""COMPUTED_VALUE"""),"")</f>
        <v/>
      </c>
      <c r="AA1456" t="str">
        <f ca="1">IFERROR(__xludf.DUMMYFUNCTION("""COMPUTED_VALUE"""),"")</f>
        <v/>
      </c>
      <c r="AB1456" s="8" t="str">
        <f ca="1">IFERROR(__xludf.DUMMYFUNCTION("""COMPUTED_VALUE"""),"")</f>
        <v/>
      </c>
      <c r="AC1456" s="8" t="str">
        <f ca="1">IFERROR(__xludf.DUMMYFUNCTION("""COMPUTED_VALUE"""),"")</f>
        <v/>
      </c>
      <c r="AD1456" s="11" t="str">
        <f ca="1">IFERROR(__xludf.DUMMYFUNCTION("""COMPUTED_VALUE"""),"")</f>
        <v/>
      </c>
      <c r="AE1456" t="str">
        <f ca="1">IFERROR(__xludf.DUMMYFUNCTION("""COMPUTED_VALUE"""),"")</f>
        <v/>
      </c>
    </row>
    <row r="1457" spans="1:31" ht="12.75" x14ac:dyDescent="0.2">
      <c r="A1457" t="str">
        <f ca="1">IFERROR(__xludf.DUMMYFUNCTION("""COMPUTED_VALUE"""),"")</f>
        <v/>
      </c>
      <c r="B1457" t="str">
        <f ca="1">IFERROR(__xludf.DUMMYFUNCTION("""COMPUTED_VALUE"""),"")</f>
        <v/>
      </c>
      <c r="C1457" t="str">
        <f ca="1">IFERROR(__xludf.DUMMYFUNCTION("""COMPUTED_VALUE"""),"")</f>
        <v/>
      </c>
      <c r="D1457" t="str">
        <f ca="1">IFERROR(__xludf.DUMMYFUNCTION("""COMPUTED_VALUE"""),"")</f>
        <v/>
      </c>
      <c r="E1457" t="str">
        <f ca="1">IFERROR(__xludf.DUMMYFUNCTION("""COMPUTED_VALUE"""),"")</f>
        <v/>
      </c>
      <c r="F1457" t="str">
        <f ca="1">IFERROR(__xludf.DUMMYFUNCTION("""COMPUTED_VALUE"""),"")</f>
        <v/>
      </c>
      <c r="G1457" t="str">
        <f ca="1">IFERROR(__xludf.DUMMYFUNCTION("""COMPUTED_VALUE"""),"")</f>
        <v/>
      </c>
      <c r="H1457" t="str">
        <f ca="1">IFERROR(__xludf.DUMMYFUNCTION("""COMPUTED_VALUE"""),"")</f>
        <v/>
      </c>
      <c r="I1457" t="str">
        <f ca="1">IFERROR(__xludf.DUMMYFUNCTION("""COMPUTED_VALUE"""),"")</f>
        <v/>
      </c>
      <c r="J1457" t="str">
        <f ca="1">IFERROR(__xludf.DUMMYFUNCTION("""COMPUTED_VALUE"""),"")</f>
        <v/>
      </c>
      <c r="K1457" t="str">
        <f ca="1">IFERROR(__xludf.DUMMYFUNCTION("""COMPUTED_VALUE"""),"")</f>
        <v/>
      </c>
      <c r="L1457" t="str">
        <f ca="1">IFERROR(__xludf.DUMMYFUNCTION("""COMPUTED_VALUE"""),"")</f>
        <v/>
      </c>
      <c r="M1457" t="str">
        <f ca="1">IFERROR(__xludf.DUMMYFUNCTION("""COMPUTED_VALUE"""),"")</f>
        <v/>
      </c>
      <c r="N1457" t="str">
        <f ca="1">IFERROR(__xludf.DUMMYFUNCTION("""COMPUTED_VALUE"""),"")</f>
        <v/>
      </c>
      <c r="O1457" t="str">
        <f ca="1">IFERROR(__xludf.DUMMYFUNCTION("""COMPUTED_VALUE"""),"")</f>
        <v/>
      </c>
      <c r="P1457" t="str">
        <f ca="1">IFERROR(__xludf.DUMMYFUNCTION("""COMPUTED_VALUE"""),"")</f>
        <v/>
      </c>
      <c r="Q1457" s="5" t="str">
        <f ca="1">IFERROR(__xludf.DUMMYFUNCTION("""COMPUTED_VALUE"""),"")</f>
        <v/>
      </c>
      <c r="R1457" s="6" t="str">
        <f ca="1">IFERROR(__xludf.DUMMYFUNCTION("""COMPUTED_VALUE"""),"")</f>
        <v/>
      </c>
      <c r="S1457" t="str">
        <f ca="1">IFERROR(__xludf.DUMMYFUNCTION("""COMPUTED_VALUE"""),"")</f>
        <v/>
      </c>
      <c r="T1457" t="str">
        <f ca="1">IFERROR(__xludf.DUMMYFUNCTION("""COMPUTED_VALUE"""),"")</f>
        <v/>
      </c>
      <c r="U1457" t="str">
        <f ca="1">IFERROR(__xludf.DUMMYFUNCTION("""COMPUTED_VALUE"""),"")</f>
        <v/>
      </c>
      <c r="V1457" t="str">
        <f ca="1">IFERROR(__xludf.DUMMYFUNCTION("""COMPUTED_VALUE"""),"")</f>
        <v/>
      </c>
      <c r="W1457" t="str">
        <f ca="1">IFERROR(__xludf.DUMMYFUNCTION("""COMPUTED_VALUE"""),"")</f>
        <v/>
      </c>
      <c r="X1457" t="str">
        <f ca="1">IFERROR(__xludf.DUMMYFUNCTION("""COMPUTED_VALUE"""),"")</f>
        <v/>
      </c>
      <c r="Y1457" t="str">
        <f ca="1">IFERROR(__xludf.DUMMYFUNCTION("""COMPUTED_VALUE"""),"")</f>
        <v/>
      </c>
      <c r="Z1457" t="str">
        <f ca="1">IFERROR(__xludf.DUMMYFUNCTION("""COMPUTED_VALUE"""),"")</f>
        <v/>
      </c>
      <c r="AA1457" t="str">
        <f ca="1">IFERROR(__xludf.DUMMYFUNCTION("""COMPUTED_VALUE"""),"")</f>
        <v/>
      </c>
      <c r="AB1457" s="8" t="str">
        <f ca="1">IFERROR(__xludf.DUMMYFUNCTION("""COMPUTED_VALUE"""),"")</f>
        <v/>
      </c>
      <c r="AC1457" s="8" t="str">
        <f ca="1">IFERROR(__xludf.DUMMYFUNCTION("""COMPUTED_VALUE"""),"")</f>
        <v/>
      </c>
      <c r="AD1457" s="11" t="str">
        <f ca="1">IFERROR(__xludf.DUMMYFUNCTION("""COMPUTED_VALUE"""),"")</f>
        <v/>
      </c>
      <c r="AE1457" t="str">
        <f ca="1">IFERROR(__xludf.DUMMYFUNCTION("""COMPUTED_VALUE"""),"")</f>
        <v/>
      </c>
    </row>
    <row r="1458" spans="1:31" ht="12.75" x14ac:dyDescent="0.2">
      <c r="A1458" t="str">
        <f ca="1">IFERROR(__xludf.DUMMYFUNCTION("""COMPUTED_VALUE"""),"")</f>
        <v/>
      </c>
      <c r="B1458" t="str">
        <f ca="1">IFERROR(__xludf.DUMMYFUNCTION("""COMPUTED_VALUE"""),"")</f>
        <v/>
      </c>
      <c r="C1458" t="str">
        <f ca="1">IFERROR(__xludf.DUMMYFUNCTION("""COMPUTED_VALUE"""),"")</f>
        <v/>
      </c>
      <c r="D1458" t="str">
        <f ca="1">IFERROR(__xludf.DUMMYFUNCTION("""COMPUTED_VALUE"""),"")</f>
        <v/>
      </c>
      <c r="E1458" t="str">
        <f ca="1">IFERROR(__xludf.DUMMYFUNCTION("""COMPUTED_VALUE"""),"")</f>
        <v/>
      </c>
      <c r="F1458" t="str">
        <f ca="1">IFERROR(__xludf.DUMMYFUNCTION("""COMPUTED_VALUE"""),"")</f>
        <v/>
      </c>
      <c r="G1458" t="str">
        <f ca="1">IFERROR(__xludf.DUMMYFUNCTION("""COMPUTED_VALUE"""),"")</f>
        <v/>
      </c>
      <c r="H1458" t="str">
        <f ca="1">IFERROR(__xludf.DUMMYFUNCTION("""COMPUTED_VALUE"""),"")</f>
        <v/>
      </c>
      <c r="I1458" t="str">
        <f ca="1">IFERROR(__xludf.DUMMYFUNCTION("""COMPUTED_VALUE"""),"")</f>
        <v/>
      </c>
      <c r="J1458" t="str">
        <f ca="1">IFERROR(__xludf.DUMMYFUNCTION("""COMPUTED_VALUE"""),"")</f>
        <v/>
      </c>
      <c r="K1458" t="str">
        <f ca="1">IFERROR(__xludf.DUMMYFUNCTION("""COMPUTED_VALUE"""),"")</f>
        <v/>
      </c>
      <c r="L1458" t="str">
        <f ca="1">IFERROR(__xludf.DUMMYFUNCTION("""COMPUTED_VALUE"""),"")</f>
        <v/>
      </c>
      <c r="M1458" t="str">
        <f ca="1">IFERROR(__xludf.DUMMYFUNCTION("""COMPUTED_VALUE"""),"")</f>
        <v/>
      </c>
      <c r="N1458" t="str">
        <f ca="1">IFERROR(__xludf.DUMMYFUNCTION("""COMPUTED_VALUE"""),"")</f>
        <v/>
      </c>
      <c r="O1458" t="str">
        <f ca="1">IFERROR(__xludf.DUMMYFUNCTION("""COMPUTED_VALUE"""),"")</f>
        <v/>
      </c>
      <c r="P1458" t="str">
        <f ca="1">IFERROR(__xludf.DUMMYFUNCTION("""COMPUTED_VALUE"""),"")</f>
        <v/>
      </c>
      <c r="Q1458" s="5" t="str">
        <f ca="1">IFERROR(__xludf.DUMMYFUNCTION("""COMPUTED_VALUE"""),"")</f>
        <v/>
      </c>
      <c r="R1458" s="6" t="str">
        <f ca="1">IFERROR(__xludf.DUMMYFUNCTION("""COMPUTED_VALUE"""),"")</f>
        <v/>
      </c>
      <c r="S1458" t="str">
        <f ca="1">IFERROR(__xludf.DUMMYFUNCTION("""COMPUTED_VALUE"""),"")</f>
        <v/>
      </c>
      <c r="T1458" t="str">
        <f ca="1">IFERROR(__xludf.DUMMYFUNCTION("""COMPUTED_VALUE"""),"")</f>
        <v/>
      </c>
      <c r="U1458" t="str">
        <f ca="1">IFERROR(__xludf.DUMMYFUNCTION("""COMPUTED_VALUE"""),"")</f>
        <v/>
      </c>
      <c r="V1458" t="str">
        <f ca="1">IFERROR(__xludf.DUMMYFUNCTION("""COMPUTED_VALUE"""),"")</f>
        <v/>
      </c>
      <c r="W1458" t="str">
        <f ca="1">IFERROR(__xludf.DUMMYFUNCTION("""COMPUTED_VALUE"""),"")</f>
        <v/>
      </c>
      <c r="X1458" t="str">
        <f ca="1">IFERROR(__xludf.DUMMYFUNCTION("""COMPUTED_VALUE"""),"")</f>
        <v/>
      </c>
      <c r="Y1458" t="str">
        <f ca="1">IFERROR(__xludf.DUMMYFUNCTION("""COMPUTED_VALUE"""),"")</f>
        <v/>
      </c>
      <c r="Z1458" t="str">
        <f ca="1">IFERROR(__xludf.DUMMYFUNCTION("""COMPUTED_VALUE"""),"")</f>
        <v/>
      </c>
      <c r="AA1458" t="str">
        <f ca="1">IFERROR(__xludf.DUMMYFUNCTION("""COMPUTED_VALUE"""),"")</f>
        <v/>
      </c>
      <c r="AB1458" s="8" t="str">
        <f ca="1">IFERROR(__xludf.DUMMYFUNCTION("""COMPUTED_VALUE"""),"")</f>
        <v/>
      </c>
      <c r="AC1458" s="8" t="str">
        <f ca="1">IFERROR(__xludf.DUMMYFUNCTION("""COMPUTED_VALUE"""),"")</f>
        <v/>
      </c>
      <c r="AD1458" s="11" t="str">
        <f ca="1">IFERROR(__xludf.DUMMYFUNCTION("""COMPUTED_VALUE"""),"")</f>
        <v/>
      </c>
      <c r="AE1458" t="str">
        <f ca="1">IFERROR(__xludf.DUMMYFUNCTION("""COMPUTED_VALUE"""),"")</f>
        <v/>
      </c>
    </row>
    <row r="1459" spans="1:31" ht="12.75" x14ac:dyDescent="0.2">
      <c r="A1459" t="str">
        <f ca="1">IFERROR(__xludf.DUMMYFUNCTION("""COMPUTED_VALUE"""),"")</f>
        <v/>
      </c>
      <c r="B1459" t="str">
        <f ca="1">IFERROR(__xludf.DUMMYFUNCTION("""COMPUTED_VALUE"""),"")</f>
        <v/>
      </c>
      <c r="C1459" t="str">
        <f ca="1">IFERROR(__xludf.DUMMYFUNCTION("""COMPUTED_VALUE"""),"")</f>
        <v/>
      </c>
      <c r="D1459" t="str">
        <f ca="1">IFERROR(__xludf.DUMMYFUNCTION("""COMPUTED_VALUE"""),"")</f>
        <v/>
      </c>
      <c r="E1459" t="str">
        <f ca="1">IFERROR(__xludf.DUMMYFUNCTION("""COMPUTED_VALUE"""),"")</f>
        <v/>
      </c>
      <c r="F1459" t="str">
        <f ca="1">IFERROR(__xludf.DUMMYFUNCTION("""COMPUTED_VALUE"""),"")</f>
        <v/>
      </c>
      <c r="G1459" t="str">
        <f ca="1">IFERROR(__xludf.DUMMYFUNCTION("""COMPUTED_VALUE"""),"")</f>
        <v/>
      </c>
      <c r="H1459" t="str">
        <f ca="1">IFERROR(__xludf.DUMMYFUNCTION("""COMPUTED_VALUE"""),"")</f>
        <v/>
      </c>
      <c r="I1459" t="str">
        <f ca="1">IFERROR(__xludf.DUMMYFUNCTION("""COMPUTED_VALUE"""),"")</f>
        <v/>
      </c>
      <c r="J1459" t="str">
        <f ca="1">IFERROR(__xludf.DUMMYFUNCTION("""COMPUTED_VALUE"""),"")</f>
        <v/>
      </c>
      <c r="K1459" t="str">
        <f ca="1">IFERROR(__xludf.DUMMYFUNCTION("""COMPUTED_VALUE"""),"")</f>
        <v/>
      </c>
      <c r="L1459" t="str">
        <f ca="1">IFERROR(__xludf.DUMMYFUNCTION("""COMPUTED_VALUE"""),"")</f>
        <v/>
      </c>
      <c r="M1459" t="str">
        <f ca="1">IFERROR(__xludf.DUMMYFUNCTION("""COMPUTED_VALUE"""),"")</f>
        <v/>
      </c>
      <c r="N1459" t="str">
        <f ca="1">IFERROR(__xludf.DUMMYFUNCTION("""COMPUTED_VALUE"""),"")</f>
        <v/>
      </c>
      <c r="O1459" t="str">
        <f ca="1">IFERROR(__xludf.DUMMYFUNCTION("""COMPUTED_VALUE"""),"")</f>
        <v/>
      </c>
      <c r="P1459" t="str">
        <f ca="1">IFERROR(__xludf.DUMMYFUNCTION("""COMPUTED_VALUE"""),"")</f>
        <v/>
      </c>
      <c r="Q1459" s="5" t="str">
        <f ca="1">IFERROR(__xludf.DUMMYFUNCTION("""COMPUTED_VALUE"""),"")</f>
        <v/>
      </c>
      <c r="R1459" s="6" t="str">
        <f ca="1">IFERROR(__xludf.DUMMYFUNCTION("""COMPUTED_VALUE"""),"")</f>
        <v/>
      </c>
      <c r="S1459" t="str">
        <f ca="1">IFERROR(__xludf.DUMMYFUNCTION("""COMPUTED_VALUE"""),"")</f>
        <v/>
      </c>
      <c r="T1459" t="str">
        <f ca="1">IFERROR(__xludf.DUMMYFUNCTION("""COMPUTED_VALUE"""),"")</f>
        <v/>
      </c>
      <c r="U1459" t="str">
        <f ca="1">IFERROR(__xludf.DUMMYFUNCTION("""COMPUTED_VALUE"""),"")</f>
        <v/>
      </c>
      <c r="V1459" t="str">
        <f ca="1">IFERROR(__xludf.DUMMYFUNCTION("""COMPUTED_VALUE"""),"")</f>
        <v/>
      </c>
      <c r="W1459" t="str">
        <f ca="1">IFERROR(__xludf.DUMMYFUNCTION("""COMPUTED_VALUE"""),"")</f>
        <v/>
      </c>
      <c r="X1459" t="str">
        <f ca="1">IFERROR(__xludf.DUMMYFUNCTION("""COMPUTED_VALUE"""),"")</f>
        <v/>
      </c>
      <c r="Y1459" t="str">
        <f ca="1">IFERROR(__xludf.DUMMYFUNCTION("""COMPUTED_VALUE"""),"")</f>
        <v/>
      </c>
      <c r="Z1459" t="str">
        <f ca="1">IFERROR(__xludf.DUMMYFUNCTION("""COMPUTED_VALUE"""),"")</f>
        <v/>
      </c>
      <c r="AA1459" t="str">
        <f ca="1">IFERROR(__xludf.DUMMYFUNCTION("""COMPUTED_VALUE"""),"")</f>
        <v/>
      </c>
      <c r="AB1459" s="8" t="str">
        <f ca="1">IFERROR(__xludf.DUMMYFUNCTION("""COMPUTED_VALUE"""),"")</f>
        <v/>
      </c>
      <c r="AC1459" s="8" t="str">
        <f ca="1">IFERROR(__xludf.DUMMYFUNCTION("""COMPUTED_VALUE"""),"")</f>
        <v/>
      </c>
      <c r="AD1459" s="11" t="str">
        <f ca="1">IFERROR(__xludf.DUMMYFUNCTION("""COMPUTED_VALUE"""),"")</f>
        <v/>
      </c>
      <c r="AE1459" t="str">
        <f ca="1">IFERROR(__xludf.DUMMYFUNCTION("""COMPUTED_VALUE"""),"")</f>
        <v/>
      </c>
    </row>
    <row r="1460" spans="1:31" ht="12.75" x14ac:dyDescent="0.2">
      <c r="A1460" t="str">
        <f ca="1">IFERROR(__xludf.DUMMYFUNCTION("""COMPUTED_VALUE"""),"")</f>
        <v/>
      </c>
      <c r="B1460" t="str">
        <f ca="1">IFERROR(__xludf.DUMMYFUNCTION("""COMPUTED_VALUE"""),"")</f>
        <v/>
      </c>
      <c r="C1460" t="str">
        <f ca="1">IFERROR(__xludf.DUMMYFUNCTION("""COMPUTED_VALUE"""),"")</f>
        <v/>
      </c>
      <c r="D1460" t="str">
        <f ca="1">IFERROR(__xludf.DUMMYFUNCTION("""COMPUTED_VALUE"""),"")</f>
        <v/>
      </c>
      <c r="E1460" t="str">
        <f ca="1">IFERROR(__xludf.DUMMYFUNCTION("""COMPUTED_VALUE"""),"")</f>
        <v/>
      </c>
      <c r="F1460" t="str">
        <f ca="1">IFERROR(__xludf.DUMMYFUNCTION("""COMPUTED_VALUE"""),"")</f>
        <v/>
      </c>
      <c r="G1460" t="str">
        <f ca="1">IFERROR(__xludf.DUMMYFUNCTION("""COMPUTED_VALUE"""),"")</f>
        <v/>
      </c>
      <c r="H1460" t="str">
        <f ca="1">IFERROR(__xludf.DUMMYFUNCTION("""COMPUTED_VALUE"""),"")</f>
        <v/>
      </c>
      <c r="I1460" t="str">
        <f ca="1">IFERROR(__xludf.DUMMYFUNCTION("""COMPUTED_VALUE"""),"")</f>
        <v/>
      </c>
      <c r="J1460" t="str">
        <f ca="1">IFERROR(__xludf.DUMMYFUNCTION("""COMPUTED_VALUE"""),"")</f>
        <v/>
      </c>
      <c r="K1460" t="str">
        <f ca="1">IFERROR(__xludf.DUMMYFUNCTION("""COMPUTED_VALUE"""),"")</f>
        <v/>
      </c>
      <c r="L1460" t="str">
        <f ca="1">IFERROR(__xludf.DUMMYFUNCTION("""COMPUTED_VALUE"""),"")</f>
        <v/>
      </c>
      <c r="M1460" t="str">
        <f ca="1">IFERROR(__xludf.DUMMYFUNCTION("""COMPUTED_VALUE"""),"")</f>
        <v/>
      </c>
      <c r="N1460" t="str">
        <f ca="1">IFERROR(__xludf.DUMMYFUNCTION("""COMPUTED_VALUE"""),"")</f>
        <v/>
      </c>
      <c r="O1460" t="str">
        <f ca="1">IFERROR(__xludf.DUMMYFUNCTION("""COMPUTED_VALUE"""),"")</f>
        <v/>
      </c>
      <c r="P1460" t="str">
        <f ca="1">IFERROR(__xludf.DUMMYFUNCTION("""COMPUTED_VALUE"""),"")</f>
        <v/>
      </c>
      <c r="Q1460" s="5" t="str">
        <f ca="1">IFERROR(__xludf.DUMMYFUNCTION("""COMPUTED_VALUE"""),"")</f>
        <v/>
      </c>
      <c r="R1460" s="6" t="str">
        <f ca="1">IFERROR(__xludf.DUMMYFUNCTION("""COMPUTED_VALUE"""),"")</f>
        <v/>
      </c>
      <c r="S1460" t="str">
        <f ca="1">IFERROR(__xludf.DUMMYFUNCTION("""COMPUTED_VALUE"""),"")</f>
        <v/>
      </c>
      <c r="T1460" t="str">
        <f ca="1">IFERROR(__xludf.DUMMYFUNCTION("""COMPUTED_VALUE"""),"")</f>
        <v/>
      </c>
      <c r="U1460" t="str">
        <f ca="1">IFERROR(__xludf.DUMMYFUNCTION("""COMPUTED_VALUE"""),"")</f>
        <v/>
      </c>
      <c r="V1460" t="str">
        <f ca="1">IFERROR(__xludf.DUMMYFUNCTION("""COMPUTED_VALUE"""),"")</f>
        <v/>
      </c>
      <c r="W1460" t="str">
        <f ca="1">IFERROR(__xludf.DUMMYFUNCTION("""COMPUTED_VALUE"""),"")</f>
        <v/>
      </c>
      <c r="X1460" t="str">
        <f ca="1">IFERROR(__xludf.DUMMYFUNCTION("""COMPUTED_VALUE"""),"")</f>
        <v/>
      </c>
      <c r="Y1460" t="str">
        <f ca="1">IFERROR(__xludf.DUMMYFUNCTION("""COMPUTED_VALUE"""),"")</f>
        <v/>
      </c>
      <c r="Z1460" t="str">
        <f ca="1">IFERROR(__xludf.DUMMYFUNCTION("""COMPUTED_VALUE"""),"")</f>
        <v/>
      </c>
      <c r="AA1460" t="str">
        <f ca="1">IFERROR(__xludf.DUMMYFUNCTION("""COMPUTED_VALUE"""),"")</f>
        <v/>
      </c>
      <c r="AB1460" s="8" t="str">
        <f ca="1">IFERROR(__xludf.DUMMYFUNCTION("""COMPUTED_VALUE"""),"")</f>
        <v/>
      </c>
      <c r="AC1460" s="8" t="str">
        <f ca="1">IFERROR(__xludf.DUMMYFUNCTION("""COMPUTED_VALUE"""),"")</f>
        <v/>
      </c>
      <c r="AD1460" s="11" t="str">
        <f ca="1">IFERROR(__xludf.DUMMYFUNCTION("""COMPUTED_VALUE"""),"")</f>
        <v/>
      </c>
      <c r="AE1460" t="str">
        <f ca="1">IFERROR(__xludf.DUMMYFUNCTION("""COMPUTED_VALUE"""),"")</f>
        <v/>
      </c>
    </row>
    <row r="1461" spans="1:31" ht="12.75" x14ac:dyDescent="0.2">
      <c r="A1461" t="str">
        <f ca="1">IFERROR(__xludf.DUMMYFUNCTION("""COMPUTED_VALUE"""),"")</f>
        <v/>
      </c>
      <c r="B1461" t="str">
        <f ca="1">IFERROR(__xludf.DUMMYFUNCTION("""COMPUTED_VALUE"""),"")</f>
        <v/>
      </c>
      <c r="C1461" t="str">
        <f ca="1">IFERROR(__xludf.DUMMYFUNCTION("""COMPUTED_VALUE"""),"")</f>
        <v/>
      </c>
      <c r="D1461" t="str">
        <f ca="1">IFERROR(__xludf.DUMMYFUNCTION("""COMPUTED_VALUE"""),"")</f>
        <v/>
      </c>
      <c r="E1461" t="str">
        <f ca="1">IFERROR(__xludf.DUMMYFUNCTION("""COMPUTED_VALUE"""),"")</f>
        <v/>
      </c>
      <c r="F1461" t="str">
        <f ca="1">IFERROR(__xludf.DUMMYFUNCTION("""COMPUTED_VALUE"""),"")</f>
        <v/>
      </c>
      <c r="G1461" t="str">
        <f ca="1">IFERROR(__xludf.DUMMYFUNCTION("""COMPUTED_VALUE"""),"")</f>
        <v/>
      </c>
      <c r="H1461" t="str">
        <f ca="1">IFERROR(__xludf.DUMMYFUNCTION("""COMPUTED_VALUE"""),"")</f>
        <v/>
      </c>
      <c r="I1461" t="str">
        <f ca="1">IFERROR(__xludf.DUMMYFUNCTION("""COMPUTED_VALUE"""),"")</f>
        <v/>
      </c>
      <c r="J1461" t="str">
        <f ca="1">IFERROR(__xludf.DUMMYFUNCTION("""COMPUTED_VALUE"""),"")</f>
        <v/>
      </c>
      <c r="K1461" t="str">
        <f ca="1">IFERROR(__xludf.DUMMYFUNCTION("""COMPUTED_VALUE"""),"")</f>
        <v/>
      </c>
      <c r="L1461" t="str">
        <f ca="1">IFERROR(__xludf.DUMMYFUNCTION("""COMPUTED_VALUE"""),"")</f>
        <v/>
      </c>
      <c r="M1461" t="str">
        <f ca="1">IFERROR(__xludf.DUMMYFUNCTION("""COMPUTED_VALUE"""),"")</f>
        <v/>
      </c>
      <c r="N1461" t="str">
        <f ca="1">IFERROR(__xludf.DUMMYFUNCTION("""COMPUTED_VALUE"""),"")</f>
        <v/>
      </c>
      <c r="O1461" t="str">
        <f ca="1">IFERROR(__xludf.DUMMYFUNCTION("""COMPUTED_VALUE"""),"")</f>
        <v/>
      </c>
      <c r="P1461" t="str">
        <f ca="1">IFERROR(__xludf.DUMMYFUNCTION("""COMPUTED_VALUE"""),"")</f>
        <v/>
      </c>
      <c r="Q1461" s="5" t="str">
        <f ca="1">IFERROR(__xludf.DUMMYFUNCTION("""COMPUTED_VALUE"""),"")</f>
        <v/>
      </c>
      <c r="R1461" s="6" t="str">
        <f ca="1">IFERROR(__xludf.DUMMYFUNCTION("""COMPUTED_VALUE"""),"")</f>
        <v/>
      </c>
      <c r="S1461" t="str">
        <f ca="1">IFERROR(__xludf.DUMMYFUNCTION("""COMPUTED_VALUE"""),"")</f>
        <v/>
      </c>
      <c r="T1461" t="str">
        <f ca="1">IFERROR(__xludf.DUMMYFUNCTION("""COMPUTED_VALUE"""),"")</f>
        <v/>
      </c>
      <c r="U1461" t="str">
        <f ca="1">IFERROR(__xludf.DUMMYFUNCTION("""COMPUTED_VALUE"""),"")</f>
        <v/>
      </c>
      <c r="V1461" t="str">
        <f ca="1">IFERROR(__xludf.DUMMYFUNCTION("""COMPUTED_VALUE"""),"")</f>
        <v/>
      </c>
      <c r="W1461" t="str">
        <f ca="1">IFERROR(__xludf.DUMMYFUNCTION("""COMPUTED_VALUE"""),"")</f>
        <v/>
      </c>
      <c r="X1461" t="str">
        <f ca="1">IFERROR(__xludf.DUMMYFUNCTION("""COMPUTED_VALUE"""),"")</f>
        <v/>
      </c>
      <c r="Y1461" t="str">
        <f ca="1">IFERROR(__xludf.DUMMYFUNCTION("""COMPUTED_VALUE"""),"")</f>
        <v/>
      </c>
      <c r="Z1461" t="str">
        <f ca="1">IFERROR(__xludf.DUMMYFUNCTION("""COMPUTED_VALUE"""),"")</f>
        <v/>
      </c>
      <c r="AA1461" t="str">
        <f ca="1">IFERROR(__xludf.DUMMYFUNCTION("""COMPUTED_VALUE"""),"")</f>
        <v/>
      </c>
      <c r="AB1461" s="8" t="str">
        <f ca="1">IFERROR(__xludf.DUMMYFUNCTION("""COMPUTED_VALUE"""),"")</f>
        <v/>
      </c>
      <c r="AC1461" s="8" t="str">
        <f ca="1">IFERROR(__xludf.DUMMYFUNCTION("""COMPUTED_VALUE"""),"")</f>
        <v/>
      </c>
      <c r="AD1461" s="11" t="str">
        <f ca="1">IFERROR(__xludf.DUMMYFUNCTION("""COMPUTED_VALUE"""),"")</f>
        <v/>
      </c>
      <c r="AE1461" t="str">
        <f ca="1">IFERROR(__xludf.DUMMYFUNCTION("""COMPUTED_VALUE"""),"")</f>
        <v/>
      </c>
    </row>
    <row r="1462" spans="1:31" ht="12.75" x14ac:dyDescent="0.2">
      <c r="A1462" t="str">
        <f ca="1">IFERROR(__xludf.DUMMYFUNCTION("""COMPUTED_VALUE"""),"")</f>
        <v/>
      </c>
      <c r="B1462" t="str">
        <f ca="1">IFERROR(__xludf.DUMMYFUNCTION("""COMPUTED_VALUE"""),"")</f>
        <v/>
      </c>
      <c r="C1462" t="str">
        <f ca="1">IFERROR(__xludf.DUMMYFUNCTION("""COMPUTED_VALUE"""),"")</f>
        <v/>
      </c>
      <c r="D1462" t="str">
        <f ca="1">IFERROR(__xludf.DUMMYFUNCTION("""COMPUTED_VALUE"""),"")</f>
        <v/>
      </c>
      <c r="E1462" t="str">
        <f ca="1">IFERROR(__xludf.DUMMYFUNCTION("""COMPUTED_VALUE"""),"")</f>
        <v/>
      </c>
      <c r="F1462" t="str">
        <f ca="1">IFERROR(__xludf.DUMMYFUNCTION("""COMPUTED_VALUE"""),"")</f>
        <v/>
      </c>
      <c r="G1462" t="str">
        <f ca="1">IFERROR(__xludf.DUMMYFUNCTION("""COMPUTED_VALUE"""),"")</f>
        <v/>
      </c>
      <c r="H1462" t="str">
        <f ca="1">IFERROR(__xludf.DUMMYFUNCTION("""COMPUTED_VALUE"""),"")</f>
        <v/>
      </c>
      <c r="I1462" t="str">
        <f ca="1">IFERROR(__xludf.DUMMYFUNCTION("""COMPUTED_VALUE"""),"")</f>
        <v/>
      </c>
      <c r="J1462" t="str">
        <f ca="1">IFERROR(__xludf.DUMMYFUNCTION("""COMPUTED_VALUE"""),"")</f>
        <v/>
      </c>
      <c r="K1462" t="str">
        <f ca="1">IFERROR(__xludf.DUMMYFUNCTION("""COMPUTED_VALUE"""),"")</f>
        <v/>
      </c>
      <c r="L1462" t="str">
        <f ca="1">IFERROR(__xludf.DUMMYFUNCTION("""COMPUTED_VALUE"""),"")</f>
        <v/>
      </c>
      <c r="M1462" t="str">
        <f ca="1">IFERROR(__xludf.DUMMYFUNCTION("""COMPUTED_VALUE"""),"")</f>
        <v/>
      </c>
      <c r="N1462" t="str">
        <f ca="1">IFERROR(__xludf.DUMMYFUNCTION("""COMPUTED_VALUE"""),"")</f>
        <v/>
      </c>
      <c r="O1462" t="str">
        <f ca="1">IFERROR(__xludf.DUMMYFUNCTION("""COMPUTED_VALUE"""),"")</f>
        <v/>
      </c>
      <c r="P1462" t="str">
        <f ca="1">IFERROR(__xludf.DUMMYFUNCTION("""COMPUTED_VALUE"""),"")</f>
        <v/>
      </c>
      <c r="Q1462" s="5" t="str">
        <f ca="1">IFERROR(__xludf.DUMMYFUNCTION("""COMPUTED_VALUE"""),"")</f>
        <v/>
      </c>
      <c r="R1462" s="6" t="str">
        <f ca="1">IFERROR(__xludf.DUMMYFUNCTION("""COMPUTED_VALUE"""),"")</f>
        <v/>
      </c>
      <c r="S1462" t="str">
        <f ca="1">IFERROR(__xludf.DUMMYFUNCTION("""COMPUTED_VALUE"""),"")</f>
        <v/>
      </c>
      <c r="T1462" t="str">
        <f ca="1">IFERROR(__xludf.DUMMYFUNCTION("""COMPUTED_VALUE"""),"")</f>
        <v/>
      </c>
      <c r="U1462" t="str">
        <f ca="1">IFERROR(__xludf.DUMMYFUNCTION("""COMPUTED_VALUE"""),"")</f>
        <v/>
      </c>
      <c r="V1462" t="str">
        <f ca="1">IFERROR(__xludf.DUMMYFUNCTION("""COMPUTED_VALUE"""),"")</f>
        <v/>
      </c>
      <c r="W1462" t="str">
        <f ca="1">IFERROR(__xludf.DUMMYFUNCTION("""COMPUTED_VALUE"""),"")</f>
        <v/>
      </c>
      <c r="X1462" t="str">
        <f ca="1">IFERROR(__xludf.DUMMYFUNCTION("""COMPUTED_VALUE"""),"")</f>
        <v/>
      </c>
      <c r="Y1462" t="str">
        <f ca="1">IFERROR(__xludf.DUMMYFUNCTION("""COMPUTED_VALUE"""),"")</f>
        <v/>
      </c>
      <c r="Z1462" t="str">
        <f ca="1">IFERROR(__xludf.DUMMYFUNCTION("""COMPUTED_VALUE"""),"")</f>
        <v/>
      </c>
      <c r="AA1462" t="str">
        <f ca="1">IFERROR(__xludf.DUMMYFUNCTION("""COMPUTED_VALUE"""),"")</f>
        <v/>
      </c>
      <c r="AB1462" s="8" t="str">
        <f ca="1">IFERROR(__xludf.DUMMYFUNCTION("""COMPUTED_VALUE"""),"")</f>
        <v/>
      </c>
      <c r="AC1462" s="8" t="str">
        <f ca="1">IFERROR(__xludf.DUMMYFUNCTION("""COMPUTED_VALUE"""),"")</f>
        <v/>
      </c>
      <c r="AD1462" s="11" t="str">
        <f ca="1">IFERROR(__xludf.DUMMYFUNCTION("""COMPUTED_VALUE"""),"")</f>
        <v/>
      </c>
      <c r="AE1462" t="str">
        <f ca="1">IFERROR(__xludf.DUMMYFUNCTION("""COMPUTED_VALUE"""),"")</f>
        <v/>
      </c>
    </row>
    <row r="1463" spans="1:31" ht="12.75" x14ac:dyDescent="0.2">
      <c r="A1463" t="str">
        <f ca="1">IFERROR(__xludf.DUMMYFUNCTION("""COMPUTED_VALUE"""),"")</f>
        <v/>
      </c>
      <c r="B1463" t="str">
        <f ca="1">IFERROR(__xludf.DUMMYFUNCTION("""COMPUTED_VALUE"""),"")</f>
        <v/>
      </c>
      <c r="C1463" t="str">
        <f ca="1">IFERROR(__xludf.DUMMYFUNCTION("""COMPUTED_VALUE"""),"")</f>
        <v/>
      </c>
      <c r="D1463" t="str">
        <f ca="1">IFERROR(__xludf.DUMMYFUNCTION("""COMPUTED_VALUE"""),"")</f>
        <v/>
      </c>
      <c r="E1463" t="str">
        <f ca="1">IFERROR(__xludf.DUMMYFUNCTION("""COMPUTED_VALUE"""),"")</f>
        <v/>
      </c>
      <c r="F1463" t="str">
        <f ca="1">IFERROR(__xludf.DUMMYFUNCTION("""COMPUTED_VALUE"""),"")</f>
        <v/>
      </c>
      <c r="G1463" t="str">
        <f ca="1">IFERROR(__xludf.DUMMYFUNCTION("""COMPUTED_VALUE"""),"")</f>
        <v/>
      </c>
      <c r="H1463" t="str">
        <f ca="1">IFERROR(__xludf.DUMMYFUNCTION("""COMPUTED_VALUE"""),"")</f>
        <v/>
      </c>
      <c r="I1463" t="str">
        <f ca="1">IFERROR(__xludf.DUMMYFUNCTION("""COMPUTED_VALUE"""),"")</f>
        <v/>
      </c>
      <c r="J1463" t="str">
        <f ca="1">IFERROR(__xludf.DUMMYFUNCTION("""COMPUTED_VALUE"""),"")</f>
        <v/>
      </c>
      <c r="K1463" t="str">
        <f ca="1">IFERROR(__xludf.DUMMYFUNCTION("""COMPUTED_VALUE"""),"")</f>
        <v/>
      </c>
      <c r="L1463" t="str">
        <f ca="1">IFERROR(__xludf.DUMMYFUNCTION("""COMPUTED_VALUE"""),"")</f>
        <v/>
      </c>
      <c r="M1463" t="str">
        <f ca="1">IFERROR(__xludf.DUMMYFUNCTION("""COMPUTED_VALUE"""),"")</f>
        <v/>
      </c>
      <c r="N1463" t="str">
        <f ca="1">IFERROR(__xludf.DUMMYFUNCTION("""COMPUTED_VALUE"""),"")</f>
        <v/>
      </c>
      <c r="O1463" t="str">
        <f ca="1">IFERROR(__xludf.DUMMYFUNCTION("""COMPUTED_VALUE"""),"")</f>
        <v/>
      </c>
      <c r="P1463" t="str">
        <f ca="1">IFERROR(__xludf.DUMMYFUNCTION("""COMPUTED_VALUE"""),"")</f>
        <v/>
      </c>
      <c r="Q1463" s="5" t="str">
        <f ca="1">IFERROR(__xludf.DUMMYFUNCTION("""COMPUTED_VALUE"""),"")</f>
        <v/>
      </c>
      <c r="R1463" s="6" t="str">
        <f ca="1">IFERROR(__xludf.DUMMYFUNCTION("""COMPUTED_VALUE"""),"")</f>
        <v/>
      </c>
      <c r="S1463" t="str">
        <f ca="1">IFERROR(__xludf.DUMMYFUNCTION("""COMPUTED_VALUE"""),"")</f>
        <v/>
      </c>
      <c r="T1463" t="str">
        <f ca="1">IFERROR(__xludf.DUMMYFUNCTION("""COMPUTED_VALUE"""),"")</f>
        <v/>
      </c>
      <c r="U1463" t="str">
        <f ca="1">IFERROR(__xludf.DUMMYFUNCTION("""COMPUTED_VALUE"""),"")</f>
        <v/>
      </c>
      <c r="V1463" t="str">
        <f ca="1">IFERROR(__xludf.DUMMYFUNCTION("""COMPUTED_VALUE"""),"")</f>
        <v/>
      </c>
      <c r="W1463" t="str">
        <f ca="1">IFERROR(__xludf.DUMMYFUNCTION("""COMPUTED_VALUE"""),"")</f>
        <v/>
      </c>
      <c r="X1463" t="str">
        <f ca="1">IFERROR(__xludf.DUMMYFUNCTION("""COMPUTED_VALUE"""),"")</f>
        <v/>
      </c>
      <c r="Y1463" t="str">
        <f ca="1">IFERROR(__xludf.DUMMYFUNCTION("""COMPUTED_VALUE"""),"")</f>
        <v/>
      </c>
      <c r="Z1463" t="str">
        <f ca="1">IFERROR(__xludf.DUMMYFUNCTION("""COMPUTED_VALUE"""),"")</f>
        <v/>
      </c>
      <c r="AA1463" t="str">
        <f ca="1">IFERROR(__xludf.DUMMYFUNCTION("""COMPUTED_VALUE"""),"")</f>
        <v/>
      </c>
      <c r="AB1463" s="8" t="str">
        <f ca="1">IFERROR(__xludf.DUMMYFUNCTION("""COMPUTED_VALUE"""),"")</f>
        <v/>
      </c>
      <c r="AC1463" s="8" t="str">
        <f ca="1">IFERROR(__xludf.DUMMYFUNCTION("""COMPUTED_VALUE"""),"")</f>
        <v/>
      </c>
      <c r="AD1463" s="11" t="str">
        <f ca="1">IFERROR(__xludf.DUMMYFUNCTION("""COMPUTED_VALUE"""),"")</f>
        <v/>
      </c>
      <c r="AE1463" t="str">
        <f ca="1">IFERROR(__xludf.DUMMYFUNCTION("""COMPUTED_VALUE"""),"")</f>
        <v/>
      </c>
    </row>
    <row r="1464" spans="1:31" ht="12.75" x14ac:dyDescent="0.2">
      <c r="A1464" t="str">
        <f ca="1">IFERROR(__xludf.DUMMYFUNCTION("""COMPUTED_VALUE"""),"")</f>
        <v/>
      </c>
      <c r="B1464" t="str">
        <f ca="1">IFERROR(__xludf.DUMMYFUNCTION("""COMPUTED_VALUE"""),"")</f>
        <v/>
      </c>
      <c r="C1464" t="str">
        <f ca="1">IFERROR(__xludf.DUMMYFUNCTION("""COMPUTED_VALUE"""),"")</f>
        <v/>
      </c>
      <c r="D1464" t="str">
        <f ca="1">IFERROR(__xludf.DUMMYFUNCTION("""COMPUTED_VALUE"""),"")</f>
        <v/>
      </c>
      <c r="E1464" t="str">
        <f ca="1">IFERROR(__xludf.DUMMYFUNCTION("""COMPUTED_VALUE"""),"")</f>
        <v/>
      </c>
      <c r="F1464" t="str">
        <f ca="1">IFERROR(__xludf.DUMMYFUNCTION("""COMPUTED_VALUE"""),"")</f>
        <v/>
      </c>
      <c r="G1464" t="str">
        <f ca="1">IFERROR(__xludf.DUMMYFUNCTION("""COMPUTED_VALUE"""),"")</f>
        <v/>
      </c>
      <c r="H1464" t="str">
        <f ca="1">IFERROR(__xludf.DUMMYFUNCTION("""COMPUTED_VALUE"""),"")</f>
        <v/>
      </c>
      <c r="I1464" t="str">
        <f ca="1">IFERROR(__xludf.DUMMYFUNCTION("""COMPUTED_VALUE"""),"")</f>
        <v/>
      </c>
      <c r="J1464" t="str">
        <f ca="1">IFERROR(__xludf.DUMMYFUNCTION("""COMPUTED_VALUE"""),"")</f>
        <v/>
      </c>
      <c r="K1464" t="str">
        <f ca="1">IFERROR(__xludf.DUMMYFUNCTION("""COMPUTED_VALUE"""),"")</f>
        <v/>
      </c>
      <c r="L1464" t="str">
        <f ca="1">IFERROR(__xludf.DUMMYFUNCTION("""COMPUTED_VALUE"""),"")</f>
        <v/>
      </c>
      <c r="M1464" t="str">
        <f ca="1">IFERROR(__xludf.DUMMYFUNCTION("""COMPUTED_VALUE"""),"")</f>
        <v/>
      </c>
      <c r="N1464" t="str">
        <f ca="1">IFERROR(__xludf.DUMMYFUNCTION("""COMPUTED_VALUE"""),"")</f>
        <v/>
      </c>
      <c r="O1464" t="str">
        <f ca="1">IFERROR(__xludf.DUMMYFUNCTION("""COMPUTED_VALUE"""),"")</f>
        <v/>
      </c>
      <c r="P1464" t="str">
        <f ca="1">IFERROR(__xludf.DUMMYFUNCTION("""COMPUTED_VALUE"""),"")</f>
        <v/>
      </c>
      <c r="Q1464" s="5" t="str">
        <f ca="1">IFERROR(__xludf.DUMMYFUNCTION("""COMPUTED_VALUE"""),"")</f>
        <v/>
      </c>
      <c r="R1464" s="6" t="str">
        <f ca="1">IFERROR(__xludf.DUMMYFUNCTION("""COMPUTED_VALUE"""),"")</f>
        <v/>
      </c>
      <c r="S1464" t="str">
        <f ca="1">IFERROR(__xludf.DUMMYFUNCTION("""COMPUTED_VALUE"""),"")</f>
        <v/>
      </c>
      <c r="T1464" t="str">
        <f ca="1">IFERROR(__xludf.DUMMYFUNCTION("""COMPUTED_VALUE"""),"")</f>
        <v/>
      </c>
      <c r="U1464" t="str">
        <f ca="1">IFERROR(__xludf.DUMMYFUNCTION("""COMPUTED_VALUE"""),"")</f>
        <v/>
      </c>
      <c r="V1464" t="str">
        <f ca="1">IFERROR(__xludf.DUMMYFUNCTION("""COMPUTED_VALUE"""),"")</f>
        <v/>
      </c>
      <c r="W1464" t="str">
        <f ca="1">IFERROR(__xludf.DUMMYFUNCTION("""COMPUTED_VALUE"""),"")</f>
        <v/>
      </c>
      <c r="X1464" t="str">
        <f ca="1">IFERROR(__xludf.DUMMYFUNCTION("""COMPUTED_VALUE"""),"")</f>
        <v/>
      </c>
      <c r="Y1464" t="str">
        <f ca="1">IFERROR(__xludf.DUMMYFUNCTION("""COMPUTED_VALUE"""),"")</f>
        <v/>
      </c>
      <c r="Z1464" t="str">
        <f ca="1">IFERROR(__xludf.DUMMYFUNCTION("""COMPUTED_VALUE"""),"")</f>
        <v/>
      </c>
      <c r="AA1464" t="str">
        <f ca="1">IFERROR(__xludf.DUMMYFUNCTION("""COMPUTED_VALUE"""),"")</f>
        <v/>
      </c>
      <c r="AB1464" s="8" t="str">
        <f ca="1">IFERROR(__xludf.DUMMYFUNCTION("""COMPUTED_VALUE"""),"")</f>
        <v/>
      </c>
      <c r="AC1464" s="8" t="str">
        <f ca="1">IFERROR(__xludf.DUMMYFUNCTION("""COMPUTED_VALUE"""),"")</f>
        <v/>
      </c>
      <c r="AD1464" s="11" t="str">
        <f ca="1">IFERROR(__xludf.DUMMYFUNCTION("""COMPUTED_VALUE"""),"")</f>
        <v/>
      </c>
      <c r="AE1464" t="str">
        <f ca="1">IFERROR(__xludf.DUMMYFUNCTION("""COMPUTED_VALUE"""),"")</f>
        <v/>
      </c>
    </row>
    <row r="1465" spans="1:31" ht="12.75" x14ac:dyDescent="0.2">
      <c r="A1465" t="str">
        <f ca="1">IFERROR(__xludf.DUMMYFUNCTION("""COMPUTED_VALUE"""),"")</f>
        <v/>
      </c>
      <c r="B1465" t="str">
        <f ca="1">IFERROR(__xludf.DUMMYFUNCTION("""COMPUTED_VALUE"""),"")</f>
        <v/>
      </c>
      <c r="C1465" t="str">
        <f ca="1">IFERROR(__xludf.DUMMYFUNCTION("""COMPUTED_VALUE"""),"")</f>
        <v/>
      </c>
      <c r="D1465" t="str">
        <f ca="1">IFERROR(__xludf.DUMMYFUNCTION("""COMPUTED_VALUE"""),"")</f>
        <v/>
      </c>
      <c r="E1465" t="str">
        <f ca="1">IFERROR(__xludf.DUMMYFUNCTION("""COMPUTED_VALUE"""),"")</f>
        <v/>
      </c>
      <c r="F1465" t="str">
        <f ca="1">IFERROR(__xludf.DUMMYFUNCTION("""COMPUTED_VALUE"""),"")</f>
        <v/>
      </c>
      <c r="G1465" t="str">
        <f ca="1">IFERROR(__xludf.DUMMYFUNCTION("""COMPUTED_VALUE"""),"")</f>
        <v/>
      </c>
      <c r="H1465" t="str">
        <f ca="1">IFERROR(__xludf.DUMMYFUNCTION("""COMPUTED_VALUE"""),"")</f>
        <v/>
      </c>
      <c r="I1465" t="str">
        <f ca="1">IFERROR(__xludf.DUMMYFUNCTION("""COMPUTED_VALUE"""),"")</f>
        <v/>
      </c>
      <c r="J1465" t="str">
        <f ca="1">IFERROR(__xludf.DUMMYFUNCTION("""COMPUTED_VALUE"""),"")</f>
        <v/>
      </c>
      <c r="K1465" t="str">
        <f ca="1">IFERROR(__xludf.DUMMYFUNCTION("""COMPUTED_VALUE"""),"")</f>
        <v/>
      </c>
      <c r="L1465" t="str">
        <f ca="1">IFERROR(__xludf.DUMMYFUNCTION("""COMPUTED_VALUE"""),"")</f>
        <v/>
      </c>
      <c r="M1465" t="str">
        <f ca="1">IFERROR(__xludf.DUMMYFUNCTION("""COMPUTED_VALUE"""),"")</f>
        <v/>
      </c>
      <c r="N1465" t="str">
        <f ca="1">IFERROR(__xludf.DUMMYFUNCTION("""COMPUTED_VALUE"""),"")</f>
        <v/>
      </c>
      <c r="O1465" t="str">
        <f ca="1">IFERROR(__xludf.DUMMYFUNCTION("""COMPUTED_VALUE"""),"")</f>
        <v/>
      </c>
      <c r="P1465" t="str">
        <f ca="1">IFERROR(__xludf.DUMMYFUNCTION("""COMPUTED_VALUE"""),"")</f>
        <v/>
      </c>
      <c r="Q1465" s="5" t="str">
        <f ca="1">IFERROR(__xludf.DUMMYFUNCTION("""COMPUTED_VALUE"""),"")</f>
        <v/>
      </c>
      <c r="R1465" s="6" t="str">
        <f ca="1">IFERROR(__xludf.DUMMYFUNCTION("""COMPUTED_VALUE"""),"")</f>
        <v/>
      </c>
      <c r="S1465" t="str">
        <f ca="1">IFERROR(__xludf.DUMMYFUNCTION("""COMPUTED_VALUE"""),"")</f>
        <v/>
      </c>
      <c r="T1465" t="str">
        <f ca="1">IFERROR(__xludf.DUMMYFUNCTION("""COMPUTED_VALUE"""),"")</f>
        <v/>
      </c>
      <c r="U1465" t="str">
        <f ca="1">IFERROR(__xludf.DUMMYFUNCTION("""COMPUTED_VALUE"""),"")</f>
        <v/>
      </c>
      <c r="V1465" t="str">
        <f ca="1">IFERROR(__xludf.DUMMYFUNCTION("""COMPUTED_VALUE"""),"")</f>
        <v/>
      </c>
      <c r="W1465" t="str">
        <f ca="1">IFERROR(__xludf.DUMMYFUNCTION("""COMPUTED_VALUE"""),"")</f>
        <v/>
      </c>
      <c r="X1465" t="str">
        <f ca="1">IFERROR(__xludf.DUMMYFUNCTION("""COMPUTED_VALUE"""),"")</f>
        <v/>
      </c>
      <c r="Y1465" t="str">
        <f ca="1">IFERROR(__xludf.DUMMYFUNCTION("""COMPUTED_VALUE"""),"")</f>
        <v/>
      </c>
      <c r="Z1465" t="str">
        <f ca="1">IFERROR(__xludf.DUMMYFUNCTION("""COMPUTED_VALUE"""),"")</f>
        <v/>
      </c>
      <c r="AA1465" t="str">
        <f ca="1">IFERROR(__xludf.DUMMYFUNCTION("""COMPUTED_VALUE"""),"")</f>
        <v/>
      </c>
      <c r="AB1465" s="8" t="str">
        <f ca="1">IFERROR(__xludf.DUMMYFUNCTION("""COMPUTED_VALUE"""),"")</f>
        <v/>
      </c>
      <c r="AC1465" s="8" t="str">
        <f ca="1">IFERROR(__xludf.DUMMYFUNCTION("""COMPUTED_VALUE"""),"")</f>
        <v/>
      </c>
      <c r="AD1465" s="11" t="str">
        <f ca="1">IFERROR(__xludf.DUMMYFUNCTION("""COMPUTED_VALUE"""),"")</f>
        <v/>
      </c>
      <c r="AE1465" t="str">
        <f ca="1">IFERROR(__xludf.DUMMYFUNCTION("""COMPUTED_VALUE"""),"")</f>
        <v/>
      </c>
    </row>
    <row r="1466" spans="1:31" ht="12.75" x14ac:dyDescent="0.2">
      <c r="A1466" t="str">
        <f ca="1">IFERROR(__xludf.DUMMYFUNCTION("""COMPUTED_VALUE"""),"")</f>
        <v/>
      </c>
      <c r="B1466" t="str">
        <f ca="1">IFERROR(__xludf.DUMMYFUNCTION("""COMPUTED_VALUE"""),"")</f>
        <v/>
      </c>
      <c r="C1466" t="str">
        <f ca="1">IFERROR(__xludf.DUMMYFUNCTION("""COMPUTED_VALUE"""),"")</f>
        <v/>
      </c>
      <c r="D1466" t="str">
        <f ca="1">IFERROR(__xludf.DUMMYFUNCTION("""COMPUTED_VALUE"""),"")</f>
        <v/>
      </c>
      <c r="E1466" t="str">
        <f ca="1">IFERROR(__xludf.DUMMYFUNCTION("""COMPUTED_VALUE"""),"")</f>
        <v/>
      </c>
      <c r="F1466" t="str">
        <f ca="1">IFERROR(__xludf.DUMMYFUNCTION("""COMPUTED_VALUE"""),"")</f>
        <v/>
      </c>
      <c r="G1466" t="str">
        <f ca="1">IFERROR(__xludf.DUMMYFUNCTION("""COMPUTED_VALUE"""),"")</f>
        <v/>
      </c>
      <c r="H1466" t="str">
        <f ca="1">IFERROR(__xludf.DUMMYFUNCTION("""COMPUTED_VALUE"""),"")</f>
        <v/>
      </c>
      <c r="I1466" t="str">
        <f ca="1">IFERROR(__xludf.DUMMYFUNCTION("""COMPUTED_VALUE"""),"")</f>
        <v/>
      </c>
      <c r="J1466" t="str">
        <f ca="1">IFERROR(__xludf.DUMMYFUNCTION("""COMPUTED_VALUE"""),"")</f>
        <v/>
      </c>
      <c r="K1466" t="str">
        <f ca="1">IFERROR(__xludf.DUMMYFUNCTION("""COMPUTED_VALUE"""),"")</f>
        <v/>
      </c>
      <c r="L1466" t="str">
        <f ca="1">IFERROR(__xludf.DUMMYFUNCTION("""COMPUTED_VALUE"""),"")</f>
        <v/>
      </c>
      <c r="M1466" t="str">
        <f ca="1">IFERROR(__xludf.DUMMYFUNCTION("""COMPUTED_VALUE"""),"")</f>
        <v/>
      </c>
      <c r="N1466" t="str">
        <f ca="1">IFERROR(__xludf.DUMMYFUNCTION("""COMPUTED_VALUE"""),"")</f>
        <v/>
      </c>
      <c r="O1466" t="str">
        <f ca="1">IFERROR(__xludf.DUMMYFUNCTION("""COMPUTED_VALUE"""),"")</f>
        <v/>
      </c>
      <c r="P1466" t="str">
        <f ca="1">IFERROR(__xludf.DUMMYFUNCTION("""COMPUTED_VALUE"""),"")</f>
        <v/>
      </c>
      <c r="Q1466" s="5" t="str">
        <f ca="1">IFERROR(__xludf.DUMMYFUNCTION("""COMPUTED_VALUE"""),"")</f>
        <v/>
      </c>
      <c r="R1466" s="6" t="str">
        <f ca="1">IFERROR(__xludf.DUMMYFUNCTION("""COMPUTED_VALUE"""),"")</f>
        <v/>
      </c>
      <c r="S1466" t="str">
        <f ca="1">IFERROR(__xludf.DUMMYFUNCTION("""COMPUTED_VALUE"""),"")</f>
        <v/>
      </c>
      <c r="T1466" t="str">
        <f ca="1">IFERROR(__xludf.DUMMYFUNCTION("""COMPUTED_VALUE"""),"")</f>
        <v/>
      </c>
      <c r="U1466" t="str">
        <f ca="1">IFERROR(__xludf.DUMMYFUNCTION("""COMPUTED_VALUE"""),"")</f>
        <v/>
      </c>
      <c r="V1466" t="str">
        <f ca="1">IFERROR(__xludf.DUMMYFUNCTION("""COMPUTED_VALUE"""),"")</f>
        <v/>
      </c>
      <c r="W1466" t="str">
        <f ca="1">IFERROR(__xludf.DUMMYFUNCTION("""COMPUTED_VALUE"""),"")</f>
        <v/>
      </c>
      <c r="X1466" t="str">
        <f ca="1">IFERROR(__xludf.DUMMYFUNCTION("""COMPUTED_VALUE"""),"")</f>
        <v/>
      </c>
      <c r="Y1466" t="str">
        <f ca="1">IFERROR(__xludf.DUMMYFUNCTION("""COMPUTED_VALUE"""),"")</f>
        <v/>
      </c>
      <c r="Z1466" t="str">
        <f ca="1">IFERROR(__xludf.DUMMYFUNCTION("""COMPUTED_VALUE"""),"")</f>
        <v/>
      </c>
      <c r="AA1466" t="str">
        <f ca="1">IFERROR(__xludf.DUMMYFUNCTION("""COMPUTED_VALUE"""),"")</f>
        <v/>
      </c>
      <c r="AB1466" s="8" t="str">
        <f ca="1">IFERROR(__xludf.DUMMYFUNCTION("""COMPUTED_VALUE"""),"")</f>
        <v/>
      </c>
      <c r="AC1466" s="8" t="str">
        <f ca="1">IFERROR(__xludf.DUMMYFUNCTION("""COMPUTED_VALUE"""),"")</f>
        <v/>
      </c>
      <c r="AD1466" s="11" t="str">
        <f ca="1">IFERROR(__xludf.DUMMYFUNCTION("""COMPUTED_VALUE"""),"")</f>
        <v/>
      </c>
      <c r="AE1466" t="str">
        <f ca="1">IFERROR(__xludf.DUMMYFUNCTION("""COMPUTED_VALUE"""),"")</f>
        <v/>
      </c>
    </row>
    <row r="1467" spans="1:31" ht="12.75" x14ac:dyDescent="0.2">
      <c r="A1467" t="str">
        <f ca="1">IFERROR(__xludf.DUMMYFUNCTION("""COMPUTED_VALUE"""),"")</f>
        <v/>
      </c>
      <c r="B1467" t="str">
        <f ca="1">IFERROR(__xludf.DUMMYFUNCTION("""COMPUTED_VALUE"""),"")</f>
        <v/>
      </c>
      <c r="C1467" t="str">
        <f ca="1">IFERROR(__xludf.DUMMYFUNCTION("""COMPUTED_VALUE"""),"")</f>
        <v/>
      </c>
      <c r="D1467" t="str">
        <f ca="1">IFERROR(__xludf.DUMMYFUNCTION("""COMPUTED_VALUE"""),"")</f>
        <v/>
      </c>
      <c r="E1467" t="str">
        <f ca="1">IFERROR(__xludf.DUMMYFUNCTION("""COMPUTED_VALUE"""),"")</f>
        <v/>
      </c>
      <c r="F1467" t="str">
        <f ca="1">IFERROR(__xludf.DUMMYFUNCTION("""COMPUTED_VALUE"""),"")</f>
        <v/>
      </c>
      <c r="G1467" t="str">
        <f ca="1">IFERROR(__xludf.DUMMYFUNCTION("""COMPUTED_VALUE"""),"")</f>
        <v/>
      </c>
      <c r="H1467" t="str">
        <f ca="1">IFERROR(__xludf.DUMMYFUNCTION("""COMPUTED_VALUE"""),"")</f>
        <v/>
      </c>
      <c r="I1467" t="str">
        <f ca="1">IFERROR(__xludf.DUMMYFUNCTION("""COMPUTED_VALUE"""),"")</f>
        <v/>
      </c>
      <c r="J1467" t="str">
        <f ca="1">IFERROR(__xludf.DUMMYFUNCTION("""COMPUTED_VALUE"""),"")</f>
        <v/>
      </c>
      <c r="K1467" t="str">
        <f ca="1">IFERROR(__xludf.DUMMYFUNCTION("""COMPUTED_VALUE"""),"")</f>
        <v/>
      </c>
      <c r="L1467" t="str">
        <f ca="1">IFERROR(__xludf.DUMMYFUNCTION("""COMPUTED_VALUE"""),"")</f>
        <v/>
      </c>
      <c r="M1467" t="str">
        <f ca="1">IFERROR(__xludf.DUMMYFUNCTION("""COMPUTED_VALUE"""),"")</f>
        <v/>
      </c>
      <c r="N1467" t="str">
        <f ca="1">IFERROR(__xludf.DUMMYFUNCTION("""COMPUTED_VALUE"""),"")</f>
        <v/>
      </c>
      <c r="O1467" t="str">
        <f ca="1">IFERROR(__xludf.DUMMYFUNCTION("""COMPUTED_VALUE"""),"")</f>
        <v/>
      </c>
      <c r="P1467" t="str">
        <f ca="1">IFERROR(__xludf.DUMMYFUNCTION("""COMPUTED_VALUE"""),"")</f>
        <v/>
      </c>
      <c r="Q1467" s="5" t="str">
        <f ca="1">IFERROR(__xludf.DUMMYFUNCTION("""COMPUTED_VALUE"""),"")</f>
        <v/>
      </c>
      <c r="R1467" s="6" t="str">
        <f ca="1">IFERROR(__xludf.DUMMYFUNCTION("""COMPUTED_VALUE"""),"")</f>
        <v/>
      </c>
      <c r="S1467" t="str">
        <f ca="1">IFERROR(__xludf.DUMMYFUNCTION("""COMPUTED_VALUE"""),"")</f>
        <v/>
      </c>
      <c r="T1467" t="str">
        <f ca="1">IFERROR(__xludf.DUMMYFUNCTION("""COMPUTED_VALUE"""),"")</f>
        <v/>
      </c>
      <c r="U1467" t="str">
        <f ca="1">IFERROR(__xludf.DUMMYFUNCTION("""COMPUTED_VALUE"""),"")</f>
        <v/>
      </c>
      <c r="V1467" t="str">
        <f ca="1">IFERROR(__xludf.DUMMYFUNCTION("""COMPUTED_VALUE"""),"")</f>
        <v/>
      </c>
      <c r="W1467" t="str">
        <f ca="1">IFERROR(__xludf.DUMMYFUNCTION("""COMPUTED_VALUE"""),"")</f>
        <v/>
      </c>
      <c r="X1467" t="str">
        <f ca="1">IFERROR(__xludf.DUMMYFUNCTION("""COMPUTED_VALUE"""),"")</f>
        <v/>
      </c>
      <c r="Y1467" t="str">
        <f ca="1">IFERROR(__xludf.DUMMYFUNCTION("""COMPUTED_VALUE"""),"")</f>
        <v/>
      </c>
      <c r="Z1467" t="str">
        <f ca="1">IFERROR(__xludf.DUMMYFUNCTION("""COMPUTED_VALUE"""),"")</f>
        <v/>
      </c>
      <c r="AA1467" t="str">
        <f ca="1">IFERROR(__xludf.DUMMYFUNCTION("""COMPUTED_VALUE"""),"")</f>
        <v/>
      </c>
      <c r="AB1467" s="8" t="str">
        <f ca="1">IFERROR(__xludf.DUMMYFUNCTION("""COMPUTED_VALUE"""),"")</f>
        <v/>
      </c>
      <c r="AC1467" s="8" t="str">
        <f ca="1">IFERROR(__xludf.DUMMYFUNCTION("""COMPUTED_VALUE"""),"")</f>
        <v/>
      </c>
      <c r="AD1467" s="11" t="str">
        <f ca="1">IFERROR(__xludf.DUMMYFUNCTION("""COMPUTED_VALUE"""),"")</f>
        <v/>
      </c>
      <c r="AE1467" t="str">
        <f ca="1">IFERROR(__xludf.DUMMYFUNCTION("""COMPUTED_VALUE"""),"")</f>
        <v/>
      </c>
    </row>
    <row r="1468" spans="1:31" ht="12.75" x14ac:dyDescent="0.2">
      <c r="A1468" t="str">
        <f ca="1">IFERROR(__xludf.DUMMYFUNCTION("""COMPUTED_VALUE"""),"")</f>
        <v/>
      </c>
      <c r="B1468" t="str">
        <f ca="1">IFERROR(__xludf.DUMMYFUNCTION("""COMPUTED_VALUE"""),"")</f>
        <v/>
      </c>
      <c r="C1468" t="str">
        <f ca="1">IFERROR(__xludf.DUMMYFUNCTION("""COMPUTED_VALUE"""),"")</f>
        <v/>
      </c>
      <c r="D1468" t="str">
        <f ca="1">IFERROR(__xludf.DUMMYFUNCTION("""COMPUTED_VALUE"""),"")</f>
        <v/>
      </c>
      <c r="E1468" t="str">
        <f ca="1">IFERROR(__xludf.DUMMYFUNCTION("""COMPUTED_VALUE"""),"")</f>
        <v/>
      </c>
      <c r="F1468" t="str">
        <f ca="1">IFERROR(__xludf.DUMMYFUNCTION("""COMPUTED_VALUE"""),"")</f>
        <v/>
      </c>
      <c r="G1468" t="str">
        <f ca="1">IFERROR(__xludf.DUMMYFUNCTION("""COMPUTED_VALUE"""),"")</f>
        <v/>
      </c>
      <c r="H1468" t="str">
        <f ca="1">IFERROR(__xludf.DUMMYFUNCTION("""COMPUTED_VALUE"""),"")</f>
        <v/>
      </c>
      <c r="I1468" t="str">
        <f ca="1">IFERROR(__xludf.DUMMYFUNCTION("""COMPUTED_VALUE"""),"")</f>
        <v/>
      </c>
      <c r="J1468" t="str">
        <f ca="1">IFERROR(__xludf.DUMMYFUNCTION("""COMPUTED_VALUE"""),"")</f>
        <v/>
      </c>
      <c r="K1468" t="str">
        <f ca="1">IFERROR(__xludf.DUMMYFUNCTION("""COMPUTED_VALUE"""),"")</f>
        <v/>
      </c>
      <c r="L1468" t="str">
        <f ca="1">IFERROR(__xludf.DUMMYFUNCTION("""COMPUTED_VALUE"""),"")</f>
        <v/>
      </c>
      <c r="M1468" t="str">
        <f ca="1">IFERROR(__xludf.DUMMYFUNCTION("""COMPUTED_VALUE"""),"")</f>
        <v/>
      </c>
      <c r="N1468" t="str">
        <f ca="1">IFERROR(__xludf.DUMMYFUNCTION("""COMPUTED_VALUE"""),"")</f>
        <v/>
      </c>
      <c r="O1468" t="str">
        <f ca="1">IFERROR(__xludf.DUMMYFUNCTION("""COMPUTED_VALUE"""),"")</f>
        <v/>
      </c>
      <c r="P1468" t="str">
        <f ca="1">IFERROR(__xludf.DUMMYFUNCTION("""COMPUTED_VALUE"""),"")</f>
        <v/>
      </c>
      <c r="Q1468" s="5" t="str">
        <f ca="1">IFERROR(__xludf.DUMMYFUNCTION("""COMPUTED_VALUE"""),"")</f>
        <v/>
      </c>
      <c r="R1468" s="6" t="str">
        <f ca="1">IFERROR(__xludf.DUMMYFUNCTION("""COMPUTED_VALUE"""),"")</f>
        <v/>
      </c>
      <c r="S1468" t="str">
        <f ca="1">IFERROR(__xludf.DUMMYFUNCTION("""COMPUTED_VALUE"""),"")</f>
        <v/>
      </c>
      <c r="T1468" t="str">
        <f ca="1">IFERROR(__xludf.DUMMYFUNCTION("""COMPUTED_VALUE"""),"")</f>
        <v/>
      </c>
      <c r="U1468" t="str">
        <f ca="1">IFERROR(__xludf.DUMMYFUNCTION("""COMPUTED_VALUE"""),"")</f>
        <v/>
      </c>
      <c r="V1468" t="str">
        <f ca="1">IFERROR(__xludf.DUMMYFUNCTION("""COMPUTED_VALUE"""),"")</f>
        <v/>
      </c>
      <c r="W1468" t="str">
        <f ca="1">IFERROR(__xludf.DUMMYFUNCTION("""COMPUTED_VALUE"""),"")</f>
        <v/>
      </c>
      <c r="X1468" t="str">
        <f ca="1">IFERROR(__xludf.DUMMYFUNCTION("""COMPUTED_VALUE"""),"")</f>
        <v/>
      </c>
      <c r="Y1468" t="str">
        <f ca="1">IFERROR(__xludf.DUMMYFUNCTION("""COMPUTED_VALUE"""),"")</f>
        <v/>
      </c>
      <c r="Z1468" t="str">
        <f ca="1">IFERROR(__xludf.DUMMYFUNCTION("""COMPUTED_VALUE"""),"")</f>
        <v/>
      </c>
      <c r="AA1468" t="str">
        <f ca="1">IFERROR(__xludf.DUMMYFUNCTION("""COMPUTED_VALUE"""),"")</f>
        <v/>
      </c>
      <c r="AB1468" s="8" t="str">
        <f ca="1">IFERROR(__xludf.DUMMYFUNCTION("""COMPUTED_VALUE"""),"")</f>
        <v/>
      </c>
      <c r="AC1468" s="8" t="str">
        <f ca="1">IFERROR(__xludf.DUMMYFUNCTION("""COMPUTED_VALUE"""),"")</f>
        <v/>
      </c>
      <c r="AD1468" s="11" t="str">
        <f ca="1">IFERROR(__xludf.DUMMYFUNCTION("""COMPUTED_VALUE"""),"")</f>
        <v/>
      </c>
      <c r="AE1468" t="str">
        <f ca="1">IFERROR(__xludf.DUMMYFUNCTION("""COMPUTED_VALUE"""),"")</f>
        <v/>
      </c>
    </row>
    <row r="1469" spans="1:31" ht="12.75" x14ac:dyDescent="0.2">
      <c r="A1469" t="str">
        <f ca="1">IFERROR(__xludf.DUMMYFUNCTION("""COMPUTED_VALUE"""),"")</f>
        <v/>
      </c>
      <c r="B1469" t="str">
        <f ca="1">IFERROR(__xludf.DUMMYFUNCTION("""COMPUTED_VALUE"""),"")</f>
        <v/>
      </c>
      <c r="C1469" t="str">
        <f ca="1">IFERROR(__xludf.DUMMYFUNCTION("""COMPUTED_VALUE"""),"")</f>
        <v/>
      </c>
      <c r="D1469" t="str">
        <f ca="1">IFERROR(__xludf.DUMMYFUNCTION("""COMPUTED_VALUE"""),"")</f>
        <v/>
      </c>
      <c r="E1469" t="str">
        <f ca="1">IFERROR(__xludf.DUMMYFUNCTION("""COMPUTED_VALUE"""),"")</f>
        <v/>
      </c>
      <c r="F1469" t="str">
        <f ca="1">IFERROR(__xludf.DUMMYFUNCTION("""COMPUTED_VALUE"""),"")</f>
        <v/>
      </c>
      <c r="G1469" t="str">
        <f ca="1">IFERROR(__xludf.DUMMYFUNCTION("""COMPUTED_VALUE"""),"")</f>
        <v/>
      </c>
      <c r="H1469" t="str">
        <f ca="1">IFERROR(__xludf.DUMMYFUNCTION("""COMPUTED_VALUE"""),"")</f>
        <v/>
      </c>
      <c r="I1469" t="str">
        <f ca="1">IFERROR(__xludf.DUMMYFUNCTION("""COMPUTED_VALUE"""),"")</f>
        <v/>
      </c>
      <c r="J1469" t="str">
        <f ca="1">IFERROR(__xludf.DUMMYFUNCTION("""COMPUTED_VALUE"""),"")</f>
        <v/>
      </c>
      <c r="K1469" t="str">
        <f ca="1">IFERROR(__xludf.DUMMYFUNCTION("""COMPUTED_VALUE"""),"")</f>
        <v/>
      </c>
      <c r="L1469" t="str">
        <f ca="1">IFERROR(__xludf.DUMMYFUNCTION("""COMPUTED_VALUE"""),"")</f>
        <v/>
      </c>
      <c r="M1469" t="str">
        <f ca="1">IFERROR(__xludf.DUMMYFUNCTION("""COMPUTED_VALUE"""),"")</f>
        <v/>
      </c>
      <c r="N1469" t="str">
        <f ca="1">IFERROR(__xludf.DUMMYFUNCTION("""COMPUTED_VALUE"""),"")</f>
        <v/>
      </c>
      <c r="O1469" t="str">
        <f ca="1">IFERROR(__xludf.DUMMYFUNCTION("""COMPUTED_VALUE"""),"")</f>
        <v/>
      </c>
      <c r="P1469" t="str">
        <f ca="1">IFERROR(__xludf.DUMMYFUNCTION("""COMPUTED_VALUE"""),"")</f>
        <v/>
      </c>
      <c r="Q1469" s="5" t="str">
        <f ca="1">IFERROR(__xludf.DUMMYFUNCTION("""COMPUTED_VALUE"""),"")</f>
        <v/>
      </c>
      <c r="R1469" s="6" t="str">
        <f ca="1">IFERROR(__xludf.DUMMYFUNCTION("""COMPUTED_VALUE"""),"")</f>
        <v/>
      </c>
      <c r="S1469" t="str">
        <f ca="1">IFERROR(__xludf.DUMMYFUNCTION("""COMPUTED_VALUE"""),"")</f>
        <v/>
      </c>
      <c r="T1469" t="str">
        <f ca="1">IFERROR(__xludf.DUMMYFUNCTION("""COMPUTED_VALUE"""),"")</f>
        <v/>
      </c>
      <c r="U1469" t="str">
        <f ca="1">IFERROR(__xludf.DUMMYFUNCTION("""COMPUTED_VALUE"""),"")</f>
        <v/>
      </c>
      <c r="V1469" t="str">
        <f ca="1">IFERROR(__xludf.DUMMYFUNCTION("""COMPUTED_VALUE"""),"")</f>
        <v/>
      </c>
      <c r="W1469" t="str">
        <f ca="1">IFERROR(__xludf.DUMMYFUNCTION("""COMPUTED_VALUE"""),"")</f>
        <v/>
      </c>
      <c r="X1469" t="str">
        <f ca="1">IFERROR(__xludf.DUMMYFUNCTION("""COMPUTED_VALUE"""),"")</f>
        <v/>
      </c>
      <c r="Y1469" t="str">
        <f ca="1">IFERROR(__xludf.DUMMYFUNCTION("""COMPUTED_VALUE"""),"")</f>
        <v/>
      </c>
      <c r="Z1469" t="str">
        <f ca="1">IFERROR(__xludf.DUMMYFUNCTION("""COMPUTED_VALUE"""),"")</f>
        <v/>
      </c>
      <c r="AA1469" t="str">
        <f ca="1">IFERROR(__xludf.DUMMYFUNCTION("""COMPUTED_VALUE"""),"")</f>
        <v/>
      </c>
      <c r="AB1469" s="8" t="str">
        <f ca="1">IFERROR(__xludf.DUMMYFUNCTION("""COMPUTED_VALUE"""),"")</f>
        <v/>
      </c>
      <c r="AC1469" s="8" t="str">
        <f ca="1">IFERROR(__xludf.DUMMYFUNCTION("""COMPUTED_VALUE"""),"")</f>
        <v/>
      </c>
      <c r="AD1469" s="11" t="str">
        <f ca="1">IFERROR(__xludf.DUMMYFUNCTION("""COMPUTED_VALUE"""),"")</f>
        <v/>
      </c>
      <c r="AE1469" t="str">
        <f ca="1">IFERROR(__xludf.DUMMYFUNCTION("""COMPUTED_VALUE"""),"")</f>
        <v/>
      </c>
    </row>
    <row r="1470" spans="1:31" ht="12.75" x14ac:dyDescent="0.2">
      <c r="A1470" t="str">
        <f ca="1">IFERROR(__xludf.DUMMYFUNCTION("""COMPUTED_VALUE"""),"")</f>
        <v/>
      </c>
      <c r="B1470" t="str">
        <f ca="1">IFERROR(__xludf.DUMMYFUNCTION("""COMPUTED_VALUE"""),"")</f>
        <v/>
      </c>
      <c r="C1470" t="str">
        <f ca="1">IFERROR(__xludf.DUMMYFUNCTION("""COMPUTED_VALUE"""),"")</f>
        <v/>
      </c>
      <c r="D1470" t="str">
        <f ca="1">IFERROR(__xludf.DUMMYFUNCTION("""COMPUTED_VALUE"""),"")</f>
        <v/>
      </c>
      <c r="E1470" t="str">
        <f ca="1">IFERROR(__xludf.DUMMYFUNCTION("""COMPUTED_VALUE"""),"")</f>
        <v/>
      </c>
      <c r="F1470" t="str">
        <f ca="1">IFERROR(__xludf.DUMMYFUNCTION("""COMPUTED_VALUE"""),"")</f>
        <v/>
      </c>
      <c r="G1470" t="str">
        <f ca="1">IFERROR(__xludf.DUMMYFUNCTION("""COMPUTED_VALUE"""),"")</f>
        <v/>
      </c>
      <c r="H1470" t="str">
        <f ca="1">IFERROR(__xludf.DUMMYFUNCTION("""COMPUTED_VALUE"""),"")</f>
        <v/>
      </c>
      <c r="I1470" t="str">
        <f ca="1">IFERROR(__xludf.DUMMYFUNCTION("""COMPUTED_VALUE"""),"")</f>
        <v/>
      </c>
      <c r="J1470" t="str">
        <f ca="1">IFERROR(__xludf.DUMMYFUNCTION("""COMPUTED_VALUE"""),"")</f>
        <v/>
      </c>
      <c r="K1470" t="str">
        <f ca="1">IFERROR(__xludf.DUMMYFUNCTION("""COMPUTED_VALUE"""),"")</f>
        <v/>
      </c>
      <c r="L1470" t="str">
        <f ca="1">IFERROR(__xludf.DUMMYFUNCTION("""COMPUTED_VALUE"""),"")</f>
        <v/>
      </c>
      <c r="M1470" t="str">
        <f ca="1">IFERROR(__xludf.DUMMYFUNCTION("""COMPUTED_VALUE"""),"")</f>
        <v/>
      </c>
      <c r="N1470" t="str">
        <f ca="1">IFERROR(__xludf.DUMMYFUNCTION("""COMPUTED_VALUE"""),"")</f>
        <v/>
      </c>
      <c r="O1470" t="str">
        <f ca="1">IFERROR(__xludf.DUMMYFUNCTION("""COMPUTED_VALUE"""),"")</f>
        <v/>
      </c>
      <c r="P1470" t="str">
        <f ca="1">IFERROR(__xludf.DUMMYFUNCTION("""COMPUTED_VALUE"""),"")</f>
        <v/>
      </c>
      <c r="Q1470" s="5" t="str">
        <f ca="1">IFERROR(__xludf.DUMMYFUNCTION("""COMPUTED_VALUE"""),"")</f>
        <v/>
      </c>
      <c r="R1470" s="6" t="str">
        <f ca="1">IFERROR(__xludf.DUMMYFUNCTION("""COMPUTED_VALUE"""),"")</f>
        <v/>
      </c>
      <c r="S1470" t="str">
        <f ca="1">IFERROR(__xludf.DUMMYFUNCTION("""COMPUTED_VALUE"""),"")</f>
        <v/>
      </c>
      <c r="T1470" t="str">
        <f ca="1">IFERROR(__xludf.DUMMYFUNCTION("""COMPUTED_VALUE"""),"")</f>
        <v/>
      </c>
      <c r="U1470" t="str">
        <f ca="1">IFERROR(__xludf.DUMMYFUNCTION("""COMPUTED_VALUE"""),"")</f>
        <v/>
      </c>
      <c r="V1470" t="str">
        <f ca="1">IFERROR(__xludf.DUMMYFUNCTION("""COMPUTED_VALUE"""),"")</f>
        <v/>
      </c>
      <c r="W1470" t="str">
        <f ca="1">IFERROR(__xludf.DUMMYFUNCTION("""COMPUTED_VALUE"""),"")</f>
        <v/>
      </c>
      <c r="X1470" t="str">
        <f ca="1">IFERROR(__xludf.DUMMYFUNCTION("""COMPUTED_VALUE"""),"")</f>
        <v/>
      </c>
      <c r="Y1470" t="str">
        <f ca="1">IFERROR(__xludf.DUMMYFUNCTION("""COMPUTED_VALUE"""),"")</f>
        <v/>
      </c>
      <c r="Z1470" t="str">
        <f ca="1">IFERROR(__xludf.DUMMYFUNCTION("""COMPUTED_VALUE"""),"")</f>
        <v/>
      </c>
      <c r="AA1470" t="str">
        <f ca="1">IFERROR(__xludf.DUMMYFUNCTION("""COMPUTED_VALUE"""),"")</f>
        <v/>
      </c>
      <c r="AB1470" s="8" t="str">
        <f ca="1">IFERROR(__xludf.DUMMYFUNCTION("""COMPUTED_VALUE"""),"")</f>
        <v/>
      </c>
      <c r="AC1470" s="8" t="str">
        <f ca="1">IFERROR(__xludf.DUMMYFUNCTION("""COMPUTED_VALUE"""),"")</f>
        <v/>
      </c>
      <c r="AD1470" s="11" t="str">
        <f ca="1">IFERROR(__xludf.DUMMYFUNCTION("""COMPUTED_VALUE"""),"")</f>
        <v/>
      </c>
      <c r="AE1470" t="str">
        <f ca="1">IFERROR(__xludf.DUMMYFUNCTION("""COMPUTED_VALUE"""),"")</f>
        <v/>
      </c>
    </row>
    <row r="1471" spans="1:31" ht="12.75" x14ac:dyDescent="0.2">
      <c r="A1471" t="str">
        <f ca="1">IFERROR(__xludf.DUMMYFUNCTION("""COMPUTED_VALUE"""),"")</f>
        <v/>
      </c>
      <c r="B1471" t="str">
        <f ca="1">IFERROR(__xludf.DUMMYFUNCTION("""COMPUTED_VALUE"""),"")</f>
        <v/>
      </c>
      <c r="C1471" t="str">
        <f ca="1">IFERROR(__xludf.DUMMYFUNCTION("""COMPUTED_VALUE"""),"")</f>
        <v/>
      </c>
      <c r="D1471" t="str">
        <f ca="1">IFERROR(__xludf.DUMMYFUNCTION("""COMPUTED_VALUE"""),"")</f>
        <v/>
      </c>
      <c r="E1471" t="str">
        <f ca="1">IFERROR(__xludf.DUMMYFUNCTION("""COMPUTED_VALUE"""),"")</f>
        <v/>
      </c>
      <c r="F1471" t="str">
        <f ca="1">IFERROR(__xludf.DUMMYFUNCTION("""COMPUTED_VALUE"""),"")</f>
        <v/>
      </c>
      <c r="G1471" t="str">
        <f ca="1">IFERROR(__xludf.DUMMYFUNCTION("""COMPUTED_VALUE"""),"")</f>
        <v/>
      </c>
      <c r="H1471" t="str">
        <f ca="1">IFERROR(__xludf.DUMMYFUNCTION("""COMPUTED_VALUE"""),"")</f>
        <v/>
      </c>
      <c r="I1471" t="str">
        <f ca="1">IFERROR(__xludf.DUMMYFUNCTION("""COMPUTED_VALUE"""),"")</f>
        <v/>
      </c>
      <c r="J1471" t="str">
        <f ca="1">IFERROR(__xludf.DUMMYFUNCTION("""COMPUTED_VALUE"""),"")</f>
        <v/>
      </c>
      <c r="K1471" t="str">
        <f ca="1">IFERROR(__xludf.DUMMYFUNCTION("""COMPUTED_VALUE"""),"")</f>
        <v/>
      </c>
      <c r="L1471" t="str">
        <f ca="1">IFERROR(__xludf.DUMMYFUNCTION("""COMPUTED_VALUE"""),"")</f>
        <v/>
      </c>
      <c r="M1471" t="str">
        <f ca="1">IFERROR(__xludf.DUMMYFUNCTION("""COMPUTED_VALUE"""),"")</f>
        <v/>
      </c>
      <c r="N1471" t="str">
        <f ca="1">IFERROR(__xludf.DUMMYFUNCTION("""COMPUTED_VALUE"""),"")</f>
        <v/>
      </c>
      <c r="O1471" t="str">
        <f ca="1">IFERROR(__xludf.DUMMYFUNCTION("""COMPUTED_VALUE"""),"")</f>
        <v/>
      </c>
      <c r="P1471" t="str">
        <f ca="1">IFERROR(__xludf.DUMMYFUNCTION("""COMPUTED_VALUE"""),"")</f>
        <v/>
      </c>
      <c r="Q1471" s="5" t="str">
        <f ca="1">IFERROR(__xludf.DUMMYFUNCTION("""COMPUTED_VALUE"""),"")</f>
        <v/>
      </c>
      <c r="R1471" s="6" t="str">
        <f ca="1">IFERROR(__xludf.DUMMYFUNCTION("""COMPUTED_VALUE"""),"")</f>
        <v/>
      </c>
      <c r="S1471" t="str">
        <f ca="1">IFERROR(__xludf.DUMMYFUNCTION("""COMPUTED_VALUE"""),"")</f>
        <v/>
      </c>
      <c r="T1471" t="str">
        <f ca="1">IFERROR(__xludf.DUMMYFUNCTION("""COMPUTED_VALUE"""),"")</f>
        <v/>
      </c>
      <c r="U1471" t="str">
        <f ca="1">IFERROR(__xludf.DUMMYFUNCTION("""COMPUTED_VALUE"""),"")</f>
        <v/>
      </c>
      <c r="V1471" t="str">
        <f ca="1">IFERROR(__xludf.DUMMYFUNCTION("""COMPUTED_VALUE"""),"")</f>
        <v/>
      </c>
      <c r="W1471" t="str">
        <f ca="1">IFERROR(__xludf.DUMMYFUNCTION("""COMPUTED_VALUE"""),"")</f>
        <v/>
      </c>
      <c r="X1471" t="str">
        <f ca="1">IFERROR(__xludf.DUMMYFUNCTION("""COMPUTED_VALUE"""),"")</f>
        <v/>
      </c>
      <c r="Y1471" t="str">
        <f ca="1">IFERROR(__xludf.DUMMYFUNCTION("""COMPUTED_VALUE"""),"")</f>
        <v/>
      </c>
      <c r="Z1471" t="str">
        <f ca="1">IFERROR(__xludf.DUMMYFUNCTION("""COMPUTED_VALUE"""),"")</f>
        <v/>
      </c>
      <c r="AA1471" t="str">
        <f ca="1">IFERROR(__xludf.DUMMYFUNCTION("""COMPUTED_VALUE"""),"")</f>
        <v/>
      </c>
      <c r="AB1471" s="8" t="str">
        <f ca="1">IFERROR(__xludf.DUMMYFUNCTION("""COMPUTED_VALUE"""),"")</f>
        <v/>
      </c>
      <c r="AC1471" s="8" t="str">
        <f ca="1">IFERROR(__xludf.DUMMYFUNCTION("""COMPUTED_VALUE"""),"")</f>
        <v/>
      </c>
      <c r="AD1471" s="11" t="str">
        <f ca="1">IFERROR(__xludf.DUMMYFUNCTION("""COMPUTED_VALUE"""),"")</f>
        <v/>
      </c>
      <c r="AE1471" t="str">
        <f ca="1">IFERROR(__xludf.DUMMYFUNCTION("""COMPUTED_VALUE"""),"")</f>
        <v/>
      </c>
    </row>
    <row r="1472" spans="1:31" ht="12.75" x14ac:dyDescent="0.2">
      <c r="A1472" t="str">
        <f ca="1">IFERROR(__xludf.DUMMYFUNCTION("""COMPUTED_VALUE"""),"")</f>
        <v/>
      </c>
      <c r="B1472" t="str">
        <f ca="1">IFERROR(__xludf.DUMMYFUNCTION("""COMPUTED_VALUE"""),"")</f>
        <v/>
      </c>
      <c r="C1472" t="str">
        <f ca="1">IFERROR(__xludf.DUMMYFUNCTION("""COMPUTED_VALUE"""),"")</f>
        <v/>
      </c>
      <c r="D1472" t="str">
        <f ca="1">IFERROR(__xludf.DUMMYFUNCTION("""COMPUTED_VALUE"""),"")</f>
        <v/>
      </c>
      <c r="E1472" t="str">
        <f ca="1">IFERROR(__xludf.DUMMYFUNCTION("""COMPUTED_VALUE"""),"")</f>
        <v/>
      </c>
      <c r="F1472" t="str">
        <f ca="1">IFERROR(__xludf.DUMMYFUNCTION("""COMPUTED_VALUE"""),"")</f>
        <v/>
      </c>
      <c r="G1472" t="str">
        <f ca="1">IFERROR(__xludf.DUMMYFUNCTION("""COMPUTED_VALUE"""),"")</f>
        <v/>
      </c>
      <c r="H1472" t="str">
        <f ca="1">IFERROR(__xludf.DUMMYFUNCTION("""COMPUTED_VALUE"""),"")</f>
        <v/>
      </c>
      <c r="I1472" t="str">
        <f ca="1">IFERROR(__xludf.DUMMYFUNCTION("""COMPUTED_VALUE"""),"")</f>
        <v/>
      </c>
      <c r="J1472" t="str">
        <f ca="1">IFERROR(__xludf.DUMMYFUNCTION("""COMPUTED_VALUE"""),"")</f>
        <v/>
      </c>
      <c r="K1472" t="str">
        <f ca="1">IFERROR(__xludf.DUMMYFUNCTION("""COMPUTED_VALUE"""),"")</f>
        <v/>
      </c>
      <c r="L1472" t="str">
        <f ca="1">IFERROR(__xludf.DUMMYFUNCTION("""COMPUTED_VALUE"""),"")</f>
        <v/>
      </c>
      <c r="M1472" t="str">
        <f ca="1">IFERROR(__xludf.DUMMYFUNCTION("""COMPUTED_VALUE"""),"")</f>
        <v/>
      </c>
      <c r="N1472" t="str">
        <f ca="1">IFERROR(__xludf.DUMMYFUNCTION("""COMPUTED_VALUE"""),"")</f>
        <v/>
      </c>
      <c r="O1472" t="str">
        <f ca="1">IFERROR(__xludf.DUMMYFUNCTION("""COMPUTED_VALUE"""),"")</f>
        <v/>
      </c>
      <c r="P1472" t="str">
        <f ca="1">IFERROR(__xludf.DUMMYFUNCTION("""COMPUTED_VALUE"""),"")</f>
        <v/>
      </c>
      <c r="Q1472" s="5" t="str">
        <f ca="1">IFERROR(__xludf.DUMMYFUNCTION("""COMPUTED_VALUE"""),"")</f>
        <v/>
      </c>
      <c r="R1472" s="6" t="str">
        <f ca="1">IFERROR(__xludf.DUMMYFUNCTION("""COMPUTED_VALUE"""),"")</f>
        <v/>
      </c>
      <c r="S1472" t="str">
        <f ca="1">IFERROR(__xludf.DUMMYFUNCTION("""COMPUTED_VALUE"""),"")</f>
        <v/>
      </c>
      <c r="T1472" t="str">
        <f ca="1">IFERROR(__xludf.DUMMYFUNCTION("""COMPUTED_VALUE"""),"")</f>
        <v/>
      </c>
      <c r="U1472" t="str">
        <f ca="1">IFERROR(__xludf.DUMMYFUNCTION("""COMPUTED_VALUE"""),"")</f>
        <v/>
      </c>
      <c r="V1472" t="str">
        <f ca="1">IFERROR(__xludf.DUMMYFUNCTION("""COMPUTED_VALUE"""),"")</f>
        <v/>
      </c>
      <c r="W1472" t="str">
        <f ca="1">IFERROR(__xludf.DUMMYFUNCTION("""COMPUTED_VALUE"""),"")</f>
        <v/>
      </c>
      <c r="X1472" t="str">
        <f ca="1">IFERROR(__xludf.DUMMYFUNCTION("""COMPUTED_VALUE"""),"")</f>
        <v/>
      </c>
      <c r="Y1472" t="str">
        <f ca="1">IFERROR(__xludf.DUMMYFUNCTION("""COMPUTED_VALUE"""),"")</f>
        <v/>
      </c>
      <c r="Z1472" t="str">
        <f ca="1">IFERROR(__xludf.DUMMYFUNCTION("""COMPUTED_VALUE"""),"")</f>
        <v/>
      </c>
      <c r="AA1472" t="str">
        <f ca="1">IFERROR(__xludf.DUMMYFUNCTION("""COMPUTED_VALUE"""),"")</f>
        <v/>
      </c>
      <c r="AB1472" s="8" t="str">
        <f ca="1">IFERROR(__xludf.DUMMYFUNCTION("""COMPUTED_VALUE"""),"")</f>
        <v/>
      </c>
      <c r="AC1472" s="8" t="str">
        <f ca="1">IFERROR(__xludf.DUMMYFUNCTION("""COMPUTED_VALUE"""),"")</f>
        <v/>
      </c>
      <c r="AD1472" s="11" t="str">
        <f ca="1">IFERROR(__xludf.DUMMYFUNCTION("""COMPUTED_VALUE"""),"")</f>
        <v/>
      </c>
      <c r="AE1472" t="str">
        <f ca="1">IFERROR(__xludf.DUMMYFUNCTION("""COMPUTED_VALUE"""),"")</f>
        <v/>
      </c>
    </row>
    <row r="1473" spans="1:31" ht="12.75" x14ac:dyDescent="0.2">
      <c r="A1473" t="str">
        <f ca="1">IFERROR(__xludf.DUMMYFUNCTION("""COMPUTED_VALUE"""),"")</f>
        <v/>
      </c>
      <c r="B1473" t="str">
        <f ca="1">IFERROR(__xludf.DUMMYFUNCTION("""COMPUTED_VALUE"""),"")</f>
        <v/>
      </c>
      <c r="C1473" t="str">
        <f ca="1">IFERROR(__xludf.DUMMYFUNCTION("""COMPUTED_VALUE"""),"")</f>
        <v/>
      </c>
      <c r="D1473" t="str">
        <f ca="1">IFERROR(__xludf.DUMMYFUNCTION("""COMPUTED_VALUE"""),"")</f>
        <v/>
      </c>
      <c r="E1473" t="str">
        <f ca="1">IFERROR(__xludf.DUMMYFUNCTION("""COMPUTED_VALUE"""),"")</f>
        <v/>
      </c>
      <c r="F1473" t="str">
        <f ca="1">IFERROR(__xludf.DUMMYFUNCTION("""COMPUTED_VALUE"""),"")</f>
        <v/>
      </c>
      <c r="G1473" t="str">
        <f ca="1">IFERROR(__xludf.DUMMYFUNCTION("""COMPUTED_VALUE"""),"")</f>
        <v/>
      </c>
      <c r="H1473" t="str">
        <f ca="1">IFERROR(__xludf.DUMMYFUNCTION("""COMPUTED_VALUE"""),"")</f>
        <v/>
      </c>
      <c r="I1473" t="str">
        <f ca="1">IFERROR(__xludf.DUMMYFUNCTION("""COMPUTED_VALUE"""),"")</f>
        <v/>
      </c>
      <c r="J1473" t="str">
        <f ca="1">IFERROR(__xludf.DUMMYFUNCTION("""COMPUTED_VALUE"""),"")</f>
        <v/>
      </c>
      <c r="K1473" t="str">
        <f ca="1">IFERROR(__xludf.DUMMYFUNCTION("""COMPUTED_VALUE"""),"")</f>
        <v/>
      </c>
      <c r="L1473" t="str">
        <f ca="1">IFERROR(__xludf.DUMMYFUNCTION("""COMPUTED_VALUE"""),"")</f>
        <v/>
      </c>
      <c r="M1473" t="str">
        <f ca="1">IFERROR(__xludf.DUMMYFUNCTION("""COMPUTED_VALUE"""),"")</f>
        <v/>
      </c>
      <c r="N1473" t="str">
        <f ca="1">IFERROR(__xludf.DUMMYFUNCTION("""COMPUTED_VALUE"""),"")</f>
        <v/>
      </c>
      <c r="O1473" t="str">
        <f ca="1">IFERROR(__xludf.DUMMYFUNCTION("""COMPUTED_VALUE"""),"")</f>
        <v/>
      </c>
      <c r="P1473" t="str">
        <f ca="1">IFERROR(__xludf.DUMMYFUNCTION("""COMPUTED_VALUE"""),"")</f>
        <v/>
      </c>
      <c r="Q1473" s="5" t="str">
        <f ca="1">IFERROR(__xludf.DUMMYFUNCTION("""COMPUTED_VALUE"""),"")</f>
        <v/>
      </c>
      <c r="R1473" s="6" t="str">
        <f ca="1">IFERROR(__xludf.DUMMYFUNCTION("""COMPUTED_VALUE"""),"")</f>
        <v/>
      </c>
      <c r="S1473" t="str">
        <f ca="1">IFERROR(__xludf.DUMMYFUNCTION("""COMPUTED_VALUE"""),"")</f>
        <v/>
      </c>
      <c r="T1473" t="str">
        <f ca="1">IFERROR(__xludf.DUMMYFUNCTION("""COMPUTED_VALUE"""),"")</f>
        <v/>
      </c>
      <c r="U1473" t="str">
        <f ca="1">IFERROR(__xludf.DUMMYFUNCTION("""COMPUTED_VALUE"""),"")</f>
        <v/>
      </c>
      <c r="V1473" t="str">
        <f ca="1">IFERROR(__xludf.DUMMYFUNCTION("""COMPUTED_VALUE"""),"")</f>
        <v/>
      </c>
      <c r="W1473" t="str">
        <f ca="1">IFERROR(__xludf.DUMMYFUNCTION("""COMPUTED_VALUE"""),"")</f>
        <v/>
      </c>
      <c r="X1473" t="str">
        <f ca="1">IFERROR(__xludf.DUMMYFUNCTION("""COMPUTED_VALUE"""),"")</f>
        <v/>
      </c>
      <c r="Y1473" t="str">
        <f ca="1">IFERROR(__xludf.DUMMYFUNCTION("""COMPUTED_VALUE"""),"")</f>
        <v/>
      </c>
      <c r="Z1473" t="str">
        <f ca="1">IFERROR(__xludf.DUMMYFUNCTION("""COMPUTED_VALUE"""),"")</f>
        <v/>
      </c>
      <c r="AA1473" t="str">
        <f ca="1">IFERROR(__xludf.DUMMYFUNCTION("""COMPUTED_VALUE"""),"")</f>
        <v/>
      </c>
      <c r="AB1473" s="8" t="str">
        <f ca="1">IFERROR(__xludf.DUMMYFUNCTION("""COMPUTED_VALUE"""),"")</f>
        <v/>
      </c>
      <c r="AC1473" s="8" t="str">
        <f ca="1">IFERROR(__xludf.DUMMYFUNCTION("""COMPUTED_VALUE"""),"")</f>
        <v/>
      </c>
      <c r="AD1473" s="11" t="str">
        <f ca="1">IFERROR(__xludf.DUMMYFUNCTION("""COMPUTED_VALUE"""),"")</f>
        <v/>
      </c>
      <c r="AE1473" t="str">
        <f ca="1">IFERROR(__xludf.DUMMYFUNCTION("""COMPUTED_VALUE"""),"")</f>
        <v/>
      </c>
    </row>
    <row r="1474" spans="1:31" ht="12.75" x14ac:dyDescent="0.2">
      <c r="A1474" t="str">
        <f ca="1">IFERROR(__xludf.DUMMYFUNCTION("""COMPUTED_VALUE"""),"")</f>
        <v/>
      </c>
      <c r="B1474" t="str">
        <f ca="1">IFERROR(__xludf.DUMMYFUNCTION("""COMPUTED_VALUE"""),"")</f>
        <v/>
      </c>
      <c r="C1474" t="str">
        <f ca="1">IFERROR(__xludf.DUMMYFUNCTION("""COMPUTED_VALUE"""),"")</f>
        <v/>
      </c>
      <c r="D1474" t="str">
        <f ca="1">IFERROR(__xludf.DUMMYFUNCTION("""COMPUTED_VALUE"""),"")</f>
        <v/>
      </c>
      <c r="E1474" t="str">
        <f ca="1">IFERROR(__xludf.DUMMYFUNCTION("""COMPUTED_VALUE"""),"")</f>
        <v/>
      </c>
      <c r="F1474" t="str">
        <f ca="1">IFERROR(__xludf.DUMMYFUNCTION("""COMPUTED_VALUE"""),"")</f>
        <v/>
      </c>
      <c r="G1474" t="str">
        <f ca="1">IFERROR(__xludf.DUMMYFUNCTION("""COMPUTED_VALUE"""),"")</f>
        <v/>
      </c>
      <c r="H1474" t="str">
        <f ca="1">IFERROR(__xludf.DUMMYFUNCTION("""COMPUTED_VALUE"""),"")</f>
        <v/>
      </c>
      <c r="I1474" t="str">
        <f ca="1">IFERROR(__xludf.DUMMYFUNCTION("""COMPUTED_VALUE"""),"")</f>
        <v/>
      </c>
      <c r="J1474" t="str">
        <f ca="1">IFERROR(__xludf.DUMMYFUNCTION("""COMPUTED_VALUE"""),"")</f>
        <v/>
      </c>
      <c r="K1474" t="str">
        <f ca="1">IFERROR(__xludf.DUMMYFUNCTION("""COMPUTED_VALUE"""),"")</f>
        <v/>
      </c>
      <c r="L1474" t="str">
        <f ca="1">IFERROR(__xludf.DUMMYFUNCTION("""COMPUTED_VALUE"""),"")</f>
        <v/>
      </c>
      <c r="M1474" t="str">
        <f ca="1">IFERROR(__xludf.DUMMYFUNCTION("""COMPUTED_VALUE"""),"")</f>
        <v/>
      </c>
      <c r="N1474" t="str">
        <f ca="1">IFERROR(__xludf.DUMMYFUNCTION("""COMPUTED_VALUE"""),"")</f>
        <v/>
      </c>
      <c r="O1474" t="str">
        <f ca="1">IFERROR(__xludf.DUMMYFUNCTION("""COMPUTED_VALUE"""),"")</f>
        <v/>
      </c>
      <c r="P1474" t="str">
        <f ca="1">IFERROR(__xludf.DUMMYFUNCTION("""COMPUTED_VALUE"""),"")</f>
        <v/>
      </c>
      <c r="Q1474" s="5" t="str">
        <f ca="1">IFERROR(__xludf.DUMMYFUNCTION("""COMPUTED_VALUE"""),"")</f>
        <v/>
      </c>
      <c r="R1474" s="6" t="str">
        <f ca="1">IFERROR(__xludf.DUMMYFUNCTION("""COMPUTED_VALUE"""),"")</f>
        <v/>
      </c>
      <c r="S1474" t="str">
        <f ca="1">IFERROR(__xludf.DUMMYFUNCTION("""COMPUTED_VALUE"""),"")</f>
        <v/>
      </c>
      <c r="T1474" t="str">
        <f ca="1">IFERROR(__xludf.DUMMYFUNCTION("""COMPUTED_VALUE"""),"")</f>
        <v/>
      </c>
      <c r="U1474" t="str">
        <f ca="1">IFERROR(__xludf.DUMMYFUNCTION("""COMPUTED_VALUE"""),"")</f>
        <v/>
      </c>
      <c r="V1474" t="str">
        <f ca="1">IFERROR(__xludf.DUMMYFUNCTION("""COMPUTED_VALUE"""),"")</f>
        <v/>
      </c>
      <c r="W1474" t="str">
        <f ca="1">IFERROR(__xludf.DUMMYFUNCTION("""COMPUTED_VALUE"""),"")</f>
        <v/>
      </c>
      <c r="X1474" t="str">
        <f ca="1">IFERROR(__xludf.DUMMYFUNCTION("""COMPUTED_VALUE"""),"")</f>
        <v/>
      </c>
      <c r="Y1474" t="str">
        <f ca="1">IFERROR(__xludf.DUMMYFUNCTION("""COMPUTED_VALUE"""),"")</f>
        <v/>
      </c>
      <c r="Z1474" t="str">
        <f ca="1">IFERROR(__xludf.DUMMYFUNCTION("""COMPUTED_VALUE"""),"")</f>
        <v/>
      </c>
      <c r="AA1474" t="str">
        <f ca="1">IFERROR(__xludf.DUMMYFUNCTION("""COMPUTED_VALUE"""),"")</f>
        <v/>
      </c>
      <c r="AB1474" s="8" t="str">
        <f ca="1">IFERROR(__xludf.DUMMYFUNCTION("""COMPUTED_VALUE"""),"")</f>
        <v/>
      </c>
      <c r="AC1474" s="8" t="str">
        <f ca="1">IFERROR(__xludf.DUMMYFUNCTION("""COMPUTED_VALUE"""),"")</f>
        <v/>
      </c>
      <c r="AD1474" s="11" t="str">
        <f ca="1">IFERROR(__xludf.DUMMYFUNCTION("""COMPUTED_VALUE"""),"")</f>
        <v/>
      </c>
      <c r="AE1474" t="str">
        <f ca="1">IFERROR(__xludf.DUMMYFUNCTION("""COMPUTED_VALUE"""),"")</f>
        <v/>
      </c>
    </row>
    <row r="1475" spans="1:31" ht="12.75" x14ac:dyDescent="0.2">
      <c r="A1475" t="str">
        <f ca="1">IFERROR(__xludf.DUMMYFUNCTION("""COMPUTED_VALUE"""),"")</f>
        <v/>
      </c>
      <c r="B1475" t="str">
        <f ca="1">IFERROR(__xludf.DUMMYFUNCTION("""COMPUTED_VALUE"""),"")</f>
        <v/>
      </c>
      <c r="C1475" t="str">
        <f ca="1">IFERROR(__xludf.DUMMYFUNCTION("""COMPUTED_VALUE"""),"")</f>
        <v/>
      </c>
      <c r="D1475" t="str">
        <f ca="1">IFERROR(__xludf.DUMMYFUNCTION("""COMPUTED_VALUE"""),"")</f>
        <v/>
      </c>
      <c r="E1475" t="str">
        <f ca="1">IFERROR(__xludf.DUMMYFUNCTION("""COMPUTED_VALUE"""),"")</f>
        <v/>
      </c>
      <c r="F1475" t="str">
        <f ca="1">IFERROR(__xludf.DUMMYFUNCTION("""COMPUTED_VALUE"""),"")</f>
        <v/>
      </c>
      <c r="G1475" t="str">
        <f ca="1">IFERROR(__xludf.DUMMYFUNCTION("""COMPUTED_VALUE"""),"")</f>
        <v/>
      </c>
      <c r="H1475" t="str">
        <f ca="1">IFERROR(__xludf.DUMMYFUNCTION("""COMPUTED_VALUE"""),"")</f>
        <v/>
      </c>
      <c r="I1475" t="str">
        <f ca="1">IFERROR(__xludf.DUMMYFUNCTION("""COMPUTED_VALUE"""),"")</f>
        <v/>
      </c>
      <c r="J1475" t="str">
        <f ca="1">IFERROR(__xludf.DUMMYFUNCTION("""COMPUTED_VALUE"""),"")</f>
        <v/>
      </c>
      <c r="K1475" t="str">
        <f ca="1">IFERROR(__xludf.DUMMYFUNCTION("""COMPUTED_VALUE"""),"")</f>
        <v/>
      </c>
      <c r="L1475" t="str">
        <f ca="1">IFERROR(__xludf.DUMMYFUNCTION("""COMPUTED_VALUE"""),"")</f>
        <v/>
      </c>
      <c r="M1475" t="str">
        <f ca="1">IFERROR(__xludf.DUMMYFUNCTION("""COMPUTED_VALUE"""),"")</f>
        <v/>
      </c>
      <c r="N1475" t="str">
        <f ca="1">IFERROR(__xludf.DUMMYFUNCTION("""COMPUTED_VALUE"""),"")</f>
        <v/>
      </c>
      <c r="O1475" t="str">
        <f ca="1">IFERROR(__xludf.DUMMYFUNCTION("""COMPUTED_VALUE"""),"")</f>
        <v/>
      </c>
      <c r="P1475" t="str">
        <f ca="1">IFERROR(__xludf.DUMMYFUNCTION("""COMPUTED_VALUE"""),"")</f>
        <v/>
      </c>
      <c r="Q1475" s="5" t="str">
        <f ca="1">IFERROR(__xludf.DUMMYFUNCTION("""COMPUTED_VALUE"""),"")</f>
        <v/>
      </c>
      <c r="R1475" s="6" t="str">
        <f ca="1">IFERROR(__xludf.DUMMYFUNCTION("""COMPUTED_VALUE"""),"")</f>
        <v/>
      </c>
      <c r="S1475" t="str">
        <f ca="1">IFERROR(__xludf.DUMMYFUNCTION("""COMPUTED_VALUE"""),"")</f>
        <v/>
      </c>
      <c r="T1475" t="str">
        <f ca="1">IFERROR(__xludf.DUMMYFUNCTION("""COMPUTED_VALUE"""),"")</f>
        <v/>
      </c>
      <c r="U1475" t="str">
        <f ca="1">IFERROR(__xludf.DUMMYFUNCTION("""COMPUTED_VALUE"""),"")</f>
        <v/>
      </c>
      <c r="V1475" t="str">
        <f ca="1">IFERROR(__xludf.DUMMYFUNCTION("""COMPUTED_VALUE"""),"")</f>
        <v/>
      </c>
      <c r="W1475" t="str">
        <f ca="1">IFERROR(__xludf.DUMMYFUNCTION("""COMPUTED_VALUE"""),"")</f>
        <v/>
      </c>
      <c r="X1475" t="str">
        <f ca="1">IFERROR(__xludf.DUMMYFUNCTION("""COMPUTED_VALUE"""),"")</f>
        <v/>
      </c>
      <c r="Y1475" t="str">
        <f ca="1">IFERROR(__xludf.DUMMYFUNCTION("""COMPUTED_VALUE"""),"")</f>
        <v/>
      </c>
      <c r="Z1475" t="str">
        <f ca="1">IFERROR(__xludf.DUMMYFUNCTION("""COMPUTED_VALUE"""),"")</f>
        <v/>
      </c>
      <c r="AA1475" t="str">
        <f ca="1">IFERROR(__xludf.DUMMYFUNCTION("""COMPUTED_VALUE"""),"")</f>
        <v/>
      </c>
      <c r="AB1475" s="8" t="str">
        <f ca="1">IFERROR(__xludf.DUMMYFUNCTION("""COMPUTED_VALUE"""),"")</f>
        <v/>
      </c>
      <c r="AC1475" s="8" t="str">
        <f ca="1">IFERROR(__xludf.DUMMYFUNCTION("""COMPUTED_VALUE"""),"")</f>
        <v/>
      </c>
      <c r="AD1475" s="11" t="str">
        <f ca="1">IFERROR(__xludf.DUMMYFUNCTION("""COMPUTED_VALUE"""),"")</f>
        <v/>
      </c>
      <c r="AE1475" t="str">
        <f ca="1">IFERROR(__xludf.DUMMYFUNCTION("""COMPUTED_VALUE"""),"")</f>
        <v/>
      </c>
    </row>
    <row r="1476" spans="1:31" ht="12.75" x14ac:dyDescent="0.2">
      <c r="A1476" t="str">
        <f ca="1">IFERROR(__xludf.DUMMYFUNCTION("""COMPUTED_VALUE"""),"")</f>
        <v/>
      </c>
      <c r="B1476" t="str">
        <f ca="1">IFERROR(__xludf.DUMMYFUNCTION("""COMPUTED_VALUE"""),"")</f>
        <v/>
      </c>
      <c r="C1476" t="str">
        <f ca="1">IFERROR(__xludf.DUMMYFUNCTION("""COMPUTED_VALUE"""),"")</f>
        <v/>
      </c>
      <c r="D1476" t="str">
        <f ca="1">IFERROR(__xludf.DUMMYFUNCTION("""COMPUTED_VALUE"""),"")</f>
        <v/>
      </c>
      <c r="E1476" t="str">
        <f ca="1">IFERROR(__xludf.DUMMYFUNCTION("""COMPUTED_VALUE"""),"")</f>
        <v/>
      </c>
      <c r="F1476" t="str">
        <f ca="1">IFERROR(__xludf.DUMMYFUNCTION("""COMPUTED_VALUE"""),"")</f>
        <v/>
      </c>
      <c r="G1476" t="str">
        <f ca="1">IFERROR(__xludf.DUMMYFUNCTION("""COMPUTED_VALUE"""),"")</f>
        <v/>
      </c>
      <c r="H1476" t="str">
        <f ca="1">IFERROR(__xludf.DUMMYFUNCTION("""COMPUTED_VALUE"""),"")</f>
        <v/>
      </c>
      <c r="I1476" t="str">
        <f ca="1">IFERROR(__xludf.DUMMYFUNCTION("""COMPUTED_VALUE"""),"")</f>
        <v/>
      </c>
      <c r="J1476" t="str">
        <f ca="1">IFERROR(__xludf.DUMMYFUNCTION("""COMPUTED_VALUE"""),"")</f>
        <v/>
      </c>
      <c r="K1476" t="str">
        <f ca="1">IFERROR(__xludf.DUMMYFUNCTION("""COMPUTED_VALUE"""),"")</f>
        <v/>
      </c>
      <c r="L1476" t="str">
        <f ca="1">IFERROR(__xludf.DUMMYFUNCTION("""COMPUTED_VALUE"""),"")</f>
        <v/>
      </c>
      <c r="M1476" t="str">
        <f ca="1">IFERROR(__xludf.DUMMYFUNCTION("""COMPUTED_VALUE"""),"")</f>
        <v/>
      </c>
      <c r="N1476" t="str">
        <f ca="1">IFERROR(__xludf.DUMMYFUNCTION("""COMPUTED_VALUE"""),"")</f>
        <v/>
      </c>
      <c r="O1476" t="str">
        <f ca="1">IFERROR(__xludf.DUMMYFUNCTION("""COMPUTED_VALUE"""),"")</f>
        <v/>
      </c>
      <c r="P1476" t="str">
        <f ca="1">IFERROR(__xludf.DUMMYFUNCTION("""COMPUTED_VALUE"""),"")</f>
        <v/>
      </c>
      <c r="Q1476" s="5" t="str">
        <f ca="1">IFERROR(__xludf.DUMMYFUNCTION("""COMPUTED_VALUE"""),"")</f>
        <v/>
      </c>
      <c r="R1476" s="6" t="str">
        <f ca="1">IFERROR(__xludf.DUMMYFUNCTION("""COMPUTED_VALUE"""),"")</f>
        <v/>
      </c>
      <c r="S1476" t="str">
        <f ca="1">IFERROR(__xludf.DUMMYFUNCTION("""COMPUTED_VALUE"""),"")</f>
        <v/>
      </c>
      <c r="T1476" t="str">
        <f ca="1">IFERROR(__xludf.DUMMYFUNCTION("""COMPUTED_VALUE"""),"")</f>
        <v/>
      </c>
      <c r="U1476" t="str">
        <f ca="1">IFERROR(__xludf.DUMMYFUNCTION("""COMPUTED_VALUE"""),"")</f>
        <v/>
      </c>
      <c r="V1476" t="str">
        <f ca="1">IFERROR(__xludf.DUMMYFUNCTION("""COMPUTED_VALUE"""),"")</f>
        <v/>
      </c>
      <c r="W1476" t="str">
        <f ca="1">IFERROR(__xludf.DUMMYFUNCTION("""COMPUTED_VALUE"""),"")</f>
        <v/>
      </c>
      <c r="X1476" t="str">
        <f ca="1">IFERROR(__xludf.DUMMYFUNCTION("""COMPUTED_VALUE"""),"")</f>
        <v/>
      </c>
      <c r="Y1476" t="str">
        <f ca="1">IFERROR(__xludf.DUMMYFUNCTION("""COMPUTED_VALUE"""),"")</f>
        <v/>
      </c>
      <c r="Z1476" t="str">
        <f ca="1">IFERROR(__xludf.DUMMYFUNCTION("""COMPUTED_VALUE"""),"")</f>
        <v/>
      </c>
      <c r="AA1476" t="str">
        <f ca="1">IFERROR(__xludf.DUMMYFUNCTION("""COMPUTED_VALUE"""),"")</f>
        <v/>
      </c>
      <c r="AB1476" s="8" t="str">
        <f ca="1">IFERROR(__xludf.DUMMYFUNCTION("""COMPUTED_VALUE"""),"")</f>
        <v/>
      </c>
      <c r="AC1476" s="8" t="str">
        <f ca="1">IFERROR(__xludf.DUMMYFUNCTION("""COMPUTED_VALUE"""),"")</f>
        <v/>
      </c>
      <c r="AD1476" s="11" t="str">
        <f ca="1">IFERROR(__xludf.DUMMYFUNCTION("""COMPUTED_VALUE"""),"")</f>
        <v/>
      </c>
      <c r="AE1476" t="str">
        <f ca="1">IFERROR(__xludf.DUMMYFUNCTION("""COMPUTED_VALUE"""),"")</f>
        <v/>
      </c>
    </row>
    <row r="1477" spans="1:31" ht="12.75" x14ac:dyDescent="0.2">
      <c r="A1477" t="str">
        <f ca="1">IFERROR(__xludf.DUMMYFUNCTION("""COMPUTED_VALUE"""),"")</f>
        <v/>
      </c>
      <c r="B1477" t="str">
        <f ca="1">IFERROR(__xludf.DUMMYFUNCTION("""COMPUTED_VALUE"""),"")</f>
        <v/>
      </c>
      <c r="C1477" t="str">
        <f ca="1">IFERROR(__xludf.DUMMYFUNCTION("""COMPUTED_VALUE"""),"")</f>
        <v/>
      </c>
      <c r="D1477" t="str">
        <f ca="1">IFERROR(__xludf.DUMMYFUNCTION("""COMPUTED_VALUE"""),"")</f>
        <v/>
      </c>
      <c r="E1477" t="str">
        <f ca="1">IFERROR(__xludf.DUMMYFUNCTION("""COMPUTED_VALUE"""),"")</f>
        <v/>
      </c>
      <c r="F1477" t="str">
        <f ca="1">IFERROR(__xludf.DUMMYFUNCTION("""COMPUTED_VALUE"""),"")</f>
        <v/>
      </c>
      <c r="G1477" t="str">
        <f ca="1">IFERROR(__xludf.DUMMYFUNCTION("""COMPUTED_VALUE"""),"")</f>
        <v/>
      </c>
      <c r="H1477" t="str">
        <f ca="1">IFERROR(__xludf.DUMMYFUNCTION("""COMPUTED_VALUE"""),"")</f>
        <v/>
      </c>
      <c r="I1477" t="str">
        <f ca="1">IFERROR(__xludf.DUMMYFUNCTION("""COMPUTED_VALUE"""),"")</f>
        <v/>
      </c>
      <c r="J1477" t="str">
        <f ca="1">IFERROR(__xludf.DUMMYFUNCTION("""COMPUTED_VALUE"""),"")</f>
        <v/>
      </c>
      <c r="K1477" t="str">
        <f ca="1">IFERROR(__xludf.DUMMYFUNCTION("""COMPUTED_VALUE"""),"")</f>
        <v/>
      </c>
      <c r="L1477" t="str">
        <f ca="1">IFERROR(__xludf.DUMMYFUNCTION("""COMPUTED_VALUE"""),"")</f>
        <v/>
      </c>
      <c r="M1477" t="str">
        <f ca="1">IFERROR(__xludf.DUMMYFUNCTION("""COMPUTED_VALUE"""),"")</f>
        <v/>
      </c>
      <c r="N1477" t="str">
        <f ca="1">IFERROR(__xludf.DUMMYFUNCTION("""COMPUTED_VALUE"""),"")</f>
        <v/>
      </c>
      <c r="O1477" t="str">
        <f ca="1">IFERROR(__xludf.DUMMYFUNCTION("""COMPUTED_VALUE"""),"")</f>
        <v/>
      </c>
      <c r="P1477" t="str">
        <f ca="1">IFERROR(__xludf.DUMMYFUNCTION("""COMPUTED_VALUE"""),"")</f>
        <v/>
      </c>
      <c r="Q1477" s="5" t="str">
        <f ca="1">IFERROR(__xludf.DUMMYFUNCTION("""COMPUTED_VALUE"""),"")</f>
        <v/>
      </c>
      <c r="R1477" s="6" t="str">
        <f ca="1">IFERROR(__xludf.DUMMYFUNCTION("""COMPUTED_VALUE"""),"")</f>
        <v/>
      </c>
      <c r="S1477" t="str">
        <f ca="1">IFERROR(__xludf.DUMMYFUNCTION("""COMPUTED_VALUE"""),"")</f>
        <v/>
      </c>
      <c r="T1477" t="str">
        <f ca="1">IFERROR(__xludf.DUMMYFUNCTION("""COMPUTED_VALUE"""),"")</f>
        <v/>
      </c>
      <c r="U1477" t="str">
        <f ca="1">IFERROR(__xludf.DUMMYFUNCTION("""COMPUTED_VALUE"""),"")</f>
        <v/>
      </c>
      <c r="V1477" t="str">
        <f ca="1">IFERROR(__xludf.DUMMYFUNCTION("""COMPUTED_VALUE"""),"")</f>
        <v/>
      </c>
      <c r="W1477" t="str">
        <f ca="1">IFERROR(__xludf.DUMMYFUNCTION("""COMPUTED_VALUE"""),"")</f>
        <v/>
      </c>
      <c r="X1477" t="str">
        <f ca="1">IFERROR(__xludf.DUMMYFUNCTION("""COMPUTED_VALUE"""),"")</f>
        <v/>
      </c>
      <c r="Y1477" t="str">
        <f ca="1">IFERROR(__xludf.DUMMYFUNCTION("""COMPUTED_VALUE"""),"")</f>
        <v/>
      </c>
      <c r="Z1477" t="str">
        <f ca="1">IFERROR(__xludf.DUMMYFUNCTION("""COMPUTED_VALUE"""),"")</f>
        <v/>
      </c>
      <c r="AA1477" t="str">
        <f ca="1">IFERROR(__xludf.DUMMYFUNCTION("""COMPUTED_VALUE"""),"")</f>
        <v/>
      </c>
      <c r="AB1477" s="8" t="str">
        <f ca="1">IFERROR(__xludf.DUMMYFUNCTION("""COMPUTED_VALUE"""),"")</f>
        <v/>
      </c>
      <c r="AC1477" s="8" t="str">
        <f ca="1">IFERROR(__xludf.DUMMYFUNCTION("""COMPUTED_VALUE"""),"")</f>
        <v/>
      </c>
      <c r="AD1477" s="11" t="str">
        <f ca="1">IFERROR(__xludf.DUMMYFUNCTION("""COMPUTED_VALUE"""),"")</f>
        <v/>
      </c>
      <c r="AE1477" t="str">
        <f ca="1">IFERROR(__xludf.DUMMYFUNCTION("""COMPUTED_VALUE"""),"")</f>
        <v/>
      </c>
    </row>
    <row r="1478" spans="1:31" ht="12.75" x14ac:dyDescent="0.2">
      <c r="A1478" t="str">
        <f ca="1">IFERROR(__xludf.DUMMYFUNCTION("""COMPUTED_VALUE"""),"")</f>
        <v/>
      </c>
      <c r="B1478" t="str">
        <f ca="1">IFERROR(__xludf.DUMMYFUNCTION("""COMPUTED_VALUE"""),"")</f>
        <v/>
      </c>
      <c r="C1478" t="str">
        <f ca="1">IFERROR(__xludf.DUMMYFUNCTION("""COMPUTED_VALUE"""),"")</f>
        <v/>
      </c>
      <c r="D1478" t="str">
        <f ca="1">IFERROR(__xludf.DUMMYFUNCTION("""COMPUTED_VALUE"""),"")</f>
        <v/>
      </c>
      <c r="E1478" t="str">
        <f ca="1">IFERROR(__xludf.DUMMYFUNCTION("""COMPUTED_VALUE"""),"")</f>
        <v/>
      </c>
      <c r="F1478" t="str">
        <f ca="1">IFERROR(__xludf.DUMMYFUNCTION("""COMPUTED_VALUE"""),"")</f>
        <v/>
      </c>
      <c r="G1478" t="str">
        <f ca="1">IFERROR(__xludf.DUMMYFUNCTION("""COMPUTED_VALUE"""),"")</f>
        <v/>
      </c>
      <c r="H1478" t="str">
        <f ca="1">IFERROR(__xludf.DUMMYFUNCTION("""COMPUTED_VALUE"""),"")</f>
        <v/>
      </c>
      <c r="I1478" t="str">
        <f ca="1">IFERROR(__xludf.DUMMYFUNCTION("""COMPUTED_VALUE"""),"")</f>
        <v/>
      </c>
      <c r="J1478" t="str">
        <f ca="1">IFERROR(__xludf.DUMMYFUNCTION("""COMPUTED_VALUE"""),"")</f>
        <v/>
      </c>
      <c r="K1478" t="str">
        <f ca="1">IFERROR(__xludf.DUMMYFUNCTION("""COMPUTED_VALUE"""),"")</f>
        <v/>
      </c>
      <c r="L1478" t="str">
        <f ca="1">IFERROR(__xludf.DUMMYFUNCTION("""COMPUTED_VALUE"""),"")</f>
        <v/>
      </c>
      <c r="M1478" t="str">
        <f ca="1">IFERROR(__xludf.DUMMYFUNCTION("""COMPUTED_VALUE"""),"")</f>
        <v/>
      </c>
      <c r="N1478" t="str">
        <f ca="1">IFERROR(__xludf.DUMMYFUNCTION("""COMPUTED_VALUE"""),"")</f>
        <v/>
      </c>
      <c r="O1478" t="str">
        <f ca="1">IFERROR(__xludf.DUMMYFUNCTION("""COMPUTED_VALUE"""),"")</f>
        <v/>
      </c>
      <c r="P1478" t="str">
        <f ca="1">IFERROR(__xludf.DUMMYFUNCTION("""COMPUTED_VALUE"""),"")</f>
        <v/>
      </c>
      <c r="Q1478" s="5" t="str">
        <f ca="1">IFERROR(__xludf.DUMMYFUNCTION("""COMPUTED_VALUE"""),"")</f>
        <v/>
      </c>
      <c r="R1478" s="6" t="str">
        <f ca="1">IFERROR(__xludf.DUMMYFUNCTION("""COMPUTED_VALUE"""),"")</f>
        <v/>
      </c>
      <c r="S1478" t="str">
        <f ca="1">IFERROR(__xludf.DUMMYFUNCTION("""COMPUTED_VALUE"""),"")</f>
        <v/>
      </c>
      <c r="T1478" t="str">
        <f ca="1">IFERROR(__xludf.DUMMYFUNCTION("""COMPUTED_VALUE"""),"")</f>
        <v/>
      </c>
      <c r="U1478" t="str">
        <f ca="1">IFERROR(__xludf.DUMMYFUNCTION("""COMPUTED_VALUE"""),"")</f>
        <v/>
      </c>
      <c r="V1478" t="str">
        <f ca="1">IFERROR(__xludf.DUMMYFUNCTION("""COMPUTED_VALUE"""),"")</f>
        <v/>
      </c>
      <c r="W1478" t="str">
        <f ca="1">IFERROR(__xludf.DUMMYFUNCTION("""COMPUTED_VALUE"""),"")</f>
        <v/>
      </c>
      <c r="X1478" t="str">
        <f ca="1">IFERROR(__xludf.DUMMYFUNCTION("""COMPUTED_VALUE"""),"")</f>
        <v/>
      </c>
      <c r="Y1478" t="str">
        <f ca="1">IFERROR(__xludf.DUMMYFUNCTION("""COMPUTED_VALUE"""),"")</f>
        <v/>
      </c>
      <c r="Z1478" t="str">
        <f ca="1">IFERROR(__xludf.DUMMYFUNCTION("""COMPUTED_VALUE"""),"")</f>
        <v/>
      </c>
      <c r="AA1478" t="str">
        <f ca="1">IFERROR(__xludf.DUMMYFUNCTION("""COMPUTED_VALUE"""),"")</f>
        <v/>
      </c>
      <c r="AB1478" s="8" t="str">
        <f ca="1">IFERROR(__xludf.DUMMYFUNCTION("""COMPUTED_VALUE"""),"")</f>
        <v/>
      </c>
      <c r="AC1478" s="8" t="str">
        <f ca="1">IFERROR(__xludf.DUMMYFUNCTION("""COMPUTED_VALUE"""),"")</f>
        <v/>
      </c>
      <c r="AD1478" s="11" t="str">
        <f ca="1">IFERROR(__xludf.DUMMYFUNCTION("""COMPUTED_VALUE"""),"")</f>
        <v/>
      </c>
      <c r="AE1478" t="str">
        <f ca="1">IFERROR(__xludf.DUMMYFUNCTION("""COMPUTED_VALUE"""),"")</f>
        <v/>
      </c>
    </row>
    <row r="1479" spans="1:31" ht="12.75" x14ac:dyDescent="0.2">
      <c r="A1479" t="str">
        <f ca="1">IFERROR(__xludf.DUMMYFUNCTION("""COMPUTED_VALUE"""),"")</f>
        <v/>
      </c>
      <c r="B1479" t="str">
        <f ca="1">IFERROR(__xludf.DUMMYFUNCTION("""COMPUTED_VALUE"""),"")</f>
        <v/>
      </c>
      <c r="C1479" t="str">
        <f ca="1">IFERROR(__xludf.DUMMYFUNCTION("""COMPUTED_VALUE"""),"")</f>
        <v/>
      </c>
      <c r="D1479" t="str">
        <f ca="1">IFERROR(__xludf.DUMMYFUNCTION("""COMPUTED_VALUE"""),"")</f>
        <v/>
      </c>
      <c r="E1479" t="str">
        <f ca="1">IFERROR(__xludf.DUMMYFUNCTION("""COMPUTED_VALUE"""),"")</f>
        <v/>
      </c>
      <c r="F1479" t="str">
        <f ca="1">IFERROR(__xludf.DUMMYFUNCTION("""COMPUTED_VALUE"""),"")</f>
        <v/>
      </c>
      <c r="G1479" t="str">
        <f ca="1">IFERROR(__xludf.DUMMYFUNCTION("""COMPUTED_VALUE"""),"")</f>
        <v/>
      </c>
      <c r="H1479" t="str">
        <f ca="1">IFERROR(__xludf.DUMMYFUNCTION("""COMPUTED_VALUE"""),"")</f>
        <v/>
      </c>
      <c r="I1479" t="str">
        <f ca="1">IFERROR(__xludf.DUMMYFUNCTION("""COMPUTED_VALUE"""),"")</f>
        <v/>
      </c>
      <c r="J1479" t="str">
        <f ca="1">IFERROR(__xludf.DUMMYFUNCTION("""COMPUTED_VALUE"""),"")</f>
        <v/>
      </c>
      <c r="K1479" t="str">
        <f ca="1">IFERROR(__xludf.DUMMYFUNCTION("""COMPUTED_VALUE"""),"")</f>
        <v/>
      </c>
      <c r="L1479" t="str">
        <f ca="1">IFERROR(__xludf.DUMMYFUNCTION("""COMPUTED_VALUE"""),"")</f>
        <v/>
      </c>
      <c r="M1479" t="str">
        <f ca="1">IFERROR(__xludf.DUMMYFUNCTION("""COMPUTED_VALUE"""),"")</f>
        <v/>
      </c>
      <c r="N1479" t="str">
        <f ca="1">IFERROR(__xludf.DUMMYFUNCTION("""COMPUTED_VALUE"""),"")</f>
        <v/>
      </c>
      <c r="O1479" t="str">
        <f ca="1">IFERROR(__xludf.DUMMYFUNCTION("""COMPUTED_VALUE"""),"")</f>
        <v/>
      </c>
      <c r="P1479" t="str">
        <f ca="1">IFERROR(__xludf.DUMMYFUNCTION("""COMPUTED_VALUE"""),"")</f>
        <v/>
      </c>
      <c r="Q1479" s="5" t="str">
        <f ca="1">IFERROR(__xludf.DUMMYFUNCTION("""COMPUTED_VALUE"""),"")</f>
        <v/>
      </c>
      <c r="R1479" s="6" t="str">
        <f ca="1">IFERROR(__xludf.DUMMYFUNCTION("""COMPUTED_VALUE"""),"")</f>
        <v/>
      </c>
      <c r="S1479" t="str">
        <f ca="1">IFERROR(__xludf.DUMMYFUNCTION("""COMPUTED_VALUE"""),"")</f>
        <v/>
      </c>
      <c r="T1479" t="str">
        <f ca="1">IFERROR(__xludf.DUMMYFUNCTION("""COMPUTED_VALUE"""),"")</f>
        <v/>
      </c>
      <c r="U1479" t="str">
        <f ca="1">IFERROR(__xludf.DUMMYFUNCTION("""COMPUTED_VALUE"""),"")</f>
        <v/>
      </c>
      <c r="V1479" t="str">
        <f ca="1">IFERROR(__xludf.DUMMYFUNCTION("""COMPUTED_VALUE"""),"")</f>
        <v/>
      </c>
      <c r="W1479" t="str">
        <f ca="1">IFERROR(__xludf.DUMMYFUNCTION("""COMPUTED_VALUE"""),"")</f>
        <v/>
      </c>
      <c r="X1479" t="str">
        <f ca="1">IFERROR(__xludf.DUMMYFUNCTION("""COMPUTED_VALUE"""),"")</f>
        <v/>
      </c>
      <c r="Y1479" t="str">
        <f ca="1">IFERROR(__xludf.DUMMYFUNCTION("""COMPUTED_VALUE"""),"")</f>
        <v/>
      </c>
      <c r="Z1479" t="str">
        <f ca="1">IFERROR(__xludf.DUMMYFUNCTION("""COMPUTED_VALUE"""),"")</f>
        <v/>
      </c>
      <c r="AA1479" t="str">
        <f ca="1">IFERROR(__xludf.DUMMYFUNCTION("""COMPUTED_VALUE"""),"")</f>
        <v/>
      </c>
      <c r="AB1479" s="8" t="str">
        <f ca="1">IFERROR(__xludf.DUMMYFUNCTION("""COMPUTED_VALUE"""),"")</f>
        <v/>
      </c>
      <c r="AC1479" s="8" t="str">
        <f ca="1">IFERROR(__xludf.DUMMYFUNCTION("""COMPUTED_VALUE"""),"")</f>
        <v/>
      </c>
      <c r="AD1479" s="11" t="str">
        <f ca="1">IFERROR(__xludf.DUMMYFUNCTION("""COMPUTED_VALUE"""),"")</f>
        <v/>
      </c>
      <c r="AE1479" t="str">
        <f ca="1">IFERROR(__xludf.DUMMYFUNCTION("""COMPUTED_VALUE"""),"")</f>
        <v/>
      </c>
    </row>
    <row r="1480" spans="1:31" ht="12.75" x14ac:dyDescent="0.2">
      <c r="A1480" t="str">
        <f ca="1">IFERROR(__xludf.DUMMYFUNCTION("""COMPUTED_VALUE"""),"")</f>
        <v/>
      </c>
      <c r="B1480" t="str">
        <f ca="1">IFERROR(__xludf.DUMMYFUNCTION("""COMPUTED_VALUE"""),"")</f>
        <v/>
      </c>
      <c r="C1480" t="str">
        <f ca="1">IFERROR(__xludf.DUMMYFUNCTION("""COMPUTED_VALUE"""),"")</f>
        <v/>
      </c>
      <c r="D1480" t="str">
        <f ca="1">IFERROR(__xludf.DUMMYFUNCTION("""COMPUTED_VALUE"""),"")</f>
        <v/>
      </c>
      <c r="E1480" t="str">
        <f ca="1">IFERROR(__xludf.DUMMYFUNCTION("""COMPUTED_VALUE"""),"")</f>
        <v/>
      </c>
      <c r="F1480" t="str">
        <f ca="1">IFERROR(__xludf.DUMMYFUNCTION("""COMPUTED_VALUE"""),"")</f>
        <v/>
      </c>
      <c r="G1480" t="str">
        <f ca="1">IFERROR(__xludf.DUMMYFUNCTION("""COMPUTED_VALUE"""),"")</f>
        <v/>
      </c>
      <c r="H1480" t="str">
        <f ca="1">IFERROR(__xludf.DUMMYFUNCTION("""COMPUTED_VALUE"""),"")</f>
        <v/>
      </c>
      <c r="I1480" t="str">
        <f ca="1">IFERROR(__xludf.DUMMYFUNCTION("""COMPUTED_VALUE"""),"")</f>
        <v/>
      </c>
      <c r="J1480" t="str">
        <f ca="1">IFERROR(__xludf.DUMMYFUNCTION("""COMPUTED_VALUE"""),"")</f>
        <v/>
      </c>
      <c r="K1480" t="str">
        <f ca="1">IFERROR(__xludf.DUMMYFUNCTION("""COMPUTED_VALUE"""),"")</f>
        <v/>
      </c>
      <c r="L1480" t="str">
        <f ca="1">IFERROR(__xludf.DUMMYFUNCTION("""COMPUTED_VALUE"""),"")</f>
        <v/>
      </c>
      <c r="M1480" t="str">
        <f ca="1">IFERROR(__xludf.DUMMYFUNCTION("""COMPUTED_VALUE"""),"")</f>
        <v/>
      </c>
      <c r="N1480" t="str">
        <f ca="1">IFERROR(__xludf.DUMMYFUNCTION("""COMPUTED_VALUE"""),"")</f>
        <v/>
      </c>
      <c r="O1480" t="str">
        <f ca="1">IFERROR(__xludf.DUMMYFUNCTION("""COMPUTED_VALUE"""),"")</f>
        <v/>
      </c>
      <c r="P1480" t="str">
        <f ca="1">IFERROR(__xludf.DUMMYFUNCTION("""COMPUTED_VALUE"""),"")</f>
        <v/>
      </c>
      <c r="Q1480" s="5" t="str">
        <f ca="1">IFERROR(__xludf.DUMMYFUNCTION("""COMPUTED_VALUE"""),"")</f>
        <v/>
      </c>
      <c r="R1480" s="6" t="str">
        <f ca="1">IFERROR(__xludf.DUMMYFUNCTION("""COMPUTED_VALUE"""),"")</f>
        <v/>
      </c>
      <c r="S1480" t="str">
        <f ca="1">IFERROR(__xludf.DUMMYFUNCTION("""COMPUTED_VALUE"""),"")</f>
        <v/>
      </c>
      <c r="T1480" t="str">
        <f ca="1">IFERROR(__xludf.DUMMYFUNCTION("""COMPUTED_VALUE"""),"")</f>
        <v/>
      </c>
      <c r="U1480" t="str">
        <f ca="1">IFERROR(__xludf.DUMMYFUNCTION("""COMPUTED_VALUE"""),"")</f>
        <v/>
      </c>
      <c r="V1480" t="str">
        <f ca="1">IFERROR(__xludf.DUMMYFUNCTION("""COMPUTED_VALUE"""),"")</f>
        <v/>
      </c>
      <c r="W1480" t="str">
        <f ca="1">IFERROR(__xludf.DUMMYFUNCTION("""COMPUTED_VALUE"""),"")</f>
        <v/>
      </c>
      <c r="X1480" t="str">
        <f ca="1">IFERROR(__xludf.DUMMYFUNCTION("""COMPUTED_VALUE"""),"")</f>
        <v/>
      </c>
      <c r="Y1480" t="str">
        <f ca="1">IFERROR(__xludf.DUMMYFUNCTION("""COMPUTED_VALUE"""),"")</f>
        <v/>
      </c>
      <c r="Z1480" t="str">
        <f ca="1">IFERROR(__xludf.DUMMYFUNCTION("""COMPUTED_VALUE"""),"")</f>
        <v/>
      </c>
      <c r="AA1480" t="str">
        <f ca="1">IFERROR(__xludf.DUMMYFUNCTION("""COMPUTED_VALUE"""),"")</f>
        <v/>
      </c>
      <c r="AB1480" s="8" t="str">
        <f ca="1">IFERROR(__xludf.DUMMYFUNCTION("""COMPUTED_VALUE"""),"")</f>
        <v/>
      </c>
      <c r="AC1480" s="8" t="str">
        <f ca="1">IFERROR(__xludf.DUMMYFUNCTION("""COMPUTED_VALUE"""),"")</f>
        <v/>
      </c>
      <c r="AD1480" s="11" t="str">
        <f ca="1">IFERROR(__xludf.DUMMYFUNCTION("""COMPUTED_VALUE"""),"")</f>
        <v/>
      </c>
      <c r="AE1480" t="str">
        <f ca="1">IFERROR(__xludf.DUMMYFUNCTION("""COMPUTED_VALUE"""),"")</f>
        <v/>
      </c>
    </row>
    <row r="1481" spans="1:31" ht="12.75" x14ac:dyDescent="0.2">
      <c r="A1481" t="str">
        <f ca="1">IFERROR(__xludf.DUMMYFUNCTION("""COMPUTED_VALUE"""),"")</f>
        <v/>
      </c>
      <c r="B1481" t="str">
        <f ca="1">IFERROR(__xludf.DUMMYFUNCTION("""COMPUTED_VALUE"""),"")</f>
        <v/>
      </c>
      <c r="C1481" t="str">
        <f ca="1">IFERROR(__xludf.DUMMYFUNCTION("""COMPUTED_VALUE"""),"")</f>
        <v/>
      </c>
      <c r="D1481" t="str">
        <f ca="1">IFERROR(__xludf.DUMMYFUNCTION("""COMPUTED_VALUE"""),"")</f>
        <v/>
      </c>
      <c r="E1481" t="str">
        <f ca="1">IFERROR(__xludf.DUMMYFUNCTION("""COMPUTED_VALUE"""),"")</f>
        <v/>
      </c>
      <c r="F1481" t="str">
        <f ca="1">IFERROR(__xludf.DUMMYFUNCTION("""COMPUTED_VALUE"""),"")</f>
        <v/>
      </c>
      <c r="G1481" t="str">
        <f ca="1">IFERROR(__xludf.DUMMYFUNCTION("""COMPUTED_VALUE"""),"")</f>
        <v/>
      </c>
      <c r="H1481" t="str">
        <f ca="1">IFERROR(__xludf.DUMMYFUNCTION("""COMPUTED_VALUE"""),"")</f>
        <v/>
      </c>
      <c r="I1481" t="str">
        <f ca="1">IFERROR(__xludf.DUMMYFUNCTION("""COMPUTED_VALUE"""),"")</f>
        <v/>
      </c>
      <c r="J1481" t="str">
        <f ca="1">IFERROR(__xludf.DUMMYFUNCTION("""COMPUTED_VALUE"""),"")</f>
        <v/>
      </c>
      <c r="K1481" t="str">
        <f ca="1">IFERROR(__xludf.DUMMYFUNCTION("""COMPUTED_VALUE"""),"")</f>
        <v/>
      </c>
      <c r="L1481" t="str">
        <f ca="1">IFERROR(__xludf.DUMMYFUNCTION("""COMPUTED_VALUE"""),"")</f>
        <v/>
      </c>
      <c r="M1481" t="str">
        <f ca="1">IFERROR(__xludf.DUMMYFUNCTION("""COMPUTED_VALUE"""),"")</f>
        <v/>
      </c>
      <c r="N1481" t="str">
        <f ca="1">IFERROR(__xludf.DUMMYFUNCTION("""COMPUTED_VALUE"""),"")</f>
        <v/>
      </c>
      <c r="O1481" t="str">
        <f ca="1">IFERROR(__xludf.DUMMYFUNCTION("""COMPUTED_VALUE"""),"")</f>
        <v/>
      </c>
      <c r="P1481" t="str">
        <f ca="1">IFERROR(__xludf.DUMMYFUNCTION("""COMPUTED_VALUE"""),"")</f>
        <v/>
      </c>
      <c r="Q1481" s="5" t="str">
        <f ca="1">IFERROR(__xludf.DUMMYFUNCTION("""COMPUTED_VALUE"""),"")</f>
        <v/>
      </c>
      <c r="R1481" s="6" t="str">
        <f ca="1">IFERROR(__xludf.DUMMYFUNCTION("""COMPUTED_VALUE"""),"")</f>
        <v/>
      </c>
      <c r="S1481" t="str">
        <f ca="1">IFERROR(__xludf.DUMMYFUNCTION("""COMPUTED_VALUE"""),"")</f>
        <v/>
      </c>
      <c r="T1481" t="str">
        <f ca="1">IFERROR(__xludf.DUMMYFUNCTION("""COMPUTED_VALUE"""),"")</f>
        <v/>
      </c>
      <c r="U1481" t="str">
        <f ca="1">IFERROR(__xludf.DUMMYFUNCTION("""COMPUTED_VALUE"""),"")</f>
        <v/>
      </c>
      <c r="V1481" t="str">
        <f ca="1">IFERROR(__xludf.DUMMYFUNCTION("""COMPUTED_VALUE"""),"")</f>
        <v/>
      </c>
      <c r="W1481" t="str">
        <f ca="1">IFERROR(__xludf.DUMMYFUNCTION("""COMPUTED_VALUE"""),"")</f>
        <v/>
      </c>
      <c r="X1481" t="str">
        <f ca="1">IFERROR(__xludf.DUMMYFUNCTION("""COMPUTED_VALUE"""),"")</f>
        <v/>
      </c>
      <c r="Y1481" t="str">
        <f ca="1">IFERROR(__xludf.DUMMYFUNCTION("""COMPUTED_VALUE"""),"")</f>
        <v/>
      </c>
      <c r="Z1481" t="str">
        <f ca="1">IFERROR(__xludf.DUMMYFUNCTION("""COMPUTED_VALUE"""),"")</f>
        <v/>
      </c>
      <c r="AA1481" t="str">
        <f ca="1">IFERROR(__xludf.DUMMYFUNCTION("""COMPUTED_VALUE"""),"")</f>
        <v/>
      </c>
      <c r="AB1481" s="8" t="str">
        <f ca="1">IFERROR(__xludf.DUMMYFUNCTION("""COMPUTED_VALUE"""),"")</f>
        <v/>
      </c>
      <c r="AC1481" s="8" t="str">
        <f ca="1">IFERROR(__xludf.DUMMYFUNCTION("""COMPUTED_VALUE"""),"")</f>
        <v/>
      </c>
      <c r="AD1481" s="11" t="str">
        <f ca="1">IFERROR(__xludf.DUMMYFUNCTION("""COMPUTED_VALUE"""),"")</f>
        <v/>
      </c>
      <c r="AE1481" t="str">
        <f ca="1">IFERROR(__xludf.DUMMYFUNCTION("""COMPUTED_VALUE"""),"")</f>
        <v/>
      </c>
    </row>
    <row r="1482" spans="1:31" ht="12.75" x14ac:dyDescent="0.2">
      <c r="A1482" t="str">
        <f ca="1">IFERROR(__xludf.DUMMYFUNCTION("""COMPUTED_VALUE"""),"")</f>
        <v/>
      </c>
      <c r="B1482" t="str">
        <f ca="1">IFERROR(__xludf.DUMMYFUNCTION("""COMPUTED_VALUE"""),"")</f>
        <v/>
      </c>
      <c r="C1482" t="str">
        <f ca="1">IFERROR(__xludf.DUMMYFUNCTION("""COMPUTED_VALUE"""),"")</f>
        <v/>
      </c>
      <c r="D1482" t="str">
        <f ca="1">IFERROR(__xludf.DUMMYFUNCTION("""COMPUTED_VALUE"""),"")</f>
        <v/>
      </c>
      <c r="E1482" t="str">
        <f ca="1">IFERROR(__xludf.DUMMYFUNCTION("""COMPUTED_VALUE"""),"")</f>
        <v/>
      </c>
      <c r="F1482" t="str">
        <f ca="1">IFERROR(__xludf.DUMMYFUNCTION("""COMPUTED_VALUE"""),"")</f>
        <v/>
      </c>
      <c r="G1482" t="str">
        <f ca="1">IFERROR(__xludf.DUMMYFUNCTION("""COMPUTED_VALUE"""),"")</f>
        <v/>
      </c>
      <c r="H1482" t="str">
        <f ca="1">IFERROR(__xludf.DUMMYFUNCTION("""COMPUTED_VALUE"""),"")</f>
        <v/>
      </c>
      <c r="I1482" t="str">
        <f ca="1">IFERROR(__xludf.DUMMYFUNCTION("""COMPUTED_VALUE"""),"")</f>
        <v/>
      </c>
      <c r="J1482" t="str">
        <f ca="1">IFERROR(__xludf.DUMMYFUNCTION("""COMPUTED_VALUE"""),"")</f>
        <v/>
      </c>
      <c r="K1482" t="str">
        <f ca="1">IFERROR(__xludf.DUMMYFUNCTION("""COMPUTED_VALUE"""),"")</f>
        <v/>
      </c>
      <c r="L1482" t="str">
        <f ca="1">IFERROR(__xludf.DUMMYFUNCTION("""COMPUTED_VALUE"""),"")</f>
        <v/>
      </c>
      <c r="M1482" t="str">
        <f ca="1">IFERROR(__xludf.DUMMYFUNCTION("""COMPUTED_VALUE"""),"")</f>
        <v/>
      </c>
      <c r="N1482" t="str">
        <f ca="1">IFERROR(__xludf.DUMMYFUNCTION("""COMPUTED_VALUE"""),"")</f>
        <v/>
      </c>
      <c r="O1482" t="str">
        <f ca="1">IFERROR(__xludf.DUMMYFUNCTION("""COMPUTED_VALUE"""),"")</f>
        <v/>
      </c>
      <c r="P1482" t="str">
        <f ca="1">IFERROR(__xludf.DUMMYFUNCTION("""COMPUTED_VALUE"""),"")</f>
        <v/>
      </c>
      <c r="Q1482" s="5" t="str">
        <f ca="1">IFERROR(__xludf.DUMMYFUNCTION("""COMPUTED_VALUE"""),"")</f>
        <v/>
      </c>
      <c r="R1482" s="6" t="str">
        <f ca="1">IFERROR(__xludf.DUMMYFUNCTION("""COMPUTED_VALUE"""),"")</f>
        <v/>
      </c>
      <c r="S1482" t="str">
        <f ca="1">IFERROR(__xludf.DUMMYFUNCTION("""COMPUTED_VALUE"""),"")</f>
        <v/>
      </c>
      <c r="T1482" t="str">
        <f ca="1">IFERROR(__xludf.DUMMYFUNCTION("""COMPUTED_VALUE"""),"")</f>
        <v/>
      </c>
      <c r="U1482" t="str">
        <f ca="1">IFERROR(__xludf.DUMMYFUNCTION("""COMPUTED_VALUE"""),"")</f>
        <v/>
      </c>
      <c r="V1482" t="str">
        <f ca="1">IFERROR(__xludf.DUMMYFUNCTION("""COMPUTED_VALUE"""),"")</f>
        <v/>
      </c>
      <c r="W1482" t="str">
        <f ca="1">IFERROR(__xludf.DUMMYFUNCTION("""COMPUTED_VALUE"""),"")</f>
        <v/>
      </c>
      <c r="X1482" t="str">
        <f ca="1">IFERROR(__xludf.DUMMYFUNCTION("""COMPUTED_VALUE"""),"")</f>
        <v/>
      </c>
      <c r="Y1482" t="str">
        <f ca="1">IFERROR(__xludf.DUMMYFUNCTION("""COMPUTED_VALUE"""),"")</f>
        <v/>
      </c>
      <c r="Z1482" t="str">
        <f ca="1">IFERROR(__xludf.DUMMYFUNCTION("""COMPUTED_VALUE"""),"")</f>
        <v/>
      </c>
      <c r="AA1482" t="str">
        <f ca="1">IFERROR(__xludf.DUMMYFUNCTION("""COMPUTED_VALUE"""),"")</f>
        <v/>
      </c>
      <c r="AB1482" s="8" t="str">
        <f ca="1">IFERROR(__xludf.DUMMYFUNCTION("""COMPUTED_VALUE"""),"")</f>
        <v/>
      </c>
      <c r="AC1482" s="8" t="str">
        <f ca="1">IFERROR(__xludf.DUMMYFUNCTION("""COMPUTED_VALUE"""),"")</f>
        <v/>
      </c>
      <c r="AD1482" s="11" t="str">
        <f ca="1">IFERROR(__xludf.DUMMYFUNCTION("""COMPUTED_VALUE"""),"")</f>
        <v/>
      </c>
      <c r="AE1482" t="str">
        <f ca="1">IFERROR(__xludf.DUMMYFUNCTION("""COMPUTED_VALUE"""),"")</f>
        <v/>
      </c>
    </row>
    <row r="1483" spans="1:31" ht="12.75" x14ac:dyDescent="0.2">
      <c r="A1483" t="str">
        <f ca="1">IFERROR(__xludf.DUMMYFUNCTION("""COMPUTED_VALUE"""),"")</f>
        <v/>
      </c>
      <c r="B1483" t="str">
        <f ca="1">IFERROR(__xludf.DUMMYFUNCTION("""COMPUTED_VALUE"""),"")</f>
        <v/>
      </c>
      <c r="C1483" t="str">
        <f ca="1">IFERROR(__xludf.DUMMYFUNCTION("""COMPUTED_VALUE"""),"")</f>
        <v/>
      </c>
      <c r="D1483" t="str">
        <f ca="1">IFERROR(__xludf.DUMMYFUNCTION("""COMPUTED_VALUE"""),"")</f>
        <v/>
      </c>
      <c r="E1483" t="str">
        <f ca="1">IFERROR(__xludf.DUMMYFUNCTION("""COMPUTED_VALUE"""),"")</f>
        <v/>
      </c>
      <c r="F1483" t="str">
        <f ca="1">IFERROR(__xludf.DUMMYFUNCTION("""COMPUTED_VALUE"""),"")</f>
        <v/>
      </c>
      <c r="G1483" t="str">
        <f ca="1">IFERROR(__xludf.DUMMYFUNCTION("""COMPUTED_VALUE"""),"")</f>
        <v/>
      </c>
      <c r="H1483" t="str">
        <f ca="1">IFERROR(__xludf.DUMMYFUNCTION("""COMPUTED_VALUE"""),"")</f>
        <v/>
      </c>
      <c r="I1483" t="str">
        <f ca="1">IFERROR(__xludf.DUMMYFUNCTION("""COMPUTED_VALUE"""),"")</f>
        <v/>
      </c>
      <c r="J1483" t="str">
        <f ca="1">IFERROR(__xludf.DUMMYFUNCTION("""COMPUTED_VALUE"""),"")</f>
        <v/>
      </c>
      <c r="K1483" t="str">
        <f ca="1">IFERROR(__xludf.DUMMYFUNCTION("""COMPUTED_VALUE"""),"")</f>
        <v/>
      </c>
      <c r="L1483" t="str">
        <f ca="1">IFERROR(__xludf.DUMMYFUNCTION("""COMPUTED_VALUE"""),"")</f>
        <v/>
      </c>
      <c r="M1483" t="str">
        <f ca="1">IFERROR(__xludf.DUMMYFUNCTION("""COMPUTED_VALUE"""),"")</f>
        <v/>
      </c>
      <c r="N1483" t="str">
        <f ca="1">IFERROR(__xludf.DUMMYFUNCTION("""COMPUTED_VALUE"""),"")</f>
        <v/>
      </c>
      <c r="O1483" t="str">
        <f ca="1">IFERROR(__xludf.DUMMYFUNCTION("""COMPUTED_VALUE"""),"")</f>
        <v/>
      </c>
      <c r="P1483" t="str">
        <f ca="1">IFERROR(__xludf.DUMMYFUNCTION("""COMPUTED_VALUE"""),"")</f>
        <v/>
      </c>
      <c r="Q1483" s="5" t="str">
        <f ca="1">IFERROR(__xludf.DUMMYFUNCTION("""COMPUTED_VALUE"""),"")</f>
        <v/>
      </c>
      <c r="R1483" s="6" t="str">
        <f ca="1">IFERROR(__xludf.DUMMYFUNCTION("""COMPUTED_VALUE"""),"")</f>
        <v/>
      </c>
      <c r="S1483" t="str">
        <f ca="1">IFERROR(__xludf.DUMMYFUNCTION("""COMPUTED_VALUE"""),"")</f>
        <v/>
      </c>
      <c r="T1483" t="str">
        <f ca="1">IFERROR(__xludf.DUMMYFUNCTION("""COMPUTED_VALUE"""),"")</f>
        <v/>
      </c>
      <c r="U1483" t="str">
        <f ca="1">IFERROR(__xludf.DUMMYFUNCTION("""COMPUTED_VALUE"""),"")</f>
        <v/>
      </c>
      <c r="V1483" t="str">
        <f ca="1">IFERROR(__xludf.DUMMYFUNCTION("""COMPUTED_VALUE"""),"")</f>
        <v/>
      </c>
      <c r="W1483" t="str">
        <f ca="1">IFERROR(__xludf.DUMMYFUNCTION("""COMPUTED_VALUE"""),"")</f>
        <v/>
      </c>
      <c r="X1483" t="str">
        <f ca="1">IFERROR(__xludf.DUMMYFUNCTION("""COMPUTED_VALUE"""),"")</f>
        <v/>
      </c>
      <c r="Y1483" t="str">
        <f ca="1">IFERROR(__xludf.DUMMYFUNCTION("""COMPUTED_VALUE"""),"")</f>
        <v/>
      </c>
      <c r="Z1483" t="str">
        <f ca="1">IFERROR(__xludf.DUMMYFUNCTION("""COMPUTED_VALUE"""),"")</f>
        <v/>
      </c>
      <c r="AA1483" t="str">
        <f ca="1">IFERROR(__xludf.DUMMYFUNCTION("""COMPUTED_VALUE"""),"")</f>
        <v/>
      </c>
      <c r="AB1483" s="8" t="str">
        <f ca="1">IFERROR(__xludf.DUMMYFUNCTION("""COMPUTED_VALUE"""),"")</f>
        <v/>
      </c>
      <c r="AC1483" s="8" t="str">
        <f ca="1">IFERROR(__xludf.DUMMYFUNCTION("""COMPUTED_VALUE"""),"")</f>
        <v/>
      </c>
      <c r="AD1483" s="11" t="str">
        <f ca="1">IFERROR(__xludf.DUMMYFUNCTION("""COMPUTED_VALUE"""),"")</f>
        <v/>
      </c>
      <c r="AE1483" t="str">
        <f ca="1">IFERROR(__xludf.DUMMYFUNCTION("""COMPUTED_VALUE"""),"")</f>
        <v/>
      </c>
    </row>
    <row r="1484" spans="1:31" ht="12.75" x14ac:dyDescent="0.2">
      <c r="A1484" t="str">
        <f ca="1">IFERROR(__xludf.DUMMYFUNCTION("""COMPUTED_VALUE"""),"")</f>
        <v/>
      </c>
      <c r="B1484" t="str">
        <f ca="1">IFERROR(__xludf.DUMMYFUNCTION("""COMPUTED_VALUE"""),"")</f>
        <v/>
      </c>
      <c r="C1484" t="str">
        <f ca="1">IFERROR(__xludf.DUMMYFUNCTION("""COMPUTED_VALUE"""),"")</f>
        <v/>
      </c>
      <c r="D1484" t="str">
        <f ca="1">IFERROR(__xludf.DUMMYFUNCTION("""COMPUTED_VALUE"""),"")</f>
        <v/>
      </c>
      <c r="E1484" t="str">
        <f ca="1">IFERROR(__xludf.DUMMYFUNCTION("""COMPUTED_VALUE"""),"")</f>
        <v/>
      </c>
      <c r="F1484" t="str">
        <f ca="1">IFERROR(__xludf.DUMMYFUNCTION("""COMPUTED_VALUE"""),"")</f>
        <v/>
      </c>
      <c r="G1484" t="str">
        <f ca="1">IFERROR(__xludf.DUMMYFUNCTION("""COMPUTED_VALUE"""),"")</f>
        <v/>
      </c>
      <c r="H1484" t="str">
        <f ca="1">IFERROR(__xludf.DUMMYFUNCTION("""COMPUTED_VALUE"""),"")</f>
        <v/>
      </c>
      <c r="I1484" t="str">
        <f ca="1">IFERROR(__xludf.DUMMYFUNCTION("""COMPUTED_VALUE"""),"")</f>
        <v/>
      </c>
      <c r="J1484" t="str">
        <f ca="1">IFERROR(__xludf.DUMMYFUNCTION("""COMPUTED_VALUE"""),"")</f>
        <v/>
      </c>
      <c r="K1484" t="str">
        <f ca="1">IFERROR(__xludf.DUMMYFUNCTION("""COMPUTED_VALUE"""),"")</f>
        <v/>
      </c>
      <c r="L1484" t="str">
        <f ca="1">IFERROR(__xludf.DUMMYFUNCTION("""COMPUTED_VALUE"""),"")</f>
        <v/>
      </c>
      <c r="M1484" t="str">
        <f ca="1">IFERROR(__xludf.DUMMYFUNCTION("""COMPUTED_VALUE"""),"")</f>
        <v/>
      </c>
      <c r="N1484" t="str">
        <f ca="1">IFERROR(__xludf.DUMMYFUNCTION("""COMPUTED_VALUE"""),"")</f>
        <v/>
      </c>
      <c r="O1484" t="str">
        <f ca="1">IFERROR(__xludf.DUMMYFUNCTION("""COMPUTED_VALUE"""),"")</f>
        <v/>
      </c>
      <c r="P1484" t="str">
        <f ca="1">IFERROR(__xludf.DUMMYFUNCTION("""COMPUTED_VALUE"""),"")</f>
        <v/>
      </c>
      <c r="Q1484" s="5" t="str">
        <f ca="1">IFERROR(__xludf.DUMMYFUNCTION("""COMPUTED_VALUE"""),"")</f>
        <v/>
      </c>
      <c r="R1484" s="6" t="str">
        <f ca="1">IFERROR(__xludf.DUMMYFUNCTION("""COMPUTED_VALUE"""),"")</f>
        <v/>
      </c>
      <c r="S1484" t="str">
        <f ca="1">IFERROR(__xludf.DUMMYFUNCTION("""COMPUTED_VALUE"""),"")</f>
        <v/>
      </c>
      <c r="T1484" t="str">
        <f ca="1">IFERROR(__xludf.DUMMYFUNCTION("""COMPUTED_VALUE"""),"")</f>
        <v/>
      </c>
      <c r="U1484" t="str">
        <f ca="1">IFERROR(__xludf.DUMMYFUNCTION("""COMPUTED_VALUE"""),"")</f>
        <v/>
      </c>
      <c r="V1484" t="str">
        <f ca="1">IFERROR(__xludf.DUMMYFUNCTION("""COMPUTED_VALUE"""),"")</f>
        <v/>
      </c>
      <c r="W1484" t="str">
        <f ca="1">IFERROR(__xludf.DUMMYFUNCTION("""COMPUTED_VALUE"""),"")</f>
        <v/>
      </c>
      <c r="X1484" t="str">
        <f ca="1">IFERROR(__xludf.DUMMYFUNCTION("""COMPUTED_VALUE"""),"")</f>
        <v/>
      </c>
      <c r="Y1484" t="str">
        <f ca="1">IFERROR(__xludf.DUMMYFUNCTION("""COMPUTED_VALUE"""),"")</f>
        <v/>
      </c>
      <c r="Z1484" t="str">
        <f ca="1">IFERROR(__xludf.DUMMYFUNCTION("""COMPUTED_VALUE"""),"")</f>
        <v/>
      </c>
      <c r="AA1484" t="str">
        <f ca="1">IFERROR(__xludf.DUMMYFUNCTION("""COMPUTED_VALUE"""),"")</f>
        <v/>
      </c>
      <c r="AB1484" s="8" t="str">
        <f ca="1">IFERROR(__xludf.DUMMYFUNCTION("""COMPUTED_VALUE"""),"")</f>
        <v/>
      </c>
      <c r="AC1484" s="8" t="str">
        <f ca="1">IFERROR(__xludf.DUMMYFUNCTION("""COMPUTED_VALUE"""),"")</f>
        <v/>
      </c>
      <c r="AD1484" s="11" t="str">
        <f ca="1">IFERROR(__xludf.DUMMYFUNCTION("""COMPUTED_VALUE"""),"")</f>
        <v/>
      </c>
      <c r="AE1484" t="str">
        <f ca="1">IFERROR(__xludf.DUMMYFUNCTION("""COMPUTED_VALUE"""),"")</f>
        <v/>
      </c>
    </row>
    <row r="1485" spans="1:31" ht="12.75" x14ac:dyDescent="0.2">
      <c r="A1485" t="str">
        <f ca="1">IFERROR(__xludf.DUMMYFUNCTION("""COMPUTED_VALUE"""),"")</f>
        <v/>
      </c>
      <c r="B1485" t="str">
        <f ca="1">IFERROR(__xludf.DUMMYFUNCTION("""COMPUTED_VALUE"""),"")</f>
        <v/>
      </c>
      <c r="C1485" t="str">
        <f ca="1">IFERROR(__xludf.DUMMYFUNCTION("""COMPUTED_VALUE"""),"")</f>
        <v/>
      </c>
      <c r="D1485" t="str">
        <f ca="1">IFERROR(__xludf.DUMMYFUNCTION("""COMPUTED_VALUE"""),"")</f>
        <v/>
      </c>
      <c r="E1485" t="str">
        <f ca="1">IFERROR(__xludf.DUMMYFUNCTION("""COMPUTED_VALUE"""),"")</f>
        <v/>
      </c>
      <c r="F1485" t="str">
        <f ca="1">IFERROR(__xludf.DUMMYFUNCTION("""COMPUTED_VALUE"""),"")</f>
        <v/>
      </c>
      <c r="G1485" t="str">
        <f ca="1">IFERROR(__xludf.DUMMYFUNCTION("""COMPUTED_VALUE"""),"")</f>
        <v/>
      </c>
      <c r="H1485" t="str">
        <f ca="1">IFERROR(__xludf.DUMMYFUNCTION("""COMPUTED_VALUE"""),"")</f>
        <v/>
      </c>
      <c r="I1485" t="str">
        <f ca="1">IFERROR(__xludf.DUMMYFUNCTION("""COMPUTED_VALUE"""),"")</f>
        <v/>
      </c>
      <c r="J1485" t="str">
        <f ca="1">IFERROR(__xludf.DUMMYFUNCTION("""COMPUTED_VALUE"""),"")</f>
        <v/>
      </c>
      <c r="K1485" t="str">
        <f ca="1">IFERROR(__xludf.DUMMYFUNCTION("""COMPUTED_VALUE"""),"")</f>
        <v/>
      </c>
      <c r="L1485" t="str">
        <f ca="1">IFERROR(__xludf.DUMMYFUNCTION("""COMPUTED_VALUE"""),"")</f>
        <v/>
      </c>
      <c r="M1485" t="str">
        <f ca="1">IFERROR(__xludf.DUMMYFUNCTION("""COMPUTED_VALUE"""),"")</f>
        <v/>
      </c>
      <c r="N1485" t="str">
        <f ca="1">IFERROR(__xludf.DUMMYFUNCTION("""COMPUTED_VALUE"""),"")</f>
        <v/>
      </c>
      <c r="O1485" t="str">
        <f ca="1">IFERROR(__xludf.DUMMYFUNCTION("""COMPUTED_VALUE"""),"")</f>
        <v/>
      </c>
      <c r="P1485" t="str">
        <f ca="1">IFERROR(__xludf.DUMMYFUNCTION("""COMPUTED_VALUE"""),"")</f>
        <v/>
      </c>
      <c r="Q1485" s="5" t="str">
        <f ca="1">IFERROR(__xludf.DUMMYFUNCTION("""COMPUTED_VALUE"""),"")</f>
        <v/>
      </c>
      <c r="R1485" s="6" t="str">
        <f ca="1">IFERROR(__xludf.DUMMYFUNCTION("""COMPUTED_VALUE"""),"")</f>
        <v/>
      </c>
      <c r="S1485" t="str">
        <f ca="1">IFERROR(__xludf.DUMMYFUNCTION("""COMPUTED_VALUE"""),"")</f>
        <v/>
      </c>
      <c r="T1485" t="str">
        <f ca="1">IFERROR(__xludf.DUMMYFUNCTION("""COMPUTED_VALUE"""),"")</f>
        <v/>
      </c>
      <c r="U1485" t="str">
        <f ca="1">IFERROR(__xludf.DUMMYFUNCTION("""COMPUTED_VALUE"""),"")</f>
        <v/>
      </c>
      <c r="V1485" t="str">
        <f ca="1">IFERROR(__xludf.DUMMYFUNCTION("""COMPUTED_VALUE"""),"")</f>
        <v/>
      </c>
      <c r="W1485" t="str">
        <f ca="1">IFERROR(__xludf.DUMMYFUNCTION("""COMPUTED_VALUE"""),"")</f>
        <v/>
      </c>
      <c r="X1485" t="str">
        <f ca="1">IFERROR(__xludf.DUMMYFUNCTION("""COMPUTED_VALUE"""),"")</f>
        <v/>
      </c>
      <c r="Y1485" t="str">
        <f ca="1">IFERROR(__xludf.DUMMYFUNCTION("""COMPUTED_VALUE"""),"")</f>
        <v/>
      </c>
      <c r="Z1485" t="str">
        <f ca="1">IFERROR(__xludf.DUMMYFUNCTION("""COMPUTED_VALUE"""),"")</f>
        <v/>
      </c>
      <c r="AA1485" t="str">
        <f ca="1">IFERROR(__xludf.DUMMYFUNCTION("""COMPUTED_VALUE"""),"")</f>
        <v/>
      </c>
      <c r="AB1485" s="8" t="str">
        <f ca="1">IFERROR(__xludf.DUMMYFUNCTION("""COMPUTED_VALUE"""),"")</f>
        <v/>
      </c>
      <c r="AC1485" s="8" t="str">
        <f ca="1">IFERROR(__xludf.DUMMYFUNCTION("""COMPUTED_VALUE"""),"")</f>
        <v/>
      </c>
      <c r="AD1485" s="11" t="str">
        <f ca="1">IFERROR(__xludf.DUMMYFUNCTION("""COMPUTED_VALUE"""),"")</f>
        <v/>
      </c>
      <c r="AE1485" t="str">
        <f ca="1">IFERROR(__xludf.DUMMYFUNCTION("""COMPUTED_VALUE"""),"")</f>
        <v/>
      </c>
    </row>
    <row r="1486" spans="1:31" ht="12.75" x14ac:dyDescent="0.2">
      <c r="A1486" t="str">
        <f ca="1">IFERROR(__xludf.DUMMYFUNCTION("""COMPUTED_VALUE"""),"")</f>
        <v/>
      </c>
      <c r="B1486" t="str">
        <f ca="1">IFERROR(__xludf.DUMMYFUNCTION("""COMPUTED_VALUE"""),"")</f>
        <v/>
      </c>
      <c r="C1486" t="str">
        <f ca="1">IFERROR(__xludf.DUMMYFUNCTION("""COMPUTED_VALUE"""),"")</f>
        <v/>
      </c>
      <c r="D1486" t="str">
        <f ca="1">IFERROR(__xludf.DUMMYFUNCTION("""COMPUTED_VALUE"""),"")</f>
        <v/>
      </c>
      <c r="E1486" t="str">
        <f ca="1">IFERROR(__xludf.DUMMYFUNCTION("""COMPUTED_VALUE"""),"")</f>
        <v/>
      </c>
      <c r="F1486" t="str">
        <f ca="1">IFERROR(__xludf.DUMMYFUNCTION("""COMPUTED_VALUE"""),"")</f>
        <v/>
      </c>
      <c r="G1486" t="str">
        <f ca="1">IFERROR(__xludf.DUMMYFUNCTION("""COMPUTED_VALUE"""),"")</f>
        <v/>
      </c>
      <c r="H1486" t="str">
        <f ca="1">IFERROR(__xludf.DUMMYFUNCTION("""COMPUTED_VALUE"""),"")</f>
        <v/>
      </c>
      <c r="I1486" t="str">
        <f ca="1">IFERROR(__xludf.DUMMYFUNCTION("""COMPUTED_VALUE"""),"")</f>
        <v/>
      </c>
      <c r="J1486" t="str">
        <f ca="1">IFERROR(__xludf.DUMMYFUNCTION("""COMPUTED_VALUE"""),"")</f>
        <v/>
      </c>
      <c r="K1486" t="str">
        <f ca="1">IFERROR(__xludf.DUMMYFUNCTION("""COMPUTED_VALUE"""),"")</f>
        <v/>
      </c>
      <c r="L1486" t="str">
        <f ca="1">IFERROR(__xludf.DUMMYFUNCTION("""COMPUTED_VALUE"""),"")</f>
        <v/>
      </c>
      <c r="M1486" t="str">
        <f ca="1">IFERROR(__xludf.DUMMYFUNCTION("""COMPUTED_VALUE"""),"")</f>
        <v/>
      </c>
      <c r="N1486" t="str">
        <f ca="1">IFERROR(__xludf.DUMMYFUNCTION("""COMPUTED_VALUE"""),"")</f>
        <v/>
      </c>
      <c r="O1486" t="str">
        <f ca="1">IFERROR(__xludf.DUMMYFUNCTION("""COMPUTED_VALUE"""),"")</f>
        <v/>
      </c>
      <c r="P1486" t="str">
        <f ca="1">IFERROR(__xludf.DUMMYFUNCTION("""COMPUTED_VALUE"""),"")</f>
        <v/>
      </c>
      <c r="Q1486" s="5" t="str">
        <f ca="1">IFERROR(__xludf.DUMMYFUNCTION("""COMPUTED_VALUE"""),"")</f>
        <v/>
      </c>
      <c r="R1486" s="6" t="str">
        <f ca="1">IFERROR(__xludf.DUMMYFUNCTION("""COMPUTED_VALUE"""),"")</f>
        <v/>
      </c>
      <c r="S1486" t="str">
        <f ca="1">IFERROR(__xludf.DUMMYFUNCTION("""COMPUTED_VALUE"""),"")</f>
        <v/>
      </c>
      <c r="T1486" t="str">
        <f ca="1">IFERROR(__xludf.DUMMYFUNCTION("""COMPUTED_VALUE"""),"")</f>
        <v/>
      </c>
      <c r="U1486" t="str">
        <f ca="1">IFERROR(__xludf.DUMMYFUNCTION("""COMPUTED_VALUE"""),"")</f>
        <v/>
      </c>
      <c r="V1486" t="str">
        <f ca="1">IFERROR(__xludf.DUMMYFUNCTION("""COMPUTED_VALUE"""),"")</f>
        <v/>
      </c>
      <c r="W1486" t="str">
        <f ca="1">IFERROR(__xludf.DUMMYFUNCTION("""COMPUTED_VALUE"""),"")</f>
        <v/>
      </c>
      <c r="X1486" t="str">
        <f ca="1">IFERROR(__xludf.DUMMYFUNCTION("""COMPUTED_VALUE"""),"")</f>
        <v/>
      </c>
      <c r="Y1486" t="str">
        <f ca="1">IFERROR(__xludf.DUMMYFUNCTION("""COMPUTED_VALUE"""),"")</f>
        <v/>
      </c>
      <c r="Z1486" t="str">
        <f ca="1">IFERROR(__xludf.DUMMYFUNCTION("""COMPUTED_VALUE"""),"")</f>
        <v/>
      </c>
      <c r="AA1486" t="str">
        <f ca="1">IFERROR(__xludf.DUMMYFUNCTION("""COMPUTED_VALUE"""),"")</f>
        <v/>
      </c>
      <c r="AB1486" s="8" t="str">
        <f ca="1">IFERROR(__xludf.DUMMYFUNCTION("""COMPUTED_VALUE"""),"")</f>
        <v/>
      </c>
      <c r="AC1486" s="8" t="str">
        <f ca="1">IFERROR(__xludf.DUMMYFUNCTION("""COMPUTED_VALUE"""),"")</f>
        <v/>
      </c>
      <c r="AD1486" s="11" t="str">
        <f ca="1">IFERROR(__xludf.DUMMYFUNCTION("""COMPUTED_VALUE"""),"")</f>
        <v/>
      </c>
      <c r="AE1486" t="str">
        <f ca="1">IFERROR(__xludf.DUMMYFUNCTION("""COMPUTED_VALUE"""),"")</f>
        <v/>
      </c>
    </row>
    <row r="1487" spans="1:31" ht="12.75" x14ac:dyDescent="0.2">
      <c r="A1487" t="str">
        <f ca="1">IFERROR(__xludf.DUMMYFUNCTION("""COMPUTED_VALUE"""),"")</f>
        <v/>
      </c>
      <c r="B1487" t="str">
        <f ca="1">IFERROR(__xludf.DUMMYFUNCTION("""COMPUTED_VALUE"""),"")</f>
        <v/>
      </c>
      <c r="C1487" t="str">
        <f ca="1">IFERROR(__xludf.DUMMYFUNCTION("""COMPUTED_VALUE"""),"")</f>
        <v/>
      </c>
      <c r="D1487" t="str">
        <f ca="1">IFERROR(__xludf.DUMMYFUNCTION("""COMPUTED_VALUE"""),"")</f>
        <v/>
      </c>
      <c r="E1487" t="str">
        <f ca="1">IFERROR(__xludf.DUMMYFUNCTION("""COMPUTED_VALUE"""),"")</f>
        <v/>
      </c>
      <c r="F1487" t="str">
        <f ca="1">IFERROR(__xludf.DUMMYFUNCTION("""COMPUTED_VALUE"""),"")</f>
        <v/>
      </c>
      <c r="G1487" t="str">
        <f ca="1">IFERROR(__xludf.DUMMYFUNCTION("""COMPUTED_VALUE"""),"")</f>
        <v/>
      </c>
      <c r="H1487" t="str">
        <f ca="1">IFERROR(__xludf.DUMMYFUNCTION("""COMPUTED_VALUE"""),"")</f>
        <v/>
      </c>
      <c r="I1487" t="str">
        <f ca="1">IFERROR(__xludf.DUMMYFUNCTION("""COMPUTED_VALUE"""),"")</f>
        <v/>
      </c>
      <c r="J1487" t="str">
        <f ca="1">IFERROR(__xludf.DUMMYFUNCTION("""COMPUTED_VALUE"""),"")</f>
        <v/>
      </c>
      <c r="K1487" t="str">
        <f ca="1">IFERROR(__xludf.DUMMYFUNCTION("""COMPUTED_VALUE"""),"")</f>
        <v/>
      </c>
      <c r="L1487" t="str">
        <f ca="1">IFERROR(__xludf.DUMMYFUNCTION("""COMPUTED_VALUE"""),"")</f>
        <v/>
      </c>
      <c r="M1487" t="str">
        <f ca="1">IFERROR(__xludf.DUMMYFUNCTION("""COMPUTED_VALUE"""),"")</f>
        <v/>
      </c>
      <c r="N1487" t="str">
        <f ca="1">IFERROR(__xludf.DUMMYFUNCTION("""COMPUTED_VALUE"""),"")</f>
        <v/>
      </c>
      <c r="O1487" t="str">
        <f ca="1">IFERROR(__xludf.DUMMYFUNCTION("""COMPUTED_VALUE"""),"")</f>
        <v/>
      </c>
      <c r="P1487" t="str">
        <f ca="1">IFERROR(__xludf.DUMMYFUNCTION("""COMPUTED_VALUE"""),"")</f>
        <v/>
      </c>
      <c r="Q1487" s="5" t="str">
        <f ca="1">IFERROR(__xludf.DUMMYFUNCTION("""COMPUTED_VALUE"""),"")</f>
        <v/>
      </c>
      <c r="R1487" s="6" t="str">
        <f ca="1">IFERROR(__xludf.DUMMYFUNCTION("""COMPUTED_VALUE"""),"")</f>
        <v/>
      </c>
      <c r="S1487" t="str">
        <f ca="1">IFERROR(__xludf.DUMMYFUNCTION("""COMPUTED_VALUE"""),"")</f>
        <v/>
      </c>
      <c r="T1487" t="str">
        <f ca="1">IFERROR(__xludf.DUMMYFUNCTION("""COMPUTED_VALUE"""),"")</f>
        <v/>
      </c>
      <c r="U1487" t="str">
        <f ca="1">IFERROR(__xludf.DUMMYFUNCTION("""COMPUTED_VALUE"""),"")</f>
        <v/>
      </c>
      <c r="V1487" t="str">
        <f ca="1">IFERROR(__xludf.DUMMYFUNCTION("""COMPUTED_VALUE"""),"")</f>
        <v/>
      </c>
      <c r="W1487" t="str">
        <f ca="1">IFERROR(__xludf.DUMMYFUNCTION("""COMPUTED_VALUE"""),"")</f>
        <v/>
      </c>
      <c r="X1487" t="str">
        <f ca="1">IFERROR(__xludf.DUMMYFUNCTION("""COMPUTED_VALUE"""),"")</f>
        <v/>
      </c>
      <c r="Y1487" t="str">
        <f ca="1">IFERROR(__xludf.DUMMYFUNCTION("""COMPUTED_VALUE"""),"")</f>
        <v/>
      </c>
      <c r="Z1487" t="str">
        <f ca="1">IFERROR(__xludf.DUMMYFUNCTION("""COMPUTED_VALUE"""),"")</f>
        <v/>
      </c>
      <c r="AA1487" t="str">
        <f ca="1">IFERROR(__xludf.DUMMYFUNCTION("""COMPUTED_VALUE"""),"")</f>
        <v/>
      </c>
      <c r="AB1487" s="8" t="str">
        <f ca="1">IFERROR(__xludf.DUMMYFUNCTION("""COMPUTED_VALUE"""),"")</f>
        <v/>
      </c>
      <c r="AC1487" s="8" t="str">
        <f ca="1">IFERROR(__xludf.DUMMYFUNCTION("""COMPUTED_VALUE"""),"")</f>
        <v/>
      </c>
      <c r="AD1487" s="11" t="str">
        <f ca="1">IFERROR(__xludf.DUMMYFUNCTION("""COMPUTED_VALUE"""),"")</f>
        <v/>
      </c>
      <c r="AE1487" t="str">
        <f ca="1">IFERROR(__xludf.DUMMYFUNCTION("""COMPUTED_VALUE"""),"")</f>
        <v/>
      </c>
    </row>
    <row r="1488" spans="1:31" ht="12.75" x14ac:dyDescent="0.2">
      <c r="A1488" t="str">
        <f ca="1">IFERROR(__xludf.DUMMYFUNCTION("""COMPUTED_VALUE"""),"")</f>
        <v/>
      </c>
      <c r="B1488" t="str">
        <f ca="1">IFERROR(__xludf.DUMMYFUNCTION("""COMPUTED_VALUE"""),"")</f>
        <v/>
      </c>
      <c r="C1488" t="str">
        <f ca="1">IFERROR(__xludf.DUMMYFUNCTION("""COMPUTED_VALUE"""),"")</f>
        <v/>
      </c>
      <c r="D1488" t="str">
        <f ca="1">IFERROR(__xludf.DUMMYFUNCTION("""COMPUTED_VALUE"""),"")</f>
        <v/>
      </c>
      <c r="E1488" t="str">
        <f ca="1">IFERROR(__xludf.DUMMYFUNCTION("""COMPUTED_VALUE"""),"")</f>
        <v/>
      </c>
      <c r="F1488" t="str">
        <f ca="1">IFERROR(__xludf.DUMMYFUNCTION("""COMPUTED_VALUE"""),"")</f>
        <v/>
      </c>
      <c r="G1488" t="str">
        <f ca="1">IFERROR(__xludf.DUMMYFUNCTION("""COMPUTED_VALUE"""),"")</f>
        <v/>
      </c>
      <c r="H1488" t="str">
        <f ca="1">IFERROR(__xludf.DUMMYFUNCTION("""COMPUTED_VALUE"""),"")</f>
        <v/>
      </c>
      <c r="I1488" t="str">
        <f ca="1">IFERROR(__xludf.DUMMYFUNCTION("""COMPUTED_VALUE"""),"")</f>
        <v/>
      </c>
      <c r="J1488" t="str">
        <f ca="1">IFERROR(__xludf.DUMMYFUNCTION("""COMPUTED_VALUE"""),"")</f>
        <v/>
      </c>
      <c r="K1488" t="str">
        <f ca="1">IFERROR(__xludf.DUMMYFUNCTION("""COMPUTED_VALUE"""),"")</f>
        <v/>
      </c>
      <c r="L1488" t="str">
        <f ca="1">IFERROR(__xludf.DUMMYFUNCTION("""COMPUTED_VALUE"""),"")</f>
        <v/>
      </c>
      <c r="M1488" t="str">
        <f ca="1">IFERROR(__xludf.DUMMYFUNCTION("""COMPUTED_VALUE"""),"")</f>
        <v/>
      </c>
      <c r="N1488" t="str">
        <f ca="1">IFERROR(__xludf.DUMMYFUNCTION("""COMPUTED_VALUE"""),"")</f>
        <v/>
      </c>
      <c r="O1488" t="str">
        <f ca="1">IFERROR(__xludf.DUMMYFUNCTION("""COMPUTED_VALUE"""),"")</f>
        <v/>
      </c>
      <c r="P1488" t="str">
        <f ca="1">IFERROR(__xludf.DUMMYFUNCTION("""COMPUTED_VALUE"""),"")</f>
        <v/>
      </c>
      <c r="Q1488" s="5" t="str">
        <f ca="1">IFERROR(__xludf.DUMMYFUNCTION("""COMPUTED_VALUE"""),"")</f>
        <v/>
      </c>
      <c r="R1488" s="6" t="str">
        <f ca="1">IFERROR(__xludf.DUMMYFUNCTION("""COMPUTED_VALUE"""),"")</f>
        <v/>
      </c>
      <c r="S1488" t="str">
        <f ca="1">IFERROR(__xludf.DUMMYFUNCTION("""COMPUTED_VALUE"""),"")</f>
        <v/>
      </c>
      <c r="T1488" t="str">
        <f ca="1">IFERROR(__xludf.DUMMYFUNCTION("""COMPUTED_VALUE"""),"")</f>
        <v/>
      </c>
      <c r="U1488" t="str">
        <f ca="1">IFERROR(__xludf.DUMMYFUNCTION("""COMPUTED_VALUE"""),"")</f>
        <v/>
      </c>
      <c r="V1488" t="str">
        <f ca="1">IFERROR(__xludf.DUMMYFUNCTION("""COMPUTED_VALUE"""),"")</f>
        <v/>
      </c>
      <c r="W1488" t="str">
        <f ca="1">IFERROR(__xludf.DUMMYFUNCTION("""COMPUTED_VALUE"""),"")</f>
        <v/>
      </c>
      <c r="X1488" t="str">
        <f ca="1">IFERROR(__xludf.DUMMYFUNCTION("""COMPUTED_VALUE"""),"")</f>
        <v/>
      </c>
      <c r="Y1488" t="str">
        <f ca="1">IFERROR(__xludf.DUMMYFUNCTION("""COMPUTED_VALUE"""),"")</f>
        <v/>
      </c>
      <c r="Z1488" t="str">
        <f ca="1">IFERROR(__xludf.DUMMYFUNCTION("""COMPUTED_VALUE"""),"")</f>
        <v/>
      </c>
      <c r="AA1488" t="str">
        <f ca="1">IFERROR(__xludf.DUMMYFUNCTION("""COMPUTED_VALUE"""),"")</f>
        <v/>
      </c>
      <c r="AB1488" s="8" t="str">
        <f ca="1">IFERROR(__xludf.DUMMYFUNCTION("""COMPUTED_VALUE"""),"")</f>
        <v/>
      </c>
      <c r="AC1488" s="8" t="str">
        <f ca="1">IFERROR(__xludf.DUMMYFUNCTION("""COMPUTED_VALUE"""),"")</f>
        <v/>
      </c>
      <c r="AD1488" s="11" t="str">
        <f ca="1">IFERROR(__xludf.DUMMYFUNCTION("""COMPUTED_VALUE"""),"")</f>
        <v/>
      </c>
      <c r="AE1488" t="str">
        <f ca="1">IFERROR(__xludf.DUMMYFUNCTION("""COMPUTED_VALUE"""),"")</f>
        <v/>
      </c>
    </row>
    <row r="1489" spans="1:31" ht="12.75" x14ac:dyDescent="0.2">
      <c r="A1489" t="str">
        <f ca="1">IFERROR(__xludf.DUMMYFUNCTION("""COMPUTED_VALUE"""),"")</f>
        <v/>
      </c>
      <c r="B1489" t="str">
        <f ca="1">IFERROR(__xludf.DUMMYFUNCTION("""COMPUTED_VALUE"""),"")</f>
        <v/>
      </c>
      <c r="C1489" t="str">
        <f ca="1">IFERROR(__xludf.DUMMYFUNCTION("""COMPUTED_VALUE"""),"")</f>
        <v/>
      </c>
      <c r="D1489" t="str">
        <f ca="1">IFERROR(__xludf.DUMMYFUNCTION("""COMPUTED_VALUE"""),"")</f>
        <v/>
      </c>
      <c r="E1489" t="str">
        <f ca="1">IFERROR(__xludf.DUMMYFUNCTION("""COMPUTED_VALUE"""),"")</f>
        <v/>
      </c>
      <c r="F1489" t="str">
        <f ca="1">IFERROR(__xludf.DUMMYFUNCTION("""COMPUTED_VALUE"""),"")</f>
        <v/>
      </c>
      <c r="G1489" t="str">
        <f ca="1">IFERROR(__xludf.DUMMYFUNCTION("""COMPUTED_VALUE"""),"")</f>
        <v/>
      </c>
      <c r="H1489" t="str">
        <f ca="1">IFERROR(__xludf.DUMMYFUNCTION("""COMPUTED_VALUE"""),"")</f>
        <v/>
      </c>
      <c r="I1489" t="str">
        <f ca="1">IFERROR(__xludf.DUMMYFUNCTION("""COMPUTED_VALUE"""),"")</f>
        <v/>
      </c>
      <c r="J1489" t="str">
        <f ca="1">IFERROR(__xludf.DUMMYFUNCTION("""COMPUTED_VALUE"""),"")</f>
        <v/>
      </c>
      <c r="K1489" t="str">
        <f ca="1">IFERROR(__xludf.DUMMYFUNCTION("""COMPUTED_VALUE"""),"")</f>
        <v/>
      </c>
      <c r="L1489" t="str">
        <f ca="1">IFERROR(__xludf.DUMMYFUNCTION("""COMPUTED_VALUE"""),"")</f>
        <v/>
      </c>
      <c r="M1489" t="str">
        <f ca="1">IFERROR(__xludf.DUMMYFUNCTION("""COMPUTED_VALUE"""),"")</f>
        <v/>
      </c>
      <c r="N1489" t="str">
        <f ca="1">IFERROR(__xludf.DUMMYFUNCTION("""COMPUTED_VALUE"""),"")</f>
        <v/>
      </c>
      <c r="O1489" t="str">
        <f ca="1">IFERROR(__xludf.DUMMYFUNCTION("""COMPUTED_VALUE"""),"")</f>
        <v/>
      </c>
      <c r="P1489" t="str">
        <f ca="1">IFERROR(__xludf.DUMMYFUNCTION("""COMPUTED_VALUE"""),"")</f>
        <v/>
      </c>
      <c r="Q1489" s="5" t="str">
        <f ca="1">IFERROR(__xludf.DUMMYFUNCTION("""COMPUTED_VALUE"""),"")</f>
        <v/>
      </c>
      <c r="R1489" s="6" t="str">
        <f ca="1">IFERROR(__xludf.DUMMYFUNCTION("""COMPUTED_VALUE"""),"")</f>
        <v/>
      </c>
      <c r="S1489" t="str">
        <f ca="1">IFERROR(__xludf.DUMMYFUNCTION("""COMPUTED_VALUE"""),"")</f>
        <v/>
      </c>
      <c r="T1489" t="str">
        <f ca="1">IFERROR(__xludf.DUMMYFUNCTION("""COMPUTED_VALUE"""),"")</f>
        <v/>
      </c>
      <c r="U1489" t="str">
        <f ca="1">IFERROR(__xludf.DUMMYFUNCTION("""COMPUTED_VALUE"""),"")</f>
        <v/>
      </c>
      <c r="V1489" t="str">
        <f ca="1">IFERROR(__xludf.DUMMYFUNCTION("""COMPUTED_VALUE"""),"")</f>
        <v/>
      </c>
      <c r="W1489" t="str">
        <f ca="1">IFERROR(__xludf.DUMMYFUNCTION("""COMPUTED_VALUE"""),"")</f>
        <v/>
      </c>
      <c r="X1489" t="str">
        <f ca="1">IFERROR(__xludf.DUMMYFUNCTION("""COMPUTED_VALUE"""),"")</f>
        <v/>
      </c>
      <c r="Y1489" t="str">
        <f ca="1">IFERROR(__xludf.DUMMYFUNCTION("""COMPUTED_VALUE"""),"")</f>
        <v/>
      </c>
      <c r="Z1489" t="str">
        <f ca="1">IFERROR(__xludf.DUMMYFUNCTION("""COMPUTED_VALUE"""),"")</f>
        <v/>
      </c>
      <c r="AA1489" t="str">
        <f ca="1">IFERROR(__xludf.DUMMYFUNCTION("""COMPUTED_VALUE"""),"")</f>
        <v/>
      </c>
      <c r="AB1489" s="8" t="str">
        <f ca="1">IFERROR(__xludf.DUMMYFUNCTION("""COMPUTED_VALUE"""),"")</f>
        <v/>
      </c>
      <c r="AC1489" s="8" t="str">
        <f ca="1">IFERROR(__xludf.DUMMYFUNCTION("""COMPUTED_VALUE"""),"")</f>
        <v/>
      </c>
      <c r="AD1489" s="11" t="str">
        <f ca="1">IFERROR(__xludf.DUMMYFUNCTION("""COMPUTED_VALUE"""),"")</f>
        <v/>
      </c>
      <c r="AE1489" t="str">
        <f ca="1">IFERROR(__xludf.DUMMYFUNCTION("""COMPUTED_VALUE"""),"")</f>
        <v/>
      </c>
    </row>
    <row r="1490" spans="1:31" ht="12.75" x14ac:dyDescent="0.2">
      <c r="A1490" t="str">
        <f ca="1">IFERROR(__xludf.DUMMYFUNCTION("""COMPUTED_VALUE"""),"")</f>
        <v/>
      </c>
      <c r="B1490" t="str">
        <f ca="1">IFERROR(__xludf.DUMMYFUNCTION("""COMPUTED_VALUE"""),"")</f>
        <v/>
      </c>
      <c r="C1490" t="str">
        <f ca="1">IFERROR(__xludf.DUMMYFUNCTION("""COMPUTED_VALUE"""),"")</f>
        <v/>
      </c>
      <c r="D1490" t="str">
        <f ca="1">IFERROR(__xludf.DUMMYFUNCTION("""COMPUTED_VALUE"""),"")</f>
        <v/>
      </c>
      <c r="E1490" t="str">
        <f ca="1">IFERROR(__xludf.DUMMYFUNCTION("""COMPUTED_VALUE"""),"")</f>
        <v/>
      </c>
      <c r="F1490" t="str">
        <f ca="1">IFERROR(__xludf.DUMMYFUNCTION("""COMPUTED_VALUE"""),"")</f>
        <v/>
      </c>
      <c r="G1490" t="str">
        <f ca="1">IFERROR(__xludf.DUMMYFUNCTION("""COMPUTED_VALUE"""),"")</f>
        <v/>
      </c>
      <c r="H1490" t="str">
        <f ca="1">IFERROR(__xludf.DUMMYFUNCTION("""COMPUTED_VALUE"""),"")</f>
        <v/>
      </c>
      <c r="I1490" t="str">
        <f ca="1">IFERROR(__xludf.DUMMYFUNCTION("""COMPUTED_VALUE"""),"")</f>
        <v/>
      </c>
      <c r="J1490" t="str">
        <f ca="1">IFERROR(__xludf.DUMMYFUNCTION("""COMPUTED_VALUE"""),"")</f>
        <v/>
      </c>
      <c r="K1490" t="str">
        <f ca="1">IFERROR(__xludf.DUMMYFUNCTION("""COMPUTED_VALUE"""),"")</f>
        <v/>
      </c>
      <c r="L1490" t="str">
        <f ca="1">IFERROR(__xludf.DUMMYFUNCTION("""COMPUTED_VALUE"""),"")</f>
        <v/>
      </c>
      <c r="M1490" t="str">
        <f ca="1">IFERROR(__xludf.DUMMYFUNCTION("""COMPUTED_VALUE"""),"")</f>
        <v/>
      </c>
      <c r="N1490" t="str">
        <f ca="1">IFERROR(__xludf.DUMMYFUNCTION("""COMPUTED_VALUE"""),"")</f>
        <v/>
      </c>
      <c r="O1490" t="str">
        <f ca="1">IFERROR(__xludf.DUMMYFUNCTION("""COMPUTED_VALUE"""),"")</f>
        <v/>
      </c>
      <c r="P1490" t="str">
        <f ca="1">IFERROR(__xludf.DUMMYFUNCTION("""COMPUTED_VALUE"""),"")</f>
        <v/>
      </c>
      <c r="Q1490" s="5" t="str">
        <f ca="1">IFERROR(__xludf.DUMMYFUNCTION("""COMPUTED_VALUE"""),"")</f>
        <v/>
      </c>
      <c r="R1490" s="6" t="str">
        <f ca="1">IFERROR(__xludf.DUMMYFUNCTION("""COMPUTED_VALUE"""),"")</f>
        <v/>
      </c>
      <c r="S1490" t="str">
        <f ca="1">IFERROR(__xludf.DUMMYFUNCTION("""COMPUTED_VALUE"""),"")</f>
        <v/>
      </c>
      <c r="T1490" t="str">
        <f ca="1">IFERROR(__xludf.DUMMYFUNCTION("""COMPUTED_VALUE"""),"")</f>
        <v/>
      </c>
      <c r="U1490" t="str">
        <f ca="1">IFERROR(__xludf.DUMMYFUNCTION("""COMPUTED_VALUE"""),"")</f>
        <v/>
      </c>
      <c r="V1490" t="str">
        <f ca="1">IFERROR(__xludf.DUMMYFUNCTION("""COMPUTED_VALUE"""),"")</f>
        <v/>
      </c>
      <c r="W1490" t="str">
        <f ca="1">IFERROR(__xludf.DUMMYFUNCTION("""COMPUTED_VALUE"""),"")</f>
        <v/>
      </c>
      <c r="X1490" t="str">
        <f ca="1">IFERROR(__xludf.DUMMYFUNCTION("""COMPUTED_VALUE"""),"")</f>
        <v/>
      </c>
      <c r="Y1490" t="str">
        <f ca="1">IFERROR(__xludf.DUMMYFUNCTION("""COMPUTED_VALUE"""),"")</f>
        <v/>
      </c>
      <c r="Z1490" t="str">
        <f ca="1">IFERROR(__xludf.DUMMYFUNCTION("""COMPUTED_VALUE"""),"")</f>
        <v/>
      </c>
      <c r="AA1490" t="str">
        <f ca="1">IFERROR(__xludf.DUMMYFUNCTION("""COMPUTED_VALUE"""),"")</f>
        <v/>
      </c>
      <c r="AB1490" s="8" t="str">
        <f ca="1">IFERROR(__xludf.DUMMYFUNCTION("""COMPUTED_VALUE"""),"")</f>
        <v/>
      </c>
      <c r="AC1490" s="8" t="str">
        <f ca="1">IFERROR(__xludf.DUMMYFUNCTION("""COMPUTED_VALUE"""),"")</f>
        <v/>
      </c>
      <c r="AD1490" s="11" t="str">
        <f ca="1">IFERROR(__xludf.DUMMYFUNCTION("""COMPUTED_VALUE"""),"")</f>
        <v/>
      </c>
      <c r="AE1490" t="str">
        <f ca="1">IFERROR(__xludf.DUMMYFUNCTION("""COMPUTED_VALUE"""),"")</f>
        <v/>
      </c>
    </row>
    <row r="1491" spans="1:31" ht="12.75" x14ac:dyDescent="0.2">
      <c r="A1491" t="str">
        <f ca="1">IFERROR(__xludf.DUMMYFUNCTION("""COMPUTED_VALUE"""),"")</f>
        <v/>
      </c>
      <c r="B1491" t="str">
        <f ca="1">IFERROR(__xludf.DUMMYFUNCTION("""COMPUTED_VALUE"""),"")</f>
        <v/>
      </c>
      <c r="C1491" t="str">
        <f ca="1">IFERROR(__xludf.DUMMYFUNCTION("""COMPUTED_VALUE"""),"")</f>
        <v/>
      </c>
      <c r="D1491" t="str">
        <f ca="1">IFERROR(__xludf.DUMMYFUNCTION("""COMPUTED_VALUE"""),"")</f>
        <v/>
      </c>
      <c r="E1491" t="str">
        <f ca="1">IFERROR(__xludf.DUMMYFUNCTION("""COMPUTED_VALUE"""),"")</f>
        <v/>
      </c>
      <c r="F1491" t="str">
        <f ca="1">IFERROR(__xludf.DUMMYFUNCTION("""COMPUTED_VALUE"""),"")</f>
        <v/>
      </c>
      <c r="G1491" t="str">
        <f ca="1">IFERROR(__xludf.DUMMYFUNCTION("""COMPUTED_VALUE"""),"")</f>
        <v/>
      </c>
      <c r="H1491" t="str">
        <f ca="1">IFERROR(__xludf.DUMMYFUNCTION("""COMPUTED_VALUE"""),"")</f>
        <v/>
      </c>
      <c r="I1491" t="str">
        <f ca="1">IFERROR(__xludf.DUMMYFUNCTION("""COMPUTED_VALUE"""),"")</f>
        <v/>
      </c>
      <c r="J1491" t="str">
        <f ca="1">IFERROR(__xludf.DUMMYFUNCTION("""COMPUTED_VALUE"""),"")</f>
        <v/>
      </c>
      <c r="K1491" t="str">
        <f ca="1">IFERROR(__xludf.DUMMYFUNCTION("""COMPUTED_VALUE"""),"")</f>
        <v/>
      </c>
      <c r="L1491" t="str">
        <f ca="1">IFERROR(__xludf.DUMMYFUNCTION("""COMPUTED_VALUE"""),"")</f>
        <v/>
      </c>
      <c r="M1491" t="str">
        <f ca="1">IFERROR(__xludf.DUMMYFUNCTION("""COMPUTED_VALUE"""),"")</f>
        <v/>
      </c>
      <c r="N1491" t="str">
        <f ca="1">IFERROR(__xludf.DUMMYFUNCTION("""COMPUTED_VALUE"""),"")</f>
        <v/>
      </c>
      <c r="O1491" t="str">
        <f ca="1">IFERROR(__xludf.DUMMYFUNCTION("""COMPUTED_VALUE"""),"")</f>
        <v/>
      </c>
      <c r="P1491" t="str">
        <f ca="1">IFERROR(__xludf.DUMMYFUNCTION("""COMPUTED_VALUE"""),"")</f>
        <v/>
      </c>
      <c r="Q1491" s="5" t="str">
        <f ca="1">IFERROR(__xludf.DUMMYFUNCTION("""COMPUTED_VALUE"""),"")</f>
        <v/>
      </c>
      <c r="R1491" s="6" t="str">
        <f ca="1">IFERROR(__xludf.DUMMYFUNCTION("""COMPUTED_VALUE"""),"")</f>
        <v/>
      </c>
      <c r="S1491" t="str">
        <f ca="1">IFERROR(__xludf.DUMMYFUNCTION("""COMPUTED_VALUE"""),"")</f>
        <v/>
      </c>
      <c r="T1491" t="str">
        <f ca="1">IFERROR(__xludf.DUMMYFUNCTION("""COMPUTED_VALUE"""),"")</f>
        <v/>
      </c>
      <c r="U1491" t="str">
        <f ca="1">IFERROR(__xludf.DUMMYFUNCTION("""COMPUTED_VALUE"""),"")</f>
        <v/>
      </c>
      <c r="V1491" t="str">
        <f ca="1">IFERROR(__xludf.DUMMYFUNCTION("""COMPUTED_VALUE"""),"")</f>
        <v/>
      </c>
      <c r="W1491" t="str">
        <f ca="1">IFERROR(__xludf.DUMMYFUNCTION("""COMPUTED_VALUE"""),"")</f>
        <v/>
      </c>
      <c r="X1491" t="str">
        <f ca="1">IFERROR(__xludf.DUMMYFUNCTION("""COMPUTED_VALUE"""),"")</f>
        <v/>
      </c>
      <c r="Y1491" t="str">
        <f ca="1">IFERROR(__xludf.DUMMYFUNCTION("""COMPUTED_VALUE"""),"")</f>
        <v/>
      </c>
      <c r="Z1491" t="str">
        <f ca="1">IFERROR(__xludf.DUMMYFUNCTION("""COMPUTED_VALUE"""),"")</f>
        <v/>
      </c>
      <c r="AA1491" t="str">
        <f ca="1">IFERROR(__xludf.DUMMYFUNCTION("""COMPUTED_VALUE"""),"")</f>
        <v/>
      </c>
      <c r="AB1491" s="8" t="str">
        <f ca="1">IFERROR(__xludf.DUMMYFUNCTION("""COMPUTED_VALUE"""),"")</f>
        <v/>
      </c>
      <c r="AC1491" s="8" t="str">
        <f ca="1">IFERROR(__xludf.DUMMYFUNCTION("""COMPUTED_VALUE"""),"")</f>
        <v/>
      </c>
      <c r="AD1491" s="11" t="str">
        <f ca="1">IFERROR(__xludf.DUMMYFUNCTION("""COMPUTED_VALUE"""),"")</f>
        <v/>
      </c>
      <c r="AE1491" t="str">
        <f ca="1">IFERROR(__xludf.DUMMYFUNCTION("""COMPUTED_VALUE"""),"")</f>
        <v/>
      </c>
    </row>
    <row r="1492" spans="1:31" ht="12.75" x14ac:dyDescent="0.2">
      <c r="A1492" t="str">
        <f ca="1">IFERROR(__xludf.DUMMYFUNCTION("""COMPUTED_VALUE"""),"")</f>
        <v/>
      </c>
      <c r="B1492" t="str">
        <f ca="1">IFERROR(__xludf.DUMMYFUNCTION("""COMPUTED_VALUE"""),"")</f>
        <v/>
      </c>
      <c r="C1492" t="str">
        <f ca="1">IFERROR(__xludf.DUMMYFUNCTION("""COMPUTED_VALUE"""),"")</f>
        <v/>
      </c>
      <c r="D1492" t="str">
        <f ca="1">IFERROR(__xludf.DUMMYFUNCTION("""COMPUTED_VALUE"""),"")</f>
        <v/>
      </c>
      <c r="E1492" t="str">
        <f ca="1">IFERROR(__xludf.DUMMYFUNCTION("""COMPUTED_VALUE"""),"")</f>
        <v/>
      </c>
      <c r="F1492" t="str">
        <f ca="1">IFERROR(__xludf.DUMMYFUNCTION("""COMPUTED_VALUE"""),"")</f>
        <v/>
      </c>
      <c r="G1492" t="str">
        <f ca="1">IFERROR(__xludf.DUMMYFUNCTION("""COMPUTED_VALUE"""),"")</f>
        <v/>
      </c>
      <c r="H1492" t="str">
        <f ca="1">IFERROR(__xludf.DUMMYFUNCTION("""COMPUTED_VALUE"""),"")</f>
        <v/>
      </c>
      <c r="I1492" t="str">
        <f ca="1">IFERROR(__xludf.DUMMYFUNCTION("""COMPUTED_VALUE"""),"")</f>
        <v/>
      </c>
      <c r="J1492" t="str">
        <f ca="1">IFERROR(__xludf.DUMMYFUNCTION("""COMPUTED_VALUE"""),"")</f>
        <v/>
      </c>
      <c r="K1492" t="str">
        <f ca="1">IFERROR(__xludf.DUMMYFUNCTION("""COMPUTED_VALUE"""),"")</f>
        <v/>
      </c>
      <c r="L1492" t="str">
        <f ca="1">IFERROR(__xludf.DUMMYFUNCTION("""COMPUTED_VALUE"""),"")</f>
        <v/>
      </c>
      <c r="M1492" t="str">
        <f ca="1">IFERROR(__xludf.DUMMYFUNCTION("""COMPUTED_VALUE"""),"")</f>
        <v/>
      </c>
      <c r="N1492" t="str">
        <f ca="1">IFERROR(__xludf.DUMMYFUNCTION("""COMPUTED_VALUE"""),"")</f>
        <v/>
      </c>
      <c r="O1492" t="str">
        <f ca="1">IFERROR(__xludf.DUMMYFUNCTION("""COMPUTED_VALUE"""),"")</f>
        <v/>
      </c>
      <c r="P1492" t="str">
        <f ca="1">IFERROR(__xludf.DUMMYFUNCTION("""COMPUTED_VALUE"""),"")</f>
        <v/>
      </c>
      <c r="Q1492" s="5" t="str">
        <f ca="1">IFERROR(__xludf.DUMMYFUNCTION("""COMPUTED_VALUE"""),"")</f>
        <v/>
      </c>
      <c r="R1492" s="6" t="str">
        <f ca="1">IFERROR(__xludf.DUMMYFUNCTION("""COMPUTED_VALUE"""),"")</f>
        <v/>
      </c>
      <c r="S1492" t="str">
        <f ca="1">IFERROR(__xludf.DUMMYFUNCTION("""COMPUTED_VALUE"""),"")</f>
        <v/>
      </c>
      <c r="T1492" t="str">
        <f ca="1">IFERROR(__xludf.DUMMYFUNCTION("""COMPUTED_VALUE"""),"")</f>
        <v/>
      </c>
      <c r="U1492" t="str">
        <f ca="1">IFERROR(__xludf.DUMMYFUNCTION("""COMPUTED_VALUE"""),"")</f>
        <v/>
      </c>
      <c r="V1492" t="str">
        <f ca="1">IFERROR(__xludf.DUMMYFUNCTION("""COMPUTED_VALUE"""),"")</f>
        <v/>
      </c>
      <c r="W1492" t="str">
        <f ca="1">IFERROR(__xludf.DUMMYFUNCTION("""COMPUTED_VALUE"""),"")</f>
        <v/>
      </c>
      <c r="X1492" t="str">
        <f ca="1">IFERROR(__xludf.DUMMYFUNCTION("""COMPUTED_VALUE"""),"")</f>
        <v/>
      </c>
      <c r="Y1492" t="str">
        <f ca="1">IFERROR(__xludf.DUMMYFUNCTION("""COMPUTED_VALUE"""),"")</f>
        <v/>
      </c>
      <c r="Z1492" t="str">
        <f ca="1">IFERROR(__xludf.DUMMYFUNCTION("""COMPUTED_VALUE"""),"")</f>
        <v/>
      </c>
      <c r="AA1492" t="str">
        <f ca="1">IFERROR(__xludf.DUMMYFUNCTION("""COMPUTED_VALUE"""),"")</f>
        <v/>
      </c>
      <c r="AB1492" s="8" t="str">
        <f ca="1">IFERROR(__xludf.DUMMYFUNCTION("""COMPUTED_VALUE"""),"")</f>
        <v/>
      </c>
      <c r="AC1492" s="8" t="str">
        <f ca="1">IFERROR(__xludf.DUMMYFUNCTION("""COMPUTED_VALUE"""),"")</f>
        <v/>
      </c>
      <c r="AD1492" s="11" t="str">
        <f ca="1">IFERROR(__xludf.DUMMYFUNCTION("""COMPUTED_VALUE"""),"")</f>
        <v/>
      </c>
      <c r="AE1492" t="str">
        <f ca="1">IFERROR(__xludf.DUMMYFUNCTION("""COMPUTED_VALUE"""),"")</f>
        <v/>
      </c>
    </row>
    <row r="1493" spans="1:31" ht="12.75" x14ac:dyDescent="0.2">
      <c r="A1493" t="str">
        <f ca="1">IFERROR(__xludf.DUMMYFUNCTION("""COMPUTED_VALUE"""),"")</f>
        <v/>
      </c>
      <c r="B1493" t="str">
        <f ca="1">IFERROR(__xludf.DUMMYFUNCTION("""COMPUTED_VALUE"""),"")</f>
        <v/>
      </c>
      <c r="C1493" t="str">
        <f ca="1">IFERROR(__xludf.DUMMYFUNCTION("""COMPUTED_VALUE"""),"")</f>
        <v/>
      </c>
      <c r="D1493" t="str">
        <f ca="1">IFERROR(__xludf.DUMMYFUNCTION("""COMPUTED_VALUE"""),"")</f>
        <v/>
      </c>
      <c r="E1493" t="str">
        <f ca="1">IFERROR(__xludf.DUMMYFUNCTION("""COMPUTED_VALUE"""),"")</f>
        <v/>
      </c>
      <c r="F1493" t="str">
        <f ca="1">IFERROR(__xludf.DUMMYFUNCTION("""COMPUTED_VALUE"""),"")</f>
        <v/>
      </c>
      <c r="G1493" t="str">
        <f ca="1">IFERROR(__xludf.DUMMYFUNCTION("""COMPUTED_VALUE"""),"")</f>
        <v/>
      </c>
      <c r="H1493" t="str">
        <f ca="1">IFERROR(__xludf.DUMMYFUNCTION("""COMPUTED_VALUE"""),"")</f>
        <v/>
      </c>
      <c r="I1493" t="str">
        <f ca="1">IFERROR(__xludf.DUMMYFUNCTION("""COMPUTED_VALUE"""),"")</f>
        <v/>
      </c>
      <c r="J1493" t="str">
        <f ca="1">IFERROR(__xludf.DUMMYFUNCTION("""COMPUTED_VALUE"""),"")</f>
        <v/>
      </c>
      <c r="K1493" t="str">
        <f ca="1">IFERROR(__xludf.DUMMYFUNCTION("""COMPUTED_VALUE"""),"")</f>
        <v/>
      </c>
      <c r="L1493" t="str">
        <f ca="1">IFERROR(__xludf.DUMMYFUNCTION("""COMPUTED_VALUE"""),"")</f>
        <v/>
      </c>
      <c r="M1493" t="str">
        <f ca="1">IFERROR(__xludf.DUMMYFUNCTION("""COMPUTED_VALUE"""),"")</f>
        <v/>
      </c>
      <c r="N1493" t="str">
        <f ca="1">IFERROR(__xludf.DUMMYFUNCTION("""COMPUTED_VALUE"""),"")</f>
        <v/>
      </c>
      <c r="O1493" t="str">
        <f ca="1">IFERROR(__xludf.DUMMYFUNCTION("""COMPUTED_VALUE"""),"")</f>
        <v/>
      </c>
      <c r="P1493" t="str">
        <f ca="1">IFERROR(__xludf.DUMMYFUNCTION("""COMPUTED_VALUE"""),"")</f>
        <v/>
      </c>
      <c r="Q1493" s="5" t="str">
        <f ca="1">IFERROR(__xludf.DUMMYFUNCTION("""COMPUTED_VALUE"""),"")</f>
        <v/>
      </c>
      <c r="R1493" s="6" t="str">
        <f ca="1">IFERROR(__xludf.DUMMYFUNCTION("""COMPUTED_VALUE"""),"")</f>
        <v/>
      </c>
      <c r="S1493" t="str">
        <f ca="1">IFERROR(__xludf.DUMMYFUNCTION("""COMPUTED_VALUE"""),"")</f>
        <v/>
      </c>
      <c r="T1493" t="str">
        <f ca="1">IFERROR(__xludf.DUMMYFUNCTION("""COMPUTED_VALUE"""),"")</f>
        <v/>
      </c>
      <c r="U1493" t="str">
        <f ca="1">IFERROR(__xludf.DUMMYFUNCTION("""COMPUTED_VALUE"""),"")</f>
        <v/>
      </c>
      <c r="V1493" t="str">
        <f ca="1">IFERROR(__xludf.DUMMYFUNCTION("""COMPUTED_VALUE"""),"")</f>
        <v/>
      </c>
      <c r="W1493" t="str">
        <f ca="1">IFERROR(__xludf.DUMMYFUNCTION("""COMPUTED_VALUE"""),"")</f>
        <v/>
      </c>
      <c r="X1493" t="str">
        <f ca="1">IFERROR(__xludf.DUMMYFUNCTION("""COMPUTED_VALUE"""),"")</f>
        <v/>
      </c>
      <c r="Y1493" t="str">
        <f ca="1">IFERROR(__xludf.DUMMYFUNCTION("""COMPUTED_VALUE"""),"")</f>
        <v/>
      </c>
      <c r="Z1493" t="str">
        <f ca="1">IFERROR(__xludf.DUMMYFUNCTION("""COMPUTED_VALUE"""),"")</f>
        <v/>
      </c>
      <c r="AA1493" t="str">
        <f ca="1">IFERROR(__xludf.DUMMYFUNCTION("""COMPUTED_VALUE"""),"")</f>
        <v/>
      </c>
      <c r="AB1493" s="8" t="str">
        <f ca="1">IFERROR(__xludf.DUMMYFUNCTION("""COMPUTED_VALUE"""),"")</f>
        <v/>
      </c>
      <c r="AC1493" s="8" t="str">
        <f ca="1">IFERROR(__xludf.DUMMYFUNCTION("""COMPUTED_VALUE"""),"")</f>
        <v/>
      </c>
      <c r="AD1493" s="11" t="str">
        <f ca="1">IFERROR(__xludf.DUMMYFUNCTION("""COMPUTED_VALUE"""),"")</f>
        <v/>
      </c>
      <c r="AE1493" t="str">
        <f ca="1">IFERROR(__xludf.DUMMYFUNCTION("""COMPUTED_VALUE"""),"")</f>
        <v/>
      </c>
    </row>
    <row r="1494" spans="1:31" ht="12.75" x14ac:dyDescent="0.2">
      <c r="A1494" t="str">
        <f ca="1">IFERROR(__xludf.DUMMYFUNCTION("""COMPUTED_VALUE"""),"")</f>
        <v/>
      </c>
      <c r="B1494" t="str">
        <f ca="1">IFERROR(__xludf.DUMMYFUNCTION("""COMPUTED_VALUE"""),"")</f>
        <v/>
      </c>
      <c r="C1494" t="str">
        <f ca="1">IFERROR(__xludf.DUMMYFUNCTION("""COMPUTED_VALUE"""),"")</f>
        <v/>
      </c>
      <c r="D1494" t="str">
        <f ca="1">IFERROR(__xludf.DUMMYFUNCTION("""COMPUTED_VALUE"""),"")</f>
        <v/>
      </c>
      <c r="E1494" t="str">
        <f ca="1">IFERROR(__xludf.DUMMYFUNCTION("""COMPUTED_VALUE"""),"")</f>
        <v/>
      </c>
      <c r="F1494" t="str">
        <f ca="1">IFERROR(__xludf.DUMMYFUNCTION("""COMPUTED_VALUE"""),"")</f>
        <v/>
      </c>
      <c r="G1494" t="str">
        <f ca="1">IFERROR(__xludf.DUMMYFUNCTION("""COMPUTED_VALUE"""),"")</f>
        <v/>
      </c>
      <c r="H1494" t="str">
        <f ca="1">IFERROR(__xludf.DUMMYFUNCTION("""COMPUTED_VALUE"""),"")</f>
        <v/>
      </c>
      <c r="I1494" t="str">
        <f ca="1">IFERROR(__xludf.DUMMYFUNCTION("""COMPUTED_VALUE"""),"")</f>
        <v/>
      </c>
      <c r="J1494" t="str">
        <f ca="1">IFERROR(__xludf.DUMMYFUNCTION("""COMPUTED_VALUE"""),"")</f>
        <v/>
      </c>
      <c r="K1494" t="str">
        <f ca="1">IFERROR(__xludf.DUMMYFUNCTION("""COMPUTED_VALUE"""),"")</f>
        <v/>
      </c>
      <c r="L1494" t="str">
        <f ca="1">IFERROR(__xludf.DUMMYFUNCTION("""COMPUTED_VALUE"""),"")</f>
        <v/>
      </c>
      <c r="M1494" t="str">
        <f ca="1">IFERROR(__xludf.DUMMYFUNCTION("""COMPUTED_VALUE"""),"")</f>
        <v/>
      </c>
      <c r="N1494" t="str">
        <f ca="1">IFERROR(__xludf.DUMMYFUNCTION("""COMPUTED_VALUE"""),"")</f>
        <v/>
      </c>
      <c r="O1494" t="str">
        <f ca="1">IFERROR(__xludf.DUMMYFUNCTION("""COMPUTED_VALUE"""),"")</f>
        <v/>
      </c>
      <c r="P1494" t="str">
        <f ca="1">IFERROR(__xludf.DUMMYFUNCTION("""COMPUTED_VALUE"""),"")</f>
        <v/>
      </c>
      <c r="Q1494" s="5" t="str">
        <f ca="1">IFERROR(__xludf.DUMMYFUNCTION("""COMPUTED_VALUE"""),"")</f>
        <v/>
      </c>
      <c r="R1494" s="6" t="str">
        <f ca="1">IFERROR(__xludf.DUMMYFUNCTION("""COMPUTED_VALUE"""),"")</f>
        <v/>
      </c>
      <c r="S1494" t="str">
        <f ca="1">IFERROR(__xludf.DUMMYFUNCTION("""COMPUTED_VALUE"""),"")</f>
        <v/>
      </c>
      <c r="T1494" t="str">
        <f ca="1">IFERROR(__xludf.DUMMYFUNCTION("""COMPUTED_VALUE"""),"")</f>
        <v/>
      </c>
      <c r="U1494" t="str">
        <f ca="1">IFERROR(__xludf.DUMMYFUNCTION("""COMPUTED_VALUE"""),"")</f>
        <v/>
      </c>
      <c r="V1494" t="str">
        <f ca="1">IFERROR(__xludf.DUMMYFUNCTION("""COMPUTED_VALUE"""),"")</f>
        <v/>
      </c>
      <c r="W1494" t="str">
        <f ca="1">IFERROR(__xludf.DUMMYFUNCTION("""COMPUTED_VALUE"""),"")</f>
        <v/>
      </c>
      <c r="X1494" t="str">
        <f ca="1">IFERROR(__xludf.DUMMYFUNCTION("""COMPUTED_VALUE"""),"")</f>
        <v/>
      </c>
      <c r="Y1494" t="str">
        <f ca="1">IFERROR(__xludf.DUMMYFUNCTION("""COMPUTED_VALUE"""),"")</f>
        <v/>
      </c>
      <c r="Z1494" t="str">
        <f ca="1">IFERROR(__xludf.DUMMYFUNCTION("""COMPUTED_VALUE"""),"")</f>
        <v/>
      </c>
      <c r="AA1494" t="str">
        <f ca="1">IFERROR(__xludf.DUMMYFUNCTION("""COMPUTED_VALUE"""),"")</f>
        <v/>
      </c>
      <c r="AB1494" s="8" t="str">
        <f ca="1">IFERROR(__xludf.DUMMYFUNCTION("""COMPUTED_VALUE"""),"")</f>
        <v/>
      </c>
      <c r="AC1494" s="8" t="str">
        <f ca="1">IFERROR(__xludf.DUMMYFUNCTION("""COMPUTED_VALUE"""),"")</f>
        <v/>
      </c>
      <c r="AD1494" s="11" t="str">
        <f ca="1">IFERROR(__xludf.DUMMYFUNCTION("""COMPUTED_VALUE"""),"")</f>
        <v/>
      </c>
      <c r="AE1494" t="str">
        <f ca="1">IFERROR(__xludf.DUMMYFUNCTION("""COMPUTED_VALUE"""),"")</f>
        <v/>
      </c>
    </row>
    <row r="1495" spans="1:31" ht="12.75" x14ac:dyDescent="0.2">
      <c r="A1495" t="str">
        <f ca="1">IFERROR(__xludf.DUMMYFUNCTION("""COMPUTED_VALUE"""),"")</f>
        <v/>
      </c>
      <c r="B1495" t="str">
        <f ca="1">IFERROR(__xludf.DUMMYFUNCTION("""COMPUTED_VALUE"""),"")</f>
        <v/>
      </c>
      <c r="C1495" t="str">
        <f ca="1">IFERROR(__xludf.DUMMYFUNCTION("""COMPUTED_VALUE"""),"")</f>
        <v/>
      </c>
      <c r="D1495" t="str">
        <f ca="1">IFERROR(__xludf.DUMMYFUNCTION("""COMPUTED_VALUE"""),"")</f>
        <v/>
      </c>
      <c r="E1495" t="str">
        <f ca="1">IFERROR(__xludf.DUMMYFUNCTION("""COMPUTED_VALUE"""),"")</f>
        <v/>
      </c>
      <c r="F1495" t="str">
        <f ca="1">IFERROR(__xludf.DUMMYFUNCTION("""COMPUTED_VALUE"""),"")</f>
        <v/>
      </c>
      <c r="G1495" t="str">
        <f ca="1">IFERROR(__xludf.DUMMYFUNCTION("""COMPUTED_VALUE"""),"")</f>
        <v/>
      </c>
      <c r="H1495" t="str">
        <f ca="1">IFERROR(__xludf.DUMMYFUNCTION("""COMPUTED_VALUE"""),"")</f>
        <v/>
      </c>
      <c r="I1495" t="str">
        <f ca="1">IFERROR(__xludf.DUMMYFUNCTION("""COMPUTED_VALUE"""),"")</f>
        <v/>
      </c>
      <c r="J1495" t="str">
        <f ca="1">IFERROR(__xludf.DUMMYFUNCTION("""COMPUTED_VALUE"""),"")</f>
        <v/>
      </c>
      <c r="K1495" t="str">
        <f ca="1">IFERROR(__xludf.DUMMYFUNCTION("""COMPUTED_VALUE"""),"")</f>
        <v/>
      </c>
      <c r="L1495" t="str">
        <f ca="1">IFERROR(__xludf.DUMMYFUNCTION("""COMPUTED_VALUE"""),"")</f>
        <v/>
      </c>
      <c r="M1495" t="str">
        <f ca="1">IFERROR(__xludf.DUMMYFUNCTION("""COMPUTED_VALUE"""),"")</f>
        <v/>
      </c>
      <c r="N1495" t="str">
        <f ca="1">IFERROR(__xludf.DUMMYFUNCTION("""COMPUTED_VALUE"""),"")</f>
        <v/>
      </c>
      <c r="O1495" t="str">
        <f ca="1">IFERROR(__xludf.DUMMYFUNCTION("""COMPUTED_VALUE"""),"")</f>
        <v/>
      </c>
      <c r="P1495" t="str">
        <f ca="1">IFERROR(__xludf.DUMMYFUNCTION("""COMPUTED_VALUE"""),"")</f>
        <v/>
      </c>
      <c r="Q1495" s="5" t="str">
        <f ca="1">IFERROR(__xludf.DUMMYFUNCTION("""COMPUTED_VALUE"""),"")</f>
        <v/>
      </c>
      <c r="R1495" s="6" t="str">
        <f ca="1">IFERROR(__xludf.DUMMYFUNCTION("""COMPUTED_VALUE"""),"")</f>
        <v/>
      </c>
      <c r="S1495" t="str">
        <f ca="1">IFERROR(__xludf.DUMMYFUNCTION("""COMPUTED_VALUE"""),"")</f>
        <v/>
      </c>
      <c r="T1495" t="str">
        <f ca="1">IFERROR(__xludf.DUMMYFUNCTION("""COMPUTED_VALUE"""),"")</f>
        <v/>
      </c>
      <c r="U1495" t="str">
        <f ca="1">IFERROR(__xludf.DUMMYFUNCTION("""COMPUTED_VALUE"""),"")</f>
        <v/>
      </c>
      <c r="V1495" t="str">
        <f ca="1">IFERROR(__xludf.DUMMYFUNCTION("""COMPUTED_VALUE"""),"")</f>
        <v/>
      </c>
      <c r="W1495" t="str">
        <f ca="1">IFERROR(__xludf.DUMMYFUNCTION("""COMPUTED_VALUE"""),"")</f>
        <v/>
      </c>
      <c r="X1495" t="str">
        <f ca="1">IFERROR(__xludf.DUMMYFUNCTION("""COMPUTED_VALUE"""),"")</f>
        <v/>
      </c>
      <c r="Y1495" t="str">
        <f ca="1">IFERROR(__xludf.DUMMYFUNCTION("""COMPUTED_VALUE"""),"")</f>
        <v/>
      </c>
      <c r="Z1495" t="str">
        <f ca="1">IFERROR(__xludf.DUMMYFUNCTION("""COMPUTED_VALUE"""),"")</f>
        <v/>
      </c>
      <c r="AA1495" t="str">
        <f ca="1">IFERROR(__xludf.DUMMYFUNCTION("""COMPUTED_VALUE"""),"")</f>
        <v/>
      </c>
      <c r="AB1495" s="8" t="str">
        <f ca="1">IFERROR(__xludf.DUMMYFUNCTION("""COMPUTED_VALUE"""),"")</f>
        <v/>
      </c>
      <c r="AC1495" s="8" t="str">
        <f ca="1">IFERROR(__xludf.DUMMYFUNCTION("""COMPUTED_VALUE"""),"")</f>
        <v/>
      </c>
      <c r="AD1495" s="11" t="str">
        <f ca="1">IFERROR(__xludf.DUMMYFUNCTION("""COMPUTED_VALUE"""),"")</f>
        <v/>
      </c>
      <c r="AE1495" t="str">
        <f ca="1">IFERROR(__xludf.DUMMYFUNCTION("""COMPUTED_VALUE"""),"")</f>
        <v/>
      </c>
    </row>
    <row r="1496" spans="1:31" ht="12.75" x14ac:dyDescent="0.2">
      <c r="A1496" t="str">
        <f ca="1">IFERROR(__xludf.DUMMYFUNCTION("""COMPUTED_VALUE"""),"")</f>
        <v/>
      </c>
      <c r="B1496" t="str">
        <f ca="1">IFERROR(__xludf.DUMMYFUNCTION("""COMPUTED_VALUE"""),"")</f>
        <v/>
      </c>
      <c r="C1496" t="str">
        <f ca="1">IFERROR(__xludf.DUMMYFUNCTION("""COMPUTED_VALUE"""),"")</f>
        <v/>
      </c>
      <c r="D1496" t="str">
        <f ca="1">IFERROR(__xludf.DUMMYFUNCTION("""COMPUTED_VALUE"""),"")</f>
        <v/>
      </c>
      <c r="E1496" t="str">
        <f ca="1">IFERROR(__xludf.DUMMYFUNCTION("""COMPUTED_VALUE"""),"")</f>
        <v/>
      </c>
      <c r="F1496" t="str">
        <f ca="1">IFERROR(__xludf.DUMMYFUNCTION("""COMPUTED_VALUE"""),"")</f>
        <v/>
      </c>
      <c r="G1496" t="str">
        <f ca="1">IFERROR(__xludf.DUMMYFUNCTION("""COMPUTED_VALUE"""),"")</f>
        <v/>
      </c>
      <c r="H1496" t="str">
        <f ca="1">IFERROR(__xludf.DUMMYFUNCTION("""COMPUTED_VALUE"""),"")</f>
        <v/>
      </c>
      <c r="I1496" t="str">
        <f ca="1">IFERROR(__xludf.DUMMYFUNCTION("""COMPUTED_VALUE"""),"")</f>
        <v/>
      </c>
      <c r="J1496" t="str">
        <f ca="1">IFERROR(__xludf.DUMMYFUNCTION("""COMPUTED_VALUE"""),"")</f>
        <v/>
      </c>
      <c r="K1496" t="str">
        <f ca="1">IFERROR(__xludf.DUMMYFUNCTION("""COMPUTED_VALUE"""),"")</f>
        <v/>
      </c>
      <c r="L1496" t="str">
        <f ca="1">IFERROR(__xludf.DUMMYFUNCTION("""COMPUTED_VALUE"""),"")</f>
        <v/>
      </c>
      <c r="M1496" t="str">
        <f ca="1">IFERROR(__xludf.DUMMYFUNCTION("""COMPUTED_VALUE"""),"")</f>
        <v/>
      </c>
      <c r="N1496" t="str">
        <f ca="1">IFERROR(__xludf.DUMMYFUNCTION("""COMPUTED_VALUE"""),"")</f>
        <v/>
      </c>
      <c r="O1496" t="str">
        <f ca="1">IFERROR(__xludf.DUMMYFUNCTION("""COMPUTED_VALUE"""),"")</f>
        <v/>
      </c>
      <c r="P1496" t="str">
        <f ca="1">IFERROR(__xludf.DUMMYFUNCTION("""COMPUTED_VALUE"""),"")</f>
        <v/>
      </c>
      <c r="Q1496" s="5" t="str">
        <f ca="1">IFERROR(__xludf.DUMMYFUNCTION("""COMPUTED_VALUE"""),"")</f>
        <v/>
      </c>
      <c r="R1496" s="6" t="str">
        <f ca="1">IFERROR(__xludf.DUMMYFUNCTION("""COMPUTED_VALUE"""),"")</f>
        <v/>
      </c>
      <c r="S1496" t="str">
        <f ca="1">IFERROR(__xludf.DUMMYFUNCTION("""COMPUTED_VALUE"""),"")</f>
        <v/>
      </c>
      <c r="T1496" t="str">
        <f ca="1">IFERROR(__xludf.DUMMYFUNCTION("""COMPUTED_VALUE"""),"")</f>
        <v/>
      </c>
      <c r="U1496" t="str">
        <f ca="1">IFERROR(__xludf.DUMMYFUNCTION("""COMPUTED_VALUE"""),"")</f>
        <v/>
      </c>
      <c r="V1496" t="str">
        <f ca="1">IFERROR(__xludf.DUMMYFUNCTION("""COMPUTED_VALUE"""),"")</f>
        <v/>
      </c>
      <c r="W1496" t="str">
        <f ca="1">IFERROR(__xludf.DUMMYFUNCTION("""COMPUTED_VALUE"""),"")</f>
        <v/>
      </c>
      <c r="X1496" t="str">
        <f ca="1">IFERROR(__xludf.DUMMYFUNCTION("""COMPUTED_VALUE"""),"")</f>
        <v/>
      </c>
      <c r="Y1496" t="str">
        <f ca="1">IFERROR(__xludf.DUMMYFUNCTION("""COMPUTED_VALUE"""),"")</f>
        <v/>
      </c>
      <c r="Z1496" t="str">
        <f ca="1">IFERROR(__xludf.DUMMYFUNCTION("""COMPUTED_VALUE"""),"")</f>
        <v/>
      </c>
      <c r="AA1496" t="str">
        <f ca="1">IFERROR(__xludf.DUMMYFUNCTION("""COMPUTED_VALUE"""),"")</f>
        <v/>
      </c>
      <c r="AB1496" s="8" t="str">
        <f ca="1">IFERROR(__xludf.DUMMYFUNCTION("""COMPUTED_VALUE"""),"")</f>
        <v/>
      </c>
      <c r="AC1496" s="8" t="str">
        <f ca="1">IFERROR(__xludf.DUMMYFUNCTION("""COMPUTED_VALUE"""),"")</f>
        <v/>
      </c>
      <c r="AD1496" s="11" t="str">
        <f ca="1">IFERROR(__xludf.DUMMYFUNCTION("""COMPUTED_VALUE"""),"")</f>
        <v/>
      </c>
      <c r="AE1496" t="str">
        <f ca="1">IFERROR(__xludf.DUMMYFUNCTION("""COMPUTED_VALUE"""),"")</f>
        <v/>
      </c>
    </row>
    <row r="1497" spans="1:31" ht="12.75" x14ac:dyDescent="0.2">
      <c r="A1497" t="str">
        <f ca="1">IFERROR(__xludf.DUMMYFUNCTION("""COMPUTED_VALUE"""),"")</f>
        <v/>
      </c>
      <c r="B1497" t="str">
        <f ca="1">IFERROR(__xludf.DUMMYFUNCTION("""COMPUTED_VALUE"""),"")</f>
        <v/>
      </c>
      <c r="C1497" t="str">
        <f ca="1">IFERROR(__xludf.DUMMYFUNCTION("""COMPUTED_VALUE"""),"")</f>
        <v/>
      </c>
      <c r="D1497" t="str">
        <f ca="1">IFERROR(__xludf.DUMMYFUNCTION("""COMPUTED_VALUE"""),"")</f>
        <v/>
      </c>
      <c r="E1497" t="str">
        <f ca="1">IFERROR(__xludf.DUMMYFUNCTION("""COMPUTED_VALUE"""),"")</f>
        <v/>
      </c>
      <c r="F1497" t="str">
        <f ca="1">IFERROR(__xludf.DUMMYFUNCTION("""COMPUTED_VALUE"""),"")</f>
        <v/>
      </c>
      <c r="G1497" t="str">
        <f ca="1">IFERROR(__xludf.DUMMYFUNCTION("""COMPUTED_VALUE"""),"")</f>
        <v/>
      </c>
      <c r="H1497" t="str">
        <f ca="1">IFERROR(__xludf.DUMMYFUNCTION("""COMPUTED_VALUE"""),"")</f>
        <v/>
      </c>
      <c r="I1497" t="str">
        <f ca="1">IFERROR(__xludf.DUMMYFUNCTION("""COMPUTED_VALUE"""),"")</f>
        <v/>
      </c>
      <c r="J1497" t="str">
        <f ca="1">IFERROR(__xludf.DUMMYFUNCTION("""COMPUTED_VALUE"""),"")</f>
        <v/>
      </c>
      <c r="K1497" t="str">
        <f ca="1">IFERROR(__xludf.DUMMYFUNCTION("""COMPUTED_VALUE"""),"")</f>
        <v/>
      </c>
      <c r="L1497" t="str">
        <f ca="1">IFERROR(__xludf.DUMMYFUNCTION("""COMPUTED_VALUE"""),"")</f>
        <v/>
      </c>
      <c r="M1497" t="str">
        <f ca="1">IFERROR(__xludf.DUMMYFUNCTION("""COMPUTED_VALUE"""),"")</f>
        <v/>
      </c>
      <c r="N1497" t="str">
        <f ca="1">IFERROR(__xludf.DUMMYFUNCTION("""COMPUTED_VALUE"""),"")</f>
        <v/>
      </c>
      <c r="O1497" t="str">
        <f ca="1">IFERROR(__xludf.DUMMYFUNCTION("""COMPUTED_VALUE"""),"")</f>
        <v/>
      </c>
      <c r="P1497" t="str">
        <f ca="1">IFERROR(__xludf.DUMMYFUNCTION("""COMPUTED_VALUE"""),"")</f>
        <v/>
      </c>
      <c r="Q1497" s="5" t="str">
        <f ca="1">IFERROR(__xludf.DUMMYFUNCTION("""COMPUTED_VALUE"""),"")</f>
        <v/>
      </c>
      <c r="R1497" s="6" t="str">
        <f ca="1">IFERROR(__xludf.DUMMYFUNCTION("""COMPUTED_VALUE"""),"")</f>
        <v/>
      </c>
      <c r="S1497" t="str">
        <f ca="1">IFERROR(__xludf.DUMMYFUNCTION("""COMPUTED_VALUE"""),"")</f>
        <v/>
      </c>
      <c r="T1497" t="str">
        <f ca="1">IFERROR(__xludf.DUMMYFUNCTION("""COMPUTED_VALUE"""),"")</f>
        <v/>
      </c>
      <c r="U1497" t="str">
        <f ca="1">IFERROR(__xludf.DUMMYFUNCTION("""COMPUTED_VALUE"""),"")</f>
        <v/>
      </c>
      <c r="V1497" t="str">
        <f ca="1">IFERROR(__xludf.DUMMYFUNCTION("""COMPUTED_VALUE"""),"")</f>
        <v/>
      </c>
      <c r="W1497" t="str">
        <f ca="1">IFERROR(__xludf.DUMMYFUNCTION("""COMPUTED_VALUE"""),"")</f>
        <v/>
      </c>
      <c r="X1497" t="str">
        <f ca="1">IFERROR(__xludf.DUMMYFUNCTION("""COMPUTED_VALUE"""),"")</f>
        <v/>
      </c>
      <c r="Y1497" t="str">
        <f ca="1">IFERROR(__xludf.DUMMYFUNCTION("""COMPUTED_VALUE"""),"")</f>
        <v/>
      </c>
      <c r="Z1497" t="str">
        <f ca="1">IFERROR(__xludf.DUMMYFUNCTION("""COMPUTED_VALUE"""),"")</f>
        <v/>
      </c>
      <c r="AA1497" t="str">
        <f ca="1">IFERROR(__xludf.DUMMYFUNCTION("""COMPUTED_VALUE"""),"")</f>
        <v/>
      </c>
      <c r="AB1497" s="8" t="str">
        <f ca="1">IFERROR(__xludf.DUMMYFUNCTION("""COMPUTED_VALUE"""),"")</f>
        <v/>
      </c>
      <c r="AC1497" s="8" t="str">
        <f ca="1">IFERROR(__xludf.DUMMYFUNCTION("""COMPUTED_VALUE"""),"")</f>
        <v/>
      </c>
      <c r="AD1497" s="11" t="str">
        <f ca="1">IFERROR(__xludf.DUMMYFUNCTION("""COMPUTED_VALUE"""),"")</f>
        <v/>
      </c>
      <c r="AE1497" t="str">
        <f ca="1">IFERROR(__xludf.DUMMYFUNCTION("""COMPUTED_VALUE"""),"")</f>
        <v/>
      </c>
    </row>
    <row r="1498" spans="1:31" ht="12.75" x14ac:dyDescent="0.2">
      <c r="A1498" t="str">
        <f ca="1">IFERROR(__xludf.DUMMYFUNCTION("""COMPUTED_VALUE"""),"")</f>
        <v/>
      </c>
      <c r="B1498" t="str">
        <f ca="1">IFERROR(__xludf.DUMMYFUNCTION("""COMPUTED_VALUE"""),"")</f>
        <v/>
      </c>
      <c r="C1498" t="str">
        <f ca="1">IFERROR(__xludf.DUMMYFUNCTION("""COMPUTED_VALUE"""),"")</f>
        <v/>
      </c>
      <c r="D1498" t="str">
        <f ca="1">IFERROR(__xludf.DUMMYFUNCTION("""COMPUTED_VALUE"""),"")</f>
        <v/>
      </c>
      <c r="E1498" t="str">
        <f ca="1">IFERROR(__xludf.DUMMYFUNCTION("""COMPUTED_VALUE"""),"")</f>
        <v/>
      </c>
      <c r="F1498" t="str">
        <f ca="1">IFERROR(__xludf.DUMMYFUNCTION("""COMPUTED_VALUE"""),"")</f>
        <v/>
      </c>
      <c r="G1498" t="str">
        <f ca="1">IFERROR(__xludf.DUMMYFUNCTION("""COMPUTED_VALUE"""),"")</f>
        <v/>
      </c>
      <c r="H1498" t="str">
        <f ca="1">IFERROR(__xludf.DUMMYFUNCTION("""COMPUTED_VALUE"""),"")</f>
        <v/>
      </c>
      <c r="I1498" t="str">
        <f ca="1">IFERROR(__xludf.DUMMYFUNCTION("""COMPUTED_VALUE"""),"")</f>
        <v/>
      </c>
      <c r="J1498" t="str">
        <f ca="1">IFERROR(__xludf.DUMMYFUNCTION("""COMPUTED_VALUE"""),"")</f>
        <v/>
      </c>
      <c r="K1498" t="str">
        <f ca="1">IFERROR(__xludf.DUMMYFUNCTION("""COMPUTED_VALUE"""),"")</f>
        <v/>
      </c>
      <c r="L1498" t="str">
        <f ca="1">IFERROR(__xludf.DUMMYFUNCTION("""COMPUTED_VALUE"""),"")</f>
        <v/>
      </c>
      <c r="M1498" t="str">
        <f ca="1">IFERROR(__xludf.DUMMYFUNCTION("""COMPUTED_VALUE"""),"")</f>
        <v/>
      </c>
      <c r="N1498" t="str">
        <f ca="1">IFERROR(__xludf.DUMMYFUNCTION("""COMPUTED_VALUE"""),"")</f>
        <v/>
      </c>
      <c r="O1498" t="str">
        <f ca="1">IFERROR(__xludf.DUMMYFUNCTION("""COMPUTED_VALUE"""),"")</f>
        <v/>
      </c>
      <c r="P1498" t="str">
        <f ca="1">IFERROR(__xludf.DUMMYFUNCTION("""COMPUTED_VALUE"""),"")</f>
        <v/>
      </c>
      <c r="Q1498" s="5" t="str">
        <f ca="1">IFERROR(__xludf.DUMMYFUNCTION("""COMPUTED_VALUE"""),"")</f>
        <v/>
      </c>
      <c r="R1498" s="6" t="str">
        <f ca="1">IFERROR(__xludf.DUMMYFUNCTION("""COMPUTED_VALUE"""),"")</f>
        <v/>
      </c>
      <c r="S1498" t="str">
        <f ca="1">IFERROR(__xludf.DUMMYFUNCTION("""COMPUTED_VALUE"""),"")</f>
        <v/>
      </c>
      <c r="T1498" t="str">
        <f ca="1">IFERROR(__xludf.DUMMYFUNCTION("""COMPUTED_VALUE"""),"")</f>
        <v/>
      </c>
      <c r="U1498" t="str">
        <f ca="1">IFERROR(__xludf.DUMMYFUNCTION("""COMPUTED_VALUE"""),"")</f>
        <v/>
      </c>
      <c r="V1498" t="str">
        <f ca="1">IFERROR(__xludf.DUMMYFUNCTION("""COMPUTED_VALUE"""),"")</f>
        <v/>
      </c>
      <c r="W1498" t="str">
        <f ca="1">IFERROR(__xludf.DUMMYFUNCTION("""COMPUTED_VALUE"""),"")</f>
        <v/>
      </c>
      <c r="X1498" t="str">
        <f ca="1">IFERROR(__xludf.DUMMYFUNCTION("""COMPUTED_VALUE"""),"")</f>
        <v/>
      </c>
      <c r="Y1498" t="str">
        <f ca="1">IFERROR(__xludf.DUMMYFUNCTION("""COMPUTED_VALUE"""),"")</f>
        <v/>
      </c>
      <c r="Z1498" t="str">
        <f ca="1">IFERROR(__xludf.DUMMYFUNCTION("""COMPUTED_VALUE"""),"")</f>
        <v/>
      </c>
      <c r="AA1498" t="str">
        <f ca="1">IFERROR(__xludf.DUMMYFUNCTION("""COMPUTED_VALUE"""),"")</f>
        <v/>
      </c>
      <c r="AB1498" s="8" t="str">
        <f ca="1">IFERROR(__xludf.DUMMYFUNCTION("""COMPUTED_VALUE"""),"")</f>
        <v/>
      </c>
      <c r="AC1498" s="8" t="str">
        <f ca="1">IFERROR(__xludf.DUMMYFUNCTION("""COMPUTED_VALUE"""),"")</f>
        <v/>
      </c>
      <c r="AD1498" s="11" t="str">
        <f ca="1">IFERROR(__xludf.DUMMYFUNCTION("""COMPUTED_VALUE"""),"")</f>
        <v/>
      </c>
      <c r="AE1498" t="str">
        <f ca="1">IFERROR(__xludf.DUMMYFUNCTION("""COMPUTED_VALUE"""),"")</f>
        <v/>
      </c>
    </row>
    <row r="1499" spans="1:31" ht="12.75" x14ac:dyDescent="0.2">
      <c r="A1499" t="str">
        <f ca="1">IFERROR(__xludf.DUMMYFUNCTION("""COMPUTED_VALUE"""),"")</f>
        <v/>
      </c>
      <c r="B1499" t="str">
        <f ca="1">IFERROR(__xludf.DUMMYFUNCTION("""COMPUTED_VALUE"""),"")</f>
        <v/>
      </c>
      <c r="C1499" t="str">
        <f ca="1">IFERROR(__xludf.DUMMYFUNCTION("""COMPUTED_VALUE"""),"")</f>
        <v/>
      </c>
      <c r="D1499" t="str">
        <f ca="1">IFERROR(__xludf.DUMMYFUNCTION("""COMPUTED_VALUE"""),"")</f>
        <v/>
      </c>
      <c r="E1499" t="str">
        <f ca="1">IFERROR(__xludf.DUMMYFUNCTION("""COMPUTED_VALUE"""),"")</f>
        <v/>
      </c>
      <c r="F1499" t="str">
        <f ca="1">IFERROR(__xludf.DUMMYFUNCTION("""COMPUTED_VALUE"""),"")</f>
        <v/>
      </c>
      <c r="G1499" t="str">
        <f ca="1">IFERROR(__xludf.DUMMYFUNCTION("""COMPUTED_VALUE"""),"")</f>
        <v/>
      </c>
      <c r="H1499" t="str">
        <f ca="1">IFERROR(__xludf.DUMMYFUNCTION("""COMPUTED_VALUE"""),"")</f>
        <v/>
      </c>
      <c r="I1499" t="str">
        <f ca="1">IFERROR(__xludf.DUMMYFUNCTION("""COMPUTED_VALUE"""),"")</f>
        <v/>
      </c>
      <c r="J1499" t="str">
        <f ca="1">IFERROR(__xludf.DUMMYFUNCTION("""COMPUTED_VALUE"""),"")</f>
        <v/>
      </c>
      <c r="K1499" t="str">
        <f ca="1">IFERROR(__xludf.DUMMYFUNCTION("""COMPUTED_VALUE"""),"")</f>
        <v/>
      </c>
      <c r="L1499" t="str">
        <f ca="1">IFERROR(__xludf.DUMMYFUNCTION("""COMPUTED_VALUE"""),"")</f>
        <v/>
      </c>
      <c r="M1499" t="str">
        <f ca="1">IFERROR(__xludf.DUMMYFUNCTION("""COMPUTED_VALUE"""),"")</f>
        <v/>
      </c>
      <c r="N1499" t="str">
        <f ca="1">IFERROR(__xludf.DUMMYFUNCTION("""COMPUTED_VALUE"""),"")</f>
        <v/>
      </c>
      <c r="O1499" t="str">
        <f ca="1">IFERROR(__xludf.DUMMYFUNCTION("""COMPUTED_VALUE"""),"")</f>
        <v/>
      </c>
      <c r="P1499" t="str">
        <f ca="1">IFERROR(__xludf.DUMMYFUNCTION("""COMPUTED_VALUE"""),"")</f>
        <v/>
      </c>
      <c r="Q1499" s="5" t="str">
        <f ca="1">IFERROR(__xludf.DUMMYFUNCTION("""COMPUTED_VALUE"""),"")</f>
        <v/>
      </c>
      <c r="R1499" s="6" t="str">
        <f ca="1">IFERROR(__xludf.DUMMYFUNCTION("""COMPUTED_VALUE"""),"")</f>
        <v/>
      </c>
      <c r="S1499" t="str">
        <f ca="1">IFERROR(__xludf.DUMMYFUNCTION("""COMPUTED_VALUE"""),"")</f>
        <v/>
      </c>
      <c r="T1499" t="str">
        <f ca="1">IFERROR(__xludf.DUMMYFUNCTION("""COMPUTED_VALUE"""),"")</f>
        <v/>
      </c>
      <c r="U1499" t="str">
        <f ca="1">IFERROR(__xludf.DUMMYFUNCTION("""COMPUTED_VALUE"""),"")</f>
        <v/>
      </c>
      <c r="V1499" t="str">
        <f ca="1">IFERROR(__xludf.DUMMYFUNCTION("""COMPUTED_VALUE"""),"")</f>
        <v/>
      </c>
      <c r="W1499" t="str">
        <f ca="1">IFERROR(__xludf.DUMMYFUNCTION("""COMPUTED_VALUE"""),"")</f>
        <v/>
      </c>
      <c r="X1499" t="str">
        <f ca="1">IFERROR(__xludf.DUMMYFUNCTION("""COMPUTED_VALUE"""),"")</f>
        <v/>
      </c>
      <c r="Y1499" t="str">
        <f ca="1">IFERROR(__xludf.DUMMYFUNCTION("""COMPUTED_VALUE"""),"")</f>
        <v/>
      </c>
      <c r="Z1499" t="str">
        <f ca="1">IFERROR(__xludf.DUMMYFUNCTION("""COMPUTED_VALUE"""),"")</f>
        <v/>
      </c>
      <c r="AA1499" t="str">
        <f ca="1">IFERROR(__xludf.DUMMYFUNCTION("""COMPUTED_VALUE"""),"")</f>
        <v/>
      </c>
      <c r="AB1499" s="8" t="str">
        <f ca="1">IFERROR(__xludf.DUMMYFUNCTION("""COMPUTED_VALUE"""),"")</f>
        <v/>
      </c>
      <c r="AC1499" s="8" t="str">
        <f ca="1">IFERROR(__xludf.DUMMYFUNCTION("""COMPUTED_VALUE"""),"")</f>
        <v/>
      </c>
      <c r="AD1499" s="11" t="str">
        <f ca="1">IFERROR(__xludf.DUMMYFUNCTION("""COMPUTED_VALUE"""),"")</f>
        <v/>
      </c>
      <c r="AE1499" t="str">
        <f ca="1">IFERROR(__xludf.DUMMYFUNCTION("""COMPUTED_VALUE"""),"")</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SuiviGlobal_MigAppliSatellite_P</vt:lpstr>
      <vt:lpstr>Import_SuiviGlobal_MigAppliSate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Sebastien Verdier</cp:lastModifiedBy>
  <dcterms:created xsi:type="dcterms:W3CDTF">2019-05-07T15:39:47Z</dcterms:created>
  <dcterms:modified xsi:type="dcterms:W3CDTF">2019-05-07T15:39:48Z</dcterms:modified>
</cp:coreProperties>
</file>